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1.xml" ContentType="application/vnd.openxmlformats-officedocument.spreadsheetml.comments+xml"/>
  <Override PartName="/xl/drawings/drawing1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hidePivotFieldList="1"/>
  <mc:AlternateContent xmlns:mc="http://schemas.openxmlformats.org/markup-compatibility/2006">
    <mc:Choice Requires="x15">
      <x15ac:absPath xmlns:x15ac="http://schemas.microsoft.com/office/spreadsheetml/2010/11/ac" url="C:\Users\keith\Desktop\"/>
    </mc:Choice>
  </mc:AlternateContent>
  <xr:revisionPtr revIDLastSave="0" documentId="13_ncr:1_{FC3225F9-56A8-4A29-BFFC-6309F6160586}" xr6:coauthVersionLast="47" xr6:coauthVersionMax="47" xr10:uidLastSave="{00000000-0000-0000-0000-000000000000}"/>
  <workbookProtection workbookAlgorithmName="SHA-512" workbookHashValue="rAJnsHToOcSpcHTSk0UIZdF525de3YFLn7s/KZg+O6peJHqO1n8I/RTuLAJ/unSJTwIB1SinbpVoo+1ws/DMaQ==" workbookSaltValue="3ZRWaJim4LOlMqmLxEj09w==" workbookSpinCount="100000" lockStructure="1"/>
  <bookViews>
    <workbookView xWindow="-120" yWindow="-120" windowWidth="29040" windowHeight="15720" tabRatio="890" xr2:uid="{00000000-000D-0000-FFFF-FFFF00000000}"/>
  </bookViews>
  <sheets>
    <sheet name="Scope 1 and 2 changelog" sheetId="68" r:id="rId1"/>
    <sheet name="Instructions" sheetId="57" r:id="rId2"/>
    <sheet name="Facility or System Data" sheetId="58" r:id="rId3"/>
    <sheet name="Scope 1 and 2 Data" sheetId="59" r:id="rId4"/>
    <sheet name="S1&amp;2 Lists" sheetId="65" state="hidden" r:id="rId5"/>
    <sheet name="Results &amp; Summary" sheetId="60" r:id="rId6"/>
    <sheet name="Refrigerants" sheetId="61" r:id="rId7"/>
    <sheet name="Anesthetic Gases" sheetId="62" r:id="rId8"/>
    <sheet name="Aux residuos" sheetId="63" state="hidden" r:id="rId9"/>
    <sheet name="Data sources" sheetId="64" r:id="rId10"/>
    <sheet name="S1&amp;2 References" sheetId="66" r:id="rId11"/>
    <sheet name="Mapping" sheetId="67" state="hidden" r:id="rId12"/>
    <sheet name="Scope 3 changelog" sheetId="50" r:id="rId13"/>
    <sheet name="Introduction" sheetId="32" r:id="rId14"/>
    <sheet name="inventory year and inflation" sheetId="24" r:id="rId15"/>
    <sheet name="Scope 3 Summary" sheetId="12" r:id="rId16"/>
    <sheet name="Cat 1 and 2 (Goods &amp; Services)" sheetId="46" r:id="rId17"/>
    <sheet name="Cat 1 and 2 descriptions" sheetId="41" r:id="rId18"/>
    <sheet name="Cat 3 Fuel &amp; Energy" sheetId="11" r:id="rId19"/>
    <sheet name="GWPs" sheetId="28" state="hidden" r:id="rId20"/>
    <sheet name="2016_Detail_Commodity_v1.0" sheetId="20" state="hidden" r:id="rId21"/>
    <sheet name="2016_Detail_Commodity_v1.1" sheetId="52" state="hidden" r:id="rId22"/>
    <sheet name="2016_Summary_Commodity_v1.1" sheetId="51" state="hidden" r:id="rId23"/>
    <sheet name="Cat 4 Upstream Trans &amp; Dist" sheetId="22" r:id="rId24"/>
    <sheet name="Cat 4 descriptions" sheetId="49" r:id="rId25"/>
    <sheet name="EF" sheetId="6" state="hidden" r:id="rId26"/>
    <sheet name="Cat 5 Waste" sheetId="30" r:id="rId27"/>
    <sheet name="Cat 6 Business Travel" sheetId="10" r:id="rId28"/>
    <sheet name="Cat 6 descriptions" sheetId="47" r:id="rId29"/>
    <sheet name="Cat 7 Employee Commuting" sheetId="29" r:id="rId30"/>
    <sheet name="Defra Homeworking" sheetId="55" state="hidden" r:id="rId31"/>
    <sheet name="CBECS IFs and eGRID" sheetId="48" state="hidden" r:id="rId32"/>
    <sheet name="State eGrid factors" sheetId="56" state="hidden" r:id="rId33"/>
    <sheet name="Commute Calcs" sheetId="27" state="hidden" r:id="rId34"/>
    <sheet name="Cat 8 &amp; Cat 13 Leased Assets" sheetId="16" r:id="rId35"/>
    <sheet name="Cat 9 Downstream Trans &amp; Dist" sheetId="8" r:id="rId36"/>
    <sheet name="Cat 11 Use of Sold Products" sheetId="17" r:id="rId37"/>
    <sheet name="2016_Summary_Industry_v1.1" sheetId="54" state="hidden" r:id="rId38"/>
    <sheet name="Cat 15 Investments" sheetId="25" r:id="rId39"/>
    <sheet name="Cat 15 descriptions" sheetId="45" r:id="rId40"/>
    <sheet name="References" sheetId="33" r:id="rId41"/>
    <sheet name="Conversions" sheetId="15" state="hidden" r:id="rId42"/>
    <sheet name="Inflation" sheetId="3" state="hidden" r:id="rId43"/>
    <sheet name="List" sheetId="5" state="hidden" r:id="rId44"/>
    <sheet name="Food Categories" sheetId="42" state="hidden" r:id="rId45"/>
    <sheet name="Cat 1 &amp; 2 descriptions (lookup)" sheetId="40" state="hidden" r:id="rId46"/>
    <sheet name="commodities_meta" sheetId="39" state="hidden" r:id="rId47"/>
    <sheet name="USEEIO metadata" sheetId="53" state="hidden" r:id="rId48"/>
  </sheets>
  <definedNames>
    <definedName name="_xlnm._FilterDatabase" localSheetId="20" hidden="1">'2016_Detail_Commodity_v1.0'!$A$1:$K$1577</definedName>
    <definedName name="_xlnm._FilterDatabase" localSheetId="21" hidden="1">'2016_Detail_Commodity_v1.1'!$A$1:$L$1577</definedName>
    <definedName name="_xlnm._FilterDatabase" localSheetId="22" hidden="1">'2016_Summary_Commodity_v1.1'!$A$1:$N$265</definedName>
    <definedName name="_xlnm._FilterDatabase" localSheetId="45" hidden="1">'Cat 1 &amp; 2 descriptions (lookup)'!$N$1:$N$68</definedName>
    <definedName name="_xlnm._FilterDatabase" localSheetId="17" hidden="1">'Cat 1 and 2 descriptions'!$K$3:$K$88</definedName>
    <definedName name="_xlnm._FilterDatabase" localSheetId="39" hidden="1">'Cat 15 descriptions'!$C$1:$E$80</definedName>
    <definedName name="_xlnm._FilterDatabase" localSheetId="24" hidden="1">'Cat 4 descriptions'!$K$3:$K$88</definedName>
    <definedName name="_xlnm._FilterDatabase" localSheetId="28" hidden="1">'Cat 6 descriptions'!$K$3:$K$88</definedName>
    <definedName name="_xlnm._FilterDatabase" localSheetId="46" hidden="1">commodities_meta!$A$1:$G$412</definedName>
    <definedName name="_xlnm._FilterDatabase" localSheetId="33" hidden="1">'Commute Calcs'!$A$5:$D$369</definedName>
    <definedName name="_xlnm._FilterDatabase" localSheetId="25" hidden="1">EF!$F$2:$I$396</definedName>
    <definedName name="_xlnm._FilterDatabase" localSheetId="44" hidden="1">'Food Categories'!$C$2:$F$26</definedName>
    <definedName name="_xlnm._FilterDatabase" localSheetId="43" hidden="1">List!$M$1:$M$68</definedName>
    <definedName name="_xlnm._FilterDatabase" localSheetId="4" hidden="1">'S1&amp;2 Lists'!$BB$2:$BB$280</definedName>
    <definedName name="_xlnm._FilterDatabase" localSheetId="10" hidden="1">'S1&amp;2 References'!$A$3:$F$3</definedName>
    <definedName name="_xlnm._FilterDatabase" localSheetId="0" hidden="1">'Scope 1 and 2 changelog'!$A$3:$F$3</definedName>
    <definedName name="_Regression_Int" hidden="1">1</definedName>
    <definedName name="Business_trips">'Scope 1 and 2 Data'!$B$297</definedName>
    <definedName name="Cooling_fire_suppression">'Scope 1 and 2 Data'!$B$68</definedName>
    <definedName name="Country_region">Instructions!$C$5</definedName>
    <definedName name="Employee_commuting">'Scope 1 and 2 Data'!$B$324</definedName>
    <definedName name="Glass">EF!$AC$48:$AC$50</definedName>
    <definedName name="Heat_total_emissions">'Scope 1 and 2 Data'!$E$267</definedName>
    <definedName name="Medicinal_Anesthetic_gases">'Scope 1 and 2 Data'!$B$219</definedName>
    <definedName name="Mixed_Electronics">EF!$AC$44:$AC$45</definedName>
    <definedName name="Mixed_Metals">EF!$AC$20:$AC$22</definedName>
    <definedName name="Mixed_MSW">EF!$AC$40:$AC$41</definedName>
    <definedName name="Mixed_Organics">EF!$AC$35:$AC$37</definedName>
    <definedName name="Mixed_Paper">EF!$AC$15:$AC$17</definedName>
    <definedName name="Mixed_Paper__general">EF!$AC$15:$AC$17</definedName>
    <definedName name="Mixed_Plastics">EF!$AC$25:$AC$27</definedName>
    <definedName name="Mixed_Recyclables">EF!$AC$30:$AC$32</definedName>
    <definedName name="NK_estimated">'Scope 1 and 2 Data'!$B$6</definedName>
    <definedName name="Patient_commuting">'Scope 1 and 2 Data'!$B$347</definedName>
    <definedName name="_xlnm.Print_Area" localSheetId="6">Refrigerants!$A$2:$Q$654</definedName>
    <definedName name="_xlnm.Print_Area" localSheetId="5">'Results &amp; Summary'!$A$1:$F$128</definedName>
    <definedName name="_xlnm.Print_Area" localSheetId="3">'Scope 1 and 2 Data'!$A$1:$L$272</definedName>
    <definedName name="Supply_Chain">'Scope 1 and 2 Data'!$B$471</definedName>
    <definedName name="year">Instructions!$C$6</definedName>
  </definedNames>
  <calcPr calcId="191029"/>
  <pivotCaches>
    <pivotCache cacheId="0" r:id="rId49"/>
    <pivotCache cacheId="1" r:id="rId50"/>
    <pivotCache cacheId="2" r:id="rId5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0" i="62" l="1"/>
  <c r="G40" i="62"/>
  <c r="G37" i="62"/>
  <c r="G32" i="62"/>
  <c r="I37" i="62"/>
  <c r="I32" i="62"/>
  <c r="E37" i="60" l="1"/>
  <c r="E35" i="60"/>
  <c r="E33" i="60"/>
  <c r="B38" i="60"/>
  <c r="B37" i="60"/>
  <c r="B36" i="60"/>
  <c r="B35" i="60"/>
  <c r="B34" i="60"/>
  <c r="B33" i="60"/>
  <c r="B32" i="60"/>
  <c r="B31" i="60"/>
  <c r="B30" i="60"/>
  <c r="B29" i="60"/>
  <c r="B28" i="60"/>
  <c r="B27" i="60"/>
  <c r="B26" i="60"/>
  <c r="B25" i="60"/>
  <c r="B24" i="60"/>
  <c r="B3" i="60" l="1"/>
  <c r="G268" i="59" l="1"/>
  <c r="G269" i="59"/>
  <c r="G272" i="59" l="1"/>
  <c r="E272" i="59" s="1"/>
  <c r="G271" i="59"/>
  <c r="E271" i="59" s="1"/>
  <c r="G270" i="59"/>
  <c r="E270" i="59" s="1"/>
  <c r="E269" i="59"/>
  <c r="E268" i="59"/>
  <c r="P16" i="65" l="1"/>
  <c r="A30" i="59"/>
  <c r="A34" i="59"/>
  <c r="I30" i="67" l="1"/>
  <c r="D1" i="66"/>
  <c r="DI280" i="65"/>
  <c r="DH280" i="65"/>
  <c r="AY280" i="65"/>
  <c r="BI280" i="65" s="1"/>
  <c r="DI279" i="65"/>
  <c r="DH279" i="65"/>
  <c r="AY279" i="65"/>
  <c r="BM279" i="65" s="1"/>
  <c r="DI278" i="65"/>
  <c r="DH278" i="65"/>
  <c r="AY278" i="65"/>
  <c r="BI278" i="65" s="1"/>
  <c r="DI277" i="65"/>
  <c r="DH277" i="65"/>
  <c r="AY277" i="65"/>
  <c r="DI276" i="65"/>
  <c r="DH276" i="65"/>
  <c r="AY276" i="65"/>
  <c r="DJ276" i="65" s="1"/>
  <c r="DI275" i="65"/>
  <c r="DH275" i="65"/>
  <c r="AY275" i="65"/>
  <c r="DJ275" i="65" s="1"/>
  <c r="DI274" i="65"/>
  <c r="DH274" i="65"/>
  <c r="AY274" i="65"/>
  <c r="DJ274" i="65" s="1"/>
  <c r="DI273" i="65"/>
  <c r="DH273" i="65"/>
  <c r="AY273" i="65"/>
  <c r="BN273" i="65" s="1"/>
  <c r="DI272" i="65"/>
  <c r="DH272" i="65"/>
  <c r="AY272" i="65"/>
  <c r="DI271" i="65"/>
  <c r="DH271" i="65"/>
  <c r="AY271" i="65"/>
  <c r="BN271" i="65" s="1"/>
  <c r="DI270" i="65"/>
  <c r="DH270" i="65"/>
  <c r="DK270" i="65" s="1"/>
  <c r="DL270" i="65" s="1"/>
  <c r="AY270" i="65"/>
  <c r="BK270" i="65" s="1"/>
  <c r="DI269" i="65"/>
  <c r="DH269" i="65"/>
  <c r="DK269" i="65" s="1"/>
  <c r="DL269" i="65" s="1"/>
  <c r="AY269" i="65"/>
  <c r="DI268" i="65"/>
  <c r="DH268" i="65"/>
  <c r="DK268" i="65" s="1"/>
  <c r="DL268" i="65" s="1"/>
  <c r="AY268" i="65"/>
  <c r="DI267" i="65"/>
  <c r="DH267" i="65"/>
  <c r="DK267" i="65" s="1"/>
  <c r="DL267" i="65" s="1"/>
  <c r="AY267" i="65"/>
  <c r="BN267" i="65" s="1"/>
  <c r="DI266" i="65"/>
  <c r="DH266" i="65"/>
  <c r="DK266" i="65" s="1"/>
  <c r="DL266" i="65" s="1"/>
  <c r="AY266" i="65"/>
  <c r="DI265" i="65"/>
  <c r="DH265" i="65"/>
  <c r="DK265" i="65" s="1"/>
  <c r="DL265" i="65" s="1"/>
  <c r="AY265" i="65"/>
  <c r="BH265" i="65" s="1"/>
  <c r="DI264" i="65"/>
  <c r="DH264" i="65"/>
  <c r="DK264" i="65" s="1"/>
  <c r="DL264" i="65" s="1"/>
  <c r="AY264" i="65"/>
  <c r="BM264" i="65" s="1"/>
  <c r="DI263" i="65"/>
  <c r="DH263" i="65"/>
  <c r="DK263" i="65" s="1"/>
  <c r="DL263" i="65" s="1"/>
  <c r="AY263" i="65"/>
  <c r="BH263" i="65" s="1"/>
  <c r="DI262" i="65"/>
  <c r="DH262" i="65"/>
  <c r="DK262" i="65" s="1"/>
  <c r="DL262" i="65" s="1"/>
  <c r="AY262" i="65"/>
  <c r="BN262" i="65" s="1"/>
  <c r="DI261" i="65"/>
  <c r="DH261" i="65"/>
  <c r="DK261" i="65" s="1"/>
  <c r="DL261" i="65" s="1"/>
  <c r="AY261" i="65"/>
  <c r="BM261" i="65" s="1"/>
  <c r="DI260" i="65"/>
  <c r="DH260" i="65"/>
  <c r="DK260" i="65" s="1"/>
  <c r="DL260" i="65" s="1"/>
  <c r="AY260" i="65"/>
  <c r="BN260" i="65" s="1"/>
  <c r="DI259" i="65"/>
  <c r="DH259" i="65"/>
  <c r="DK259" i="65" s="1"/>
  <c r="DL259" i="65" s="1"/>
  <c r="AY259" i="65"/>
  <c r="BK259" i="65" s="1"/>
  <c r="DI258" i="65"/>
  <c r="DH258" i="65"/>
  <c r="DK258" i="65" s="1"/>
  <c r="DL258" i="65" s="1"/>
  <c r="AY258" i="65"/>
  <c r="BK258" i="65" s="1"/>
  <c r="DI257" i="65"/>
  <c r="DH257" i="65"/>
  <c r="DK257" i="65" s="1"/>
  <c r="DL257" i="65" s="1"/>
  <c r="AY257" i="65"/>
  <c r="BM257" i="65" s="1"/>
  <c r="DI256" i="65"/>
  <c r="DH256" i="65"/>
  <c r="DK256" i="65" s="1"/>
  <c r="DL256" i="65" s="1"/>
  <c r="AY256" i="65"/>
  <c r="BL256" i="65" s="1"/>
  <c r="DI255" i="65"/>
  <c r="DH255" i="65"/>
  <c r="DK255" i="65" s="1"/>
  <c r="DL255" i="65" s="1"/>
  <c r="AY255" i="65"/>
  <c r="BJ255" i="65" s="1"/>
  <c r="DI254" i="65"/>
  <c r="DH254" i="65"/>
  <c r="DK254" i="65" s="1"/>
  <c r="DL254" i="65" s="1"/>
  <c r="AY254" i="65"/>
  <c r="BJ254" i="65" s="1"/>
  <c r="DI253" i="65"/>
  <c r="DH253" i="65"/>
  <c r="DK253" i="65" s="1"/>
  <c r="DL253" i="65" s="1"/>
  <c r="AY253" i="65"/>
  <c r="BI253" i="65" s="1"/>
  <c r="DI252" i="65"/>
  <c r="DH252" i="65"/>
  <c r="DK252" i="65" s="1"/>
  <c r="DL252" i="65" s="1"/>
  <c r="AY252" i="65"/>
  <c r="BI252" i="65" s="1"/>
  <c r="DI251" i="65"/>
  <c r="DH251" i="65"/>
  <c r="DK251" i="65" s="1"/>
  <c r="DL251" i="65" s="1"/>
  <c r="AY251" i="65"/>
  <c r="BK251" i="65" s="1"/>
  <c r="DI250" i="65"/>
  <c r="DH250" i="65"/>
  <c r="DK250" i="65" s="1"/>
  <c r="DL250" i="65" s="1"/>
  <c r="AY250" i="65"/>
  <c r="DI249" i="65"/>
  <c r="DH249" i="65"/>
  <c r="DK249" i="65" s="1"/>
  <c r="DL249" i="65" s="1"/>
  <c r="AY249" i="65"/>
  <c r="BM249" i="65" s="1"/>
  <c r="DI248" i="65"/>
  <c r="DH248" i="65"/>
  <c r="DK248" i="65" s="1"/>
  <c r="DL248" i="65" s="1"/>
  <c r="AY248" i="65"/>
  <c r="DI247" i="65"/>
  <c r="DH247" i="65"/>
  <c r="DK247" i="65" s="1"/>
  <c r="DL247" i="65" s="1"/>
  <c r="AY247" i="65"/>
  <c r="BM247" i="65" s="1"/>
  <c r="DI246" i="65"/>
  <c r="DH246" i="65"/>
  <c r="DK246" i="65" s="1"/>
  <c r="DL246" i="65" s="1"/>
  <c r="AY246" i="65"/>
  <c r="BJ246" i="65" s="1"/>
  <c r="DI245" i="65"/>
  <c r="DH245" i="65"/>
  <c r="DK245" i="65" s="1"/>
  <c r="DL245" i="65" s="1"/>
  <c r="AY245" i="65"/>
  <c r="DI244" i="65"/>
  <c r="DH244" i="65"/>
  <c r="DK244" i="65" s="1"/>
  <c r="DL244" i="65" s="1"/>
  <c r="AY244" i="65"/>
  <c r="BM244" i="65" s="1"/>
  <c r="DL243" i="65"/>
  <c r="DI243" i="65"/>
  <c r="DH243" i="65"/>
  <c r="AY243" i="65"/>
  <c r="BN243" i="65" s="1"/>
  <c r="DI242" i="65"/>
  <c r="DH242" i="65"/>
  <c r="AY242" i="65"/>
  <c r="BM242" i="65" s="1"/>
  <c r="DI241" i="65"/>
  <c r="DH241" i="65"/>
  <c r="AY241" i="65"/>
  <c r="DI240" i="65"/>
  <c r="DH240" i="65"/>
  <c r="AY240" i="65"/>
  <c r="BM240" i="65" s="1"/>
  <c r="DI239" i="65"/>
  <c r="DH239" i="65"/>
  <c r="AY239" i="65"/>
  <c r="DJ239" i="65" s="1"/>
  <c r="DI238" i="65"/>
  <c r="DH238" i="65"/>
  <c r="AY238" i="65"/>
  <c r="BM238" i="65" s="1"/>
  <c r="DI237" i="65"/>
  <c r="DH237" i="65"/>
  <c r="AY237" i="65"/>
  <c r="DI236" i="65"/>
  <c r="DH236" i="65"/>
  <c r="DK236" i="65" s="1"/>
  <c r="DL236" i="65" s="1"/>
  <c r="AY236" i="65"/>
  <c r="DI235" i="65"/>
  <c r="DH235" i="65"/>
  <c r="AY235" i="65"/>
  <c r="DI234" i="65"/>
  <c r="DH234" i="65"/>
  <c r="AY234" i="65"/>
  <c r="BM234" i="65" s="1"/>
  <c r="DI233" i="65"/>
  <c r="DH233" i="65"/>
  <c r="AY233" i="65"/>
  <c r="DJ233" i="65" s="1"/>
  <c r="DI232" i="65"/>
  <c r="DH232" i="65"/>
  <c r="AY232" i="65"/>
  <c r="DJ232" i="65" s="1"/>
  <c r="DI231" i="65"/>
  <c r="DH231" i="65"/>
  <c r="AY231" i="65"/>
  <c r="BJ231" i="65" s="1"/>
  <c r="DI230" i="65"/>
  <c r="DH230" i="65"/>
  <c r="AY230" i="65"/>
  <c r="BL230" i="65" s="1"/>
  <c r="DI229" i="65"/>
  <c r="DH229" i="65"/>
  <c r="AY229" i="65"/>
  <c r="DJ229" i="65" s="1"/>
  <c r="DI228" i="65"/>
  <c r="DH228" i="65"/>
  <c r="AY228" i="65"/>
  <c r="BN228" i="65" s="1"/>
  <c r="DL227" i="65"/>
  <c r="DI227" i="65"/>
  <c r="DH227" i="65"/>
  <c r="AY227" i="65"/>
  <c r="DI226" i="65"/>
  <c r="DH226" i="65"/>
  <c r="AY226" i="65"/>
  <c r="BL226" i="65" s="1"/>
  <c r="DI225" i="65"/>
  <c r="DH225" i="65"/>
  <c r="DK225" i="65" s="1"/>
  <c r="DL225" i="65" s="1"/>
  <c r="AY225" i="65"/>
  <c r="BH225" i="65" s="1"/>
  <c r="DI224" i="65"/>
  <c r="DH224" i="65"/>
  <c r="DK224" i="65" s="1"/>
  <c r="DL224" i="65" s="1"/>
  <c r="AY224" i="65"/>
  <c r="BN224" i="65" s="1"/>
  <c r="DI223" i="65"/>
  <c r="DH223" i="65"/>
  <c r="AY223" i="65"/>
  <c r="DJ223" i="65" s="1"/>
  <c r="DI222" i="65"/>
  <c r="DH222" i="65"/>
  <c r="AY222" i="65"/>
  <c r="BM222" i="65" s="1"/>
  <c r="DI221" i="65"/>
  <c r="DH221" i="65"/>
  <c r="AY221" i="65"/>
  <c r="BL221" i="65" s="1"/>
  <c r="DI220" i="65"/>
  <c r="DH220" i="65"/>
  <c r="DK220" i="65" s="1"/>
  <c r="DL220" i="65" s="1"/>
  <c r="AY220" i="65"/>
  <c r="BM220" i="65" s="1"/>
  <c r="DI219" i="65"/>
  <c r="DH219" i="65"/>
  <c r="AY219" i="65"/>
  <c r="BL219" i="65" s="1"/>
  <c r="DI218" i="65"/>
  <c r="DH218" i="65"/>
  <c r="AY218" i="65"/>
  <c r="DI217" i="65"/>
  <c r="DH217" i="65"/>
  <c r="AY217" i="65"/>
  <c r="DI216" i="65"/>
  <c r="DH216" i="65"/>
  <c r="AY216" i="65"/>
  <c r="BM216" i="65" s="1"/>
  <c r="DI215" i="65"/>
  <c r="DH215" i="65"/>
  <c r="DK215" i="65" s="1"/>
  <c r="DL215" i="65" s="1"/>
  <c r="AY215" i="65"/>
  <c r="DI214" i="65"/>
  <c r="DH214" i="65"/>
  <c r="DK214" i="65" s="1"/>
  <c r="DL214" i="65" s="1"/>
  <c r="AY214" i="65"/>
  <c r="BL214" i="65" s="1"/>
  <c r="DI213" i="65"/>
  <c r="DH213" i="65"/>
  <c r="AY213" i="65"/>
  <c r="DI212" i="65"/>
  <c r="DH212" i="65"/>
  <c r="AY212" i="65"/>
  <c r="BL212" i="65" s="1"/>
  <c r="DI211" i="65"/>
  <c r="DH211" i="65"/>
  <c r="AY211" i="65"/>
  <c r="DI210" i="65"/>
  <c r="DH210" i="65"/>
  <c r="AY210" i="65"/>
  <c r="BN210" i="65" s="1"/>
  <c r="DI209" i="65"/>
  <c r="DH209" i="65"/>
  <c r="AY209" i="65"/>
  <c r="DI208" i="65"/>
  <c r="DH208" i="65"/>
  <c r="AY208" i="65"/>
  <c r="BM208" i="65" s="1"/>
  <c r="DI207" i="65"/>
  <c r="DH207" i="65"/>
  <c r="AY207" i="65"/>
  <c r="BL207" i="65" s="1"/>
  <c r="DI206" i="65"/>
  <c r="DH206" i="65"/>
  <c r="AY206" i="65"/>
  <c r="BK206" i="65" s="1"/>
  <c r="DI205" i="65"/>
  <c r="DH205" i="65"/>
  <c r="AY205" i="65"/>
  <c r="DJ205" i="65" s="1"/>
  <c r="DI204" i="65"/>
  <c r="DH204" i="65"/>
  <c r="AY204" i="65"/>
  <c r="BM204" i="65" s="1"/>
  <c r="DI203" i="65"/>
  <c r="DH203" i="65"/>
  <c r="AY203" i="65"/>
  <c r="BJ203" i="65" s="1"/>
  <c r="DI202" i="65"/>
  <c r="DH202" i="65"/>
  <c r="AY202" i="65"/>
  <c r="BK202" i="65" s="1"/>
  <c r="DI201" i="65"/>
  <c r="DH201" i="65"/>
  <c r="AY201" i="65"/>
  <c r="DI200" i="65"/>
  <c r="DH200" i="65"/>
  <c r="AY200" i="65"/>
  <c r="BN200" i="65" s="1"/>
  <c r="DI199" i="65"/>
  <c r="DH199" i="65"/>
  <c r="AY199" i="65"/>
  <c r="BL199" i="65" s="1"/>
  <c r="DI198" i="65"/>
  <c r="DH198" i="65"/>
  <c r="AY198" i="65"/>
  <c r="BM198" i="65" s="1"/>
  <c r="DI197" i="65"/>
  <c r="DH197" i="65"/>
  <c r="AY197" i="65"/>
  <c r="BM197" i="65" s="1"/>
  <c r="DL196" i="65"/>
  <c r="DI196" i="65"/>
  <c r="DH196" i="65"/>
  <c r="AY196" i="65"/>
  <c r="BK196" i="65" s="1"/>
  <c r="DI195" i="65"/>
  <c r="DH195" i="65"/>
  <c r="DK195" i="65" s="1"/>
  <c r="DL195" i="65" s="1"/>
  <c r="AY195" i="65"/>
  <c r="BM195" i="65" s="1"/>
  <c r="DI194" i="65"/>
  <c r="DH194" i="65"/>
  <c r="AY194" i="65"/>
  <c r="BH194" i="65" s="1"/>
  <c r="DI193" i="65"/>
  <c r="DH193" i="65"/>
  <c r="AY193" i="65"/>
  <c r="BM193" i="65" s="1"/>
  <c r="DI192" i="65"/>
  <c r="DH192" i="65"/>
  <c r="AY192" i="65"/>
  <c r="BL192" i="65" s="1"/>
  <c r="DI191" i="65"/>
  <c r="DH191" i="65"/>
  <c r="DK191" i="65" s="1"/>
  <c r="DL191" i="65" s="1"/>
  <c r="AY191" i="65"/>
  <c r="BM191" i="65" s="1"/>
  <c r="DI190" i="65"/>
  <c r="DH190" i="65"/>
  <c r="DK190" i="65" s="1"/>
  <c r="DL190" i="65" s="1"/>
  <c r="AY190" i="65"/>
  <c r="DI189" i="65"/>
  <c r="DH189" i="65"/>
  <c r="AY189" i="65"/>
  <c r="BN189" i="65" s="1"/>
  <c r="DI188" i="65"/>
  <c r="DH188" i="65"/>
  <c r="AY188" i="65"/>
  <c r="DJ188" i="65" s="1"/>
  <c r="DI187" i="65"/>
  <c r="DH187" i="65"/>
  <c r="AY187" i="65"/>
  <c r="BH187" i="65" s="1"/>
  <c r="DI186" i="65"/>
  <c r="DH186" i="65"/>
  <c r="AY186" i="65"/>
  <c r="BL186" i="65" s="1"/>
  <c r="DI185" i="65"/>
  <c r="DH185" i="65"/>
  <c r="AY185" i="65"/>
  <c r="BK185" i="65" s="1"/>
  <c r="DI184" i="65"/>
  <c r="DH184" i="65"/>
  <c r="AY184" i="65"/>
  <c r="DI183" i="65"/>
  <c r="DH183" i="65"/>
  <c r="AY183" i="65"/>
  <c r="DI182" i="65"/>
  <c r="DH182" i="65"/>
  <c r="AY182" i="65"/>
  <c r="BM182" i="65" s="1"/>
  <c r="DI181" i="65"/>
  <c r="DH181" i="65"/>
  <c r="DK181" i="65" s="1"/>
  <c r="DL181" i="65" s="1"/>
  <c r="AY181" i="65"/>
  <c r="BK181" i="65" s="1"/>
  <c r="DI180" i="65"/>
  <c r="DH180" i="65"/>
  <c r="AY180" i="65"/>
  <c r="BL180" i="65" s="1"/>
  <c r="DI179" i="65"/>
  <c r="DH179" i="65"/>
  <c r="AY179" i="65"/>
  <c r="BJ179" i="65" s="1"/>
  <c r="DI178" i="65"/>
  <c r="DH178" i="65"/>
  <c r="AY178" i="65"/>
  <c r="BI178" i="65" s="1"/>
  <c r="DI177" i="65"/>
  <c r="DH177" i="65"/>
  <c r="AY177" i="65"/>
  <c r="DJ177" i="65" s="1"/>
  <c r="DI176" i="65"/>
  <c r="DH176" i="65"/>
  <c r="AY176" i="65"/>
  <c r="BL176" i="65" s="1"/>
  <c r="DI175" i="65"/>
  <c r="DH175" i="65"/>
  <c r="AY175" i="65"/>
  <c r="DI174" i="65"/>
  <c r="DH174" i="65"/>
  <c r="AY174" i="65"/>
  <c r="BM174" i="65" s="1"/>
  <c r="DI173" i="65"/>
  <c r="DH173" i="65"/>
  <c r="AY173" i="65"/>
  <c r="DL172" i="65"/>
  <c r="DI172" i="65"/>
  <c r="DH172" i="65"/>
  <c r="AY172" i="65"/>
  <c r="BM172" i="65" s="1"/>
  <c r="DI171" i="65"/>
  <c r="DH171" i="65"/>
  <c r="AY171" i="65"/>
  <c r="DI170" i="65"/>
  <c r="DH170" i="65"/>
  <c r="AY170" i="65"/>
  <c r="DJ170" i="65" s="1"/>
  <c r="DI169" i="65"/>
  <c r="DH169" i="65"/>
  <c r="AY169" i="65"/>
  <c r="BL169" i="65" s="1"/>
  <c r="DI168" i="65"/>
  <c r="DH168" i="65"/>
  <c r="AY168" i="65"/>
  <c r="BH168" i="65" s="1"/>
  <c r="DI167" i="65"/>
  <c r="DH167" i="65"/>
  <c r="AY167" i="65"/>
  <c r="DI166" i="65"/>
  <c r="DH166" i="65"/>
  <c r="AY166" i="65"/>
  <c r="BK166" i="65" s="1"/>
  <c r="DI165" i="65"/>
  <c r="DH165" i="65"/>
  <c r="AY165" i="65"/>
  <c r="DI164" i="65"/>
  <c r="DH164" i="65"/>
  <c r="AY164" i="65"/>
  <c r="DI163" i="65"/>
  <c r="DH163" i="65"/>
  <c r="AY163" i="65"/>
  <c r="BL163" i="65" s="1"/>
  <c r="DI162" i="65"/>
  <c r="DH162" i="65"/>
  <c r="AY162" i="65"/>
  <c r="BM162" i="65" s="1"/>
  <c r="DI161" i="65"/>
  <c r="DH161" i="65"/>
  <c r="AY161" i="65"/>
  <c r="BK161" i="65" s="1"/>
  <c r="DI160" i="65"/>
  <c r="DH160" i="65"/>
  <c r="AY160" i="65"/>
  <c r="DI159" i="65"/>
  <c r="DH159" i="65"/>
  <c r="DK159" i="65" s="1"/>
  <c r="DL159" i="65" s="1"/>
  <c r="BO159" i="65"/>
  <c r="BP159" i="65" s="1"/>
  <c r="AY159" i="65"/>
  <c r="DJ159" i="65" s="1"/>
  <c r="DI158" i="65"/>
  <c r="DH158" i="65"/>
  <c r="AY158" i="65"/>
  <c r="BH158" i="65" s="1"/>
  <c r="DI157" i="65"/>
  <c r="DH157" i="65"/>
  <c r="AY157" i="65"/>
  <c r="BH157" i="65" s="1"/>
  <c r="DI156" i="65"/>
  <c r="DH156" i="65"/>
  <c r="AY156" i="65"/>
  <c r="DI155" i="65"/>
  <c r="DH155" i="65"/>
  <c r="AY155" i="65"/>
  <c r="DI154" i="65"/>
  <c r="DH154" i="65"/>
  <c r="AY154" i="65"/>
  <c r="BK154" i="65" s="1"/>
  <c r="DI153" i="65"/>
  <c r="DH153" i="65"/>
  <c r="DK153" i="65" s="1"/>
  <c r="DL153" i="65" s="1"/>
  <c r="AY153" i="65"/>
  <c r="BK153" i="65" s="1"/>
  <c r="DI152" i="65"/>
  <c r="DH152" i="65"/>
  <c r="AY152" i="65"/>
  <c r="DJ152" i="65" s="1"/>
  <c r="DI151" i="65"/>
  <c r="DH151" i="65"/>
  <c r="AY151" i="65"/>
  <c r="BM151" i="65" s="1"/>
  <c r="DI150" i="65"/>
  <c r="DH150" i="65"/>
  <c r="AY150" i="65"/>
  <c r="BN150" i="65" s="1"/>
  <c r="DI149" i="65"/>
  <c r="DH149" i="65"/>
  <c r="AY149" i="65"/>
  <c r="BL149" i="65" s="1"/>
  <c r="DI148" i="65"/>
  <c r="DH148" i="65"/>
  <c r="AY148" i="65"/>
  <c r="BN148" i="65" s="1"/>
  <c r="DI147" i="65"/>
  <c r="DH147" i="65"/>
  <c r="AY147" i="65"/>
  <c r="BM147" i="65" s="1"/>
  <c r="DI146" i="65"/>
  <c r="DH146" i="65"/>
  <c r="AY146" i="65"/>
  <c r="BI146" i="65" s="1"/>
  <c r="DI145" i="65"/>
  <c r="DH145" i="65"/>
  <c r="AY145" i="65"/>
  <c r="BM145" i="65" s="1"/>
  <c r="DI144" i="65"/>
  <c r="DH144" i="65"/>
  <c r="DK144" i="65" s="1"/>
  <c r="DL144" i="65" s="1"/>
  <c r="AY144" i="65"/>
  <c r="BN144" i="65" s="1"/>
  <c r="DI143" i="65"/>
  <c r="DH143" i="65"/>
  <c r="DK143" i="65" s="1"/>
  <c r="DL143" i="65" s="1"/>
  <c r="AY143" i="65"/>
  <c r="DI142" i="65"/>
  <c r="DH142" i="65"/>
  <c r="AY142" i="65"/>
  <c r="BL142" i="65" s="1"/>
  <c r="DI141" i="65"/>
  <c r="DH141" i="65"/>
  <c r="AY141" i="65"/>
  <c r="BM141" i="65" s="1"/>
  <c r="DI140" i="65"/>
  <c r="DH140" i="65"/>
  <c r="AY140" i="65"/>
  <c r="DJ140" i="65" s="1"/>
  <c r="DI139" i="65"/>
  <c r="DH139" i="65"/>
  <c r="AY139" i="65"/>
  <c r="DI138" i="65"/>
  <c r="DH138" i="65"/>
  <c r="AY138" i="65"/>
  <c r="BJ138" i="65" s="1"/>
  <c r="DI137" i="65"/>
  <c r="DH137" i="65"/>
  <c r="DK137" i="65" s="1"/>
  <c r="DL137" i="65" s="1"/>
  <c r="AY137" i="65"/>
  <c r="DJ137" i="65" s="1"/>
  <c r="DI136" i="65"/>
  <c r="DH136" i="65"/>
  <c r="AY136" i="65"/>
  <c r="BM136" i="65" s="1"/>
  <c r="DI135" i="65"/>
  <c r="DH135" i="65"/>
  <c r="AY135" i="65"/>
  <c r="BI135" i="65" s="1"/>
  <c r="DI134" i="65"/>
  <c r="DH134" i="65"/>
  <c r="AY134" i="65"/>
  <c r="DI133" i="65"/>
  <c r="DH133" i="65"/>
  <c r="AY133" i="65"/>
  <c r="DJ133" i="65" s="1"/>
  <c r="DL132" i="65"/>
  <c r="DI132" i="65"/>
  <c r="DH132" i="65"/>
  <c r="AY132" i="65"/>
  <c r="DJ132" i="65" s="1"/>
  <c r="DI131" i="65"/>
  <c r="DH131" i="65"/>
  <c r="AY131" i="65"/>
  <c r="BN131" i="65" s="1"/>
  <c r="DI130" i="65"/>
  <c r="DH130" i="65"/>
  <c r="AY130" i="65"/>
  <c r="DJ130" i="65" s="1"/>
  <c r="DI129" i="65"/>
  <c r="DH129" i="65"/>
  <c r="AY129" i="65"/>
  <c r="BL129" i="65" s="1"/>
  <c r="DI128" i="65"/>
  <c r="DH128" i="65"/>
  <c r="AY128" i="65"/>
  <c r="DJ128" i="65" s="1"/>
  <c r="DI127" i="65"/>
  <c r="DH127" i="65"/>
  <c r="AY127" i="65"/>
  <c r="DI126" i="65"/>
  <c r="DH126" i="65"/>
  <c r="DK126" i="65" s="1"/>
  <c r="DL126" i="65" s="1"/>
  <c r="AY126" i="65"/>
  <c r="BM126" i="65" s="1"/>
  <c r="DI125" i="65"/>
  <c r="DH125" i="65"/>
  <c r="AY125" i="65"/>
  <c r="BL125" i="65" s="1"/>
  <c r="DI124" i="65"/>
  <c r="DH124" i="65"/>
  <c r="DK124" i="65" s="1"/>
  <c r="DL124" i="65" s="1"/>
  <c r="AY124" i="65"/>
  <c r="BN124" i="65" s="1"/>
  <c r="DI123" i="65"/>
  <c r="DH123" i="65"/>
  <c r="AY123" i="65"/>
  <c r="BM123" i="65" s="1"/>
  <c r="DI122" i="65"/>
  <c r="DH122" i="65"/>
  <c r="AY122" i="65"/>
  <c r="BJ122" i="65" s="1"/>
  <c r="DI121" i="65"/>
  <c r="DH121" i="65"/>
  <c r="DK121" i="65" s="1"/>
  <c r="DL121" i="65" s="1"/>
  <c r="AY121" i="65"/>
  <c r="DJ121" i="65" s="1"/>
  <c r="DI120" i="65"/>
  <c r="DH120" i="65"/>
  <c r="AY120" i="65"/>
  <c r="DJ120" i="65" s="1"/>
  <c r="DI119" i="65"/>
  <c r="DH119" i="65"/>
  <c r="AY119" i="65"/>
  <c r="BH119" i="65" s="1"/>
  <c r="DI118" i="65"/>
  <c r="DH118" i="65"/>
  <c r="DK118" i="65" s="1"/>
  <c r="DL118" i="65" s="1"/>
  <c r="AY118" i="65"/>
  <c r="BL118" i="65" s="1"/>
  <c r="DI117" i="65"/>
  <c r="DH117" i="65"/>
  <c r="DK117" i="65" s="1"/>
  <c r="DL117" i="65" s="1"/>
  <c r="AY117" i="65"/>
  <c r="DI116" i="65"/>
  <c r="DH116" i="65"/>
  <c r="AY116" i="65"/>
  <c r="DI115" i="65"/>
  <c r="DH115" i="65"/>
  <c r="DK115" i="65" s="1"/>
  <c r="DL115" i="65" s="1"/>
  <c r="AY115" i="65"/>
  <c r="BN115" i="65" s="1"/>
  <c r="DI114" i="65"/>
  <c r="DH114" i="65"/>
  <c r="AY114" i="65"/>
  <c r="DI113" i="65"/>
  <c r="DH113" i="65"/>
  <c r="AY113" i="65"/>
  <c r="BM113" i="65" s="1"/>
  <c r="DI112" i="65"/>
  <c r="DH112" i="65"/>
  <c r="AY112" i="65"/>
  <c r="BL112" i="65" s="1"/>
  <c r="DI111" i="65"/>
  <c r="DH111" i="65"/>
  <c r="AY111" i="65"/>
  <c r="DI110" i="65"/>
  <c r="DH110" i="65"/>
  <c r="AY110" i="65"/>
  <c r="DI109" i="65"/>
  <c r="DH109" i="65"/>
  <c r="AY109" i="65"/>
  <c r="BK109" i="65" s="1"/>
  <c r="DI108" i="65"/>
  <c r="DH108" i="65"/>
  <c r="AY108" i="65"/>
  <c r="BL108" i="65" s="1"/>
  <c r="DI107" i="65"/>
  <c r="DH107" i="65"/>
  <c r="AY107" i="65"/>
  <c r="DJ107" i="65" s="1"/>
  <c r="DI106" i="65"/>
  <c r="DH106" i="65"/>
  <c r="AY106" i="65"/>
  <c r="DI105" i="65"/>
  <c r="DH105" i="65"/>
  <c r="AY105" i="65"/>
  <c r="DJ105" i="65" s="1"/>
  <c r="DI104" i="65"/>
  <c r="DH104" i="65"/>
  <c r="AY104" i="65"/>
  <c r="BK104" i="65" s="1"/>
  <c r="DI103" i="65"/>
  <c r="DH103" i="65"/>
  <c r="DK103" i="65" s="1"/>
  <c r="DL103" i="65" s="1"/>
  <c r="AY103" i="65"/>
  <c r="BI103" i="65" s="1"/>
  <c r="DI102" i="65"/>
  <c r="DH102" i="65"/>
  <c r="AY102" i="65"/>
  <c r="BL102" i="65" s="1"/>
  <c r="DI101" i="65"/>
  <c r="DH101" i="65"/>
  <c r="DK101" i="65" s="1"/>
  <c r="DL101" i="65" s="1"/>
  <c r="AY101" i="65"/>
  <c r="DJ101" i="65" s="1"/>
  <c r="DI100" i="65"/>
  <c r="DH100" i="65"/>
  <c r="AY100" i="65"/>
  <c r="BL100" i="65" s="1"/>
  <c r="DI99" i="65"/>
  <c r="DH99" i="65"/>
  <c r="AY99" i="65"/>
  <c r="BN99" i="65" s="1"/>
  <c r="DI98" i="65"/>
  <c r="DH98" i="65"/>
  <c r="AY98" i="65"/>
  <c r="DI97" i="65"/>
  <c r="DH97" i="65"/>
  <c r="AY97" i="65"/>
  <c r="BH97" i="65" s="1"/>
  <c r="DI96" i="65"/>
  <c r="DH96" i="65"/>
  <c r="AY96" i="65"/>
  <c r="BL96" i="65" s="1"/>
  <c r="DI95" i="65"/>
  <c r="DH95" i="65"/>
  <c r="DK95" i="65" s="1"/>
  <c r="DL95" i="65" s="1"/>
  <c r="AY95" i="65"/>
  <c r="BM95" i="65" s="1"/>
  <c r="DI94" i="65"/>
  <c r="DH94" i="65"/>
  <c r="DK94" i="65" s="1"/>
  <c r="DL94" i="65" s="1"/>
  <c r="AY94" i="65"/>
  <c r="DI93" i="65"/>
  <c r="DH93" i="65"/>
  <c r="AY93" i="65"/>
  <c r="BI93" i="65" s="1"/>
  <c r="DI92" i="65"/>
  <c r="DH92" i="65"/>
  <c r="AY92" i="65"/>
  <c r="DI91" i="65"/>
  <c r="DH91" i="65"/>
  <c r="AY91" i="65"/>
  <c r="BN91" i="65" s="1"/>
  <c r="DI90" i="65"/>
  <c r="DH90" i="65"/>
  <c r="AY90" i="65"/>
  <c r="DJ90" i="65" s="1"/>
  <c r="DI89" i="65"/>
  <c r="DH89" i="65"/>
  <c r="DK89" i="65" s="1"/>
  <c r="DL89" i="65" s="1"/>
  <c r="AY89" i="65"/>
  <c r="DI88" i="65"/>
  <c r="DH88" i="65"/>
  <c r="AY88" i="65"/>
  <c r="DI87" i="65"/>
  <c r="DH87" i="65"/>
  <c r="AY87" i="65"/>
  <c r="DJ87" i="65" s="1"/>
  <c r="DI86" i="65"/>
  <c r="DH86" i="65"/>
  <c r="AY86" i="65"/>
  <c r="DI85" i="65"/>
  <c r="DH85" i="65"/>
  <c r="AY85" i="65"/>
  <c r="BN85" i="65" s="1"/>
  <c r="DI84" i="65"/>
  <c r="DH84" i="65"/>
  <c r="AY84" i="65"/>
  <c r="DI83" i="65"/>
  <c r="DH83" i="65"/>
  <c r="AY83" i="65"/>
  <c r="BI83" i="65" s="1"/>
  <c r="DI82" i="65"/>
  <c r="DH82" i="65"/>
  <c r="AY82" i="65"/>
  <c r="BL82" i="65" s="1"/>
  <c r="DI81" i="65"/>
  <c r="DH81" i="65"/>
  <c r="AY81" i="65"/>
  <c r="DI80" i="65"/>
  <c r="DH80" i="65"/>
  <c r="DK80" i="65" s="1"/>
  <c r="DL80" i="65" s="1"/>
  <c r="AY80" i="65"/>
  <c r="BN80" i="65" s="1"/>
  <c r="DI79" i="65"/>
  <c r="DH79" i="65"/>
  <c r="DK79" i="65" s="1"/>
  <c r="DL79" i="65" s="1"/>
  <c r="AY79" i="65"/>
  <c r="BM79" i="65" s="1"/>
  <c r="DI78" i="65"/>
  <c r="DH78" i="65"/>
  <c r="DK78" i="65" s="1"/>
  <c r="DL78" i="65" s="1"/>
  <c r="AY78" i="65"/>
  <c r="DI77" i="65"/>
  <c r="DH77" i="65"/>
  <c r="AY77" i="65"/>
  <c r="BI77" i="65" s="1"/>
  <c r="DI76" i="65"/>
  <c r="DH76" i="65"/>
  <c r="AY76" i="65"/>
  <c r="BL76" i="65" s="1"/>
  <c r="DI75" i="65"/>
  <c r="DH75" i="65"/>
  <c r="DK75" i="65" s="1"/>
  <c r="DL75" i="65" s="1"/>
  <c r="AY75" i="65"/>
  <c r="BL75" i="65" s="1"/>
  <c r="DI74" i="65"/>
  <c r="DH74" i="65"/>
  <c r="AY74" i="65"/>
  <c r="BK74" i="65" s="1"/>
  <c r="DI73" i="65"/>
  <c r="DH73" i="65"/>
  <c r="BO73" i="65"/>
  <c r="BP73" i="65" s="1"/>
  <c r="AY73" i="65"/>
  <c r="DJ73" i="65" s="1"/>
  <c r="DI72" i="65"/>
  <c r="DH72" i="65"/>
  <c r="AY72" i="65"/>
  <c r="BM72" i="65" s="1"/>
  <c r="DI71" i="65"/>
  <c r="DH71" i="65"/>
  <c r="AY71" i="65"/>
  <c r="BH71" i="65" s="1"/>
  <c r="DI70" i="65"/>
  <c r="DH70" i="65"/>
  <c r="AY70" i="65"/>
  <c r="DJ70" i="65" s="1"/>
  <c r="DI69" i="65"/>
  <c r="DH69" i="65"/>
  <c r="AY69" i="65"/>
  <c r="BK69" i="65" s="1"/>
  <c r="DI68" i="65"/>
  <c r="DH68" i="65"/>
  <c r="AY68" i="65"/>
  <c r="BH68" i="65" s="1"/>
  <c r="DI67" i="65"/>
  <c r="DH67" i="65"/>
  <c r="DK67" i="65" s="1"/>
  <c r="DL67" i="65" s="1"/>
  <c r="AY67" i="65"/>
  <c r="DI66" i="65"/>
  <c r="DH66" i="65"/>
  <c r="AY66" i="65"/>
  <c r="BM66" i="65" s="1"/>
  <c r="DI65" i="65"/>
  <c r="DH65" i="65"/>
  <c r="AY65" i="65"/>
  <c r="BN65" i="65" s="1"/>
  <c r="DI64" i="65"/>
  <c r="DH64" i="65"/>
  <c r="AY64" i="65"/>
  <c r="BN64" i="65" s="1"/>
  <c r="DI63" i="65"/>
  <c r="DH63" i="65"/>
  <c r="AY63" i="65"/>
  <c r="DI62" i="65"/>
  <c r="DH62" i="65"/>
  <c r="AY62" i="65"/>
  <c r="BL62" i="65" s="1"/>
  <c r="DI61" i="65"/>
  <c r="DH61" i="65"/>
  <c r="AY61" i="65"/>
  <c r="BN61" i="65" s="1"/>
  <c r="DI60" i="65"/>
  <c r="DH60" i="65"/>
  <c r="AY60" i="65"/>
  <c r="DJ60" i="65" s="1"/>
  <c r="DI59" i="65"/>
  <c r="DH59" i="65"/>
  <c r="DK59" i="65" s="1"/>
  <c r="DL59" i="65" s="1"/>
  <c r="AY59" i="65"/>
  <c r="BL59" i="65" s="1"/>
  <c r="DI58" i="65"/>
  <c r="DH58" i="65"/>
  <c r="DK58" i="65" s="1"/>
  <c r="DL58" i="65" s="1"/>
  <c r="AY58" i="65"/>
  <c r="BK58" i="65" s="1"/>
  <c r="DI57" i="65"/>
  <c r="DH57" i="65"/>
  <c r="DK57" i="65" s="1"/>
  <c r="DL57" i="65" s="1"/>
  <c r="AY57" i="65"/>
  <c r="BL57" i="65" s="1"/>
  <c r="DI56" i="65"/>
  <c r="DH56" i="65"/>
  <c r="DK56" i="65" s="1"/>
  <c r="DL56" i="65" s="1"/>
  <c r="AY56" i="65"/>
  <c r="DJ56" i="65" s="1"/>
  <c r="DI55" i="65"/>
  <c r="DH55" i="65"/>
  <c r="DK55" i="65" s="1"/>
  <c r="DL55" i="65" s="1"/>
  <c r="AY55" i="65"/>
  <c r="BI55" i="65" s="1"/>
  <c r="DI54" i="65"/>
  <c r="DH54" i="65"/>
  <c r="DK54" i="65" s="1"/>
  <c r="DL54" i="65" s="1"/>
  <c r="AY54" i="65"/>
  <c r="BH54" i="65" s="1"/>
  <c r="DI53" i="65"/>
  <c r="DH53" i="65"/>
  <c r="DK53" i="65" s="1"/>
  <c r="DL53" i="65" s="1"/>
  <c r="AY53" i="65"/>
  <c r="BM53" i="65" s="1"/>
  <c r="DI52" i="65"/>
  <c r="DH52" i="65"/>
  <c r="DK52" i="65" s="1"/>
  <c r="DL52" i="65" s="1"/>
  <c r="AY52" i="65"/>
  <c r="BM52" i="65" s="1"/>
  <c r="DI51" i="65"/>
  <c r="DH51" i="65"/>
  <c r="DK51" i="65" s="1"/>
  <c r="DL51" i="65" s="1"/>
  <c r="AY51" i="65"/>
  <c r="BH51" i="65" s="1"/>
  <c r="DI50" i="65"/>
  <c r="DH50" i="65"/>
  <c r="DK50" i="65" s="1"/>
  <c r="DL50" i="65" s="1"/>
  <c r="AY50" i="65"/>
  <c r="DJ50" i="65" s="1"/>
  <c r="DI49" i="65"/>
  <c r="DH49" i="65"/>
  <c r="DK49" i="65" s="1"/>
  <c r="DL49" i="65" s="1"/>
  <c r="AY49" i="65"/>
  <c r="DI48" i="65"/>
  <c r="DH48" i="65"/>
  <c r="DK48" i="65" s="1"/>
  <c r="DL48" i="65" s="1"/>
  <c r="AY48" i="65"/>
  <c r="DJ48" i="65" s="1"/>
  <c r="DI47" i="65"/>
  <c r="DH47" i="65"/>
  <c r="DK47" i="65" s="1"/>
  <c r="DL47" i="65" s="1"/>
  <c r="AY47" i="65"/>
  <c r="BK47" i="65" s="1"/>
  <c r="DI46" i="65"/>
  <c r="DH46" i="65"/>
  <c r="AY46" i="65"/>
  <c r="BK46" i="65" s="1"/>
  <c r="DI45" i="65"/>
  <c r="DH45" i="65"/>
  <c r="AY45" i="65"/>
  <c r="BN45" i="65" s="1"/>
  <c r="DI44" i="65"/>
  <c r="DH44" i="65"/>
  <c r="AY44" i="65"/>
  <c r="BJ44" i="65" s="1"/>
  <c r="DI43" i="65"/>
  <c r="DH43" i="65"/>
  <c r="AY43" i="65"/>
  <c r="DI42" i="65"/>
  <c r="DH42" i="65"/>
  <c r="DK42" i="65" s="1"/>
  <c r="DL42" i="65" s="1"/>
  <c r="AY42" i="65"/>
  <c r="DI41" i="65"/>
  <c r="DH41" i="65"/>
  <c r="AY41" i="65"/>
  <c r="BL41" i="65" s="1"/>
  <c r="DI40" i="65"/>
  <c r="DH40" i="65"/>
  <c r="AY40" i="65"/>
  <c r="BK40" i="65" s="1"/>
  <c r="DI39" i="65"/>
  <c r="DH39" i="65"/>
  <c r="DK39" i="65" s="1"/>
  <c r="DL39" i="65" s="1"/>
  <c r="AY39" i="65"/>
  <c r="BH39" i="65" s="1"/>
  <c r="DI38" i="65"/>
  <c r="DH38" i="65"/>
  <c r="AY38" i="65"/>
  <c r="DJ38" i="65" s="1"/>
  <c r="DI37" i="65"/>
  <c r="DH37" i="65"/>
  <c r="AY37" i="65"/>
  <c r="BL37" i="65" s="1"/>
  <c r="DI36" i="65"/>
  <c r="DH36" i="65"/>
  <c r="AY36" i="65"/>
  <c r="DI35" i="65"/>
  <c r="DH35" i="65"/>
  <c r="AY35" i="65"/>
  <c r="BK35" i="65" s="1"/>
  <c r="DI34" i="65"/>
  <c r="DH34" i="65"/>
  <c r="AY34" i="65"/>
  <c r="BN34" i="65" s="1"/>
  <c r="DI33" i="65"/>
  <c r="DH33" i="65"/>
  <c r="AY33" i="65"/>
  <c r="BI33" i="65" s="1"/>
  <c r="DI32" i="65"/>
  <c r="DH32" i="65"/>
  <c r="AY32" i="65"/>
  <c r="BH32" i="65" s="1"/>
  <c r="DI31" i="65"/>
  <c r="DH31" i="65"/>
  <c r="DK31" i="65" s="1"/>
  <c r="DL31" i="65" s="1"/>
  <c r="AY31" i="65"/>
  <c r="DI30" i="65"/>
  <c r="DH30" i="65"/>
  <c r="AY30" i="65"/>
  <c r="DI29" i="65"/>
  <c r="DH29" i="65"/>
  <c r="AY29" i="65"/>
  <c r="BK29" i="65" s="1"/>
  <c r="DI28" i="65"/>
  <c r="DH28" i="65"/>
  <c r="AY28" i="65"/>
  <c r="DJ28" i="65" s="1"/>
  <c r="DI27" i="65"/>
  <c r="DH27" i="65"/>
  <c r="AY27" i="65"/>
  <c r="BI27" i="65" s="1"/>
  <c r="DI26" i="65"/>
  <c r="DH26" i="65"/>
  <c r="AY26" i="65"/>
  <c r="BM26" i="65" s="1"/>
  <c r="DI25" i="65"/>
  <c r="DH25" i="65"/>
  <c r="AY25" i="65"/>
  <c r="BJ25" i="65" s="1"/>
  <c r="DI24" i="65"/>
  <c r="DH24" i="65"/>
  <c r="AY24" i="65"/>
  <c r="DJ24" i="65" s="1"/>
  <c r="DI23" i="65"/>
  <c r="DH23" i="65"/>
  <c r="DK23" i="65" s="1"/>
  <c r="DL23" i="65" s="1"/>
  <c r="AY23" i="65"/>
  <c r="DJ23" i="65" s="1"/>
  <c r="DI22" i="65"/>
  <c r="DH22" i="65"/>
  <c r="DK22" i="65" s="1"/>
  <c r="DL22" i="65" s="1"/>
  <c r="AY22" i="65"/>
  <c r="DJ22" i="65" s="1"/>
  <c r="DI21" i="65"/>
  <c r="DH21" i="65"/>
  <c r="DK21" i="65" s="1"/>
  <c r="DL21" i="65" s="1"/>
  <c r="CH21" i="65"/>
  <c r="AY21" i="65"/>
  <c r="BK21" i="65" s="1"/>
  <c r="DI20" i="65"/>
  <c r="DH20" i="65"/>
  <c r="DK20" i="65" s="1"/>
  <c r="DL20" i="65" s="1"/>
  <c r="CH20" i="65"/>
  <c r="AY20" i="65"/>
  <c r="BK20" i="65" s="1"/>
  <c r="DI19" i="65"/>
  <c r="DH19" i="65"/>
  <c r="DK19" i="65" s="1"/>
  <c r="DL19" i="65" s="1"/>
  <c r="CH19" i="65"/>
  <c r="CI19" i="65" s="1"/>
  <c r="AY19" i="65"/>
  <c r="BI19" i="65" s="1"/>
  <c r="DI18" i="65"/>
  <c r="DH18" i="65"/>
  <c r="DK18" i="65" s="1"/>
  <c r="DL18" i="65" s="1"/>
  <c r="CH18" i="65"/>
  <c r="AY18" i="65"/>
  <c r="X18" i="65"/>
  <c r="DI17" i="65"/>
  <c r="DH17" i="65"/>
  <c r="DK17" i="65" s="1"/>
  <c r="DL17" i="65" s="1"/>
  <c r="CH17" i="65"/>
  <c r="AY17" i="65"/>
  <c r="BM17" i="65" s="1"/>
  <c r="DI16" i="65"/>
  <c r="DH16" i="65"/>
  <c r="DK16" i="65" s="1"/>
  <c r="DL16" i="65" s="1"/>
  <c r="CH16" i="65"/>
  <c r="AY16" i="65"/>
  <c r="BL16" i="65" s="1"/>
  <c r="DI15" i="65"/>
  <c r="DH15" i="65"/>
  <c r="DK15" i="65" s="1"/>
  <c r="DL15" i="65" s="1"/>
  <c r="CK15" i="65"/>
  <c r="CH15" i="65"/>
  <c r="CI15" i="65" s="1"/>
  <c r="AY15" i="65"/>
  <c r="AA15" i="65"/>
  <c r="Z15" i="65"/>
  <c r="Y15" i="65"/>
  <c r="DI14" i="65"/>
  <c r="DH14" i="65"/>
  <c r="DK14" i="65" s="1"/>
  <c r="DL14" i="65" s="1"/>
  <c r="CH14" i="65"/>
  <c r="AY14" i="65"/>
  <c r="BM14" i="65" s="1"/>
  <c r="AH14" i="65"/>
  <c r="DI13" i="65"/>
  <c r="DH13" i="65"/>
  <c r="CK13" i="65"/>
  <c r="CH13" i="65"/>
  <c r="CI13" i="65" s="1"/>
  <c r="AY13" i="65"/>
  <c r="BN13" i="65" s="1"/>
  <c r="AJ13" i="65"/>
  <c r="AH13" i="65"/>
  <c r="AA13" i="65"/>
  <c r="Z13" i="65"/>
  <c r="DI12" i="65"/>
  <c r="DH12" i="65"/>
  <c r="CH12" i="65"/>
  <c r="AY12" i="65"/>
  <c r="BL12" i="65" s="1"/>
  <c r="AJ12" i="65"/>
  <c r="AH12" i="65"/>
  <c r="AA12" i="65"/>
  <c r="Z12" i="65"/>
  <c r="Y12" i="65"/>
  <c r="DI11" i="65"/>
  <c r="DH11" i="65"/>
  <c r="CH11" i="65"/>
  <c r="BO11" i="65"/>
  <c r="BP11" i="65" s="1"/>
  <c r="AY11" i="65"/>
  <c r="DJ11" i="65" s="1"/>
  <c r="AJ11" i="65"/>
  <c r="AH11" i="65"/>
  <c r="AA11" i="65"/>
  <c r="Z11" i="65"/>
  <c r="Y11" i="65"/>
  <c r="DI10" i="65"/>
  <c r="DH10" i="65"/>
  <c r="CQ10" i="65"/>
  <c r="CK10" i="65"/>
  <c r="CH10" i="65"/>
  <c r="CG10" i="65"/>
  <c r="CB10" i="65"/>
  <c r="AY10" i="65"/>
  <c r="BL10" i="65" s="1"/>
  <c r="AJ10" i="65"/>
  <c r="AH10" i="65"/>
  <c r="DI9" i="65"/>
  <c r="DH9" i="65"/>
  <c r="CQ9" i="65"/>
  <c r="CH9" i="65"/>
  <c r="AY9" i="65"/>
  <c r="BH9" i="65" s="1"/>
  <c r="AJ9" i="65"/>
  <c r="AH9" i="65"/>
  <c r="DI8" i="65"/>
  <c r="DH8" i="65"/>
  <c r="CK8" i="65"/>
  <c r="CH8" i="65"/>
  <c r="AY8" i="65"/>
  <c r="BK8" i="65" s="1"/>
  <c r="AJ8" i="65"/>
  <c r="AH8" i="65"/>
  <c r="AA8" i="65"/>
  <c r="Z8" i="65"/>
  <c r="Y8" i="65"/>
  <c r="DI7" i="65"/>
  <c r="DH7" i="65"/>
  <c r="CQ7" i="65"/>
  <c r="CH7" i="65"/>
  <c r="AY7" i="65"/>
  <c r="BJ7" i="65" s="1"/>
  <c r="AJ7" i="65"/>
  <c r="AA7" i="65"/>
  <c r="Z7" i="65"/>
  <c r="Y7" i="65"/>
  <c r="DI6" i="65"/>
  <c r="DH6" i="65"/>
  <c r="CK6" i="65"/>
  <c r="CH6" i="65"/>
  <c r="AY6" i="65"/>
  <c r="BH6" i="65" s="1"/>
  <c r="AJ6" i="65"/>
  <c r="AA6" i="65"/>
  <c r="Z6" i="65"/>
  <c r="Y6" i="65"/>
  <c r="DI5" i="65"/>
  <c r="DH5" i="65"/>
  <c r="CH5" i="65"/>
  <c r="AY5" i="65"/>
  <c r="BM5" i="65" s="1"/>
  <c r="AJ5" i="65"/>
  <c r="AH5" i="65"/>
  <c r="DI4" i="65"/>
  <c r="DH4" i="65"/>
  <c r="CQ4" i="65"/>
  <c r="CQ5" i="65" s="1"/>
  <c r="CH4" i="65"/>
  <c r="AY4" i="65"/>
  <c r="BI4" i="65" s="1"/>
  <c r="AJ4" i="65"/>
  <c r="AH4" i="65"/>
  <c r="AA4" i="65"/>
  <c r="Z4" i="65"/>
  <c r="Y4" i="65"/>
  <c r="A4" i="65"/>
  <c r="A5" i="65" s="1"/>
  <c r="A6" i="65" s="1"/>
  <c r="A7" i="65" s="1"/>
  <c r="A8" i="65" s="1"/>
  <c r="A9" i="65" s="1"/>
  <c r="A10" i="65" s="1"/>
  <c r="A11" i="65" s="1"/>
  <c r="A12" i="65" s="1"/>
  <c r="A13" i="65" s="1"/>
  <c r="DI3" i="65"/>
  <c r="DH3" i="65"/>
  <c r="CH3" i="65"/>
  <c r="AY3" i="65"/>
  <c r="BH3" i="65" s="1"/>
  <c r="AJ3" i="65"/>
  <c r="AH3" i="65"/>
  <c r="AA3" i="65"/>
  <c r="Z3" i="65"/>
  <c r="Y3" i="65"/>
  <c r="BO2" i="65"/>
  <c r="CH2" i="65" s="1"/>
  <c r="BN2" i="65"/>
  <c r="CG2" i="65" s="1"/>
  <c r="BM2" i="65"/>
  <c r="CF2" i="65" s="1"/>
  <c r="BL2" i="65"/>
  <c r="CE2" i="65" s="1"/>
  <c r="BK2" i="65"/>
  <c r="CD2" i="65" s="1"/>
  <c r="BJ2" i="65"/>
  <c r="CC2" i="65" s="1"/>
  <c r="BI2" i="65"/>
  <c r="CB2" i="65" s="1"/>
  <c r="BH2" i="65"/>
  <c r="CA2" i="65" s="1"/>
  <c r="CV1" i="65"/>
  <c r="CU1" i="65"/>
  <c r="D1" i="64"/>
  <c r="E17" i="63"/>
  <c r="D18" i="63" s="1"/>
  <c r="D14" i="63"/>
  <c r="D11" i="63"/>
  <c r="B3" i="63"/>
  <c r="B4" i="63" s="1"/>
  <c r="L40" i="62"/>
  <c r="F40" i="62"/>
  <c r="A38" i="62"/>
  <c r="L37" i="62"/>
  <c r="F37" i="62"/>
  <c r="L32" i="62"/>
  <c r="F32" i="62"/>
  <c r="A30" i="62"/>
  <c r="H27" i="62"/>
  <c r="I27" i="62" s="1"/>
  <c r="H26" i="62"/>
  <c r="I26" i="62" s="1"/>
  <c r="H25" i="62"/>
  <c r="I25" i="62" s="1"/>
  <c r="F25" i="62"/>
  <c r="A24" i="62"/>
  <c r="H20" i="62"/>
  <c r="I20" i="62" s="1"/>
  <c r="H19" i="62"/>
  <c r="I19" i="62" s="1"/>
  <c r="H18" i="62"/>
  <c r="I18" i="62" s="1"/>
  <c r="F18" i="62"/>
  <c r="A17" i="62"/>
  <c r="H13" i="62"/>
  <c r="I13" i="62" s="1"/>
  <c r="H12" i="62"/>
  <c r="I12" i="62" s="1"/>
  <c r="H11" i="62"/>
  <c r="I11" i="62" s="1"/>
  <c r="F10" i="62"/>
  <c r="A10" i="62"/>
  <c r="B2" i="62"/>
  <c r="A2" i="62"/>
  <c r="D1" i="62"/>
  <c r="P654" i="61"/>
  <c r="M654" i="61"/>
  <c r="P653" i="61"/>
  <c r="M653" i="61"/>
  <c r="P652" i="61"/>
  <c r="M652" i="61"/>
  <c r="P651" i="61"/>
  <c r="M651" i="61"/>
  <c r="P650" i="61"/>
  <c r="M650" i="61"/>
  <c r="P649" i="61"/>
  <c r="M649" i="61"/>
  <c r="P648" i="61"/>
  <c r="M648" i="61"/>
  <c r="P647" i="61"/>
  <c r="M647" i="61"/>
  <c r="P646" i="61"/>
  <c r="M646" i="61"/>
  <c r="P645" i="61"/>
  <c r="M645" i="61"/>
  <c r="P644" i="61"/>
  <c r="M644" i="61"/>
  <c r="P643" i="61"/>
  <c r="M643" i="61"/>
  <c r="P642" i="61"/>
  <c r="M642" i="61"/>
  <c r="P641" i="61"/>
  <c r="M641" i="61"/>
  <c r="P640" i="61"/>
  <c r="M640" i="61"/>
  <c r="P639" i="61"/>
  <c r="M639" i="61"/>
  <c r="P638" i="61"/>
  <c r="M638" i="61"/>
  <c r="P637" i="61"/>
  <c r="M637" i="61"/>
  <c r="P636" i="61"/>
  <c r="M636" i="61"/>
  <c r="P635" i="61"/>
  <c r="M635" i="61"/>
  <c r="P634" i="61"/>
  <c r="M634" i="61"/>
  <c r="P633" i="61"/>
  <c r="M633" i="61"/>
  <c r="P632" i="61"/>
  <c r="M632" i="61"/>
  <c r="P631" i="61"/>
  <c r="M631" i="61"/>
  <c r="P630" i="61"/>
  <c r="M630" i="61"/>
  <c r="P629" i="61"/>
  <c r="M629" i="61"/>
  <c r="P628" i="61"/>
  <c r="M628" i="61"/>
  <c r="P627" i="61"/>
  <c r="M627" i="61"/>
  <c r="P626" i="61"/>
  <c r="M626" i="61"/>
  <c r="P625" i="61"/>
  <c r="M625" i="61"/>
  <c r="P624" i="61"/>
  <c r="M624" i="61"/>
  <c r="P623" i="61"/>
  <c r="M623" i="61"/>
  <c r="P622" i="61"/>
  <c r="M622" i="61"/>
  <c r="P621" i="61"/>
  <c r="M621" i="61"/>
  <c r="P620" i="61"/>
  <c r="M620" i="61"/>
  <c r="P619" i="61"/>
  <c r="M619" i="61"/>
  <c r="P618" i="61"/>
  <c r="M618" i="61"/>
  <c r="P617" i="61"/>
  <c r="M617" i="61"/>
  <c r="P616" i="61"/>
  <c r="M616" i="61"/>
  <c r="P615" i="61"/>
  <c r="M615" i="61"/>
  <c r="P614" i="61"/>
  <c r="M614" i="61"/>
  <c r="P613" i="61"/>
  <c r="M613" i="61"/>
  <c r="P612" i="61"/>
  <c r="M612" i="61"/>
  <c r="P611" i="61"/>
  <c r="M611" i="61"/>
  <c r="P610" i="61"/>
  <c r="M610" i="61"/>
  <c r="P609" i="61"/>
  <c r="M609" i="61"/>
  <c r="P608" i="61"/>
  <c r="M608" i="61"/>
  <c r="P607" i="61"/>
  <c r="M607" i="61"/>
  <c r="P606" i="61"/>
  <c r="M606" i="61"/>
  <c r="P605" i="61"/>
  <c r="M605" i="61"/>
  <c r="P604" i="61"/>
  <c r="M604" i="61"/>
  <c r="P603" i="61"/>
  <c r="M603" i="61"/>
  <c r="P602" i="61"/>
  <c r="M602" i="61"/>
  <c r="P601" i="61"/>
  <c r="M601" i="61"/>
  <c r="P600" i="61"/>
  <c r="M600" i="61"/>
  <c r="P599" i="61"/>
  <c r="M599" i="61"/>
  <c r="P598" i="61"/>
  <c r="M598" i="61"/>
  <c r="P597" i="61"/>
  <c r="M597" i="61"/>
  <c r="P596" i="61"/>
  <c r="M596" i="61"/>
  <c r="P595" i="61"/>
  <c r="M595" i="61"/>
  <c r="P594" i="61"/>
  <c r="M594" i="61"/>
  <c r="P593" i="61"/>
  <c r="M593" i="61"/>
  <c r="P592" i="61"/>
  <c r="M592" i="61"/>
  <c r="P591" i="61"/>
  <c r="M591" i="61"/>
  <c r="P590" i="61"/>
  <c r="M590" i="61"/>
  <c r="P589" i="61"/>
  <c r="M589" i="61"/>
  <c r="P588" i="61"/>
  <c r="M588" i="61"/>
  <c r="P587" i="61"/>
  <c r="M587" i="61"/>
  <c r="P586" i="61"/>
  <c r="M586" i="61"/>
  <c r="P585" i="61"/>
  <c r="M585" i="61"/>
  <c r="P584" i="61"/>
  <c r="M584" i="61"/>
  <c r="P583" i="61"/>
  <c r="M583" i="61"/>
  <c r="P582" i="61"/>
  <c r="M582" i="61"/>
  <c r="P581" i="61"/>
  <c r="M581" i="61"/>
  <c r="P580" i="61"/>
  <c r="M580" i="61"/>
  <c r="P579" i="61"/>
  <c r="M579" i="61"/>
  <c r="P578" i="61"/>
  <c r="M578" i="61"/>
  <c r="P577" i="61"/>
  <c r="M577" i="61"/>
  <c r="P576" i="61"/>
  <c r="M576" i="61"/>
  <c r="P575" i="61"/>
  <c r="M575" i="61"/>
  <c r="P574" i="61"/>
  <c r="M574" i="61"/>
  <c r="P573" i="61"/>
  <c r="M573" i="61"/>
  <c r="P572" i="61"/>
  <c r="M572" i="61"/>
  <c r="P571" i="61"/>
  <c r="M571" i="61"/>
  <c r="P570" i="61"/>
  <c r="M570" i="61"/>
  <c r="P569" i="61"/>
  <c r="M569" i="61"/>
  <c r="P568" i="61"/>
  <c r="M568" i="61"/>
  <c r="P567" i="61"/>
  <c r="M567" i="61"/>
  <c r="P566" i="61"/>
  <c r="M566" i="61"/>
  <c r="P565" i="61"/>
  <c r="M565" i="61"/>
  <c r="P564" i="61"/>
  <c r="M564" i="61"/>
  <c r="P563" i="61"/>
  <c r="M563" i="61"/>
  <c r="P562" i="61"/>
  <c r="M562" i="61"/>
  <c r="P561" i="61"/>
  <c r="M561" i="61"/>
  <c r="P560" i="61"/>
  <c r="M560" i="61"/>
  <c r="P559" i="61"/>
  <c r="M559" i="61"/>
  <c r="P558" i="61"/>
  <c r="M558" i="61"/>
  <c r="P557" i="61"/>
  <c r="M557" i="61"/>
  <c r="P556" i="61"/>
  <c r="M556" i="61"/>
  <c r="P555" i="61"/>
  <c r="M555" i="61"/>
  <c r="P554" i="61"/>
  <c r="M554" i="61"/>
  <c r="P553" i="61"/>
  <c r="M553" i="61"/>
  <c r="P552" i="61"/>
  <c r="M552" i="61"/>
  <c r="P551" i="61"/>
  <c r="M551" i="61"/>
  <c r="P550" i="61"/>
  <c r="M550" i="61"/>
  <c r="P549" i="61"/>
  <c r="M549" i="61"/>
  <c r="P548" i="61"/>
  <c r="M548" i="61"/>
  <c r="P547" i="61"/>
  <c r="M547" i="61"/>
  <c r="P546" i="61"/>
  <c r="M546" i="61"/>
  <c r="P545" i="61"/>
  <c r="M545" i="61"/>
  <c r="P544" i="61"/>
  <c r="M544" i="61"/>
  <c r="P543" i="61"/>
  <c r="M543" i="61"/>
  <c r="P542" i="61"/>
  <c r="M542" i="61"/>
  <c r="P541" i="61"/>
  <c r="M541" i="61"/>
  <c r="P540" i="61"/>
  <c r="M540" i="61"/>
  <c r="P539" i="61"/>
  <c r="M539" i="61"/>
  <c r="P538" i="61"/>
  <c r="M538" i="61"/>
  <c r="P537" i="61"/>
  <c r="M537" i="61"/>
  <c r="P536" i="61"/>
  <c r="M536" i="61"/>
  <c r="P535" i="61"/>
  <c r="M535" i="61"/>
  <c r="P534" i="61"/>
  <c r="M534" i="61"/>
  <c r="P533" i="61"/>
  <c r="M533" i="61"/>
  <c r="P532" i="61"/>
  <c r="M532" i="61"/>
  <c r="P531" i="61"/>
  <c r="M531" i="61"/>
  <c r="P530" i="61"/>
  <c r="M530" i="61"/>
  <c r="P529" i="61"/>
  <c r="M529" i="61"/>
  <c r="P528" i="61"/>
  <c r="M528" i="61"/>
  <c r="P527" i="61"/>
  <c r="M527" i="61"/>
  <c r="P526" i="61"/>
  <c r="M526" i="61"/>
  <c r="P525" i="61"/>
  <c r="M525" i="61"/>
  <c r="P524" i="61"/>
  <c r="M524" i="61"/>
  <c r="P523" i="61"/>
  <c r="M523" i="61"/>
  <c r="P522" i="61"/>
  <c r="M522" i="61"/>
  <c r="P521" i="61"/>
  <c r="M521" i="61"/>
  <c r="P520" i="61"/>
  <c r="M520" i="61"/>
  <c r="P519" i="61"/>
  <c r="M519" i="61"/>
  <c r="P518" i="61"/>
  <c r="M518" i="61"/>
  <c r="P517" i="61"/>
  <c r="M517" i="61"/>
  <c r="P516" i="61"/>
  <c r="M516" i="61"/>
  <c r="P515" i="61"/>
  <c r="M515" i="61"/>
  <c r="P514" i="61"/>
  <c r="M514" i="61"/>
  <c r="P513" i="61"/>
  <c r="M513" i="61"/>
  <c r="P512" i="61"/>
  <c r="M512" i="61"/>
  <c r="P511" i="61"/>
  <c r="M511" i="61"/>
  <c r="P510" i="61"/>
  <c r="M510" i="61"/>
  <c r="P509" i="61"/>
  <c r="M509" i="61"/>
  <c r="P508" i="61"/>
  <c r="M508" i="61"/>
  <c r="P507" i="61"/>
  <c r="M507" i="61"/>
  <c r="P506" i="61"/>
  <c r="M506" i="61"/>
  <c r="P505" i="61"/>
  <c r="M505" i="61"/>
  <c r="P504" i="61"/>
  <c r="M504" i="61"/>
  <c r="P503" i="61"/>
  <c r="M503" i="61"/>
  <c r="P502" i="61"/>
  <c r="M502" i="61"/>
  <c r="P501" i="61"/>
  <c r="M501" i="61"/>
  <c r="P500" i="61"/>
  <c r="M500" i="61"/>
  <c r="P499" i="61"/>
  <c r="M499" i="61"/>
  <c r="P498" i="61"/>
  <c r="M498" i="61"/>
  <c r="P497" i="61"/>
  <c r="M497" i="61"/>
  <c r="P496" i="61"/>
  <c r="M496" i="61"/>
  <c r="P495" i="61"/>
  <c r="M495" i="61"/>
  <c r="P494" i="61"/>
  <c r="M494" i="61"/>
  <c r="P493" i="61"/>
  <c r="M493" i="61"/>
  <c r="P492" i="61"/>
  <c r="M492" i="61"/>
  <c r="P491" i="61"/>
  <c r="M491" i="61"/>
  <c r="P490" i="61"/>
  <c r="M490" i="61"/>
  <c r="P489" i="61"/>
  <c r="M489" i="61"/>
  <c r="P488" i="61"/>
  <c r="M488" i="61"/>
  <c r="P487" i="61"/>
  <c r="M487" i="61"/>
  <c r="P486" i="61"/>
  <c r="M486" i="61"/>
  <c r="P485" i="61"/>
  <c r="M485" i="61"/>
  <c r="P484" i="61"/>
  <c r="M484" i="61"/>
  <c r="P483" i="61"/>
  <c r="M483" i="61"/>
  <c r="P482" i="61"/>
  <c r="M482" i="61"/>
  <c r="P481" i="61"/>
  <c r="M481" i="61"/>
  <c r="P480" i="61"/>
  <c r="M480" i="61"/>
  <c r="P479" i="61"/>
  <c r="M479" i="61"/>
  <c r="P478" i="61"/>
  <c r="M478" i="61"/>
  <c r="P477" i="61"/>
  <c r="M477" i="61"/>
  <c r="P476" i="61"/>
  <c r="M476" i="61"/>
  <c r="P475" i="61"/>
  <c r="M475" i="61"/>
  <c r="P474" i="61"/>
  <c r="M474" i="61"/>
  <c r="P473" i="61"/>
  <c r="M473" i="61"/>
  <c r="P472" i="61"/>
  <c r="M472" i="61"/>
  <c r="P471" i="61"/>
  <c r="M471" i="61"/>
  <c r="P470" i="61"/>
  <c r="M470" i="61"/>
  <c r="P469" i="61"/>
  <c r="M469" i="61"/>
  <c r="P468" i="61"/>
  <c r="M468" i="61"/>
  <c r="P467" i="61"/>
  <c r="M467" i="61"/>
  <c r="P466" i="61"/>
  <c r="M466" i="61"/>
  <c r="P465" i="61"/>
  <c r="M465" i="61"/>
  <c r="P464" i="61"/>
  <c r="M464" i="61"/>
  <c r="P463" i="61"/>
  <c r="M463" i="61"/>
  <c r="P462" i="61"/>
  <c r="M462" i="61"/>
  <c r="P461" i="61"/>
  <c r="M461" i="61"/>
  <c r="P460" i="61"/>
  <c r="M460" i="61"/>
  <c r="P459" i="61"/>
  <c r="M459" i="61"/>
  <c r="P458" i="61"/>
  <c r="M458" i="61"/>
  <c r="P457" i="61"/>
  <c r="M457" i="61"/>
  <c r="P456" i="61"/>
  <c r="M456" i="61"/>
  <c r="P455" i="61"/>
  <c r="M455" i="61"/>
  <c r="P454" i="61"/>
  <c r="M454" i="61"/>
  <c r="P453" i="61"/>
  <c r="M453" i="61"/>
  <c r="P452" i="61"/>
  <c r="M452" i="61"/>
  <c r="P451" i="61"/>
  <c r="M451" i="61"/>
  <c r="P450" i="61"/>
  <c r="M450" i="61"/>
  <c r="P449" i="61"/>
  <c r="M449" i="61"/>
  <c r="P448" i="61"/>
  <c r="M448" i="61"/>
  <c r="P447" i="61"/>
  <c r="M447" i="61"/>
  <c r="P446" i="61"/>
  <c r="M446" i="61"/>
  <c r="P445" i="61"/>
  <c r="M445" i="61"/>
  <c r="P444" i="61"/>
  <c r="M444" i="61"/>
  <c r="P443" i="61"/>
  <c r="M443" i="61"/>
  <c r="P442" i="61"/>
  <c r="M442" i="61"/>
  <c r="P441" i="61"/>
  <c r="M441" i="61"/>
  <c r="P440" i="61"/>
  <c r="M440" i="61"/>
  <c r="P439" i="61"/>
  <c r="M439" i="61"/>
  <c r="P438" i="61"/>
  <c r="M438" i="61"/>
  <c r="P437" i="61"/>
  <c r="M437" i="61"/>
  <c r="P436" i="61"/>
  <c r="M436" i="61"/>
  <c r="P435" i="61"/>
  <c r="M435" i="61"/>
  <c r="P434" i="61"/>
  <c r="M434" i="61"/>
  <c r="P433" i="61"/>
  <c r="M433" i="61"/>
  <c r="P432" i="61"/>
  <c r="M432" i="61"/>
  <c r="P431" i="61"/>
  <c r="M431" i="61"/>
  <c r="P430" i="61"/>
  <c r="M430" i="61"/>
  <c r="P429" i="61"/>
  <c r="M429" i="61"/>
  <c r="P428" i="61"/>
  <c r="M428" i="61"/>
  <c r="P427" i="61"/>
  <c r="M427" i="61"/>
  <c r="P426" i="61"/>
  <c r="M426" i="61"/>
  <c r="P425" i="61"/>
  <c r="M425" i="61"/>
  <c r="P424" i="61"/>
  <c r="M424" i="61"/>
  <c r="P423" i="61"/>
  <c r="M423" i="61"/>
  <c r="P422" i="61"/>
  <c r="M422" i="61"/>
  <c r="P421" i="61"/>
  <c r="M421" i="61"/>
  <c r="P420" i="61"/>
  <c r="M420" i="61"/>
  <c r="P419" i="61"/>
  <c r="M419" i="61"/>
  <c r="P418" i="61"/>
  <c r="M418" i="61"/>
  <c r="P417" i="61"/>
  <c r="M417" i="61"/>
  <c r="P416" i="61"/>
  <c r="M416" i="61"/>
  <c r="P415" i="61"/>
  <c r="M415" i="61"/>
  <c r="P414" i="61"/>
  <c r="M414" i="61"/>
  <c r="P413" i="61"/>
  <c r="M413" i="61"/>
  <c r="P412" i="61"/>
  <c r="M412" i="61"/>
  <c r="P411" i="61"/>
  <c r="M411" i="61"/>
  <c r="P410" i="61"/>
  <c r="M410" i="61"/>
  <c r="P409" i="61"/>
  <c r="M409" i="61"/>
  <c r="P408" i="61"/>
  <c r="M408" i="61"/>
  <c r="P407" i="61"/>
  <c r="M407" i="61"/>
  <c r="P406" i="61"/>
  <c r="M406" i="61"/>
  <c r="P405" i="61"/>
  <c r="M405" i="61"/>
  <c r="P404" i="61"/>
  <c r="M404" i="61"/>
  <c r="P403" i="61"/>
  <c r="M403" i="61"/>
  <c r="P402" i="61"/>
  <c r="M402" i="61"/>
  <c r="P401" i="61"/>
  <c r="M401" i="61"/>
  <c r="P400" i="61"/>
  <c r="M400" i="61"/>
  <c r="P399" i="61"/>
  <c r="M399" i="61"/>
  <c r="P398" i="61"/>
  <c r="M398" i="61"/>
  <c r="P397" i="61"/>
  <c r="M397" i="61"/>
  <c r="P396" i="61"/>
  <c r="M396" i="61"/>
  <c r="P395" i="61"/>
  <c r="M395" i="61"/>
  <c r="P394" i="61"/>
  <c r="M394" i="61"/>
  <c r="P393" i="61"/>
  <c r="M393" i="61"/>
  <c r="P392" i="61"/>
  <c r="M392" i="61"/>
  <c r="P391" i="61"/>
  <c r="M391" i="61"/>
  <c r="P390" i="61"/>
  <c r="M390" i="61"/>
  <c r="P389" i="61"/>
  <c r="M389" i="61"/>
  <c r="P388" i="61"/>
  <c r="M388" i="61"/>
  <c r="P387" i="61"/>
  <c r="M387" i="61"/>
  <c r="P386" i="61"/>
  <c r="M386" i="61"/>
  <c r="P385" i="61"/>
  <c r="M385" i="61"/>
  <c r="P384" i="61"/>
  <c r="M384" i="61"/>
  <c r="P383" i="61"/>
  <c r="M383" i="61"/>
  <c r="P382" i="61"/>
  <c r="M382" i="61"/>
  <c r="P381" i="61"/>
  <c r="M381" i="61"/>
  <c r="P380" i="61"/>
  <c r="M380" i="61"/>
  <c r="P379" i="61"/>
  <c r="M379" i="61"/>
  <c r="P378" i="61"/>
  <c r="M378" i="61"/>
  <c r="P377" i="61"/>
  <c r="M377" i="61"/>
  <c r="P376" i="61"/>
  <c r="M376" i="61"/>
  <c r="P375" i="61"/>
  <c r="M375" i="61"/>
  <c r="P374" i="61"/>
  <c r="M374" i="61"/>
  <c r="P373" i="61"/>
  <c r="M373" i="61"/>
  <c r="P372" i="61"/>
  <c r="M372" i="61"/>
  <c r="P371" i="61"/>
  <c r="M371" i="61"/>
  <c r="P370" i="61"/>
  <c r="M370" i="61"/>
  <c r="P369" i="61"/>
  <c r="M369" i="61"/>
  <c r="P368" i="61"/>
  <c r="M368" i="61"/>
  <c r="P367" i="61"/>
  <c r="M367" i="61"/>
  <c r="P366" i="61"/>
  <c r="M366" i="61"/>
  <c r="P365" i="61"/>
  <c r="M365" i="61"/>
  <c r="P364" i="61"/>
  <c r="M364" i="61"/>
  <c r="P363" i="61"/>
  <c r="M363" i="61"/>
  <c r="P362" i="61"/>
  <c r="M362" i="61"/>
  <c r="P361" i="61"/>
  <c r="M361" i="61"/>
  <c r="P360" i="61"/>
  <c r="M360" i="61"/>
  <c r="P359" i="61"/>
  <c r="M359" i="61"/>
  <c r="P358" i="61"/>
  <c r="M358" i="61"/>
  <c r="P357" i="61"/>
  <c r="M357" i="61"/>
  <c r="P356" i="61"/>
  <c r="M356" i="61"/>
  <c r="P355" i="61"/>
  <c r="M355" i="61"/>
  <c r="P354" i="61"/>
  <c r="M354" i="61"/>
  <c r="P353" i="61"/>
  <c r="M353" i="61"/>
  <c r="P352" i="61"/>
  <c r="M352" i="61"/>
  <c r="P351" i="61"/>
  <c r="M351" i="61"/>
  <c r="P350" i="61"/>
  <c r="M350" i="61"/>
  <c r="P349" i="61"/>
  <c r="M349" i="61"/>
  <c r="P348" i="61"/>
  <c r="M348" i="61"/>
  <c r="P347" i="61"/>
  <c r="M347" i="61"/>
  <c r="P346" i="61"/>
  <c r="M346" i="61"/>
  <c r="P345" i="61"/>
  <c r="M345" i="61"/>
  <c r="P344" i="61"/>
  <c r="M344" i="61"/>
  <c r="P343" i="61"/>
  <c r="M343" i="61"/>
  <c r="P342" i="61"/>
  <c r="M342" i="61"/>
  <c r="P341" i="61"/>
  <c r="M341" i="61"/>
  <c r="P340" i="61"/>
  <c r="M340" i="61"/>
  <c r="P339" i="61"/>
  <c r="M339" i="61"/>
  <c r="P338" i="61"/>
  <c r="M338" i="61"/>
  <c r="P337" i="61"/>
  <c r="M337" i="61"/>
  <c r="P336" i="61"/>
  <c r="M336" i="61"/>
  <c r="P335" i="61"/>
  <c r="M335" i="61"/>
  <c r="P334" i="61"/>
  <c r="M334" i="61"/>
  <c r="P333" i="61"/>
  <c r="M333" i="61"/>
  <c r="P332" i="61"/>
  <c r="M332" i="61"/>
  <c r="P331" i="61"/>
  <c r="M331" i="61"/>
  <c r="P330" i="61"/>
  <c r="M330" i="61"/>
  <c r="P329" i="61"/>
  <c r="M329" i="61"/>
  <c r="P328" i="61"/>
  <c r="M328" i="61"/>
  <c r="P327" i="61"/>
  <c r="M327" i="61"/>
  <c r="P326" i="61"/>
  <c r="M326" i="61"/>
  <c r="P325" i="61"/>
  <c r="M325" i="61"/>
  <c r="P324" i="61"/>
  <c r="M324" i="61"/>
  <c r="P323" i="61"/>
  <c r="M323" i="61"/>
  <c r="P322" i="61"/>
  <c r="M322" i="61"/>
  <c r="P321" i="61"/>
  <c r="M321" i="61"/>
  <c r="P320" i="61"/>
  <c r="M320" i="61"/>
  <c r="P319" i="61"/>
  <c r="M319" i="61"/>
  <c r="P318" i="61"/>
  <c r="M318" i="61"/>
  <c r="P317" i="61"/>
  <c r="M317" i="61"/>
  <c r="P316" i="61"/>
  <c r="M316" i="61"/>
  <c r="P315" i="61"/>
  <c r="M315" i="61"/>
  <c r="P314" i="61"/>
  <c r="M314" i="61"/>
  <c r="P313" i="61"/>
  <c r="M313" i="61"/>
  <c r="P312" i="61"/>
  <c r="M312" i="61"/>
  <c r="P311" i="61"/>
  <c r="M311" i="61"/>
  <c r="P310" i="61"/>
  <c r="M310" i="61"/>
  <c r="P309" i="61"/>
  <c r="M309" i="61"/>
  <c r="P308" i="61"/>
  <c r="M308" i="61"/>
  <c r="P307" i="61"/>
  <c r="M307" i="61"/>
  <c r="P306" i="61"/>
  <c r="M306" i="61"/>
  <c r="P305" i="61"/>
  <c r="M305" i="61"/>
  <c r="P304" i="61"/>
  <c r="M304" i="61"/>
  <c r="P303" i="61"/>
  <c r="M303" i="61"/>
  <c r="P302" i="61"/>
  <c r="M302" i="61"/>
  <c r="P301" i="61"/>
  <c r="M301" i="61"/>
  <c r="P300" i="61"/>
  <c r="M300" i="61"/>
  <c r="P299" i="61"/>
  <c r="M299" i="61"/>
  <c r="P298" i="61"/>
  <c r="M298" i="61"/>
  <c r="P297" i="61"/>
  <c r="M297" i="61"/>
  <c r="P296" i="61"/>
  <c r="M296" i="61"/>
  <c r="P295" i="61"/>
  <c r="M295" i="61"/>
  <c r="P294" i="61"/>
  <c r="M294" i="61"/>
  <c r="P293" i="61"/>
  <c r="M293" i="61"/>
  <c r="P292" i="61"/>
  <c r="M292" i="61"/>
  <c r="P291" i="61"/>
  <c r="M291" i="61"/>
  <c r="P290" i="61"/>
  <c r="M290" i="61"/>
  <c r="P289" i="61"/>
  <c r="M289" i="61"/>
  <c r="P288" i="61"/>
  <c r="M288" i="61"/>
  <c r="P287" i="61"/>
  <c r="M287" i="61"/>
  <c r="P286" i="61"/>
  <c r="M286" i="61"/>
  <c r="P285" i="61"/>
  <c r="M285" i="61"/>
  <c r="P284" i="61"/>
  <c r="M284" i="61"/>
  <c r="P283" i="61"/>
  <c r="M283" i="61"/>
  <c r="P282" i="61"/>
  <c r="M282" i="61"/>
  <c r="P281" i="61"/>
  <c r="M281" i="61"/>
  <c r="P280" i="61"/>
  <c r="M280" i="61"/>
  <c r="P279" i="61"/>
  <c r="M279" i="61"/>
  <c r="P278" i="61"/>
  <c r="M278" i="61"/>
  <c r="P277" i="61"/>
  <c r="M277" i="61"/>
  <c r="P276" i="61"/>
  <c r="M276" i="61"/>
  <c r="P275" i="61"/>
  <c r="M275" i="61"/>
  <c r="P274" i="61"/>
  <c r="M274" i="61"/>
  <c r="P273" i="61"/>
  <c r="M273" i="61"/>
  <c r="P272" i="61"/>
  <c r="M272" i="61"/>
  <c r="P271" i="61"/>
  <c r="M271" i="61"/>
  <c r="P270" i="61"/>
  <c r="M270" i="61"/>
  <c r="P269" i="61"/>
  <c r="M269" i="61"/>
  <c r="P268" i="61"/>
  <c r="M268" i="61"/>
  <c r="P267" i="61"/>
  <c r="M267" i="61"/>
  <c r="P266" i="61"/>
  <c r="M266" i="61"/>
  <c r="P265" i="61"/>
  <c r="M265" i="61"/>
  <c r="P264" i="61"/>
  <c r="M264" i="61"/>
  <c r="P263" i="61"/>
  <c r="M263" i="61"/>
  <c r="P262" i="61"/>
  <c r="M262" i="61"/>
  <c r="P261" i="61"/>
  <c r="M261" i="61"/>
  <c r="P260" i="61"/>
  <c r="M260" i="61"/>
  <c r="P259" i="61"/>
  <c r="M259" i="61"/>
  <c r="P258" i="61"/>
  <c r="M258" i="61"/>
  <c r="P257" i="61"/>
  <c r="M257" i="61"/>
  <c r="P256" i="61"/>
  <c r="M256" i="61"/>
  <c r="P255" i="61"/>
  <c r="M255" i="61"/>
  <c r="P254" i="61"/>
  <c r="M254" i="61"/>
  <c r="P253" i="61"/>
  <c r="M253" i="61"/>
  <c r="P252" i="61"/>
  <c r="M252" i="61"/>
  <c r="P251" i="61"/>
  <c r="M251" i="61"/>
  <c r="P250" i="61"/>
  <c r="M250" i="61"/>
  <c r="P249" i="61"/>
  <c r="M249" i="61"/>
  <c r="P248" i="61"/>
  <c r="M248" i="61"/>
  <c r="P247" i="61"/>
  <c r="M247" i="61"/>
  <c r="P246" i="61"/>
  <c r="M246" i="61"/>
  <c r="P245" i="61"/>
  <c r="M245" i="61"/>
  <c r="P244" i="61"/>
  <c r="M244" i="61"/>
  <c r="P243" i="61"/>
  <c r="M243" i="61"/>
  <c r="P242" i="61"/>
  <c r="M242" i="61"/>
  <c r="P241" i="61"/>
  <c r="M241" i="61"/>
  <c r="P240" i="61"/>
  <c r="M240" i="61"/>
  <c r="P239" i="61"/>
  <c r="M239" i="61"/>
  <c r="P238" i="61"/>
  <c r="M238" i="61"/>
  <c r="P237" i="61"/>
  <c r="M237" i="61"/>
  <c r="P236" i="61"/>
  <c r="M236" i="61"/>
  <c r="P235" i="61"/>
  <c r="M235" i="61"/>
  <c r="P234" i="61"/>
  <c r="M234" i="61"/>
  <c r="P233" i="61"/>
  <c r="M233" i="61"/>
  <c r="P232" i="61"/>
  <c r="M232" i="61"/>
  <c r="P231" i="61"/>
  <c r="M231" i="61"/>
  <c r="P230" i="61"/>
  <c r="M230" i="61"/>
  <c r="P229" i="61"/>
  <c r="M229" i="61"/>
  <c r="P228" i="61"/>
  <c r="M228" i="61"/>
  <c r="P227" i="61"/>
  <c r="M227" i="61"/>
  <c r="P226" i="61"/>
  <c r="M226" i="61"/>
  <c r="P225" i="61"/>
  <c r="M225" i="61"/>
  <c r="P224" i="61"/>
  <c r="M224" i="61"/>
  <c r="P223" i="61"/>
  <c r="M223" i="61"/>
  <c r="P222" i="61"/>
  <c r="M222" i="61"/>
  <c r="P221" i="61"/>
  <c r="M221" i="61"/>
  <c r="P220" i="61"/>
  <c r="M220" i="61"/>
  <c r="P219" i="61"/>
  <c r="M219" i="61"/>
  <c r="P218" i="61"/>
  <c r="M218" i="61"/>
  <c r="P217" i="61"/>
  <c r="M217" i="61"/>
  <c r="P216" i="61"/>
  <c r="M216" i="61"/>
  <c r="P215" i="61"/>
  <c r="M215" i="61"/>
  <c r="P214" i="61"/>
  <c r="M214" i="61"/>
  <c r="P213" i="61"/>
  <c r="M213" i="61"/>
  <c r="P212" i="61"/>
  <c r="M212" i="61"/>
  <c r="P211" i="61"/>
  <c r="M211" i="61"/>
  <c r="P210" i="61"/>
  <c r="M210" i="61"/>
  <c r="P209" i="61"/>
  <c r="M209" i="61"/>
  <c r="P208" i="61"/>
  <c r="M208" i="61"/>
  <c r="P207" i="61"/>
  <c r="M207" i="61"/>
  <c r="P206" i="61"/>
  <c r="M206" i="61"/>
  <c r="P205" i="61"/>
  <c r="M205" i="61"/>
  <c r="P204" i="61"/>
  <c r="M204" i="61"/>
  <c r="P203" i="61"/>
  <c r="M203" i="61"/>
  <c r="P202" i="61"/>
  <c r="M202" i="61"/>
  <c r="P201" i="61"/>
  <c r="M201" i="61"/>
  <c r="P200" i="61"/>
  <c r="M200" i="61"/>
  <c r="P199" i="61"/>
  <c r="M199" i="61"/>
  <c r="P198" i="61"/>
  <c r="M198" i="61"/>
  <c r="P197" i="61"/>
  <c r="M197" i="61"/>
  <c r="P196" i="61"/>
  <c r="M196" i="61"/>
  <c r="P195" i="61"/>
  <c r="M195" i="61"/>
  <c r="P194" i="61"/>
  <c r="M194" i="61"/>
  <c r="P193" i="61"/>
  <c r="M193" i="61"/>
  <c r="P192" i="61"/>
  <c r="M192" i="61"/>
  <c r="P191" i="61"/>
  <c r="M191" i="61"/>
  <c r="P190" i="61"/>
  <c r="M190" i="61"/>
  <c r="P189" i="61"/>
  <c r="M189" i="61"/>
  <c r="P188" i="61"/>
  <c r="M188" i="61"/>
  <c r="P187" i="61"/>
  <c r="M187" i="61"/>
  <c r="P186" i="61"/>
  <c r="M186" i="61"/>
  <c r="P185" i="61"/>
  <c r="M185" i="61"/>
  <c r="P184" i="61"/>
  <c r="M184" i="61"/>
  <c r="P183" i="61"/>
  <c r="M183" i="61"/>
  <c r="P182" i="61"/>
  <c r="M182" i="61"/>
  <c r="P181" i="61"/>
  <c r="M181" i="61"/>
  <c r="P180" i="61"/>
  <c r="M180" i="61"/>
  <c r="P179" i="61"/>
  <c r="M179" i="61"/>
  <c r="P178" i="61"/>
  <c r="M178" i="61"/>
  <c r="P177" i="61"/>
  <c r="M177" i="61"/>
  <c r="P176" i="61"/>
  <c r="M176" i="61"/>
  <c r="P175" i="61"/>
  <c r="M175" i="61"/>
  <c r="P174" i="61"/>
  <c r="M174" i="61"/>
  <c r="P173" i="61"/>
  <c r="M173" i="61"/>
  <c r="P172" i="61"/>
  <c r="M172" i="61"/>
  <c r="P171" i="61"/>
  <c r="M171" i="61"/>
  <c r="P170" i="61"/>
  <c r="M170" i="61"/>
  <c r="P169" i="61"/>
  <c r="M169" i="61"/>
  <c r="P168" i="61"/>
  <c r="M168" i="61"/>
  <c r="P167" i="61"/>
  <c r="M167" i="61"/>
  <c r="P166" i="61"/>
  <c r="M166" i="61"/>
  <c r="P165" i="61"/>
  <c r="M165" i="61"/>
  <c r="P164" i="61"/>
  <c r="M164" i="61"/>
  <c r="P163" i="61"/>
  <c r="M163" i="61"/>
  <c r="P162" i="61"/>
  <c r="M162" i="61"/>
  <c r="P161" i="61"/>
  <c r="M161" i="61"/>
  <c r="P160" i="61"/>
  <c r="M160" i="61"/>
  <c r="P159" i="61"/>
  <c r="M159" i="61"/>
  <c r="P158" i="61"/>
  <c r="M158" i="61"/>
  <c r="P157" i="61"/>
  <c r="M157" i="61"/>
  <c r="P156" i="61"/>
  <c r="M156" i="61"/>
  <c r="P155" i="61"/>
  <c r="M155" i="61"/>
  <c r="P154" i="61"/>
  <c r="M154" i="61"/>
  <c r="P153" i="61"/>
  <c r="M153" i="61"/>
  <c r="P152" i="61"/>
  <c r="M152" i="61"/>
  <c r="P151" i="61"/>
  <c r="M151" i="61"/>
  <c r="P150" i="61"/>
  <c r="M150" i="61"/>
  <c r="P149" i="61"/>
  <c r="M149" i="61"/>
  <c r="P148" i="61"/>
  <c r="M148" i="61"/>
  <c r="P147" i="61"/>
  <c r="M147" i="61"/>
  <c r="P146" i="61"/>
  <c r="M146" i="61"/>
  <c r="P145" i="61"/>
  <c r="M145" i="61"/>
  <c r="P144" i="61"/>
  <c r="M144" i="61"/>
  <c r="P143" i="61"/>
  <c r="M143" i="61"/>
  <c r="P142" i="61"/>
  <c r="M142" i="61"/>
  <c r="P141" i="61"/>
  <c r="M141" i="61"/>
  <c r="P140" i="61"/>
  <c r="M140" i="61"/>
  <c r="P139" i="61"/>
  <c r="M139" i="61"/>
  <c r="P138" i="61"/>
  <c r="M138" i="61"/>
  <c r="P137" i="61"/>
  <c r="M137" i="61"/>
  <c r="P136" i="61"/>
  <c r="M136" i="61"/>
  <c r="P135" i="61"/>
  <c r="M135" i="61"/>
  <c r="P134" i="61"/>
  <c r="M134" i="61"/>
  <c r="P133" i="61"/>
  <c r="M133" i="61"/>
  <c r="P132" i="61"/>
  <c r="M132" i="61"/>
  <c r="P131" i="61"/>
  <c r="M131" i="61"/>
  <c r="P130" i="61"/>
  <c r="M130" i="61"/>
  <c r="P129" i="61"/>
  <c r="M129" i="61"/>
  <c r="P128" i="61"/>
  <c r="M128" i="61"/>
  <c r="P127" i="61"/>
  <c r="M127" i="61"/>
  <c r="P126" i="61"/>
  <c r="M126" i="61"/>
  <c r="P125" i="61"/>
  <c r="M125" i="61"/>
  <c r="P124" i="61"/>
  <c r="M124" i="61"/>
  <c r="P123" i="61"/>
  <c r="M123" i="61"/>
  <c r="P122" i="61"/>
  <c r="M122" i="61"/>
  <c r="P121" i="61"/>
  <c r="M121" i="61"/>
  <c r="P120" i="61"/>
  <c r="M120" i="61"/>
  <c r="P119" i="61"/>
  <c r="M119" i="61"/>
  <c r="P118" i="61"/>
  <c r="M118" i="61"/>
  <c r="P117" i="61"/>
  <c r="M117" i="61"/>
  <c r="P116" i="61"/>
  <c r="M116" i="61"/>
  <c r="P115" i="61"/>
  <c r="M115" i="61"/>
  <c r="P114" i="61"/>
  <c r="M114" i="61"/>
  <c r="P113" i="61"/>
  <c r="M113" i="61"/>
  <c r="P112" i="61"/>
  <c r="M112" i="61"/>
  <c r="P111" i="61"/>
  <c r="M111" i="61"/>
  <c r="P110" i="61"/>
  <c r="M110" i="61"/>
  <c r="P109" i="61"/>
  <c r="M109" i="61"/>
  <c r="P108" i="61"/>
  <c r="M108" i="61"/>
  <c r="P107" i="61"/>
  <c r="M107" i="61"/>
  <c r="P106" i="61"/>
  <c r="M106" i="61"/>
  <c r="P105" i="61"/>
  <c r="M105" i="61"/>
  <c r="P104" i="61"/>
  <c r="M104" i="61"/>
  <c r="P103" i="61"/>
  <c r="M103" i="61"/>
  <c r="P102" i="61"/>
  <c r="M102" i="61"/>
  <c r="P101" i="61"/>
  <c r="M101" i="61"/>
  <c r="P100" i="61"/>
  <c r="M100" i="61"/>
  <c r="P99" i="61"/>
  <c r="M99" i="61"/>
  <c r="P98" i="61"/>
  <c r="M98" i="61"/>
  <c r="P97" i="61"/>
  <c r="M97" i="61"/>
  <c r="P96" i="61"/>
  <c r="M96" i="61"/>
  <c r="P95" i="61"/>
  <c r="M95" i="61"/>
  <c r="P94" i="61"/>
  <c r="M94" i="61"/>
  <c r="P93" i="61"/>
  <c r="M93" i="61"/>
  <c r="P92" i="61"/>
  <c r="M92" i="61"/>
  <c r="P91" i="61"/>
  <c r="M91" i="61"/>
  <c r="P90" i="61"/>
  <c r="M90" i="61"/>
  <c r="P89" i="61"/>
  <c r="M89" i="61"/>
  <c r="P88" i="61"/>
  <c r="M88" i="61"/>
  <c r="P87" i="61"/>
  <c r="M87" i="61"/>
  <c r="P86" i="61"/>
  <c r="M86" i="61"/>
  <c r="P85" i="61"/>
  <c r="M85" i="61"/>
  <c r="P84" i="61"/>
  <c r="M84" i="61"/>
  <c r="P83" i="61"/>
  <c r="M83" i="61"/>
  <c r="P82" i="61"/>
  <c r="M82" i="61"/>
  <c r="P81" i="61"/>
  <c r="M81" i="61"/>
  <c r="P80" i="61"/>
  <c r="M80" i="61"/>
  <c r="P79" i="61"/>
  <c r="M79" i="61"/>
  <c r="P78" i="61"/>
  <c r="M78" i="61"/>
  <c r="P77" i="61"/>
  <c r="M77" i="61"/>
  <c r="P76" i="61"/>
  <c r="M76" i="61"/>
  <c r="P75" i="61"/>
  <c r="M75" i="61"/>
  <c r="P74" i="61"/>
  <c r="M74" i="61"/>
  <c r="P73" i="61"/>
  <c r="M73" i="61"/>
  <c r="P72" i="61"/>
  <c r="M72" i="61"/>
  <c r="P71" i="61"/>
  <c r="M71" i="61"/>
  <c r="P70" i="61"/>
  <c r="M70" i="61"/>
  <c r="P69" i="61"/>
  <c r="M69" i="61"/>
  <c r="P68" i="61"/>
  <c r="M68" i="61"/>
  <c r="P67" i="61"/>
  <c r="M67" i="61"/>
  <c r="P66" i="61"/>
  <c r="M66" i="61"/>
  <c r="P65" i="61"/>
  <c r="M65" i="61"/>
  <c r="P64" i="61"/>
  <c r="M64" i="61"/>
  <c r="P63" i="61"/>
  <c r="M63" i="61"/>
  <c r="P62" i="61"/>
  <c r="M62" i="61"/>
  <c r="P61" i="61"/>
  <c r="M61" i="61"/>
  <c r="P60" i="61"/>
  <c r="M60" i="61"/>
  <c r="P59" i="61"/>
  <c r="M59" i="61"/>
  <c r="P58" i="61"/>
  <c r="M58" i="61"/>
  <c r="P57" i="61"/>
  <c r="M57" i="61"/>
  <c r="P56" i="61"/>
  <c r="M56" i="61"/>
  <c r="P55" i="61"/>
  <c r="M55" i="61"/>
  <c r="P54" i="61"/>
  <c r="M54" i="61"/>
  <c r="P53" i="61"/>
  <c r="M53" i="61"/>
  <c r="P52" i="61"/>
  <c r="M52" i="61"/>
  <c r="P51" i="61"/>
  <c r="M51" i="61"/>
  <c r="P50" i="61"/>
  <c r="M50" i="61"/>
  <c r="P49" i="61"/>
  <c r="M49" i="61"/>
  <c r="P48" i="61"/>
  <c r="M48" i="61"/>
  <c r="P47" i="61"/>
  <c r="M47" i="61"/>
  <c r="P46" i="61"/>
  <c r="M46" i="61"/>
  <c r="P45" i="61"/>
  <c r="M45" i="61"/>
  <c r="P44" i="61"/>
  <c r="M44" i="61"/>
  <c r="P43" i="61"/>
  <c r="M43" i="61"/>
  <c r="P42" i="61"/>
  <c r="M42" i="61"/>
  <c r="P41" i="61"/>
  <c r="M41" i="61"/>
  <c r="P40" i="61"/>
  <c r="M40" i="61"/>
  <c r="P39" i="61"/>
  <c r="M39" i="61"/>
  <c r="P38" i="61"/>
  <c r="M38" i="61"/>
  <c r="P37" i="61"/>
  <c r="M37" i="61"/>
  <c r="P36" i="61"/>
  <c r="M36" i="61"/>
  <c r="P35" i="61"/>
  <c r="M35" i="61"/>
  <c r="P34" i="61"/>
  <c r="M34" i="61"/>
  <c r="P33" i="61"/>
  <c r="M33" i="61"/>
  <c r="P32" i="61"/>
  <c r="M32" i="61"/>
  <c r="P31" i="61"/>
  <c r="M31" i="61"/>
  <c r="P30" i="61"/>
  <c r="M30" i="61"/>
  <c r="P29" i="61"/>
  <c r="M29" i="61"/>
  <c r="P28" i="61"/>
  <c r="M28" i="61"/>
  <c r="P27" i="61"/>
  <c r="M27" i="61"/>
  <c r="P26" i="61"/>
  <c r="M26" i="61"/>
  <c r="P25" i="61"/>
  <c r="M25" i="61"/>
  <c r="P24" i="61"/>
  <c r="M24" i="61"/>
  <c r="P23" i="61"/>
  <c r="M23" i="61"/>
  <c r="P22" i="61"/>
  <c r="M22" i="61"/>
  <c r="P21" i="61"/>
  <c r="M21" i="61"/>
  <c r="P20" i="61"/>
  <c r="M20" i="61"/>
  <c r="P19" i="61"/>
  <c r="M19" i="61"/>
  <c r="P18" i="61"/>
  <c r="M18" i="61"/>
  <c r="P17" i="61"/>
  <c r="M17" i="61"/>
  <c r="P16" i="61"/>
  <c r="M16" i="61"/>
  <c r="P15" i="61"/>
  <c r="M15" i="61"/>
  <c r="P14" i="61"/>
  <c r="M14" i="61"/>
  <c r="P13" i="61"/>
  <c r="M13" i="61"/>
  <c r="P12" i="61"/>
  <c r="M12" i="61"/>
  <c r="P11" i="61"/>
  <c r="M11" i="61"/>
  <c r="P10" i="61"/>
  <c r="M10" i="61"/>
  <c r="B2" i="61"/>
  <c r="A2" i="61"/>
  <c r="G1" i="61"/>
  <c r="B99" i="60"/>
  <c r="B67" i="60"/>
  <c r="B50" i="60"/>
  <c r="CK9" i="65"/>
  <c r="CK4" i="65"/>
  <c r="CK16" i="65"/>
  <c r="CK3" i="65"/>
  <c r="B22" i="60"/>
  <c r="A22" i="60"/>
  <c r="B21" i="60"/>
  <c r="CK14" i="65" s="1"/>
  <c r="A21" i="60"/>
  <c r="B20" i="60"/>
  <c r="L35" i="60" s="1"/>
  <c r="B12" i="60"/>
  <c r="CK11" i="65" s="1"/>
  <c r="A12" i="60"/>
  <c r="B11" i="60"/>
  <c r="CK5" i="65" s="1"/>
  <c r="A11" i="60"/>
  <c r="B10" i="60"/>
  <c r="A10" i="60"/>
  <c r="B9" i="60"/>
  <c r="A9" i="60"/>
  <c r="B8" i="60"/>
  <c r="CK17" i="65" s="1"/>
  <c r="A8" i="60"/>
  <c r="B7" i="60"/>
  <c r="L34" i="60" s="1"/>
  <c r="B2" i="60"/>
  <c r="B2" i="63"/>
  <c r="E252" i="59"/>
  <c r="E21" i="60" s="1"/>
  <c r="G21" i="60" s="1"/>
  <c r="H21" i="60" s="1"/>
  <c r="B234" i="59"/>
  <c r="C234" i="59" s="1"/>
  <c r="B233" i="59"/>
  <c r="C233" i="59" s="1"/>
  <c r="B232" i="59"/>
  <c r="C232" i="59" s="1"/>
  <c r="B235" i="59"/>
  <c r="C235" i="59" s="1"/>
  <c r="B237" i="59"/>
  <c r="C237" i="59" s="1"/>
  <c r="B217" i="59"/>
  <c r="B216" i="59"/>
  <c r="B215" i="59"/>
  <c r="B214" i="59"/>
  <c r="B213" i="59"/>
  <c r="B212" i="59"/>
  <c r="B211" i="59"/>
  <c r="B210" i="59"/>
  <c r="B209" i="59"/>
  <c r="B205" i="59"/>
  <c r="D205" i="59" s="1"/>
  <c r="B204" i="59"/>
  <c r="D204" i="59" s="1"/>
  <c r="B203" i="59"/>
  <c r="D203" i="59" s="1"/>
  <c r="B202" i="59"/>
  <c r="D202" i="59" s="1"/>
  <c r="B201" i="59"/>
  <c r="D201" i="59" s="1"/>
  <c r="B200" i="59"/>
  <c r="D200" i="59" s="1"/>
  <c r="B199" i="59"/>
  <c r="D199" i="59" s="1"/>
  <c r="B198" i="59"/>
  <c r="D198" i="59" s="1"/>
  <c r="B197" i="59"/>
  <c r="D197" i="59" s="1"/>
  <c r="B196" i="59"/>
  <c r="D196" i="59" s="1"/>
  <c r="B195" i="59"/>
  <c r="D195" i="59" s="1"/>
  <c r="B194" i="59"/>
  <c r="D194" i="59" s="1"/>
  <c r="B193" i="59"/>
  <c r="D193" i="59" s="1"/>
  <c r="B192" i="59"/>
  <c r="D192" i="59" s="1"/>
  <c r="B191" i="59"/>
  <c r="D191" i="59" s="1"/>
  <c r="B190" i="59"/>
  <c r="D190" i="59" s="1"/>
  <c r="B189" i="59"/>
  <c r="D189" i="59" s="1"/>
  <c r="B188" i="59"/>
  <c r="D188" i="59" s="1"/>
  <c r="B187" i="59"/>
  <c r="D187" i="59" s="1"/>
  <c r="B186" i="59"/>
  <c r="D186" i="59" s="1"/>
  <c r="B185" i="59"/>
  <c r="D185" i="59" s="1"/>
  <c r="B184" i="59"/>
  <c r="D184" i="59" s="1"/>
  <c r="B183" i="59"/>
  <c r="D183" i="59" s="1"/>
  <c r="B182" i="59"/>
  <c r="D182" i="59" s="1"/>
  <c r="B181" i="59"/>
  <c r="D181" i="59" s="1"/>
  <c r="B180" i="59"/>
  <c r="D180" i="59" s="1"/>
  <c r="B179" i="59"/>
  <c r="D179" i="59" s="1"/>
  <c r="B178" i="59"/>
  <c r="D178" i="59" s="1"/>
  <c r="B177" i="59"/>
  <c r="D177" i="59" s="1"/>
  <c r="B176" i="59"/>
  <c r="D176" i="59" s="1"/>
  <c r="B175" i="59"/>
  <c r="D175" i="59" s="1"/>
  <c r="B174" i="59"/>
  <c r="D174" i="59" s="1"/>
  <c r="B173" i="59"/>
  <c r="D173" i="59" s="1"/>
  <c r="B172" i="59"/>
  <c r="D172" i="59" s="1"/>
  <c r="B171" i="59"/>
  <c r="D171" i="59" s="1"/>
  <c r="B170" i="59"/>
  <c r="D170" i="59" s="1"/>
  <c r="B169" i="59"/>
  <c r="D169" i="59" s="1"/>
  <c r="B168" i="59"/>
  <c r="D168" i="59" s="1"/>
  <c r="B167" i="59"/>
  <c r="D167" i="59" s="1"/>
  <c r="B166" i="59"/>
  <c r="D166" i="59" s="1"/>
  <c r="B165" i="59"/>
  <c r="D165" i="59" s="1"/>
  <c r="B164" i="59"/>
  <c r="D164" i="59" s="1"/>
  <c r="B163" i="59"/>
  <c r="D163" i="59" s="1"/>
  <c r="B162" i="59"/>
  <c r="D162" i="59" s="1"/>
  <c r="B161" i="59"/>
  <c r="D161" i="59" s="1"/>
  <c r="B160" i="59"/>
  <c r="D160" i="59" s="1"/>
  <c r="B159" i="59"/>
  <c r="D159" i="59" s="1"/>
  <c r="B158" i="59"/>
  <c r="D158" i="59" s="1"/>
  <c r="B157" i="59"/>
  <c r="D157" i="59" s="1"/>
  <c r="B156" i="59"/>
  <c r="D156" i="59" s="1"/>
  <c r="B155" i="59"/>
  <c r="D155" i="59" s="1"/>
  <c r="B154" i="59"/>
  <c r="D154" i="59" s="1"/>
  <c r="B153" i="59"/>
  <c r="D153" i="59" s="1"/>
  <c r="B152" i="59"/>
  <c r="D152" i="59" s="1"/>
  <c r="B151" i="59"/>
  <c r="D151" i="59" s="1"/>
  <c r="B150" i="59"/>
  <c r="B149" i="59"/>
  <c r="D149" i="59" s="1"/>
  <c r="B148" i="59"/>
  <c r="D148" i="59" s="1"/>
  <c r="B147" i="59"/>
  <c r="D147" i="59" s="1"/>
  <c r="B146" i="59"/>
  <c r="D146" i="59" s="1"/>
  <c r="B145" i="59"/>
  <c r="D145" i="59" s="1"/>
  <c r="B144" i="59"/>
  <c r="D144" i="59" s="1"/>
  <c r="B143" i="59"/>
  <c r="D143" i="59" s="1"/>
  <c r="B142" i="59"/>
  <c r="D142" i="59" s="1"/>
  <c r="B141" i="59"/>
  <c r="D141" i="59" s="1"/>
  <c r="B140" i="59"/>
  <c r="D140" i="59" s="1"/>
  <c r="B139" i="59"/>
  <c r="D139" i="59" s="1"/>
  <c r="B138" i="59"/>
  <c r="D138" i="59" s="1"/>
  <c r="B137" i="59"/>
  <c r="D137" i="59" s="1"/>
  <c r="B136" i="59"/>
  <c r="D136" i="59" s="1"/>
  <c r="B135" i="59"/>
  <c r="D135" i="59" s="1"/>
  <c r="B134" i="59"/>
  <c r="D134" i="59" s="1"/>
  <c r="B133" i="59"/>
  <c r="B132" i="59"/>
  <c r="D132" i="59" s="1"/>
  <c r="B131" i="59"/>
  <c r="B130" i="59"/>
  <c r="D130" i="59" s="1"/>
  <c r="B129" i="59"/>
  <c r="B128" i="59"/>
  <c r="D128" i="59" s="1"/>
  <c r="B127" i="59"/>
  <c r="B126" i="59"/>
  <c r="B125" i="59"/>
  <c r="B124" i="59"/>
  <c r="B123" i="59"/>
  <c r="B122" i="59"/>
  <c r="D122" i="59" s="1"/>
  <c r="B121" i="59"/>
  <c r="B120" i="59"/>
  <c r="D120" i="59" s="1"/>
  <c r="B119" i="59"/>
  <c r="B118" i="59"/>
  <c r="D118" i="59" s="1"/>
  <c r="B117" i="59"/>
  <c r="B116" i="59"/>
  <c r="D116" i="59" s="1"/>
  <c r="B115" i="59"/>
  <c r="B114" i="59"/>
  <c r="D114" i="59" s="1"/>
  <c r="B113" i="59"/>
  <c r="B112" i="59"/>
  <c r="D112" i="59" s="1"/>
  <c r="B111" i="59"/>
  <c r="B110" i="59"/>
  <c r="D110" i="59" s="1"/>
  <c r="B109" i="59"/>
  <c r="B108" i="59"/>
  <c r="D108" i="59" s="1"/>
  <c r="B107" i="59"/>
  <c r="B106" i="59"/>
  <c r="B105" i="59"/>
  <c r="B104" i="59"/>
  <c r="D104" i="59" s="1"/>
  <c r="B103" i="59"/>
  <c r="B102" i="59"/>
  <c r="D102" i="59" s="1"/>
  <c r="B101" i="59"/>
  <c r="B100" i="59"/>
  <c r="D100" i="59" s="1"/>
  <c r="B99" i="59"/>
  <c r="B98" i="59"/>
  <c r="B97" i="59"/>
  <c r="B96" i="59"/>
  <c r="D96" i="59" s="1"/>
  <c r="B95" i="59"/>
  <c r="B94" i="59"/>
  <c r="B93" i="59"/>
  <c r="B92" i="59"/>
  <c r="D92" i="59" s="1"/>
  <c r="B91" i="59"/>
  <c r="B90" i="59"/>
  <c r="D90" i="59" s="1"/>
  <c r="B89" i="59"/>
  <c r="B88" i="59"/>
  <c r="D88" i="59" s="1"/>
  <c r="B87" i="59"/>
  <c r="B86" i="59"/>
  <c r="D86" i="59" s="1"/>
  <c r="B85" i="59"/>
  <c r="B84" i="59"/>
  <c r="B83" i="59"/>
  <c r="B82" i="59"/>
  <c r="D82" i="59" s="1"/>
  <c r="B81" i="59"/>
  <c r="B80" i="59"/>
  <c r="B79" i="59"/>
  <c r="D65" i="59"/>
  <c r="A65" i="59"/>
  <c r="D64" i="59"/>
  <c r="A64" i="59"/>
  <c r="A62" i="59"/>
  <c r="A61" i="59"/>
  <c r="A63" i="59"/>
  <c r="C61" i="59"/>
  <c r="J61" i="59" s="1"/>
  <c r="C62" i="59"/>
  <c r="J62" i="59" s="1"/>
  <c r="F62" i="59" s="1"/>
  <c r="I38" i="59"/>
  <c r="E38" i="59" s="1"/>
  <c r="A38" i="59"/>
  <c r="I37" i="59"/>
  <c r="E37" i="59" s="1"/>
  <c r="A37" i="59"/>
  <c r="I36" i="59"/>
  <c r="E36" i="59" s="1"/>
  <c r="A36" i="59"/>
  <c r="I35" i="59"/>
  <c r="F35" i="59" s="1"/>
  <c r="A35" i="59"/>
  <c r="I31" i="59"/>
  <c r="F31" i="59" s="1"/>
  <c r="A31" i="59"/>
  <c r="I32" i="59"/>
  <c r="E32" i="59" s="1"/>
  <c r="A32" i="59"/>
  <c r="I33" i="59"/>
  <c r="E33" i="59" s="1"/>
  <c r="A33" i="59"/>
  <c r="I34" i="59"/>
  <c r="F34" i="59" s="1"/>
  <c r="D1" i="59"/>
  <c r="C1" i="58"/>
  <c r="C64" i="59" l="1"/>
  <c r="J64" i="59" s="1"/>
  <c r="F64" i="59" s="1"/>
  <c r="C65" i="59"/>
  <c r="D150" i="59"/>
  <c r="D80" i="59"/>
  <c r="DJ142" i="65"/>
  <c r="D84" i="59"/>
  <c r="BL172" i="65"/>
  <c r="N322" i="61"/>
  <c r="N330" i="61"/>
  <c r="N338" i="61"/>
  <c r="N346" i="61"/>
  <c r="N354" i="61"/>
  <c r="N362" i="61"/>
  <c r="N370" i="61"/>
  <c r="N378" i="61"/>
  <c r="N386" i="61"/>
  <c r="N394" i="61"/>
  <c r="N402" i="61"/>
  <c r="BO175" i="65"/>
  <c r="BH142" i="65"/>
  <c r="BL205" i="65"/>
  <c r="D94" i="59"/>
  <c r="N249" i="61"/>
  <c r="I30" i="59"/>
  <c r="F30" i="59" s="1"/>
  <c r="BO223" i="65"/>
  <c r="BJ115" i="65"/>
  <c r="BH169" i="65"/>
  <c r="BO115" i="65"/>
  <c r="J63" i="59"/>
  <c r="E63" i="59" s="1"/>
  <c r="BO228" i="65"/>
  <c r="BK172" i="65"/>
  <c r="DJ240" i="65"/>
  <c r="C85" i="59"/>
  <c r="D85" i="59"/>
  <c r="C97" i="59"/>
  <c r="D97" i="59"/>
  <c r="C105" i="59"/>
  <c r="D105" i="59"/>
  <c r="C117" i="59"/>
  <c r="D117" i="59"/>
  <c r="C125" i="59"/>
  <c r="D125" i="59"/>
  <c r="C133" i="59"/>
  <c r="D133" i="59"/>
  <c r="C98" i="59"/>
  <c r="D98" i="59"/>
  <c r="C106" i="59"/>
  <c r="D106" i="59"/>
  <c r="C126" i="59"/>
  <c r="D126" i="59"/>
  <c r="C81" i="59"/>
  <c r="D81" i="59"/>
  <c r="C93" i="59"/>
  <c r="D93" i="59"/>
  <c r="C109" i="59"/>
  <c r="D109" i="59"/>
  <c r="C129" i="59"/>
  <c r="D129" i="59"/>
  <c r="C89" i="59"/>
  <c r="D89" i="59"/>
  <c r="C101" i="59"/>
  <c r="D101" i="59"/>
  <c r="C113" i="59"/>
  <c r="D113" i="59"/>
  <c r="C121" i="59"/>
  <c r="D121" i="59"/>
  <c r="C79" i="59"/>
  <c r="D79" i="59"/>
  <c r="C83" i="59"/>
  <c r="D83" i="59"/>
  <c r="C87" i="59"/>
  <c r="D87" i="59"/>
  <c r="C91" i="59"/>
  <c r="D91" i="59"/>
  <c r="C95" i="59"/>
  <c r="D95" i="59"/>
  <c r="C99" i="59"/>
  <c r="D99" i="59"/>
  <c r="C103" i="59"/>
  <c r="D103" i="59"/>
  <c r="C107" i="59"/>
  <c r="D107" i="59"/>
  <c r="C111" i="59"/>
  <c r="D111" i="59"/>
  <c r="C115" i="59"/>
  <c r="D115" i="59"/>
  <c r="C119" i="59"/>
  <c r="D119" i="59"/>
  <c r="C123" i="59"/>
  <c r="D123" i="59"/>
  <c r="C127" i="59"/>
  <c r="D127" i="59"/>
  <c r="C131" i="59"/>
  <c r="D131" i="59"/>
  <c r="C124" i="59"/>
  <c r="D124" i="59"/>
  <c r="P12" i="60"/>
  <c r="BO98" i="65"/>
  <c r="BJ169" i="65"/>
  <c r="DJ179" i="65"/>
  <c r="BN259" i="65"/>
  <c r="BN33" i="65"/>
  <c r="BM55" i="65"/>
  <c r="DJ35" i="65"/>
  <c r="BH274" i="65"/>
  <c r="BH279" i="65"/>
  <c r="N154" i="61"/>
  <c r="N194" i="61"/>
  <c r="N242" i="61"/>
  <c r="N246" i="61"/>
  <c r="N175" i="61"/>
  <c r="N183" i="61"/>
  <c r="N191" i="61"/>
  <c r="N125" i="61"/>
  <c r="N648" i="61"/>
  <c r="F38" i="59"/>
  <c r="N26" i="61"/>
  <c r="N28" i="61"/>
  <c r="N44" i="61"/>
  <c r="N66" i="61"/>
  <c r="N122" i="61"/>
  <c r="N164" i="61"/>
  <c r="N170" i="61"/>
  <c r="N172" i="61"/>
  <c r="BK10" i="65"/>
  <c r="BL45" i="65"/>
  <c r="BI46" i="65"/>
  <c r="BJ52" i="65"/>
  <c r="BM74" i="65"/>
  <c r="BH79" i="65"/>
  <c r="BH105" i="65"/>
  <c r="BK123" i="65"/>
  <c r="BJ144" i="65"/>
  <c r="BH146" i="65"/>
  <c r="BJ148" i="65"/>
  <c r="BN163" i="65"/>
  <c r="BK192" i="65"/>
  <c r="BO85" i="65"/>
  <c r="BM10" i="65"/>
  <c r="BN29" i="65"/>
  <c r="BK52" i="65"/>
  <c r="DJ52" i="65"/>
  <c r="BJ57" i="65"/>
  <c r="BI79" i="65"/>
  <c r="BL144" i="65"/>
  <c r="BM146" i="65"/>
  <c r="BK148" i="65"/>
  <c r="BL259" i="65"/>
  <c r="C108" i="59"/>
  <c r="E108" i="59" s="1"/>
  <c r="N23" i="61"/>
  <c r="N157" i="61"/>
  <c r="BM259" i="65"/>
  <c r="BN246" i="65"/>
  <c r="N41" i="61"/>
  <c r="N113" i="61"/>
  <c r="N121" i="61"/>
  <c r="BM20" i="65"/>
  <c r="BM25" i="65"/>
  <c r="BJ33" i="65"/>
  <c r="BJ47" i="65"/>
  <c r="BL51" i="65"/>
  <c r="BJ61" i="65"/>
  <c r="BH66" i="65"/>
  <c r="BJ93" i="65"/>
  <c r="BH95" i="65"/>
  <c r="BH118" i="65"/>
  <c r="BJ120" i="65"/>
  <c r="BK121" i="65"/>
  <c r="BH123" i="65"/>
  <c r="BN123" i="65"/>
  <c r="BL133" i="65"/>
  <c r="BK169" i="65"/>
  <c r="BJ180" i="65"/>
  <c r="BL181" i="65"/>
  <c r="BH182" i="65"/>
  <c r="BN197" i="65"/>
  <c r="BL203" i="65"/>
  <c r="BH205" i="65"/>
  <c r="BN205" i="65"/>
  <c r="BM206" i="65"/>
  <c r="BH207" i="65"/>
  <c r="BK220" i="65"/>
  <c r="BL243" i="65"/>
  <c r="BI246" i="65"/>
  <c r="BI264" i="65"/>
  <c r="BN47" i="65"/>
  <c r="BN51" i="65"/>
  <c r="DJ126" i="65"/>
  <c r="DJ154" i="65"/>
  <c r="DJ178" i="65"/>
  <c r="N31" i="61"/>
  <c r="D38" i="59"/>
  <c r="N10" i="61"/>
  <c r="C211" i="59" s="1"/>
  <c r="N18" i="61"/>
  <c r="C217" i="59" s="1"/>
  <c r="N34" i="61"/>
  <c r="N42" i="61"/>
  <c r="N46" i="61"/>
  <c r="N50" i="61"/>
  <c r="N58" i="61"/>
  <c r="N114" i="61"/>
  <c r="N116" i="61"/>
  <c r="N169" i="61"/>
  <c r="N173" i="61"/>
  <c r="N250" i="61"/>
  <c r="N254" i="61"/>
  <c r="N258" i="61"/>
  <c r="N262" i="61"/>
  <c r="N270" i="61"/>
  <c r="N286" i="61"/>
  <c r="N302" i="61"/>
  <c r="N306" i="61"/>
  <c r="N310" i="61"/>
  <c r="N432" i="61"/>
  <c r="N440" i="61"/>
  <c r="N448" i="61"/>
  <c r="N456" i="61"/>
  <c r="N464" i="61"/>
  <c r="N472" i="61"/>
  <c r="N480" i="61"/>
  <c r="N488" i="61"/>
  <c r="N496" i="61"/>
  <c r="N504" i="61"/>
  <c r="N512" i="61"/>
  <c r="N520" i="61"/>
  <c r="N528" i="61"/>
  <c r="N536" i="61"/>
  <c r="N544" i="61"/>
  <c r="N552" i="61"/>
  <c r="N560" i="61"/>
  <c r="N568" i="61"/>
  <c r="N576" i="61"/>
  <c r="N584" i="61"/>
  <c r="N592" i="61"/>
  <c r="N600" i="61"/>
  <c r="N608" i="61"/>
  <c r="N616" i="61"/>
  <c r="N632" i="61"/>
  <c r="N640" i="61"/>
  <c r="BO38" i="65"/>
  <c r="BO61" i="65"/>
  <c r="BN21" i="65"/>
  <c r="BK23" i="65"/>
  <c r="BN25" i="65"/>
  <c r="BK33" i="65"/>
  <c r="BH45" i="65"/>
  <c r="BM47" i="65"/>
  <c r="BM51" i="65"/>
  <c r="BH55" i="65"/>
  <c r="BH57" i="65"/>
  <c r="BI66" i="65"/>
  <c r="BM87" i="65"/>
  <c r="BM93" i="65"/>
  <c r="BI95" i="65"/>
  <c r="BH96" i="65"/>
  <c r="BI123" i="65"/>
  <c r="DJ149" i="65"/>
  <c r="DJ163" i="65"/>
  <c r="BN203" i="65"/>
  <c r="BJ205" i="65"/>
  <c r="BM207" i="65"/>
  <c r="BM246" i="65"/>
  <c r="BN265" i="65"/>
  <c r="N160" i="61"/>
  <c r="N162" i="61"/>
  <c r="N313" i="61"/>
  <c r="N509" i="61"/>
  <c r="BL20" i="65"/>
  <c r="BI47" i="65"/>
  <c r="BI51" i="65"/>
  <c r="BH61" i="65"/>
  <c r="BJ70" i="65"/>
  <c r="BI99" i="65"/>
  <c r="BM109" i="65"/>
  <c r="BL123" i="65"/>
  <c r="BM125" i="65"/>
  <c r="BI126" i="65"/>
  <c r="BK133" i="65"/>
  <c r="BI154" i="65"/>
  <c r="BN161" i="65"/>
  <c r="BN178" i="65"/>
  <c r="BM205" i="65"/>
  <c r="BH210" i="65"/>
  <c r="BH220" i="65"/>
  <c r="BH246" i="65"/>
  <c r="DJ264" i="65"/>
  <c r="BN279" i="65"/>
  <c r="N117" i="61"/>
  <c r="N156" i="61"/>
  <c r="BM6" i="65"/>
  <c r="BH16" i="65"/>
  <c r="BN28" i="65"/>
  <c r="BJ41" i="65"/>
  <c r="BL58" i="65"/>
  <c r="BI62" i="65"/>
  <c r="BH166" i="65"/>
  <c r="BL170" i="65"/>
  <c r="BL189" i="65"/>
  <c r="BK200" i="65"/>
  <c r="BH223" i="65"/>
  <c r="BL232" i="65"/>
  <c r="BH254" i="65"/>
  <c r="BH256" i="65"/>
  <c r="N16" i="61"/>
  <c r="C215" i="59" s="1"/>
  <c r="N24" i="61"/>
  <c r="N153" i="61"/>
  <c r="N243" i="61"/>
  <c r="N426" i="61"/>
  <c r="N466" i="61"/>
  <c r="N482" i="61"/>
  <c r="N486" i="61"/>
  <c r="N498" i="61"/>
  <c r="N502" i="61"/>
  <c r="N506" i="61"/>
  <c r="N514" i="61"/>
  <c r="N518" i="61"/>
  <c r="N522" i="61"/>
  <c r="N530" i="61"/>
  <c r="N534" i="61"/>
  <c r="N546" i="61"/>
  <c r="N550" i="61"/>
  <c r="N562" i="61"/>
  <c r="N566" i="61"/>
  <c r="N578" i="61"/>
  <c r="N582" i="61"/>
  <c r="N586" i="61"/>
  <c r="N598" i="61"/>
  <c r="N602" i="61"/>
  <c r="N614" i="61"/>
  <c r="N618" i="61"/>
  <c r="N630" i="61"/>
  <c r="N634" i="61"/>
  <c r="N646" i="61"/>
  <c r="BL7" i="65"/>
  <c r="BI16" i="65"/>
  <c r="BN19" i="65"/>
  <c r="BH34" i="65"/>
  <c r="BM41" i="65"/>
  <c r="BM48" i="65"/>
  <c r="BN53" i="65"/>
  <c r="BH69" i="65"/>
  <c r="BJ71" i="65"/>
  <c r="BH75" i="65"/>
  <c r="BJ100" i="65"/>
  <c r="BI102" i="65"/>
  <c r="BL104" i="65"/>
  <c r="BH108" i="65"/>
  <c r="DJ123" i="65"/>
  <c r="BI130" i="65"/>
  <c r="BJ136" i="65"/>
  <c r="DJ180" i="65"/>
  <c r="BN207" i="65"/>
  <c r="BM219" i="65"/>
  <c r="BK223" i="65"/>
  <c r="BN225" i="65"/>
  <c r="DJ234" i="65"/>
  <c r="BL247" i="65"/>
  <c r="BJ249" i="65"/>
  <c r="BH251" i="65"/>
  <c r="BL252" i="65"/>
  <c r="BK256" i="65"/>
  <c r="BH267" i="65"/>
  <c r="BJ273" i="65"/>
  <c r="N32" i="61"/>
  <c r="N36" i="61"/>
  <c r="N47" i="61"/>
  <c r="N55" i="61"/>
  <c r="N63" i="61"/>
  <c r="N165" i="61"/>
  <c r="N176" i="61"/>
  <c r="N184" i="61"/>
  <c r="N192" i="61"/>
  <c r="N196" i="61"/>
  <c r="N204" i="61"/>
  <c r="N212" i="61"/>
  <c r="N220" i="61"/>
  <c r="N228" i="61"/>
  <c r="N236" i="61"/>
  <c r="N251" i="61"/>
  <c r="N259" i="61"/>
  <c r="N279" i="61"/>
  <c r="N295" i="61"/>
  <c r="N307" i="61"/>
  <c r="BO91" i="65"/>
  <c r="BJ16" i="65"/>
  <c r="BO53" i="65"/>
  <c r="BI75" i="65"/>
  <c r="BK100" i="65"/>
  <c r="BJ102" i="65"/>
  <c r="BM104" i="65"/>
  <c r="BI108" i="65"/>
  <c r="BH126" i="65"/>
  <c r="BL130" i="65"/>
  <c r="BN247" i="65"/>
  <c r="BK249" i="65"/>
  <c r="BI251" i="65"/>
  <c r="BI267" i="65"/>
  <c r="BO18" i="65"/>
  <c r="DJ45" i="65"/>
  <c r="BN108" i="65"/>
  <c r="BL251" i="65"/>
  <c r="BJ267" i="65"/>
  <c r="E35" i="59"/>
  <c r="N48" i="61"/>
  <c r="N56" i="61"/>
  <c r="N64" i="61"/>
  <c r="N68" i="61"/>
  <c r="N76" i="61"/>
  <c r="N84" i="61"/>
  <c r="N92" i="61"/>
  <c r="N100" i="61"/>
  <c r="N108" i="61"/>
  <c r="N158" i="61"/>
  <c r="N197" i="61"/>
  <c r="N241" i="61"/>
  <c r="N264" i="61"/>
  <c r="N272" i="61"/>
  <c r="N288" i="61"/>
  <c r="N304" i="61"/>
  <c r="N312" i="61"/>
  <c r="N316" i="61"/>
  <c r="N324" i="61"/>
  <c r="N340" i="61"/>
  <c r="N348" i="61"/>
  <c r="N356" i="61"/>
  <c r="N364" i="61"/>
  <c r="N372" i="61"/>
  <c r="N380" i="61"/>
  <c r="N388" i="61"/>
  <c r="N396" i="61"/>
  <c r="N404" i="61"/>
  <c r="CI9" i="65"/>
  <c r="BO75" i="65"/>
  <c r="BM18" i="65"/>
  <c r="BL21" i="65"/>
  <c r="BL29" i="65"/>
  <c r="BH59" i="65"/>
  <c r="BJ85" i="65"/>
  <c r="BK163" i="65"/>
  <c r="BM178" i="65"/>
  <c r="BL238" i="65"/>
  <c r="BJ240" i="65"/>
  <c r="BM251" i="65"/>
  <c r="BL267" i="65"/>
  <c r="DJ104" i="65"/>
  <c r="BN251" i="65"/>
  <c r="BM267" i="65"/>
  <c r="N30" i="61"/>
  <c r="N69" i="61"/>
  <c r="N124" i="61"/>
  <c r="N132" i="61"/>
  <c r="N140" i="61"/>
  <c r="N148" i="61"/>
  <c r="N159" i="61"/>
  <c r="N174" i="61"/>
  <c r="N178" i="61"/>
  <c r="N186" i="61"/>
  <c r="N281" i="61"/>
  <c r="N297" i="61"/>
  <c r="N305" i="61"/>
  <c r="N325" i="61"/>
  <c r="N333" i="61"/>
  <c r="N341" i="61"/>
  <c r="N349" i="61"/>
  <c r="N357" i="61"/>
  <c r="N365" i="61"/>
  <c r="N373" i="61"/>
  <c r="N381" i="61"/>
  <c r="N389" i="61"/>
  <c r="N397" i="61"/>
  <c r="N401" i="61"/>
  <c r="N405" i="61"/>
  <c r="N413" i="61"/>
  <c r="C100" i="59"/>
  <c r="E100" i="59" s="1"/>
  <c r="M10" i="60"/>
  <c r="N17" i="61"/>
  <c r="C216" i="59" s="1"/>
  <c r="N25" i="61"/>
  <c r="N35" i="61"/>
  <c r="N89" i="61"/>
  <c r="N105" i="61"/>
  <c r="N123" i="61"/>
  <c r="N131" i="61"/>
  <c r="N139" i="61"/>
  <c r="N147" i="61"/>
  <c r="N195" i="61"/>
  <c r="N203" i="61"/>
  <c r="N211" i="61"/>
  <c r="N219" i="61"/>
  <c r="N227" i="61"/>
  <c r="N235" i="61"/>
  <c r="N266" i="61"/>
  <c r="C114" i="59"/>
  <c r="M8" i="60"/>
  <c r="N14" i="61"/>
  <c r="C213" i="59" s="1"/>
  <c r="N33" i="61"/>
  <c r="N43" i="61"/>
  <c r="N70" i="61"/>
  <c r="N74" i="61"/>
  <c r="N78" i="61"/>
  <c r="N82" i="61"/>
  <c r="N86" i="61"/>
  <c r="N90" i="61"/>
  <c r="N94" i="61"/>
  <c r="N98" i="61"/>
  <c r="N102" i="61"/>
  <c r="N106" i="61"/>
  <c r="N110" i="61"/>
  <c r="N136" i="61"/>
  <c r="N155" i="61"/>
  <c r="N166" i="61"/>
  <c r="N177" i="61"/>
  <c r="N185" i="61"/>
  <c r="N193" i="61"/>
  <c r="N216" i="61"/>
  <c r="N232" i="61"/>
  <c r="N244" i="61"/>
  <c r="P8" i="60"/>
  <c r="N67" i="61"/>
  <c r="N75" i="61"/>
  <c r="N83" i="61"/>
  <c r="N91" i="61"/>
  <c r="N99" i="61"/>
  <c r="N107" i="61"/>
  <c r="N118" i="61"/>
  <c r="N137" i="61"/>
  <c r="N163" i="61"/>
  <c r="N217" i="61"/>
  <c r="N233" i="61"/>
  <c r="N245" i="61"/>
  <c r="N252" i="61"/>
  <c r="N260" i="61"/>
  <c r="N308" i="61"/>
  <c r="N315" i="61"/>
  <c r="N391" i="61"/>
  <c r="N415" i="61"/>
  <c r="N27" i="61"/>
  <c r="N38" i="61"/>
  <c r="N49" i="61"/>
  <c r="N57" i="61"/>
  <c r="N65" i="61"/>
  <c r="N88" i="61"/>
  <c r="N104" i="61"/>
  <c r="N115" i="61"/>
  <c r="N126" i="61"/>
  <c r="N130" i="61"/>
  <c r="N134" i="61"/>
  <c r="N138" i="61"/>
  <c r="N142" i="61"/>
  <c r="N146" i="61"/>
  <c r="N150" i="61"/>
  <c r="N161" i="61"/>
  <c r="N171" i="61"/>
  <c r="N198" i="61"/>
  <c r="N202" i="61"/>
  <c r="N206" i="61"/>
  <c r="N210" i="61"/>
  <c r="N214" i="61"/>
  <c r="N218" i="61"/>
  <c r="N222" i="61"/>
  <c r="N226" i="61"/>
  <c r="N230" i="61"/>
  <c r="N234" i="61"/>
  <c r="N238" i="61"/>
  <c r="N253" i="61"/>
  <c r="N314" i="61"/>
  <c r="N318" i="61"/>
  <c r="N334" i="61"/>
  <c r="N342" i="61"/>
  <c r="N350" i="61"/>
  <c r="N358" i="61"/>
  <c r="N366" i="61"/>
  <c r="N374" i="61"/>
  <c r="N382" i="61"/>
  <c r="N390" i="61"/>
  <c r="N410" i="61"/>
  <c r="N414" i="61"/>
  <c r="N418" i="61"/>
  <c r="N422" i="61"/>
  <c r="N442" i="61"/>
  <c r="N458" i="61"/>
  <c r="N474" i="61"/>
  <c r="N490" i="61"/>
  <c r="N538" i="61"/>
  <c r="N554" i="61"/>
  <c r="N570" i="61"/>
  <c r="N594" i="61"/>
  <c r="N610" i="61"/>
  <c r="N626" i="61"/>
  <c r="N642" i="61"/>
  <c r="N650" i="61"/>
  <c r="N654" i="61"/>
  <c r="BL19" i="65"/>
  <c r="BI20" i="65"/>
  <c r="BI22" i="65"/>
  <c r="DJ26" i="65"/>
  <c r="DJ33" i="65"/>
  <c r="BJ37" i="65"/>
  <c r="BH41" i="65"/>
  <c r="BL47" i="65"/>
  <c r="BO48" i="65"/>
  <c r="BL50" i="65"/>
  <c r="BN69" i="65"/>
  <c r="DJ77" i="65"/>
  <c r="BK87" i="65"/>
  <c r="BL93" i="65"/>
  <c r="BM112" i="65"/>
  <c r="BN129" i="65"/>
  <c r="BM137" i="65"/>
  <c r="BL146" i="65"/>
  <c r="BL150" i="65"/>
  <c r="BL152" i="65"/>
  <c r="BH154" i="65"/>
  <c r="BH163" i="65"/>
  <c r="BL166" i="65"/>
  <c r="BK168" i="65"/>
  <c r="BM169" i="65"/>
  <c r="BI174" i="65"/>
  <c r="BI180" i="65"/>
  <c r="BK189" i="65"/>
  <c r="BL194" i="65"/>
  <c r="BL196" i="65"/>
  <c r="BL202" i="65"/>
  <c r="DJ221" i="65"/>
  <c r="BN238" i="65"/>
  <c r="BM278" i="65"/>
  <c r="BM19" i="65"/>
  <c r="BM50" i="65"/>
  <c r="BL87" i="65"/>
  <c r="BN112" i="65"/>
  <c r="BO116" i="65"/>
  <c r="BJ174" i="65"/>
  <c r="DJ265" i="65"/>
  <c r="CI4" i="65"/>
  <c r="DJ103" i="65"/>
  <c r="BM131" i="65"/>
  <c r="BK136" i="65"/>
  <c r="BN146" i="65"/>
  <c r="BL154" i="65"/>
  <c r="BI162" i="65"/>
  <c r="BK174" i="65"/>
  <c r="BM180" i="65"/>
  <c r="BK193" i="65"/>
  <c r="BI207" i="65"/>
  <c r="BK210" i="65"/>
  <c r="BI221" i="65"/>
  <c r="BH226" i="65"/>
  <c r="BJ228" i="65"/>
  <c r="DJ231" i="65"/>
  <c r="BH238" i="65"/>
  <c r="BK240" i="65"/>
  <c r="BH257" i="65"/>
  <c r="DJ259" i="65"/>
  <c r="BI265" i="65"/>
  <c r="BH271" i="65"/>
  <c r="BK280" i="65"/>
  <c r="N647" i="61"/>
  <c r="BO12" i="65"/>
  <c r="BK13" i="65"/>
  <c r="BI14" i="65"/>
  <c r="DJ16" i="65"/>
  <c r="BO20" i="65"/>
  <c r="BH26" i="65"/>
  <c r="BL33" i="65"/>
  <c r="BO36" i="65"/>
  <c r="BN41" i="65"/>
  <c r="DJ51" i="65"/>
  <c r="BK57" i="65"/>
  <c r="BJ60" i="65"/>
  <c r="BM61" i="65"/>
  <c r="BH65" i="65"/>
  <c r="BL66" i="65"/>
  <c r="DJ69" i="65"/>
  <c r="BM75" i="65"/>
  <c r="BH77" i="65"/>
  <c r="BH80" i="65"/>
  <c r="BL95" i="65"/>
  <c r="BJ99" i="65"/>
  <c r="BM100" i="65"/>
  <c r="BH103" i="65"/>
  <c r="BJ107" i="65"/>
  <c r="BJ108" i="65"/>
  <c r="BH112" i="65"/>
  <c r="BH125" i="65"/>
  <c r="BI128" i="65"/>
  <c r="BL136" i="65"/>
  <c r="BN140" i="65"/>
  <c r="BH148" i="65"/>
  <c r="BN154" i="65"/>
  <c r="BK162" i="65"/>
  <c r="DJ169" i="65"/>
  <c r="BL174" i="65"/>
  <c r="BN180" i="65"/>
  <c r="BJ207" i="65"/>
  <c r="BJ221" i="65"/>
  <c r="BL228" i="65"/>
  <c r="BJ234" i="65"/>
  <c r="BI238" i="65"/>
  <c r="DJ238" i="65"/>
  <c r="BN240" i="65"/>
  <c r="BL244" i="65"/>
  <c r="DJ246" i="65"/>
  <c r="BI257" i="65"/>
  <c r="BH259" i="65"/>
  <c r="BJ265" i="65"/>
  <c r="BI271" i="65"/>
  <c r="N269" i="61"/>
  <c r="N277" i="61"/>
  <c r="N285" i="61"/>
  <c r="N293" i="61"/>
  <c r="N301" i="61"/>
  <c r="N320" i="61"/>
  <c r="N336" i="61"/>
  <c r="N344" i="61"/>
  <c r="N352" i="61"/>
  <c r="N360" i="61"/>
  <c r="N368" i="61"/>
  <c r="N376" i="61"/>
  <c r="N384" i="61"/>
  <c r="N392" i="61"/>
  <c r="N408" i="61"/>
  <c r="N416" i="61"/>
  <c r="N424" i="61"/>
  <c r="N436" i="61"/>
  <c r="N452" i="61"/>
  <c r="N468" i="61"/>
  <c r="N484" i="61"/>
  <c r="N500" i="61"/>
  <c r="N516" i="61"/>
  <c r="N532" i="61"/>
  <c r="N548" i="61"/>
  <c r="N564" i="61"/>
  <c r="N580" i="61"/>
  <c r="N596" i="61"/>
  <c r="N604" i="61"/>
  <c r="N612" i="61"/>
  <c r="N620" i="61"/>
  <c r="N628" i="61"/>
  <c r="N636" i="61"/>
  <c r="N644" i="61"/>
  <c r="N652" i="61"/>
  <c r="BK14" i="65"/>
  <c r="BO23" i="65"/>
  <c r="BI26" i="65"/>
  <c r="BM33" i="65"/>
  <c r="BK38" i="65"/>
  <c r="BI40" i="65"/>
  <c r="BL54" i="65"/>
  <c r="BL60" i="65"/>
  <c r="BM65" i="65"/>
  <c r="BL77" i="65"/>
  <c r="BI80" i="65"/>
  <c r="BK82" i="65"/>
  <c r="BK90" i="65"/>
  <c r="DJ93" i="65"/>
  <c r="BK99" i="65"/>
  <c r="BN100" i="65"/>
  <c r="BJ103" i="65"/>
  <c r="BH104" i="65"/>
  <c r="BK107" i="65"/>
  <c r="BM108" i="65"/>
  <c r="BI112" i="65"/>
  <c r="DJ112" i="65"/>
  <c r="BO128" i="65"/>
  <c r="BJ133" i="65"/>
  <c r="BI148" i="65"/>
  <c r="BM153" i="65"/>
  <c r="BN174" i="65"/>
  <c r="BK178" i="65"/>
  <c r="BM221" i="65"/>
  <c r="BK234" i="65"/>
  <c r="BJ238" i="65"/>
  <c r="DJ251" i="65"/>
  <c r="BI259" i="65"/>
  <c r="BH264" i="65"/>
  <c r="BK265" i="65"/>
  <c r="BJ271" i="65"/>
  <c r="I29" i="62"/>
  <c r="M29" i="62" s="1"/>
  <c r="D234" i="59" s="1"/>
  <c r="DJ9" i="65"/>
  <c r="BO14" i="65"/>
  <c r="BK26" i="65"/>
  <c r="DJ34" i="65"/>
  <c r="BM77" i="65"/>
  <c r="BK103" i="65"/>
  <c r="BN107" i="65"/>
  <c r="BJ112" i="65"/>
  <c r="DJ146" i="65"/>
  <c r="BN221" i="65"/>
  <c r="BK238" i="65"/>
  <c r="BL265" i="65"/>
  <c r="DJ267" i="65"/>
  <c r="BL271" i="65"/>
  <c r="BK275" i="65"/>
  <c r="BL279" i="65"/>
  <c r="N274" i="61"/>
  <c r="N282" i="61"/>
  <c r="N290" i="61"/>
  <c r="N298" i="61"/>
  <c r="N329" i="61"/>
  <c r="N429" i="61"/>
  <c r="N437" i="61"/>
  <c r="N445" i="61"/>
  <c r="N453" i="61"/>
  <c r="N461" i="61"/>
  <c r="N469" i="61"/>
  <c r="N477" i="61"/>
  <c r="N485" i="61"/>
  <c r="N501" i="61"/>
  <c r="N649" i="61"/>
  <c r="DJ19" i="65"/>
  <c r="BL103" i="65"/>
  <c r="BK112" i="65"/>
  <c r="BO8" i="65"/>
  <c r="BN9" i="65"/>
  <c r="CI14" i="65"/>
  <c r="BH19" i="65"/>
  <c r="DJ20" i="65"/>
  <c r="BO22" i="65"/>
  <c r="BO25" i="65"/>
  <c r="BH37" i="65"/>
  <c r="BO39" i="65"/>
  <c r="BO46" i="65"/>
  <c r="BN48" i="65"/>
  <c r="BK50" i="65"/>
  <c r="BN59" i="65"/>
  <c r="BK64" i="65"/>
  <c r="BI76" i="65"/>
  <c r="BL79" i="65"/>
  <c r="DJ82" i="65"/>
  <c r="BJ87" i="65"/>
  <c r="BK93" i="65"/>
  <c r="DJ100" i="65"/>
  <c r="BM102" i="65"/>
  <c r="BM103" i="65"/>
  <c r="BN104" i="65"/>
  <c r="BJ123" i="65"/>
  <c r="BJ150" i="65"/>
  <c r="BJ152" i="65"/>
  <c r="BH174" i="65"/>
  <c r="DJ174" i="65"/>
  <c r="BI216" i="65"/>
  <c r="BK229" i="65"/>
  <c r="C82" i="59"/>
  <c r="E82" i="59" s="1"/>
  <c r="C90" i="59"/>
  <c r="E90" i="59" s="1"/>
  <c r="D35" i="59"/>
  <c r="N15" i="61"/>
  <c r="C209" i="59" s="1"/>
  <c r="N21" i="61"/>
  <c r="N53" i="61"/>
  <c r="N80" i="61"/>
  <c r="N96" i="61"/>
  <c r="N112" i="61"/>
  <c r="N128" i="61"/>
  <c r="N144" i="61"/>
  <c r="N181" i="61"/>
  <c r="N208" i="61"/>
  <c r="N224" i="61"/>
  <c r="N240" i="61"/>
  <c r="N256" i="61"/>
  <c r="N267" i="61"/>
  <c r="N273" i="61"/>
  <c r="N278" i="61"/>
  <c r="N283" i="61"/>
  <c r="N289" i="61"/>
  <c r="N294" i="61"/>
  <c r="N299" i="61"/>
  <c r="N321" i="61"/>
  <c r="N326" i="61"/>
  <c r="N331" i="61"/>
  <c r="N337" i="61"/>
  <c r="N347" i="61"/>
  <c r="N353" i="61"/>
  <c r="N363" i="61"/>
  <c r="N369" i="61"/>
  <c r="N379" i="61"/>
  <c r="N385" i="61"/>
  <c r="N395" i="61"/>
  <c r="N430" i="61"/>
  <c r="N454" i="61"/>
  <c r="N478" i="61"/>
  <c r="N526" i="61"/>
  <c r="N574" i="61"/>
  <c r="N622" i="61"/>
  <c r="N81" i="61"/>
  <c r="N97" i="61"/>
  <c r="N129" i="61"/>
  <c r="N145" i="61"/>
  <c r="N209" i="61"/>
  <c r="N225" i="61"/>
  <c r="N257" i="61"/>
  <c r="N268" i="61"/>
  <c r="N284" i="61"/>
  <c r="N300" i="61"/>
  <c r="N332" i="61"/>
  <c r="N327" i="61"/>
  <c r="N420" i="61"/>
  <c r="N431" i="61"/>
  <c r="C122" i="59"/>
  <c r="E122" i="59" s="1"/>
  <c r="N11" i="61"/>
  <c r="C214" i="59" s="1"/>
  <c r="N22" i="61"/>
  <c r="N54" i="61"/>
  <c r="N59" i="61"/>
  <c r="N87" i="61"/>
  <c r="N103" i="61"/>
  <c r="N135" i="61"/>
  <c r="N182" i="61"/>
  <c r="N187" i="61"/>
  <c r="N215" i="61"/>
  <c r="N231" i="61"/>
  <c r="N263" i="61"/>
  <c r="N311" i="61"/>
  <c r="N343" i="61"/>
  <c r="N359" i="61"/>
  <c r="N375" i="61"/>
  <c r="N12" i="61"/>
  <c r="C210" i="59" s="1"/>
  <c r="N39" i="61"/>
  <c r="N60" i="61"/>
  <c r="N71" i="61"/>
  <c r="N77" i="61"/>
  <c r="N93" i="61"/>
  <c r="N109" i="61"/>
  <c r="N119" i="61"/>
  <c r="N141" i="61"/>
  <c r="N151" i="61"/>
  <c r="N167" i="61"/>
  <c r="N188" i="61"/>
  <c r="N199" i="61"/>
  <c r="N205" i="61"/>
  <c r="N221" i="61"/>
  <c r="N237" i="61"/>
  <c r="N247" i="61"/>
  <c r="N280" i="61"/>
  <c r="N296" i="61"/>
  <c r="N317" i="61"/>
  <c r="N328" i="61"/>
  <c r="N421" i="61"/>
  <c r="N438" i="61"/>
  <c r="N450" i="61"/>
  <c r="N462" i="61"/>
  <c r="N510" i="61"/>
  <c r="N558" i="61"/>
  <c r="N606" i="61"/>
  <c r="C84" i="59"/>
  <c r="C116" i="59"/>
  <c r="E116" i="59" s="1"/>
  <c r="P10" i="60"/>
  <c r="N29" i="61"/>
  <c r="N40" i="61"/>
  <c r="N45" i="61"/>
  <c r="N61" i="61"/>
  <c r="N72" i="61"/>
  <c r="N120" i="61"/>
  <c r="N152" i="61"/>
  <c r="N168" i="61"/>
  <c r="N189" i="61"/>
  <c r="N200" i="61"/>
  <c r="N248" i="61"/>
  <c r="N265" i="61"/>
  <c r="N275" i="61"/>
  <c r="N291" i="61"/>
  <c r="N323" i="61"/>
  <c r="N339" i="61"/>
  <c r="N345" i="61"/>
  <c r="N355" i="61"/>
  <c r="N361" i="61"/>
  <c r="N371" i="61"/>
  <c r="N377" i="61"/>
  <c r="N387" i="61"/>
  <c r="N393" i="61"/>
  <c r="N398" i="61"/>
  <c r="M15" i="60"/>
  <c r="N73" i="61"/>
  <c r="N201" i="61"/>
  <c r="N276" i="61"/>
  <c r="N292" i="61"/>
  <c r="N399" i="61"/>
  <c r="N434" i="61"/>
  <c r="N446" i="61"/>
  <c r="N470" i="61"/>
  <c r="N494" i="61"/>
  <c r="N542" i="61"/>
  <c r="N590" i="61"/>
  <c r="N638" i="61"/>
  <c r="M11" i="60"/>
  <c r="N19" i="61"/>
  <c r="N51" i="61"/>
  <c r="N62" i="61"/>
  <c r="N179" i="61"/>
  <c r="N190" i="61"/>
  <c r="N271" i="61"/>
  <c r="N287" i="61"/>
  <c r="N303" i="61"/>
  <c r="N319" i="61"/>
  <c r="N335" i="61"/>
  <c r="N351" i="61"/>
  <c r="N367" i="61"/>
  <c r="N383" i="61"/>
  <c r="C92" i="59"/>
  <c r="E92" i="59" s="1"/>
  <c r="P11" i="60"/>
  <c r="N20" i="61"/>
  <c r="N52" i="61"/>
  <c r="N79" i="61"/>
  <c r="N85" i="61"/>
  <c r="N95" i="61"/>
  <c r="N101" i="61"/>
  <c r="N111" i="61"/>
  <c r="N127" i="61"/>
  <c r="N133" i="61"/>
  <c r="N143" i="61"/>
  <c r="N149" i="61"/>
  <c r="N180" i="61"/>
  <c r="N207" i="61"/>
  <c r="N213" i="61"/>
  <c r="N223" i="61"/>
  <c r="N229" i="61"/>
  <c r="N239" i="61"/>
  <c r="N255" i="61"/>
  <c r="N261" i="61"/>
  <c r="N309" i="61"/>
  <c r="N400" i="61"/>
  <c r="N406" i="61"/>
  <c r="N412" i="61"/>
  <c r="N447" i="61"/>
  <c r="N463" i="61"/>
  <c r="N479" i="61"/>
  <c r="N495" i="61"/>
  <c r="N511" i="61"/>
  <c r="N527" i="61"/>
  <c r="N543" i="61"/>
  <c r="N559" i="61"/>
  <c r="N575" i="61"/>
  <c r="N591" i="61"/>
  <c r="N607" i="61"/>
  <c r="N623" i="61"/>
  <c r="N639" i="61"/>
  <c r="BO44" i="65"/>
  <c r="BI44" i="65"/>
  <c r="BL127" i="65"/>
  <c r="BK127" i="65"/>
  <c r="DJ199" i="65"/>
  <c r="BN199" i="65"/>
  <c r="BM199" i="65"/>
  <c r="BJ199" i="65"/>
  <c r="BI199" i="65"/>
  <c r="BH199" i="65"/>
  <c r="BM211" i="65"/>
  <c r="BL211" i="65"/>
  <c r="BK211" i="65"/>
  <c r="BJ211" i="65"/>
  <c r="BI211" i="65"/>
  <c r="BH211" i="65"/>
  <c r="DJ211" i="65"/>
  <c r="N517" i="61"/>
  <c r="N533" i="61"/>
  <c r="N549" i="61"/>
  <c r="N565" i="61"/>
  <c r="N581" i="61"/>
  <c r="N597" i="61"/>
  <c r="N613" i="61"/>
  <c r="N629" i="61"/>
  <c r="N645" i="61"/>
  <c r="M40" i="62"/>
  <c r="D237" i="59" s="1"/>
  <c r="BO6" i="65"/>
  <c r="DJ6" i="65"/>
  <c r="BI18" i="65"/>
  <c r="BM21" i="65"/>
  <c r="BH28" i="65"/>
  <c r="BM29" i="65"/>
  <c r="BO32" i="65"/>
  <c r="BH44" i="65"/>
  <c r="BH62" i="65"/>
  <c r="BI64" i="65"/>
  <c r="BI71" i="65"/>
  <c r="BN74" i="65"/>
  <c r="BH76" i="65"/>
  <c r="BH90" i="65"/>
  <c r="BH122" i="65"/>
  <c r="BH127" i="65"/>
  <c r="BH138" i="65"/>
  <c r="BI157" i="65"/>
  <c r="BN166" i="65"/>
  <c r="BM166" i="65"/>
  <c r="BL168" i="65"/>
  <c r="DJ168" i="65"/>
  <c r="BN168" i="65"/>
  <c r="BM168" i="65"/>
  <c r="BK199" i="65"/>
  <c r="BN211" i="65"/>
  <c r="DJ218" i="65"/>
  <c r="BM218" i="65"/>
  <c r="BL218" i="65"/>
  <c r="BK218" i="65"/>
  <c r="BJ218" i="65"/>
  <c r="N624" i="61"/>
  <c r="M32" i="62"/>
  <c r="D235" i="59" s="1"/>
  <c r="BL86" i="65"/>
  <c r="BN86" i="65"/>
  <c r="BL92" i="65"/>
  <c r="BJ92" i="65"/>
  <c r="BI122" i="65"/>
  <c r="BI127" i="65"/>
  <c r="BJ157" i="65"/>
  <c r="BK266" i="65"/>
  <c r="BI266" i="65"/>
  <c r="N411" i="61"/>
  <c r="N417" i="61"/>
  <c r="N427" i="61"/>
  <c r="N433" i="61"/>
  <c r="N443" i="61"/>
  <c r="N449" i="61"/>
  <c r="N459" i="61"/>
  <c r="N465" i="61"/>
  <c r="N475" i="61"/>
  <c r="N481" i="61"/>
  <c r="N491" i="61"/>
  <c r="N497" i="61"/>
  <c r="N507" i="61"/>
  <c r="N513" i="61"/>
  <c r="N523" i="61"/>
  <c r="N529" i="61"/>
  <c r="N539" i="61"/>
  <c r="N545" i="61"/>
  <c r="N555" i="61"/>
  <c r="N561" i="61"/>
  <c r="N571" i="61"/>
  <c r="N577" i="61"/>
  <c r="N587" i="61"/>
  <c r="N593" i="61"/>
  <c r="N603" i="61"/>
  <c r="N609" i="61"/>
  <c r="N619" i="61"/>
  <c r="N625" i="61"/>
  <c r="N635" i="61"/>
  <c r="N641" i="61"/>
  <c r="N651" i="61"/>
  <c r="H22" i="62"/>
  <c r="BL3" i="65"/>
  <c r="BK5" i="65"/>
  <c r="BI6" i="65"/>
  <c r="BN18" i="65"/>
  <c r="BO9" i="65"/>
  <c r="BI24" i="65"/>
  <c r="BH27" i="65"/>
  <c r="BO28" i="65"/>
  <c r="BI32" i="65"/>
  <c r="BO35" i="65"/>
  <c r="BO40" i="65"/>
  <c r="BK44" i="65"/>
  <c r="BH56" i="65"/>
  <c r="BI59" i="65"/>
  <c r="BJ62" i="65"/>
  <c r="BI68" i="65"/>
  <c r="BK71" i="65"/>
  <c r="BJ76" i="65"/>
  <c r="BH86" i="65"/>
  <c r="BL90" i="65"/>
  <c r="BH92" i="65"/>
  <c r="BI97" i="65"/>
  <c r="DJ109" i="65"/>
  <c r="BH116" i="65"/>
  <c r="BM122" i="65"/>
  <c r="BJ127" i="65"/>
  <c r="DJ135" i="65"/>
  <c r="BJ135" i="65"/>
  <c r="BI141" i="65"/>
  <c r="BH141" i="65"/>
  <c r="BH145" i="65"/>
  <c r="BM157" i="65"/>
  <c r="BI166" i="65"/>
  <c r="BI168" i="65"/>
  <c r="BN215" i="65"/>
  <c r="BM215" i="65"/>
  <c r="BL215" i="65"/>
  <c r="BK215" i="65"/>
  <c r="BH215" i="65"/>
  <c r="DJ215" i="65"/>
  <c r="BN277" i="65"/>
  <c r="BL277" i="65"/>
  <c r="BK277" i="65"/>
  <c r="BJ277" i="65"/>
  <c r="BI277" i="65"/>
  <c r="BH277" i="65"/>
  <c r="DJ277" i="65"/>
  <c r="N428" i="61"/>
  <c r="N444" i="61"/>
  <c r="N460" i="61"/>
  <c r="N476" i="61"/>
  <c r="N492" i="61"/>
  <c r="N508" i="61"/>
  <c r="N524" i="61"/>
  <c r="N540" i="61"/>
  <c r="N556" i="61"/>
  <c r="N572" i="61"/>
  <c r="N588" i="61"/>
  <c r="BM3" i="65"/>
  <c r="BO4" i="65"/>
  <c r="BL5" i="65"/>
  <c r="BJ6" i="65"/>
  <c r="BI9" i="65"/>
  <c r="BH13" i="65"/>
  <c r="DJ13" i="65"/>
  <c r="BO16" i="65"/>
  <c r="BH23" i="65"/>
  <c r="BL24" i="65"/>
  <c r="BJ27" i="65"/>
  <c r="BJ32" i="65"/>
  <c r="BH35" i="65"/>
  <c r="DJ41" i="65"/>
  <c r="BM44" i="65"/>
  <c r="BI56" i="65"/>
  <c r="BH58" i="65"/>
  <c r="BJ59" i="65"/>
  <c r="BK62" i="65"/>
  <c r="BJ68" i="65"/>
  <c r="BL71" i="65"/>
  <c r="DJ74" i="65"/>
  <c r="BM76" i="65"/>
  <c r="BH82" i="65"/>
  <c r="BI86" i="65"/>
  <c r="BI92" i="65"/>
  <c r="BJ97" i="65"/>
  <c r="BH102" i="65"/>
  <c r="BK116" i="65"/>
  <c r="BN122" i="65"/>
  <c r="BN127" i="65"/>
  <c r="BI133" i="65"/>
  <c r="BH135" i="65"/>
  <c r="BK141" i="65"/>
  <c r="BK145" i="65"/>
  <c r="BL162" i="65"/>
  <c r="DJ162" i="65"/>
  <c r="BJ166" i="65"/>
  <c r="BJ168" i="65"/>
  <c r="BH172" i="65"/>
  <c r="BJ172" i="65"/>
  <c r="BI172" i="65"/>
  <c r="DJ172" i="65"/>
  <c r="DJ192" i="65"/>
  <c r="BN192" i="65"/>
  <c r="BJ192" i="65"/>
  <c r="BI192" i="65"/>
  <c r="BH192" i="65"/>
  <c r="DJ197" i="65"/>
  <c r="BL197" i="65"/>
  <c r="BJ197" i="65"/>
  <c r="BH197" i="65"/>
  <c r="DJ245" i="65"/>
  <c r="BK245" i="65"/>
  <c r="BO145" i="65"/>
  <c r="BK6" i="65"/>
  <c r="BL9" i="65"/>
  <c r="BI13" i="65"/>
  <c r="BI23" i="65"/>
  <c r="BM24" i="65"/>
  <c r="BK27" i="65"/>
  <c r="DJ29" i="65"/>
  <c r="BK32" i="65"/>
  <c r="BI35" i="65"/>
  <c r="BI58" i="65"/>
  <c r="BK59" i="65"/>
  <c r="BM62" i="65"/>
  <c r="BK68" i="65"/>
  <c r="BM71" i="65"/>
  <c r="BN76" i="65"/>
  <c r="BL80" i="65"/>
  <c r="BM80" i="65"/>
  <c r="BI82" i="65"/>
  <c r="BJ86" i="65"/>
  <c r="BM92" i="65"/>
  <c r="BK97" i="65"/>
  <c r="BL116" i="65"/>
  <c r="BH124" i="65"/>
  <c r="BJ124" i="65"/>
  <c r="BI124" i="65"/>
  <c r="BL147" i="65"/>
  <c r="BN147" i="65"/>
  <c r="BI147" i="65"/>
  <c r="DJ160" i="65"/>
  <c r="BH160" i="65"/>
  <c r="BJ170" i="65"/>
  <c r="BK170" i="65"/>
  <c r="BI170" i="65"/>
  <c r="BL182" i="65"/>
  <c r="BJ182" i="65"/>
  <c r="N407" i="61"/>
  <c r="N423" i="61"/>
  <c r="N439" i="61"/>
  <c r="N455" i="61"/>
  <c r="N471" i="61"/>
  <c r="N487" i="61"/>
  <c r="N493" i="61"/>
  <c r="N503" i="61"/>
  <c r="N519" i="61"/>
  <c r="N535" i="61"/>
  <c r="N551" i="61"/>
  <c r="N567" i="61"/>
  <c r="N583" i="61"/>
  <c r="N599" i="61"/>
  <c r="N615" i="61"/>
  <c r="N631" i="61"/>
  <c r="CQ3" i="65"/>
  <c r="BL6" i="65"/>
  <c r="BM9" i="65"/>
  <c r="BJ13" i="65"/>
  <c r="BO17" i="65"/>
  <c r="DJ21" i="65"/>
  <c r="BJ23" i="65"/>
  <c r="BO24" i="65"/>
  <c r="BL27" i="65"/>
  <c r="BM32" i="65"/>
  <c r="BJ35" i="65"/>
  <c r="BJ58" i="65"/>
  <c r="BM59" i="65"/>
  <c r="BO65" i="65"/>
  <c r="DJ65" i="65"/>
  <c r="BL68" i="65"/>
  <c r="BN71" i="65"/>
  <c r="BJ82" i="65"/>
  <c r="BM86" i="65"/>
  <c r="BN92" i="65"/>
  <c r="BL97" i="65"/>
  <c r="BJ119" i="65"/>
  <c r="BI119" i="65"/>
  <c r="BM124" i="65"/>
  <c r="BO135" i="65"/>
  <c r="BK147" i="65"/>
  <c r="DJ155" i="65"/>
  <c r="BL155" i="65"/>
  <c r="BK155" i="65"/>
  <c r="DJ158" i="65"/>
  <c r="BL158" i="65"/>
  <c r="BJ158" i="65"/>
  <c r="BH170" i="65"/>
  <c r="N525" i="61"/>
  <c r="N541" i="61"/>
  <c r="N557" i="61"/>
  <c r="N573" i="61"/>
  <c r="N589" i="61"/>
  <c r="N605" i="61"/>
  <c r="N621" i="61"/>
  <c r="N637" i="61"/>
  <c r="N653" i="61"/>
  <c r="BM27" i="65"/>
  <c r="DJ44" i="65"/>
  <c r="BM68" i="65"/>
  <c r="BM97" i="65"/>
  <c r="DJ127" i="65"/>
  <c r="BK188" i="65"/>
  <c r="BJ188" i="65"/>
  <c r="H29" i="62"/>
  <c r="BN6" i="65"/>
  <c r="BM7" i="65"/>
  <c r="BL13" i="65"/>
  <c r="BJ14" i="65"/>
  <c r="BK16" i="65"/>
  <c r="BH21" i="65"/>
  <c r="BL23" i="65"/>
  <c r="BJ26" i="65"/>
  <c r="BN27" i="65"/>
  <c r="BH29" i="65"/>
  <c r="BL35" i="65"/>
  <c r="BI37" i="65"/>
  <c r="BI41" i="65"/>
  <c r="BI45" i="65"/>
  <c r="BM45" i="65"/>
  <c r="BJ55" i="65"/>
  <c r="BM58" i="65"/>
  <c r="DJ62" i="65"/>
  <c r="BI65" i="65"/>
  <c r="BN70" i="65"/>
  <c r="BH74" i="65"/>
  <c r="BJ80" i="65"/>
  <c r="BM82" i="65"/>
  <c r="BJ91" i="65"/>
  <c r="BI96" i="65"/>
  <c r="BH101" i="65"/>
  <c r="BN102" i="65"/>
  <c r="BI105" i="65"/>
  <c r="BH109" i="65"/>
  <c r="BK115" i="65"/>
  <c r="BL119" i="65"/>
  <c r="BO130" i="65"/>
  <c r="BM130" i="65"/>
  <c r="BM133" i="65"/>
  <c r="BH140" i="65"/>
  <c r="BO142" i="65"/>
  <c r="BN142" i="65"/>
  <c r="BM142" i="65"/>
  <c r="BJ142" i="65"/>
  <c r="BI149" i="65"/>
  <c r="BJ151" i="65"/>
  <c r="BM158" i="65"/>
  <c r="DJ161" i="65"/>
  <c r="BM161" i="65"/>
  <c r="BL161" i="65"/>
  <c r="BN162" i="65"/>
  <c r="BM170" i="65"/>
  <c r="BN172" i="65"/>
  <c r="BN177" i="65"/>
  <c r="BJ177" i="65"/>
  <c r="BI177" i="65"/>
  <c r="BN182" i="65"/>
  <c r="BH188" i="65"/>
  <c r="DJ272" i="65"/>
  <c r="BM272" i="65"/>
  <c r="BL272" i="65"/>
  <c r="N403" i="61"/>
  <c r="N409" i="61"/>
  <c r="N419" i="61"/>
  <c r="N425" i="61"/>
  <c r="N435" i="61"/>
  <c r="N441" i="61"/>
  <c r="N451" i="61"/>
  <c r="N457" i="61"/>
  <c r="N467" i="61"/>
  <c r="N473" i="61"/>
  <c r="N483" i="61"/>
  <c r="N489" i="61"/>
  <c r="N499" i="61"/>
  <c r="N505" i="61"/>
  <c r="N515" i="61"/>
  <c r="N521" i="61"/>
  <c r="N531" i="61"/>
  <c r="N537" i="61"/>
  <c r="N547" i="61"/>
  <c r="N553" i="61"/>
  <c r="N563" i="61"/>
  <c r="N569" i="61"/>
  <c r="N579" i="61"/>
  <c r="N585" i="61"/>
  <c r="N595" i="61"/>
  <c r="N601" i="61"/>
  <c r="N611" i="61"/>
  <c r="N617" i="61"/>
  <c r="N627" i="61"/>
  <c r="N633" i="61"/>
  <c r="N643" i="61"/>
  <c r="BM13" i="65"/>
  <c r="BI21" i="65"/>
  <c r="BM23" i="65"/>
  <c r="BI29" i="65"/>
  <c r="DJ32" i="65"/>
  <c r="BM35" i="65"/>
  <c r="BL48" i="65"/>
  <c r="BJ48" i="65"/>
  <c r="BN50" i="65"/>
  <c r="BH50" i="65"/>
  <c r="BJ65" i="65"/>
  <c r="DJ71" i="65"/>
  <c r="BI74" i="65"/>
  <c r="BN82" i="65"/>
  <c r="BK91" i="65"/>
  <c r="BJ96" i="65"/>
  <c r="BI101" i="65"/>
  <c r="BL105" i="65"/>
  <c r="BI109" i="65"/>
  <c r="DJ113" i="65"/>
  <c r="BH113" i="65"/>
  <c r="BM119" i="65"/>
  <c r="BJ132" i="65"/>
  <c r="BI132" i="65"/>
  <c r="DJ136" i="65"/>
  <c r="BN136" i="65"/>
  <c r="BJ140" i="65"/>
  <c r="BK149" i="65"/>
  <c r="BN158" i="65"/>
  <c r="BH161" i="65"/>
  <c r="DJ166" i="65"/>
  <c r="BN170" i="65"/>
  <c r="BH177" i="65"/>
  <c r="BI186" i="65"/>
  <c r="BH186" i="65"/>
  <c r="DJ186" i="65"/>
  <c r="BN186" i="65"/>
  <c r="BM186" i="65"/>
  <c r="BI188" i="65"/>
  <c r="BN201" i="65"/>
  <c r="BL201" i="65"/>
  <c r="BJ201" i="65"/>
  <c r="BI201" i="65"/>
  <c r="DJ201" i="65"/>
  <c r="BL248" i="65"/>
  <c r="DJ248" i="65"/>
  <c r="BN248" i="65"/>
  <c r="BJ248" i="65"/>
  <c r="BI248" i="65"/>
  <c r="BH248" i="65"/>
  <c r="DJ4" i="65"/>
  <c r="BL14" i="65"/>
  <c r="BM16" i="65"/>
  <c r="BJ19" i="65"/>
  <c r="BJ20" i="65"/>
  <c r="BJ21" i="65"/>
  <c r="BM22" i="65"/>
  <c r="BN23" i="65"/>
  <c r="BJ29" i="65"/>
  <c r="BI34" i="65"/>
  <c r="BN35" i="65"/>
  <c r="BK41" i="65"/>
  <c r="BJ45" i="65"/>
  <c r="BH48" i="65"/>
  <c r="BI50" i="65"/>
  <c r="BJ51" i="65"/>
  <c r="BN55" i="65"/>
  <c r="DJ59" i="65"/>
  <c r="BK65" i="65"/>
  <c r="DJ68" i="65"/>
  <c r="BO72" i="65"/>
  <c r="BJ74" i="65"/>
  <c r="BJ77" i="65"/>
  <c r="BM85" i="65"/>
  <c r="BH87" i="65"/>
  <c r="BM91" i="65"/>
  <c r="BH93" i="65"/>
  <c r="BM96" i="65"/>
  <c r="DJ97" i="65"/>
  <c r="BH100" i="65"/>
  <c r="BL101" i="65"/>
  <c r="BI104" i="65"/>
  <c r="BM105" i="65"/>
  <c r="BJ109" i="65"/>
  <c r="BI113" i="65"/>
  <c r="BN119" i="65"/>
  <c r="DJ124" i="65"/>
  <c r="BK128" i="65"/>
  <c r="BJ130" i="65"/>
  <c r="BH132" i="65"/>
  <c r="BH136" i="65"/>
  <c r="BL140" i="65"/>
  <c r="BI142" i="65"/>
  <c r="DJ147" i="65"/>
  <c r="BI161" i="65"/>
  <c r="BK177" i="65"/>
  <c r="BL179" i="65"/>
  <c r="BM179" i="65"/>
  <c r="BK179" i="65"/>
  <c r="BI179" i="65"/>
  <c r="BH179" i="65"/>
  <c r="BJ186" i="65"/>
  <c r="BL188" i="65"/>
  <c r="DJ196" i="65"/>
  <c r="BN196" i="65"/>
  <c r="BM196" i="65"/>
  <c r="BJ196" i="65"/>
  <c r="BI196" i="65"/>
  <c r="BH196" i="65"/>
  <c r="BH201" i="65"/>
  <c r="I22" i="62"/>
  <c r="M22" i="62" s="1"/>
  <c r="D233" i="59" s="1"/>
  <c r="BN16" i="65"/>
  <c r="BK19" i="65"/>
  <c r="DJ27" i="65"/>
  <c r="BH33" i="65"/>
  <c r="BO34" i="65"/>
  <c r="BK45" i="65"/>
  <c r="DJ47" i="65"/>
  <c r="BH47" i="65"/>
  <c r="BK48" i="65"/>
  <c r="BJ50" i="65"/>
  <c r="BK51" i="65"/>
  <c r="DJ58" i="65"/>
  <c r="BL65" i="65"/>
  <c r="BO69" i="65"/>
  <c r="BL69" i="65"/>
  <c r="BL74" i="65"/>
  <c r="BK77" i="65"/>
  <c r="BI87" i="65"/>
  <c r="BO95" i="65"/>
  <c r="BN96" i="65"/>
  <c r="BI100" i="65"/>
  <c r="BM101" i="65"/>
  <c r="BJ104" i="65"/>
  <c r="BL109" i="65"/>
  <c r="BL113" i="65"/>
  <c r="DJ115" i="65"/>
  <c r="BL128" i="65"/>
  <c r="BK130" i="65"/>
  <c r="BI136" i="65"/>
  <c r="BM140" i="65"/>
  <c r="BK142" i="65"/>
  <c r="DJ148" i="65"/>
  <c r="BL148" i="65"/>
  <c r="BJ161" i="65"/>
  <c r="BJ163" i="65"/>
  <c r="BI163" i="65"/>
  <c r="BL177" i="65"/>
  <c r="BJ181" i="65"/>
  <c r="DJ181" i="65"/>
  <c r="BN181" i="65"/>
  <c r="BM181" i="65"/>
  <c r="BI181" i="65"/>
  <c r="BH181" i="65"/>
  <c r="BK183" i="65"/>
  <c r="BH183" i="65"/>
  <c r="BK186" i="65"/>
  <c r="BN188" i="65"/>
  <c r="BJ191" i="65"/>
  <c r="BH191" i="65"/>
  <c r="BK201" i="65"/>
  <c r="BN219" i="65"/>
  <c r="DJ220" i="65"/>
  <c r="BJ224" i="65"/>
  <c r="BH232" i="65"/>
  <c r="BH243" i="65"/>
  <c r="DJ256" i="65"/>
  <c r="BK276" i="65"/>
  <c r="BJ204" i="65"/>
  <c r="BI222" i="65"/>
  <c r="BK224" i="65"/>
  <c r="DJ225" i="65"/>
  <c r="BH228" i="65"/>
  <c r="BI232" i="65"/>
  <c r="BI243" i="65"/>
  <c r="BK246" i="65"/>
  <c r="BH249" i="65"/>
  <c r="DJ253" i="65"/>
  <c r="BH275" i="65"/>
  <c r="BO146" i="65"/>
  <c r="BH152" i="65"/>
  <c r="BH180" i="65"/>
  <c r="BH221" i="65"/>
  <c r="BM224" i="65"/>
  <c r="BI228" i="65"/>
  <c r="BJ232" i="65"/>
  <c r="BJ243" i="65"/>
  <c r="BL246" i="65"/>
  <c r="BI249" i="65"/>
  <c r="BK267" i="65"/>
  <c r="BI275" i="65"/>
  <c r="BK232" i="65"/>
  <c r="BK243" i="65"/>
  <c r="BJ275" i="65"/>
  <c r="BO99" i="65"/>
  <c r="BJ146" i="65"/>
  <c r="BM152" i="65"/>
  <c r="BJ154" i="65"/>
  <c r="BK180" i="65"/>
  <c r="BI220" i="65"/>
  <c r="BK221" i="65"/>
  <c r="BM228" i="65"/>
  <c r="BM232" i="65"/>
  <c r="BM243" i="65"/>
  <c r="BL249" i="65"/>
  <c r="BJ251" i="65"/>
  <c r="BM254" i="65"/>
  <c r="BI256" i="65"/>
  <c r="BL257" i="65"/>
  <c r="BJ259" i="65"/>
  <c r="BI274" i="65"/>
  <c r="BL275" i="65"/>
  <c r="BM280" i="65"/>
  <c r="BK146" i="65"/>
  <c r="BN152" i="65"/>
  <c r="BJ220" i="65"/>
  <c r="BN232" i="65"/>
  <c r="BN249" i="65"/>
  <c r="BN254" i="65"/>
  <c r="BJ256" i="65"/>
  <c r="BN257" i="65"/>
  <c r="BJ274" i="65"/>
  <c r="BM275" i="65"/>
  <c r="BK274" i="65"/>
  <c r="BN275" i="65"/>
  <c r="BH219" i="65"/>
  <c r="BL220" i="65"/>
  <c r="DJ243" i="65"/>
  <c r="BK253" i="65"/>
  <c r="BM256" i="65"/>
  <c r="BH261" i="65"/>
  <c r="BM274" i="65"/>
  <c r="DJ280" i="65"/>
  <c r="BH178" i="65"/>
  <c r="BI219" i="65"/>
  <c r="BJ247" i="65"/>
  <c r="DJ249" i="65"/>
  <c r="BL253" i="65"/>
  <c r="BN256" i="65"/>
  <c r="BI279" i="65"/>
  <c r="BJ219" i="65"/>
  <c r="BN253" i="65"/>
  <c r="BJ279" i="65"/>
  <c r="E267" i="59"/>
  <c r="H15" i="62"/>
  <c r="F61" i="59"/>
  <c r="G61" i="59"/>
  <c r="E61" i="59"/>
  <c r="J65" i="59"/>
  <c r="F65" i="59" s="1"/>
  <c r="F17" i="63"/>
  <c r="G17" i="63" s="1"/>
  <c r="H17" i="63" s="1"/>
  <c r="I17" i="63" s="1"/>
  <c r="J17" i="63" s="1"/>
  <c r="K17" i="63" s="1"/>
  <c r="L17" i="63" s="1"/>
  <c r="M17" i="63" s="1"/>
  <c r="N17" i="63" s="1"/>
  <c r="O17" i="63" s="1"/>
  <c r="P17" i="63" s="1"/>
  <c r="Q17" i="63" s="1"/>
  <c r="R17" i="63" s="1"/>
  <c r="S17" i="63" s="1"/>
  <c r="T17" i="63" s="1"/>
  <c r="U17" i="63" s="1"/>
  <c r="V17" i="63" s="1"/>
  <c r="W17" i="63" s="1"/>
  <c r="X17" i="63" s="1"/>
  <c r="Y17" i="63" s="1"/>
  <c r="Z17" i="63" s="1"/>
  <c r="AA17" i="63" s="1"/>
  <c r="AB17" i="63" s="1"/>
  <c r="AC17" i="63" s="1"/>
  <c r="AD17" i="63" s="1"/>
  <c r="AE17" i="63" s="1"/>
  <c r="AF17" i="63" s="1"/>
  <c r="AG17" i="63" s="1"/>
  <c r="AH17" i="63" s="1"/>
  <c r="C143" i="59"/>
  <c r="C191" i="59"/>
  <c r="BH139" i="65"/>
  <c r="BN139" i="65"/>
  <c r="BL139" i="65"/>
  <c r="BK139" i="65"/>
  <c r="BJ139" i="65"/>
  <c r="DJ139" i="65"/>
  <c r="BM139" i="65"/>
  <c r="BO139" i="65"/>
  <c r="BI139" i="65"/>
  <c r="D33" i="59"/>
  <c r="C80" i="59"/>
  <c r="C88" i="59"/>
  <c r="C96" i="59"/>
  <c r="E96" i="59" s="1"/>
  <c r="C104" i="59"/>
  <c r="C112" i="59"/>
  <c r="E112" i="59" s="1"/>
  <c r="C120" i="59"/>
  <c r="C144" i="59"/>
  <c r="C149" i="59"/>
  <c r="C160" i="59"/>
  <c r="C165" i="59"/>
  <c r="C176" i="59"/>
  <c r="C181" i="59"/>
  <c r="C192" i="59"/>
  <c r="C197" i="59"/>
  <c r="F33" i="59"/>
  <c r="D31" i="59"/>
  <c r="D37" i="59"/>
  <c r="C130" i="59"/>
  <c r="C134" i="59"/>
  <c r="C139" i="59"/>
  <c r="C150" i="59"/>
  <c r="C155" i="59"/>
  <c r="C166" i="59"/>
  <c r="C171" i="59"/>
  <c r="C182" i="59"/>
  <c r="C187" i="59"/>
  <c r="C198" i="59"/>
  <c r="C203" i="59"/>
  <c r="CK12" i="65"/>
  <c r="P9" i="60"/>
  <c r="M9" i="60"/>
  <c r="C159" i="59"/>
  <c r="C202" i="59"/>
  <c r="D34" i="59"/>
  <c r="E31" i="59"/>
  <c r="F37" i="59"/>
  <c r="C86" i="59"/>
  <c r="E86" i="59" s="1"/>
  <c r="C94" i="59"/>
  <c r="C102" i="59"/>
  <c r="E102" i="59" s="1"/>
  <c r="C110" i="59"/>
  <c r="E110" i="59" s="1"/>
  <c r="C118" i="59"/>
  <c r="E118" i="59" s="1"/>
  <c r="C140" i="59"/>
  <c r="C145" i="59"/>
  <c r="C156" i="59"/>
  <c r="C161" i="59"/>
  <c r="C172" i="59"/>
  <c r="C177" i="59"/>
  <c r="C188" i="59"/>
  <c r="C193" i="59"/>
  <c r="C204" i="59"/>
  <c r="N13" i="61"/>
  <c r="C212" i="59" s="1"/>
  <c r="C154" i="59"/>
  <c r="C186" i="59"/>
  <c r="CK7" i="65"/>
  <c r="E34" i="59"/>
  <c r="C135" i="59"/>
  <c r="C146" i="59"/>
  <c r="C151" i="59"/>
  <c r="C162" i="59"/>
  <c r="C167" i="59"/>
  <c r="C178" i="59"/>
  <c r="C183" i="59"/>
  <c r="C194" i="59"/>
  <c r="C199" i="59"/>
  <c r="C138" i="59"/>
  <c r="C175" i="59"/>
  <c r="N15" i="60"/>
  <c r="Q12" i="60"/>
  <c r="D36" i="59"/>
  <c r="C136" i="59"/>
  <c r="C141" i="59"/>
  <c r="C152" i="59"/>
  <c r="C157" i="59"/>
  <c r="C168" i="59"/>
  <c r="C173" i="59"/>
  <c r="C184" i="59"/>
  <c r="C189" i="59"/>
  <c r="C200" i="59"/>
  <c r="C205" i="59"/>
  <c r="M16" i="60"/>
  <c r="P13" i="60"/>
  <c r="C170" i="59"/>
  <c r="D32" i="59"/>
  <c r="F36" i="59"/>
  <c r="C128" i="59"/>
  <c r="C132" i="59"/>
  <c r="C142" i="59"/>
  <c r="C147" i="59"/>
  <c r="C158" i="59"/>
  <c r="C163" i="59"/>
  <c r="C174" i="59"/>
  <c r="C179" i="59"/>
  <c r="C190" i="59"/>
  <c r="C195" i="59"/>
  <c r="BN31" i="65"/>
  <c r="BM31" i="65"/>
  <c r="DJ31" i="65"/>
  <c r="BK31" i="65"/>
  <c r="BO31" i="65"/>
  <c r="BL31" i="65"/>
  <c r="BJ31" i="65"/>
  <c r="BI31" i="65"/>
  <c r="BH31" i="65"/>
  <c r="F32" i="59"/>
  <c r="G62" i="59"/>
  <c r="E62" i="59"/>
  <c r="C137" i="59"/>
  <c r="C148" i="59"/>
  <c r="C153" i="59"/>
  <c r="C164" i="59"/>
  <c r="C169" i="59"/>
  <c r="C180" i="59"/>
  <c r="C185" i="59"/>
  <c r="C196" i="59"/>
  <c r="C201" i="59"/>
  <c r="BM89" i="65"/>
  <c r="BL89" i="65"/>
  <c r="BH89" i="65"/>
  <c r="BO89" i="65"/>
  <c r="BN89" i="65"/>
  <c r="BK89" i="65"/>
  <c r="BI89" i="65"/>
  <c r="DJ89" i="65"/>
  <c r="BJ89" i="65"/>
  <c r="BM117" i="65"/>
  <c r="BL117" i="65"/>
  <c r="BI117" i="65"/>
  <c r="BH117" i="65"/>
  <c r="DJ117" i="65"/>
  <c r="BN117" i="65"/>
  <c r="BO117" i="65"/>
  <c r="BK117" i="65"/>
  <c r="BJ117" i="65"/>
  <c r="DJ165" i="65"/>
  <c r="BM165" i="65"/>
  <c r="BL165" i="65"/>
  <c r="BK165" i="65"/>
  <c r="BI165" i="65"/>
  <c r="BH165" i="65"/>
  <c r="BO165" i="65"/>
  <c r="BN165" i="65"/>
  <c r="BJ165" i="65"/>
  <c r="N37" i="61"/>
  <c r="D12" i="63"/>
  <c r="BM111" i="65"/>
  <c r="BL111" i="65"/>
  <c r="BI111" i="65"/>
  <c r="BH111" i="65"/>
  <c r="BO111" i="65"/>
  <c r="BK111" i="65"/>
  <c r="DJ111" i="65"/>
  <c r="BN111" i="65"/>
  <c r="BJ111" i="65"/>
  <c r="I15" i="62"/>
  <c r="M15" i="62" s="1"/>
  <c r="D232" i="59" s="1"/>
  <c r="DJ30" i="65"/>
  <c r="BK30" i="65"/>
  <c r="BJ30" i="65"/>
  <c r="BH30" i="65"/>
  <c r="BO30" i="65"/>
  <c r="BN30" i="65"/>
  <c r="BM30" i="65"/>
  <c r="BL30" i="65"/>
  <c r="BI30" i="65"/>
  <c r="BN84" i="65"/>
  <c r="BM84" i="65"/>
  <c r="BI84" i="65"/>
  <c r="BO84" i="65"/>
  <c r="BL84" i="65"/>
  <c r="BJ84" i="65"/>
  <c r="DJ84" i="65"/>
  <c r="BK84" i="65"/>
  <c r="BH84" i="65"/>
  <c r="BN106" i="65"/>
  <c r="BM106" i="65"/>
  <c r="BJ106" i="65"/>
  <c r="BI106" i="65"/>
  <c r="BL106" i="65"/>
  <c r="BK106" i="65"/>
  <c r="BH106" i="65"/>
  <c r="DJ106" i="65"/>
  <c r="BO106" i="65"/>
  <c r="BL143" i="65"/>
  <c r="BJ143" i="65"/>
  <c r="BH143" i="65"/>
  <c r="BM143" i="65"/>
  <c r="BK143" i="65"/>
  <c r="BI143" i="65"/>
  <c r="BO143" i="65"/>
  <c r="BN143" i="65"/>
  <c r="DJ143" i="65"/>
  <c r="M37" i="60"/>
  <c r="BI15" i="65"/>
  <c r="BO15" i="65"/>
  <c r="DJ15" i="65"/>
  <c r="BN15" i="65"/>
  <c r="BM15" i="65"/>
  <c r="BL15" i="65"/>
  <c r="BK15" i="65"/>
  <c r="BJ15" i="65"/>
  <c r="BH15" i="65"/>
  <c r="BJ78" i="65"/>
  <c r="BI78" i="65"/>
  <c r="BM78" i="65"/>
  <c r="BL78" i="65"/>
  <c r="BK78" i="65"/>
  <c r="DJ78" i="65"/>
  <c r="BH78" i="65"/>
  <c r="BO78" i="65"/>
  <c r="BN78" i="65"/>
  <c r="BL42" i="65"/>
  <c r="DJ42" i="65"/>
  <c r="BK42" i="65"/>
  <c r="BJ42" i="65"/>
  <c r="BH42" i="65"/>
  <c r="BM43" i="65"/>
  <c r="BL43" i="65"/>
  <c r="DJ43" i="65"/>
  <c r="BK43" i="65"/>
  <c r="BI43" i="65"/>
  <c r="BJ63" i="65"/>
  <c r="BI63" i="65"/>
  <c r="BO63" i="65"/>
  <c r="BN63" i="65"/>
  <c r="BL63" i="65"/>
  <c r="BN67" i="65"/>
  <c r="BM67" i="65"/>
  <c r="BI67" i="65"/>
  <c r="BO67" i="65"/>
  <c r="BK67" i="65"/>
  <c r="BM81" i="65"/>
  <c r="BL81" i="65"/>
  <c r="BH81" i="65"/>
  <c r="BK81" i="65"/>
  <c r="BJ81" i="65"/>
  <c r="BI81" i="65"/>
  <c r="BJ88" i="65"/>
  <c r="BI88" i="65"/>
  <c r="BM88" i="65"/>
  <c r="BO88" i="65"/>
  <c r="BL88" i="65"/>
  <c r="BO90" i="65"/>
  <c r="BJ94" i="65"/>
  <c r="BI94" i="65"/>
  <c r="BM94" i="65"/>
  <c r="BO94" i="65"/>
  <c r="BN94" i="65"/>
  <c r="BL94" i="65"/>
  <c r="DJ94" i="65"/>
  <c r="BH94" i="65"/>
  <c r="BJ110" i="65"/>
  <c r="BI110" i="65"/>
  <c r="BN110" i="65"/>
  <c r="BM110" i="65"/>
  <c r="BL110" i="65"/>
  <c r="BN114" i="65"/>
  <c r="BM114" i="65"/>
  <c r="BJ114" i="65"/>
  <c r="BI114" i="65"/>
  <c r="BL114" i="65"/>
  <c r="BK114" i="65"/>
  <c r="BH114" i="65"/>
  <c r="BO133" i="65"/>
  <c r="BN3" i="65"/>
  <c r="DJ3" i="65"/>
  <c r="BH4" i="65"/>
  <c r="BN5" i="65"/>
  <c r="BO276" i="65"/>
  <c r="BO226" i="65"/>
  <c r="BO120" i="65"/>
  <c r="BO138" i="65"/>
  <c r="BN7" i="65"/>
  <c r="DJ7" i="65"/>
  <c r="BH8" i="65"/>
  <c r="BN10" i="65"/>
  <c r="BH12" i="65"/>
  <c r="BH17" i="65"/>
  <c r="BO272" i="65"/>
  <c r="BO239" i="65"/>
  <c r="BO179" i="65"/>
  <c r="BO233" i="65"/>
  <c r="BO216" i="65"/>
  <c r="BO170" i="65"/>
  <c r="BO174" i="65"/>
  <c r="BO256" i="65"/>
  <c r="BO245" i="65"/>
  <c r="BO266" i="65"/>
  <c r="BO248" i="65"/>
  <c r="BO270" i="65"/>
  <c r="BO253" i="65"/>
  <c r="BO247" i="65"/>
  <c r="BO264" i="65"/>
  <c r="CI18" i="65"/>
  <c r="BO55" i="65"/>
  <c r="BN22" i="65"/>
  <c r="BL22" i="65"/>
  <c r="BK34" i="65"/>
  <c r="BI42" i="65"/>
  <c r="BH43" i="65"/>
  <c r="BK56" i="65"/>
  <c r="BH63" i="65"/>
  <c r="BH67" i="65"/>
  <c r="BO74" i="65"/>
  <c r="BN81" i="65"/>
  <c r="DJ83" i="65"/>
  <c r="BK83" i="65"/>
  <c r="BJ83" i="65"/>
  <c r="BN83" i="65"/>
  <c r="BO83" i="65"/>
  <c r="BL83" i="65"/>
  <c r="BH88" i="65"/>
  <c r="BK94" i="65"/>
  <c r="BJ98" i="65"/>
  <c r="BI98" i="65"/>
  <c r="BM98" i="65"/>
  <c r="BL98" i="65"/>
  <c r="BK98" i="65"/>
  <c r="DJ98" i="65"/>
  <c r="BH98" i="65"/>
  <c r="BO103" i="65"/>
  <c r="BO107" i="65"/>
  <c r="BH110" i="65"/>
  <c r="BO114" i="65"/>
  <c r="BO3" i="65"/>
  <c r="BJ4" i="65"/>
  <c r="BO5" i="65"/>
  <c r="DJ5" i="65"/>
  <c r="CI6" i="65"/>
  <c r="BO7" i="65"/>
  <c r="BI8" i="65"/>
  <c r="CI8" i="65"/>
  <c r="BO166" i="65"/>
  <c r="BO141" i="65"/>
  <c r="BO10" i="65"/>
  <c r="BI12" i="65"/>
  <c r="CI12" i="65"/>
  <c r="CI16" i="65"/>
  <c r="BI17" i="65"/>
  <c r="CI17" i="65"/>
  <c r="BJ18" i="65"/>
  <c r="BH18" i="65"/>
  <c r="BO21" i="65"/>
  <c r="BH22" i="65"/>
  <c r="BH24" i="65"/>
  <c r="BN24" i="65"/>
  <c r="BM28" i="65"/>
  <c r="BL28" i="65"/>
  <c r="BJ28" i="65"/>
  <c r="BO37" i="65"/>
  <c r="BJ38" i="65"/>
  <c r="BI38" i="65"/>
  <c r="BH38" i="65"/>
  <c r="BN38" i="65"/>
  <c r="BM39" i="65"/>
  <c r="BL39" i="65"/>
  <c r="DJ39" i="65"/>
  <c r="BK39" i="65"/>
  <c r="BI39" i="65"/>
  <c r="BM42" i="65"/>
  <c r="BJ43" i="65"/>
  <c r="BO50" i="65"/>
  <c r="BO57" i="65"/>
  <c r="BO59" i="65"/>
  <c r="BK63" i="65"/>
  <c r="BJ67" i="65"/>
  <c r="BO79" i="65"/>
  <c r="BO81" i="65"/>
  <c r="BH83" i="65"/>
  <c r="BK88" i="65"/>
  <c r="BN98" i="65"/>
  <c r="BK110" i="65"/>
  <c r="BH195" i="65"/>
  <c r="BN195" i="65"/>
  <c r="BL195" i="65"/>
  <c r="BK195" i="65"/>
  <c r="BJ195" i="65"/>
  <c r="BI195" i="65"/>
  <c r="DJ195" i="65"/>
  <c r="BO195" i="65"/>
  <c r="BI209" i="65"/>
  <c r="DJ209" i="65"/>
  <c r="BK209" i="65"/>
  <c r="BH209" i="65"/>
  <c r="BO209" i="65"/>
  <c r="BN209" i="65"/>
  <c r="BM209" i="65"/>
  <c r="BL209" i="65"/>
  <c r="BJ209" i="65"/>
  <c r="BK4" i="65"/>
  <c r="BJ8" i="65"/>
  <c r="DJ10" i="65"/>
  <c r="BJ12" i="65"/>
  <c r="BJ17" i="65"/>
  <c r="BO203" i="65"/>
  <c r="BO234" i="65"/>
  <c r="BO155" i="65"/>
  <c r="BL36" i="65"/>
  <c r="DJ36" i="65"/>
  <c r="BK36" i="65"/>
  <c r="BJ36" i="65"/>
  <c r="BH36" i="65"/>
  <c r="BN42" i="65"/>
  <c r="BN43" i="65"/>
  <c r="BM49" i="65"/>
  <c r="BO49" i="65"/>
  <c r="BN49" i="65"/>
  <c r="BL49" i="65"/>
  <c r="DJ49" i="65"/>
  <c r="BJ49" i="65"/>
  <c r="BM63" i="65"/>
  <c r="BO64" i="65"/>
  <c r="BL67" i="65"/>
  <c r="BO71" i="65"/>
  <c r="BN88" i="65"/>
  <c r="BO110" i="65"/>
  <c r="BI3" i="65"/>
  <c r="CI3" i="65"/>
  <c r="BL4" i="65"/>
  <c r="BH5" i="65"/>
  <c r="BO231" i="65"/>
  <c r="BO230" i="65"/>
  <c r="BO207" i="65"/>
  <c r="BO182" i="65"/>
  <c r="BO168" i="65"/>
  <c r="BO150" i="65"/>
  <c r="BO189" i="65"/>
  <c r="BH7" i="65"/>
  <c r="BO240" i="65"/>
  <c r="BO149" i="65"/>
  <c r="BO194" i="65"/>
  <c r="CI7" i="65"/>
  <c r="BL8" i="65"/>
  <c r="BJ9" i="65"/>
  <c r="BH10" i="65"/>
  <c r="BI169" i="65"/>
  <c r="CI10" i="65"/>
  <c r="BK12" i="65"/>
  <c r="BO13" i="65"/>
  <c r="DJ14" i="65"/>
  <c r="BN14" i="65"/>
  <c r="BK17" i="65"/>
  <c r="BK18" i="65"/>
  <c r="DJ18" i="65"/>
  <c r="CI21" i="65"/>
  <c r="BJ22" i="65"/>
  <c r="BJ24" i="65"/>
  <c r="BL25" i="65"/>
  <c r="DJ25" i="65"/>
  <c r="BK25" i="65"/>
  <c r="BI25" i="65"/>
  <c r="BI28" i="65"/>
  <c r="BO29" i="65"/>
  <c r="BI36" i="65"/>
  <c r="BL38" i="65"/>
  <c r="BJ39" i="65"/>
  <c r="BN40" i="65"/>
  <c r="BM40" i="65"/>
  <c r="BL40" i="65"/>
  <c r="BJ40" i="65"/>
  <c r="DJ40" i="65"/>
  <c r="BO42" i="65"/>
  <c r="BO43" i="65"/>
  <c r="BN46" i="65"/>
  <c r="BM46" i="65"/>
  <c r="BL46" i="65"/>
  <c r="BJ46" i="65"/>
  <c r="DJ46" i="65"/>
  <c r="BH49" i="65"/>
  <c r="BM70" i="65"/>
  <c r="BL70" i="65"/>
  <c r="BH70" i="65"/>
  <c r="BO70" i="65"/>
  <c r="BK70" i="65"/>
  <c r="BO77" i="65"/>
  <c r="BM83" i="65"/>
  <c r="BO104" i="65"/>
  <c r="BO119" i="65"/>
  <c r="BO132" i="65"/>
  <c r="DJ134" i="65"/>
  <c r="BK134" i="65"/>
  <c r="BI134" i="65"/>
  <c r="BO134" i="65"/>
  <c r="BL134" i="65"/>
  <c r="BJ134" i="65"/>
  <c r="BN134" i="65"/>
  <c r="BO148" i="65"/>
  <c r="M37" i="62"/>
  <c r="D236" i="59" s="1"/>
  <c r="BJ3" i="65"/>
  <c r="BM4" i="65"/>
  <c r="BI5" i="65"/>
  <c r="CI5" i="65"/>
  <c r="BI7" i="65"/>
  <c r="BM8" i="65"/>
  <c r="BK9" i="65"/>
  <c r="BI10" i="65"/>
  <c r="BN218" i="65"/>
  <c r="BN169" i="65"/>
  <c r="BO177" i="65"/>
  <c r="BO178" i="65"/>
  <c r="BO156" i="65"/>
  <c r="CI11" i="65"/>
  <c r="BM12" i="65"/>
  <c r="BO224" i="65"/>
  <c r="BO181" i="65"/>
  <c r="BO121" i="65"/>
  <c r="BH14" i="65"/>
  <c r="BO215" i="65"/>
  <c r="BO191" i="65"/>
  <c r="BO153" i="65"/>
  <c r="BO164" i="65"/>
  <c r="BL17" i="65"/>
  <c r="BL18" i="65"/>
  <c r="BH20" i="65"/>
  <c r="BN20" i="65"/>
  <c r="CI20" i="65"/>
  <c r="BK22" i="65"/>
  <c r="BK24" i="65"/>
  <c r="BH25" i="65"/>
  <c r="BO26" i="65"/>
  <c r="BK28" i="65"/>
  <c r="BM36" i="65"/>
  <c r="BM38" i="65"/>
  <c r="BN39" i="65"/>
  <c r="BH40" i="65"/>
  <c r="BO41" i="65"/>
  <c r="BH46" i="65"/>
  <c r="BI49" i="65"/>
  <c r="BI52" i="65"/>
  <c r="BH52" i="65"/>
  <c r="BO52" i="65"/>
  <c r="BN52" i="65"/>
  <c r="BL52" i="65"/>
  <c r="BJ53" i="65"/>
  <c r="BI53" i="65"/>
  <c r="BL53" i="65"/>
  <c r="DJ53" i="65"/>
  <c r="BK53" i="65"/>
  <c r="BH53" i="65"/>
  <c r="DJ54" i="65"/>
  <c r="BK54" i="65"/>
  <c r="BJ54" i="65"/>
  <c r="BO54" i="65"/>
  <c r="BN54" i="65"/>
  <c r="BM54" i="65"/>
  <c r="BI54" i="65"/>
  <c r="BO66" i="65"/>
  <c r="BI70" i="65"/>
  <c r="DJ81" i="65"/>
  <c r="BO112" i="65"/>
  <c r="DJ114" i="65"/>
  <c r="BJ118" i="65"/>
  <c r="BO118" i="65"/>
  <c r="BN118" i="65"/>
  <c r="DJ118" i="65"/>
  <c r="BK118" i="65"/>
  <c r="BI118" i="65"/>
  <c r="BM118" i="65"/>
  <c r="BH134" i="65"/>
  <c r="BJ173" i="65"/>
  <c r="BN173" i="65"/>
  <c r="BM173" i="65"/>
  <c r="BL173" i="65"/>
  <c r="BI173" i="65"/>
  <c r="BH173" i="65"/>
  <c r="BO173" i="65"/>
  <c r="BK173" i="65"/>
  <c r="DJ173" i="65"/>
  <c r="BK3" i="65"/>
  <c r="BN4" i="65"/>
  <c r="BJ5" i="65"/>
  <c r="BK7" i="65"/>
  <c r="BN8" i="65"/>
  <c r="DJ8" i="65"/>
  <c r="BJ10" i="65"/>
  <c r="BN12" i="65"/>
  <c r="DJ12" i="65"/>
  <c r="BN17" i="65"/>
  <c r="DJ17" i="65"/>
  <c r="BM34" i="65"/>
  <c r="BL34" i="65"/>
  <c r="BJ34" i="65"/>
  <c r="BN36" i="65"/>
  <c r="BK49" i="65"/>
  <c r="BM56" i="65"/>
  <c r="BL56" i="65"/>
  <c r="BO56" i="65"/>
  <c r="BN56" i="65"/>
  <c r="BJ56" i="65"/>
  <c r="BI60" i="65"/>
  <c r="BH60" i="65"/>
  <c r="BO60" i="65"/>
  <c r="BN60" i="65"/>
  <c r="BM60" i="65"/>
  <c r="BK60" i="65"/>
  <c r="DJ63" i="65"/>
  <c r="DJ67" i="65"/>
  <c r="DJ72" i="65"/>
  <c r="BK72" i="65"/>
  <c r="BJ72" i="65"/>
  <c r="BN72" i="65"/>
  <c r="BL72" i="65"/>
  <c r="BI72" i="65"/>
  <c r="BH72" i="65"/>
  <c r="DJ88" i="65"/>
  <c r="BO97" i="65"/>
  <c r="DJ110" i="65"/>
  <c r="BO126" i="65"/>
  <c r="BM134" i="65"/>
  <c r="BM171" i="65"/>
  <c r="BN171" i="65"/>
  <c r="BL171" i="65"/>
  <c r="BK171" i="65"/>
  <c r="BI171" i="65"/>
  <c r="BH171" i="65"/>
  <c r="DJ171" i="65"/>
  <c r="BO171" i="65"/>
  <c r="BJ171" i="65"/>
  <c r="BI184" i="65"/>
  <c r="DJ184" i="65"/>
  <c r="BK184" i="65"/>
  <c r="BJ184" i="65"/>
  <c r="BH184" i="65"/>
  <c r="BO184" i="65"/>
  <c r="BN184" i="65"/>
  <c r="BM184" i="65"/>
  <c r="BL184" i="65"/>
  <c r="BO19" i="65"/>
  <c r="BL26" i="65"/>
  <c r="BO27" i="65"/>
  <c r="BL32" i="65"/>
  <c r="BO33" i="65"/>
  <c r="BK37" i="65"/>
  <c r="DJ37" i="65"/>
  <c r="BL44" i="65"/>
  <c r="BO45" i="65"/>
  <c r="BO51" i="65"/>
  <c r="BN57" i="65"/>
  <c r="BM57" i="65"/>
  <c r="BL61" i="65"/>
  <c r="DJ61" i="65"/>
  <c r="BK61" i="65"/>
  <c r="BM64" i="65"/>
  <c r="BL64" i="65"/>
  <c r="BH64" i="65"/>
  <c r="DJ64" i="65"/>
  <c r="BO68" i="65"/>
  <c r="BI85" i="65"/>
  <c r="BH85" i="65"/>
  <c r="BL85" i="65"/>
  <c r="DJ85" i="65"/>
  <c r="BN90" i="65"/>
  <c r="BM90" i="65"/>
  <c r="BI90" i="65"/>
  <c r="BN120" i="65"/>
  <c r="BM120" i="65"/>
  <c r="BL120" i="65"/>
  <c r="BI120" i="65"/>
  <c r="BH120" i="65"/>
  <c r="BI121" i="65"/>
  <c r="BJ121" i="65"/>
  <c r="BH121" i="65"/>
  <c r="BN121" i="65"/>
  <c r="BM121" i="65"/>
  <c r="BL137" i="65"/>
  <c r="BJ137" i="65"/>
  <c r="BH137" i="65"/>
  <c r="BO137" i="65"/>
  <c r="BK137" i="65"/>
  <c r="BI137" i="65"/>
  <c r="BO151" i="65"/>
  <c r="BO186" i="65"/>
  <c r="BN217" i="65"/>
  <c r="BM217" i="65"/>
  <c r="BJ217" i="65"/>
  <c r="DJ217" i="65"/>
  <c r="BI217" i="65"/>
  <c r="BH217" i="65"/>
  <c r="BO217" i="65"/>
  <c r="BL217" i="65"/>
  <c r="BK217" i="65"/>
  <c r="BO172" i="65"/>
  <c r="BO144" i="65"/>
  <c r="BN26" i="65"/>
  <c r="BN32" i="65"/>
  <c r="BM37" i="65"/>
  <c r="BN44" i="65"/>
  <c r="BO47" i="65"/>
  <c r="BI48" i="65"/>
  <c r="BL55" i="65"/>
  <c r="DJ55" i="65"/>
  <c r="BK55" i="65"/>
  <c r="BI57" i="65"/>
  <c r="DJ57" i="65"/>
  <c r="BI61" i="65"/>
  <c r="BO62" i="65"/>
  <c r="BJ64" i="65"/>
  <c r="DJ75" i="65"/>
  <c r="BK75" i="65"/>
  <c r="BJ75" i="65"/>
  <c r="BN75" i="65"/>
  <c r="BO82" i="65"/>
  <c r="BK85" i="65"/>
  <c r="BO87" i="65"/>
  <c r="BJ90" i="65"/>
  <c r="BI91" i="65"/>
  <c r="BH91" i="65"/>
  <c r="BL91" i="65"/>
  <c r="DJ91" i="65"/>
  <c r="DJ95" i="65"/>
  <c r="BK95" i="65"/>
  <c r="BJ95" i="65"/>
  <c r="BN95" i="65"/>
  <c r="BI107" i="65"/>
  <c r="BH107" i="65"/>
  <c r="BM107" i="65"/>
  <c r="BL107" i="65"/>
  <c r="BO109" i="65"/>
  <c r="BI115" i="65"/>
  <c r="BH115" i="65"/>
  <c r="BM115" i="65"/>
  <c r="BL115" i="65"/>
  <c r="BK120" i="65"/>
  <c r="BL121" i="65"/>
  <c r="DJ125" i="65"/>
  <c r="BI125" i="65"/>
  <c r="BO125" i="65"/>
  <c r="BN125" i="65"/>
  <c r="BK125" i="65"/>
  <c r="BJ125" i="65"/>
  <c r="BN137" i="65"/>
  <c r="BM156" i="65"/>
  <c r="BL156" i="65"/>
  <c r="DJ156" i="65"/>
  <c r="BK156" i="65"/>
  <c r="BI156" i="65"/>
  <c r="BH156" i="65"/>
  <c r="BN156" i="65"/>
  <c r="BJ156" i="65"/>
  <c r="BJ164" i="65"/>
  <c r="BI164" i="65"/>
  <c r="BH164" i="65"/>
  <c r="BN164" i="65"/>
  <c r="BM164" i="65"/>
  <c r="DJ164" i="65"/>
  <c r="BL164" i="65"/>
  <c r="BK164" i="65"/>
  <c r="BN37" i="65"/>
  <c r="BJ69" i="65"/>
  <c r="BI69" i="65"/>
  <c r="BM69" i="65"/>
  <c r="BM99" i="65"/>
  <c r="BL99" i="65"/>
  <c r="BH99" i="65"/>
  <c r="DJ99" i="65"/>
  <c r="BM129" i="65"/>
  <c r="DJ129" i="65"/>
  <c r="BK129" i="65"/>
  <c r="BJ129" i="65"/>
  <c r="BI129" i="65"/>
  <c r="BO129" i="65"/>
  <c r="DJ131" i="65"/>
  <c r="BK131" i="65"/>
  <c r="BI131" i="65"/>
  <c r="BO131" i="65"/>
  <c r="BL131" i="65"/>
  <c r="BJ131" i="65"/>
  <c r="C2" i="67"/>
  <c r="BN208" i="65"/>
  <c r="BO208" i="65"/>
  <c r="BL208" i="65"/>
  <c r="DJ208" i="65"/>
  <c r="BJ208" i="65"/>
  <c r="BI208" i="65"/>
  <c r="BK208" i="65"/>
  <c r="BH208" i="65"/>
  <c r="BO58" i="65"/>
  <c r="DJ66" i="65"/>
  <c r="BK66" i="65"/>
  <c r="BJ66" i="65"/>
  <c r="BN66" i="65"/>
  <c r="DJ79" i="65"/>
  <c r="BK79" i="65"/>
  <c r="BJ79" i="65"/>
  <c r="BN79" i="65"/>
  <c r="BO93" i="65"/>
  <c r="BO100" i="65"/>
  <c r="BJ116" i="65"/>
  <c r="BI116" i="65"/>
  <c r="BN116" i="65"/>
  <c r="BM116" i="65"/>
  <c r="DJ116" i="65"/>
  <c r="BH129" i="65"/>
  <c r="BH131" i="65"/>
  <c r="BO136" i="65"/>
  <c r="BI167" i="65"/>
  <c r="BN167" i="65"/>
  <c r="BM167" i="65"/>
  <c r="BL167" i="65"/>
  <c r="BJ167" i="65"/>
  <c r="BH167" i="65"/>
  <c r="DJ167" i="65"/>
  <c r="BO167" i="65"/>
  <c r="BK167" i="65"/>
  <c r="BL187" i="65"/>
  <c r="BJ187" i="65"/>
  <c r="BO187" i="65"/>
  <c r="BN187" i="65"/>
  <c r="BK187" i="65"/>
  <c r="DJ187" i="65"/>
  <c r="BI187" i="65"/>
  <c r="BM187" i="65"/>
  <c r="BO76" i="65"/>
  <c r="BO80" i="65"/>
  <c r="BO86" i="65"/>
  <c r="BO92" i="65"/>
  <c r="BO96" i="65"/>
  <c r="BN101" i="65"/>
  <c r="BO102" i="65"/>
  <c r="BN105" i="65"/>
  <c r="BO108" i="65"/>
  <c r="BN113" i="65"/>
  <c r="BO122" i="65"/>
  <c r="BO124" i="65"/>
  <c r="BJ128" i="65"/>
  <c r="BH128" i="65"/>
  <c r="BN132" i="65"/>
  <c r="BL132" i="65"/>
  <c r="BN135" i="65"/>
  <c r="BL135" i="65"/>
  <c r="BJ155" i="65"/>
  <c r="BI155" i="65"/>
  <c r="BH155" i="65"/>
  <c r="BN155" i="65"/>
  <c r="BM155" i="65"/>
  <c r="BN183" i="65"/>
  <c r="BO183" i="65"/>
  <c r="BM183" i="65"/>
  <c r="BL183" i="65"/>
  <c r="DJ183" i="65"/>
  <c r="BJ183" i="65"/>
  <c r="BI183" i="65"/>
  <c r="BO202" i="65"/>
  <c r="BO206" i="65"/>
  <c r="BN227" i="65"/>
  <c r="BM227" i="65"/>
  <c r="BI227" i="65"/>
  <c r="BK227" i="65"/>
  <c r="BJ227" i="65"/>
  <c r="DJ227" i="65"/>
  <c r="BH227" i="65"/>
  <c r="BO227" i="65"/>
  <c r="BL227" i="65"/>
  <c r="BH241" i="65"/>
  <c r="BN241" i="65"/>
  <c r="BM241" i="65"/>
  <c r="BL241" i="65"/>
  <c r="DJ241" i="65"/>
  <c r="BJ241" i="65"/>
  <c r="BI241" i="65"/>
  <c r="BO241" i="65"/>
  <c r="BK241" i="65"/>
  <c r="BO101" i="65"/>
  <c r="BO105" i="65"/>
  <c r="BO113" i="65"/>
  <c r="BN126" i="65"/>
  <c r="BL126" i="65"/>
  <c r="BM138" i="65"/>
  <c r="DJ138" i="65"/>
  <c r="BK138" i="65"/>
  <c r="BI138" i="65"/>
  <c r="BN160" i="65"/>
  <c r="BM160" i="65"/>
  <c r="BL160" i="65"/>
  <c r="BJ160" i="65"/>
  <c r="BI160" i="65"/>
  <c r="BO161" i="65"/>
  <c r="BO169" i="65"/>
  <c r="DJ176" i="65"/>
  <c r="BK176" i="65"/>
  <c r="BJ176" i="65"/>
  <c r="BI176" i="65"/>
  <c r="BH176" i="65"/>
  <c r="BO176" i="65"/>
  <c r="BN176" i="65"/>
  <c r="BN198" i="65"/>
  <c r="BL198" i="65"/>
  <c r="BJ198" i="65"/>
  <c r="BK198" i="65"/>
  <c r="BI198" i="65"/>
  <c r="DJ198" i="65"/>
  <c r="BH198" i="65"/>
  <c r="BK160" i="65"/>
  <c r="BM176" i="65"/>
  <c r="BM190" i="65"/>
  <c r="DJ190" i="65"/>
  <c r="BK190" i="65"/>
  <c r="BO190" i="65"/>
  <c r="BN190" i="65"/>
  <c r="BJ190" i="65"/>
  <c r="BI190" i="65"/>
  <c r="BO198" i="65"/>
  <c r="BO204" i="65"/>
  <c r="DJ236" i="65"/>
  <c r="BK236" i="65"/>
  <c r="BJ236" i="65"/>
  <c r="BI236" i="65"/>
  <c r="BH236" i="65"/>
  <c r="BO236" i="65"/>
  <c r="BN236" i="65"/>
  <c r="BM236" i="65"/>
  <c r="BL236" i="65"/>
  <c r="BN58" i="65"/>
  <c r="BN62" i="65"/>
  <c r="BN68" i="65"/>
  <c r="BK76" i="65"/>
  <c r="DJ76" i="65"/>
  <c r="BN77" i="65"/>
  <c r="BK80" i="65"/>
  <c r="DJ80" i="65"/>
  <c r="BK86" i="65"/>
  <c r="DJ86" i="65"/>
  <c r="BN87" i="65"/>
  <c r="BK92" i="65"/>
  <c r="DJ92" i="65"/>
  <c r="BN93" i="65"/>
  <c r="BK96" i="65"/>
  <c r="DJ96" i="65"/>
  <c r="BN97" i="65"/>
  <c r="BJ101" i="65"/>
  <c r="BK102" i="65"/>
  <c r="DJ102" i="65"/>
  <c r="BN103" i="65"/>
  <c r="BJ105" i="65"/>
  <c r="BK108" i="65"/>
  <c r="DJ108" i="65"/>
  <c r="BN109" i="65"/>
  <c r="BJ113" i="65"/>
  <c r="DJ119" i="65"/>
  <c r="BK119" i="65"/>
  <c r="BK122" i="65"/>
  <c r="DJ122" i="65"/>
  <c r="BO123" i="65"/>
  <c r="BK124" i="65"/>
  <c r="BJ126" i="65"/>
  <c r="BM128" i="65"/>
  <c r="BH130" i="65"/>
  <c r="BN130" i="65"/>
  <c r="BK132" i="65"/>
  <c r="BH133" i="65"/>
  <c r="BN133" i="65"/>
  <c r="BK135" i="65"/>
  <c r="BL138" i="65"/>
  <c r="BN141" i="65"/>
  <c r="BL141" i="65"/>
  <c r="BJ141" i="65"/>
  <c r="BM144" i="65"/>
  <c r="DJ144" i="65"/>
  <c r="BK144" i="65"/>
  <c r="BI144" i="65"/>
  <c r="BH151" i="65"/>
  <c r="BN151" i="65"/>
  <c r="BL151" i="65"/>
  <c r="DJ151" i="65"/>
  <c r="BK151" i="65"/>
  <c r="BN153" i="65"/>
  <c r="BL153" i="65"/>
  <c r="BJ153" i="65"/>
  <c r="BI153" i="65"/>
  <c r="DJ153" i="65"/>
  <c r="BO160" i="65"/>
  <c r="BO163" i="65"/>
  <c r="BH175" i="65"/>
  <c r="BN175" i="65"/>
  <c r="BM175" i="65"/>
  <c r="BL175" i="65"/>
  <c r="DJ175" i="65"/>
  <c r="BJ175" i="65"/>
  <c r="BI175" i="65"/>
  <c r="BL185" i="65"/>
  <c r="BO185" i="65"/>
  <c r="BN185" i="65"/>
  <c r="BM185" i="65"/>
  <c r="DJ185" i="65"/>
  <c r="BJ185" i="65"/>
  <c r="BI185" i="65"/>
  <c r="BH190" i="65"/>
  <c r="BM213" i="65"/>
  <c r="DJ213" i="65"/>
  <c r="BJ213" i="65"/>
  <c r="BI213" i="65"/>
  <c r="BH213" i="65"/>
  <c r="BO213" i="65"/>
  <c r="BN213" i="65"/>
  <c r="BL213" i="65"/>
  <c r="BK101" i="65"/>
  <c r="BK105" i="65"/>
  <c r="BK113" i="65"/>
  <c r="BL122" i="65"/>
  <c r="BL124" i="65"/>
  <c r="BK126" i="65"/>
  <c r="BO127" i="65"/>
  <c r="BN128" i="65"/>
  <c r="BM132" i="65"/>
  <c r="BM135" i="65"/>
  <c r="BN138" i="65"/>
  <c r="DJ141" i="65"/>
  <c r="BH144" i="65"/>
  <c r="BN145" i="65"/>
  <c r="BL145" i="65"/>
  <c r="BJ145" i="65"/>
  <c r="BI145" i="65"/>
  <c r="DJ145" i="65"/>
  <c r="BJ149" i="65"/>
  <c r="BH149" i="65"/>
  <c r="BN149" i="65"/>
  <c r="BM149" i="65"/>
  <c r="BM150" i="65"/>
  <c r="DJ150" i="65"/>
  <c r="BK150" i="65"/>
  <c r="BI150" i="65"/>
  <c r="BH150" i="65"/>
  <c r="BI151" i="65"/>
  <c r="BH153" i="65"/>
  <c r="BO154" i="65"/>
  <c r="BK175" i="65"/>
  <c r="BH185" i="65"/>
  <c r="BL190" i="65"/>
  <c r="BK213" i="65"/>
  <c r="BN229" i="65"/>
  <c r="BM229" i="65"/>
  <c r="BL229" i="65"/>
  <c r="BH229" i="65"/>
  <c r="BO229" i="65"/>
  <c r="BJ229" i="65"/>
  <c r="BI229" i="65"/>
  <c r="BO147" i="65"/>
  <c r="BK157" i="65"/>
  <c r="DJ157" i="65"/>
  <c r="BO162" i="65"/>
  <c r="BM189" i="65"/>
  <c r="BJ193" i="65"/>
  <c r="BH193" i="65"/>
  <c r="BN193" i="65"/>
  <c r="DJ193" i="65"/>
  <c r="BL200" i="65"/>
  <c r="BJ200" i="65"/>
  <c r="BH200" i="65"/>
  <c r="DJ200" i="65"/>
  <c r="BM202" i="65"/>
  <c r="BJ212" i="65"/>
  <c r="BO212" i="65"/>
  <c r="BN212" i="65"/>
  <c r="BM212" i="65"/>
  <c r="DJ212" i="65"/>
  <c r="BK212" i="65"/>
  <c r="BI212" i="65"/>
  <c r="BO140" i="65"/>
  <c r="BH147" i="65"/>
  <c r="BO152" i="65"/>
  <c r="BL157" i="65"/>
  <c r="BO158" i="65"/>
  <c r="BH162" i="65"/>
  <c r="BO180" i="65"/>
  <c r="BO188" i="65"/>
  <c r="BN191" i="65"/>
  <c r="BL191" i="65"/>
  <c r="BI193" i="65"/>
  <c r="BM194" i="65"/>
  <c r="DJ194" i="65"/>
  <c r="BK194" i="65"/>
  <c r="BI194" i="65"/>
  <c r="BI200" i="65"/>
  <c r="BO201" i="65"/>
  <c r="BH212" i="65"/>
  <c r="BJ225" i="65"/>
  <c r="BI225" i="65"/>
  <c r="BM225" i="65"/>
  <c r="BO225" i="65"/>
  <c r="BL225" i="65"/>
  <c r="BK225" i="65"/>
  <c r="BM127" i="65"/>
  <c r="BI140" i="65"/>
  <c r="BJ147" i="65"/>
  <c r="BM148" i="65"/>
  <c r="BI152" i="65"/>
  <c r="BM154" i="65"/>
  <c r="BN157" i="65"/>
  <c r="BI158" i="65"/>
  <c r="BJ162" i="65"/>
  <c r="BM163" i="65"/>
  <c r="BM177" i="65"/>
  <c r="BJ178" i="65"/>
  <c r="BN179" i="65"/>
  <c r="DJ182" i="65"/>
  <c r="BK182" i="65"/>
  <c r="BI191" i="65"/>
  <c r="DJ191" i="65"/>
  <c r="BL193" i="65"/>
  <c r="BJ194" i="65"/>
  <c r="BM200" i="65"/>
  <c r="BO218" i="65"/>
  <c r="BO277" i="65"/>
  <c r="BO157" i="65"/>
  <c r="BJ189" i="65"/>
  <c r="BH189" i="65"/>
  <c r="BO196" i="65"/>
  <c r="BO199" i="65"/>
  <c r="BJ202" i="65"/>
  <c r="BH202" i="65"/>
  <c r="BN202" i="65"/>
  <c r="DJ202" i="65"/>
  <c r="BH204" i="65"/>
  <c r="BN204" i="65"/>
  <c r="BL204" i="65"/>
  <c r="DJ204" i="65"/>
  <c r="BK204" i="65"/>
  <c r="BN206" i="65"/>
  <c r="BL206" i="65"/>
  <c r="BJ206" i="65"/>
  <c r="BI206" i="65"/>
  <c r="DJ206" i="65"/>
  <c r="BO211" i="65"/>
  <c r="BH214" i="65"/>
  <c r="BO214" i="65"/>
  <c r="BN214" i="65"/>
  <c r="BM214" i="65"/>
  <c r="BK214" i="65"/>
  <c r="DJ214" i="65"/>
  <c r="BJ214" i="65"/>
  <c r="BH235" i="65"/>
  <c r="BN235" i="65"/>
  <c r="BM235" i="65"/>
  <c r="BL235" i="65"/>
  <c r="DJ235" i="65"/>
  <c r="BJ235" i="65"/>
  <c r="BI235" i="65"/>
  <c r="BO235" i="65"/>
  <c r="BK235" i="65"/>
  <c r="BL237" i="65"/>
  <c r="BN237" i="65"/>
  <c r="BM237" i="65"/>
  <c r="BK237" i="65"/>
  <c r="BI237" i="65"/>
  <c r="BH237" i="65"/>
  <c r="DJ237" i="65"/>
  <c r="BO237" i="65"/>
  <c r="BN250" i="65"/>
  <c r="DJ250" i="65"/>
  <c r="BJ250" i="65"/>
  <c r="BI250" i="65"/>
  <c r="BH250" i="65"/>
  <c r="BO250" i="65"/>
  <c r="BM250" i="65"/>
  <c r="BL250" i="65"/>
  <c r="BK250" i="65"/>
  <c r="BK140" i="65"/>
  <c r="BK152" i="65"/>
  <c r="BK158" i="65"/>
  <c r="BL178" i="65"/>
  <c r="BI182" i="65"/>
  <c r="BI189" i="65"/>
  <c r="DJ189" i="65"/>
  <c r="BK191" i="65"/>
  <c r="BO192" i="65"/>
  <c r="BO193" i="65"/>
  <c r="BN194" i="65"/>
  <c r="BO200" i="65"/>
  <c r="BI202" i="65"/>
  <c r="BM203" i="65"/>
  <c r="DJ203" i="65"/>
  <c r="BK203" i="65"/>
  <c r="BI203" i="65"/>
  <c r="BH203" i="65"/>
  <c r="BI204" i="65"/>
  <c r="BH206" i="65"/>
  <c r="BL210" i="65"/>
  <c r="BO210" i="65"/>
  <c r="BM210" i="65"/>
  <c r="DJ210" i="65"/>
  <c r="BJ210" i="65"/>
  <c r="BI210" i="65"/>
  <c r="BI214" i="65"/>
  <c r="BJ237" i="65"/>
  <c r="DJ216" i="65"/>
  <c r="BK216" i="65"/>
  <c r="BJ216" i="65"/>
  <c r="BO220" i="65"/>
  <c r="DJ222" i="65"/>
  <c r="BK222" i="65"/>
  <c r="BJ222" i="65"/>
  <c r="BN222" i="65"/>
  <c r="BI230" i="65"/>
  <c r="BJ230" i="65"/>
  <c r="BH230" i="65"/>
  <c r="BM230" i="65"/>
  <c r="DJ230" i="65"/>
  <c r="BJ239" i="65"/>
  <c r="BN239" i="65"/>
  <c r="BM239" i="65"/>
  <c r="BL239" i="65"/>
  <c r="BI239" i="65"/>
  <c r="BH239" i="65"/>
  <c r="BJ260" i="65"/>
  <c r="BH260" i="65"/>
  <c r="BL260" i="65"/>
  <c r="BK260" i="65"/>
  <c r="DJ260" i="65"/>
  <c r="BI260" i="65"/>
  <c r="BO260" i="65"/>
  <c r="BL269" i="65"/>
  <c r="DJ269" i="65"/>
  <c r="BK269" i="65"/>
  <c r="BI269" i="65"/>
  <c r="BM269" i="65"/>
  <c r="BN269" i="65"/>
  <c r="BJ269" i="65"/>
  <c r="BH269" i="65"/>
  <c r="BO197" i="65"/>
  <c r="BO205" i="65"/>
  <c r="BH216" i="65"/>
  <c r="BH222" i="65"/>
  <c r="BN223" i="65"/>
  <c r="BM223" i="65"/>
  <c r="BI223" i="65"/>
  <c r="DJ226" i="65"/>
  <c r="BK226" i="65"/>
  <c r="BJ226" i="65"/>
  <c r="BN226" i="65"/>
  <c r="BK230" i="65"/>
  <c r="BL231" i="65"/>
  <c r="BN231" i="65"/>
  <c r="BM231" i="65"/>
  <c r="BI231" i="65"/>
  <c r="BH231" i="65"/>
  <c r="BO232" i="65"/>
  <c r="BK239" i="65"/>
  <c r="BM260" i="65"/>
  <c r="BM263" i="65"/>
  <c r="DJ263" i="65"/>
  <c r="BK263" i="65"/>
  <c r="BO263" i="65"/>
  <c r="BN263" i="65"/>
  <c r="BJ263" i="65"/>
  <c r="BI263" i="65"/>
  <c r="BO269" i="65"/>
  <c r="BM188" i="65"/>
  <c r="BM192" i="65"/>
  <c r="BI197" i="65"/>
  <c r="BM201" i="65"/>
  <c r="BI205" i="65"/>
  <c r="DJ207" i="65"/>
  <c r="BK207" i="65"/>
  <c r="BJ215" i="65"/>
  <c r="BI215" i="65"/>
  <c r="BL216" i="65"/>
  <c r="BL222" i="65"/>
  <c r="BJ223" i="65"/>
  <c r="BI224" i="65"/>
  <c r="BH224" i="65"/>
  <c r="BL224" i="65"/>
  <c r="DJ224" i="65"/>
  <c r="BI226" i="65"/>
  <c r="BN230" i="65"/>
  <c r="BK231" i="65"/>
  <c r="BI245" i="65"/>
  <c r="BN245" i="65"/>
  <c r="BM245" i="65"/>
  <c r="BL245" i="65"/>
  <c r="BJ245" i="65"/>
  <c r="BH245" i="65"/>
  <c r="DJ255" i="65"/>
  <c r="BK255" i="65"/>
  <c r="BN255" i="65"/>
  <c r="BM255" i="65"/>
  <c r="BL255" i="65"/>
  <c r="BI255" i="65"/>
  <c r="BH255" i="65"/>
  <c r="BL263" i="65"/>
  <c r="BJ233" i="65"/>
  <c r="BN233" i="65"/>
  <c r="BM233" i="65"/>
  <c r="BL233" i="65"/>
  <c r="BI233" i="65"/>
  <c r="BH233" i="65"/>
  <c r="DJ242" i="65"/>
  <c r="BK242" i="65"/>
  <c r="BJ242" i="65"/>
  <c r="BI242" i="65"/>
  <c r="BH242" i="65"/>
  <c r="BO242" i="65"/>
  <c r="BN242" i="65"/>
  <c r="BN258" i="65"/>
  <c r="BO258" i="65"/>
  <c r="BM258" i="65"/>
  <c r="BL258" i="65"/>
  <c r="DJ258" i="65"/>
  <c r="BJ258" i="65"/>
  <c r="BI258" i="65"/>
  <c r="BL262" i="65"/>
  <c r="BJ262" i="65"/>
  <c r="BK262" i="65"/>
  <c r="DJ262" i="65"/>
  <c r="BI262" i="65"/>
  <c r="BH262" i="65"/>
  <c r="BO262" i="65"/>
  <c r="DJ268" i="65"/>
  <c r="BK268" i="65"/>
  <c r="BJ268" i="65"/>
  <c r="BH268" i="65"/>
  <c r="BL268" i="65"/>
  <c r="BN268" i="65"/>
  <c r="BM268" i="65"/>
  <c r="BI268" i="65"/>
  <c r="BK197" i="65"/>
  <c r="BK205" i="65"/>
  <c r="BN216" i="65"/>
  <c r="BI218" i="65"/>
  <c r="BH218" i="65"/>
  <c r="BO221" i="65"/>
  <c r="BO222" i="65"/>
  <c r="BL223" i="65"/>
  <c r="BM226" i="65"/>
  <c r="BK233" i="65"/>
  <c r="BL242" i="65"/>
  <c r="BH244" i="65"/>
  <c r="BK244" i="65"/>
  <c r="DJ244" i="65"/>
  <c r="BJ244" i="65"/>
  <c r="BI244" i="65"/>
  <c r="BO244" i="65"/>
  <c r="BN244" i="65"/>
  <c r="BH252" i="65"/>
  <c r="BO252" i="65"/>
  <c r="BN252" i="65"/>
  <c r="BM252" i="65"/>
  <c r="BK252" i="65"/>
  <c r="DJ252" i="65"/>
  <c r="BJ252" i="65"/>
  <c r="BO255" i="65"/>
  <c r="BH258" i="65"/>
  <c r="DJ261" i="65"/>
  <c r="BK261" i="65"/>
  <c r="BI261" i="65"/>
  <c r="BO261" i="65"/>
  <c r="BN261" i="65"/>
  <c r="BL261" i="65"/>
  <c r="BJ261" i="65"/>
  <c r="BM262" i="65"/>
  <c r="BO268" i="65"/>
  <c r="BO219" i="65"/>
  <c r="BL234" i="65"/>
  <c r="BL240" i="65"/>
  <c r="BO251" i="65"/>
  <c r="BM253" i="65"/>
  <c r="BO254" i="65"/>
  <c r="BO257" i="65"/>
  <c r="BM276" i="65"/>
  <c r="BL276" i="65"/>
  <c r="BJ276" i="65"/>
  <c r="BH276" i="65"/>
  <c r="BN276" i="65"/>
  <c r="BN234" i="65"/>
  <c r="BN264" i="65"/>
  <c r="BL264" i="65"/>
  <c r="BH266" i="65"/>
  <c r="BN266" i="65"/>
  <c r="BJ266" i="65"/>
  <c r="DJ266" i="65"/>
  <c r="BI276" i="65"/>
  <c r="DJ278" i="65"/>
  <c r="BK278" i="65"/>
  <c r="BJ278" i="65"/>
  <c r="BH278" i="65"/>
  <c r="BN278" i="65"/>
  <c r="BL278" i="65"/>
  <c r="BO238" i="65"/>
  <c r="DJ247" i="65"/>
  <c r="BK247" i="65"/>
  <c r="BI254" i="65"/>
  <c r="BM270" i="65"/>
  <c r="BL270" i="65"/>
  <c r="BJ270" i="65"/>
  <c r="BN270" i="65"/>
  <c r="DJ270" i="65"/>
  <c r="BO274" i="65"/>
  <c r="BK219" i="65"/>
  <c r="DJ219" i="65"/>
  <c r="BN220" i="65"/>
  <c r="DJ228" i="65"/>
  <c r="BK228" i="65"/>
  <c r="BH234" i="65"/>
  <c r="BH240" i="65"/>
  <c r="BO243" i="65"/>
  <c r="BO246" i="65"/>
  <c r="BH247" i="65"/>
  <c r="BK248" i="65"/>
  <c r="BO249" i="65"/>
  <c r="BH253" i="65"/>
  <c r="BK254" i="65"/>
  <c r="DJ254" i="65"/>
  <c r="BJ257" i="65"/>
  <c r="DJ257" i="65"/>
  <c r="BO259" i="65"/>
  <c r="BJ264" i="65"/>
  <c r="BL266" i="65"/>
  <c r="BO267" i="65"/>
  <c r="BH270" i="65"/>
  <c r="BI272" i="65"/>
  <c r="BH272" i="65"/>
  <c r="BN272" i="65"/>
  <c r="BJ272" i="65"/>
  <c r="BL273" i="65"/>
  <c r="DJ273" i="65"/>
  <c r="BK273" i="65"/>
  <c r="BI273" i="65"/>
  <c r="BO273" i="65"/>
  <c r="BM273" i="65"/>
  <c r="BO275" i="65"/>
  <c r="BO278" i="65"/>
  <c r="BI234" i="65"/>
  <c r="BI240" i="65"/>
  <c r="BI247" i="65"/>
  <c r="BM248" i="65"/>
  <c r="BJ253" i="65"/>
  <c r="BL254" i="65"/>
  <c r="BK257" i="65"/>
  <c r="BK264" i="65"/>
  <c r="BO265" i="65"/>
  <c r="BM266" i="65"/>
  <c r="BI270" i="65"/>
  <c r="BK272" i="65"/>
  <c r="BH273" i="65"/>
  <c r="BO271" i="65"/>
  <c r="BO279" i="65"/>
  <c r="BJ280" i="65"/>
  <c r="BL280" i="65"/>
  <c r="BM265" i="65"/>
  <c r="BK271" i="65"/>
  <c r="DJ271" i="65"/>
  <c r="BL274" i="65"/>
  <c r="BM277" i="65"/>
  <c r="BK279" i="65"/>
  <c r="DJ279" i="65"/>
  <c r="BN280" i="65"/>
  <c r="BO280" i="65"/>
  <c r="BM271" i="65"/>
  <c r="BN274" i="65"/>
  <c r="BH280" i="65"/>
  <c r="J10" i="63" l="1"/>
  <c r="Q10" i="63" s="1"/>
  <c r="E94" i="59"/>
  <c r="BP71" i="65"/>
  <c r="J4" i="63"/>
  <c r="Q4" i="63" s="1"/>
  <c r="J9" i="63"/>
  <c r="Q9" i="63" s="1"/>
  <c r="D30" i="59"/>
  <c r="J5" i="63"/>
  <c r="Q5" i="63" s="1"/>
  <c r="E84" i="59"/>
  <c r="E91" i="59"/>
  <c r="E126" i="59"/>
  <c r="E125" i="59"/>
  <c r="E105" i="59"/>
  <c r="E124" i="59"/>
  <c r="E119" i="59"/>
  <c r="E103" i="59"/>
  <c r="E87" i="59"/>
  <c r="E113" i="59"/>
  <c r="E109" i="59"/>
  <c r="E106" i="59"/>
  <c r="E117" i="59"/>
  <c r="E30" i="59"/>
  <c r="E29" i="59" s="1"/>
  <c r="J8" i="63"/>
  <c r="Q8" i="63" s="1"/>
  <c r="F63" i="59"/>
  <c r="F60" i="59" s="1"/>
  <c r="G63" i="59"/>
  <c r="E131" i="59"/>
  <c r="E123" i="59"/>
  <c r="E115" i="59"/>
  <c r="E107" i="59"/>
  <c r="E99" i="59"/>
  <c r="E83" i="59"/>
  <c r="E121" i="59"/>
  <c r="E101" i="59"/>
  <c r="E129" i="59"/>
  <c r="E93" i="59"/>
  <c r="E98" i="59"/>
  <c r="E85" i="59"/>
  <c r="BP166" i="65"/>
  <c r="E127" i="59"/>
  <c r="E111" i="59"/>
  <c r="E95" i="59"/>
  <c r="E79" i="59"/>
  <c r="E89" i="59"/>
  <c r="E81" i="59"/>
  <c r="E133" i="59"/>
  <c r="E97" i="59"/>
  <c r="BP274" i="65"/>
  <c r="J6" i="63"/>
  <c r="Q6" i="63" s="1"/>
  <c r="BP148" i="65"/>
  <c r="BP267" i="65"/>
  <c r="BP170" i="65"/>
  <c r="E22" i="60"/>
  <c r="G22" i="60" s="1"/>
  <c r="H22" i="60" s="1"/>
  <c r="G64" i="59"/>
  <c r="E80" i="59"/>
  <c r="E114" i="59"/>
  <c r="E120" i="59"/>
  <c r="E104" i="59"/>
  <c r="E88" i="59"/>
  <c r="E64" i="59"/>
  <c r="G38" i="59"/>
  <c r="E179" i="59"/>
  <c r="E147" i="59"/>
  <c r="BP65" i="65"/>
  <c r="E193" i="59"/>
  <c r="E161" i="59"/>
  <c r="J7" i="63"/>
  <c r="Q7" i="63" s="1"/>
  <c r="BP35" i="65"/>
  <c r="BP259" i="65"/>
  <c r="BP246" i="65"/>
  <c r="BP228" i="65"/>
  <c r="BP154" i="65"/>
  <c r="BP95" i="65"/>
  <c r="BP168" i="65"/>
  <c r="E165" i="59"/>
  <c r="E191" i="59"/>
  <c r="G35" i="59"/>
  <c r="BP174" i="65"/>
  <c r="BP201" i="65"/>
  <c r="BP123" i="65"/>
  <c r="BP100" i="65"/>
  <c r="BP33" i="65"/>
  <c r="BP19" i="65"/>
  <c r="E198" i="59"/>
  <c r="BP23" i="65"/>
  <c r="H61" i="59"/>
  <c r="BP103" i="65"/>
  <c r="BP112" i="65"/>
  <c r="BP104" i="65"/>
  <c r="BP76" i="65"/>
  <c r="BP29" i="65"/>
  <c r="BP243" i="65"/>
  <c r="BP55" i="65"/>
  <c r="BP45" i="65"/>
  <c r="BP59" i="65"/>
  <c r="BP279" i="65"/>
  <c r="BP238" i="65"/>
  <c r="E154" i="59"/>
  <c r="BP79" i="65"/>
  <c r="BP48" i="65"/>
  <c r="BP38" i="65"/>
  <c r="BP265" i="65"/>
  <c r="BP80" i="65"/>
  <c r="BP47" i="65"/>
  <c r="E151" i="59"/>
  <c r="BP277" i="65"/>
  <c r="BP219" i="65"/>
  <c r="BP211" i="65"/>
  <c r="BP196" i="65"/>
  <c r="BP92" i="65"/>
  <c r="BP26" i="65"/>
  <c r="E185" i="59"/>
  <c r="E153" i="59"/>
  <c r="E202" i="59"/>
  <c r="BP101" i="65"/>
  <c r="BP44" i="65"/>
  <c r="BP14" i="65"/>
  <c r="BP271" i="65"/>
  <c r="BP221" i="65"/>
  <c r="BP192" i="65"/>
  <c r="BP126" i="65"/>
  <c r="BP97" i="65"/>
  <c r="BP183" i="65"/>
  <c r="BP129" i="65"/>
  <c r="BP50" i="65"/>
  <c r="E189" i="59"/>
  <c r="E188" i="59"/>
  <c r="E187" i="59"/>
  <c r="E155" i="59"/>
  <c r="BP256" i="65"/>
  <c r="BP82" i="65"/>
  <c r="BP181" i="65"/>
  <c r="BP178" i="65"/>
  <c r="BP77" i="65"/>
  <c r="BP13" i="65"/>
  <c r="BP74" i="65"/>
  <c r="BP146" i="65"/>
  <c r="BP251" i="65"/>
  <c r="BP186" i="65"/>
  <c r="BP172" i="65"/>
  <c r="BP232" i="65"/>
  <c r="BP177" i="65"/>
  <c r="BP161" i="65"/>
  <c r="E176" i="59"/>
  <c r="E144" i="59"/>
  <c r="BP253" i="65"/>
  <c r="BP197" i="65"/>
  <c r="BP179" i="65"/>
  <c r="BP147" i="65"/>
  <c r="BP122" i="65"/>
  <c r="BP155" i="65"/>
  <c r="BP9" i="65"/>
  <c r="E157" i="59"/>
  <c r="E183" i="59"/>
  <c r="F29" i="59"/>
  <c r="C208" i="59"/>
  <c r="D217" i="59" s="1"/>
  <c r="BP249" i="65"/>
  <c r="BP127" i="65"/>
  <c r="BP145" i="65"/>
  <c r="BP135" i="65"/>
  <c r="BP119" i="65"/>
  <c r="BP156" i="65"/>
  <c r="BP64" i="65"/>
  <c r="BP46" i="65"/>
  <c r="E177" i="59"/>
  <c r="E160" i="59"/>
  <c r="BP248" i="65"/>
  <c r="BP245" i="65"/>
  <c r="BP188" i="65"/>
  <c r="BP96" i="65"/>
  <c r="BP68" i="65"/>
  <c r="BP136" i="65"/>
  <c r="BP41" i="65"/>
  <c r="BP20" i="65"/>
  <c r="BP5" i="65"/>
  <c r="E164" i="59"/>
  <c r="E178" i="59"/>
  <c r="BP275" i="65"/>
  <c r="BP133" i="65"/>
  <c r="BP93" i="65"/>
  <c r="BP62" i="65"/>
  <c r="BP131" i="65"/>
  <c r="BP75" i="65"/>
  <c r="BP90" i="65"/>
  <c r="BP32" i="65"/>
  <c r="E138" i="59"/>
  <c r="E197" i="59"/>
  <c r="E149" i="59"/>
  <c r="BP142" i="65"/>
  <c r="BP6" i="65"/>
  <c r="BP109" i="65"/>
  <c r="BP58" i="65"/>
  <c r="BP27" i="65"/>
  <c r="BP31" i="65"/>
  <c r="BP182" i="65"/>
  <c r="BP160" i="65"/>
  <c r="BP66" i="65"/>
  <c r="BP34" i="65"/>
  <c r="BP3" i="65"/>
  <c r="BP56" i="65"/>
  <c r="G32" i="59"/>
  <c r="E192" i="59"/>
  <c r="E65" i="59"/>
  <c r="BP263" i="65"/>
  <c r="BP163" i="65"/>
  <c r="BP264" i="65"/>
  <c r="BP255" i="65"/>
  <c r="BP215" i="65"/>
  <c r="BP158" i="65"/>
  <c r="BP225" i="65"/>
  <c r="BP108" i="65"/>
  <c r="BP87" i="65"/>
  <c r="BP118" i="65"/>
  <c r="E196" i="59"/>
  <c r="E148" i="59"/>
  <c r="E162" i="59"/>
  <c r="G65" i="59"/>
  <c r="BP269" i="65"/>
  <c r="BP210" i="65"/>
  <c r="BP180" i="65"/>
  <c r="BP171" i="65"/>
  <c r="BP24" i="65"/>
  <c r="E156" i="59"/>
  <c r="E181" i="59"/>
  <c r="BP212" i="65"/>
  <c r="BP167" i="65"/>
  <c r="BP116" i="65"/>
  <c r="BP36" i="65"/>
  <c r="BP261" i="65"/>
  <c r="BP233" i="65"/>
  <c r="BP199" i="65"/>
  <c r="BP141" i="65"/>
  <c r="BP124" i="65"/>
  <c r="BP51" i="65"/>
  <c r="BP25" i="65"/>
  <c r="BP21" i="65"/>
  <c r="BP16" i="65"/>
  <c r="BP254" i="65"/>
  <c r="BP207" i="65"/>
  <c r="BP257" i="65"/>
  <c r="BP191" i="65"/>
  <c r="BP157" i="65"/>
  <c r="BP220" i="65"/>
  <c r="BP205" i="65"/>
  <c r="BP239" i="65"/>
  <c r="BP102" i="65"/>
  <c r="BP138" i="65"/>
  <c r="BP187" i="65"/>
  <c r="BP173" i="65"/>
  <c r="E180" i="59"/>
  <c r="E194" i="59"/>
  <c r="E146" i="59"/>
  <c r="G37" i="59"/>
  <c r="E143" i="59"/>
  <c r="H62" i="59"/>
  <c r="BP230" i="65"/>
  <c r="BP202" i="65"/>
  <c r="BP175" i="65"/>
  <c r="BP132" i="65"/>
  <c r="BP69" i="65"/>
  <c r="BP164" i="65"/>
  <c r="BP107" i="65"/>
  <c r="BP217" i="65"/>
  <c r="BP121" i="65"/>
  <c r="BP184" i="65"/>
  <c r="BP28" i="65"/>
  <c r="BP169" i="65"/>
  <c r="BP7" i="65"/>
  <c r="BP22" i="65"/>
  <c r="E166" i="59"/>
  <c r="E134" i="59"/>
  <c r="G31" i="59"/>
  <c r="G33" i="59"/>
  <c r="D78" i="59"/>
  <c r="BP262" i="65"/>
  <c r="BP226" i="65"/>
  <c r="BP190" i="65"/>
  <c r="BP236" i="65"/>
  <c r="BP176" i="65"/>
  <c r="BP208" i="65"/>
  <c r="BP91" i="65"/>
  <c r="BP57" i="65"/>
  <c r="BP10" i="65"/>
  <c r="BP39" i="65"/>
  <c r="BP110" i="65"/>
  <c r="BP17" i="65"/>
  <c r="BP114" i="65"/>
  <c r="BP42" i="65"/>
  <c r="BP78" i="65"/>
  <c r="BP143" i="65"/>
  <c r="BP111" i="65"/>
  <c r="BP117" i="65"/>
  <c r="E174" i="59"/>
  <c r="E142" i="59"/>
  <c r="E170" i="59"/>
  <c r="E184" i="59"/>
  <c r="E152" i="59"/>
  <c r="G36" i="59"/>
  <c r="BP139" i="65"/>
  <c r="BP49" i="65"/>
  <c r="BP218" i="65"/>
  <c r="BP242" i="65"/>
  <c r="BP214" i="65"/>
  <c r="BP194" i="65"/>
  <c r="BP193" i="65"/>
  <c r="BP130" i="65"/>
  <c r="BP227" i="65"/>
  <c r="BP40" i="65"/>
  <c r="BP209" i="65"/>
  <c r="BP18" i="65"/>
  <c r="BP43" i="65"/>
  <c r="BP12" i="65"/>
  <c r="BP15" i="65"/>
  <c r="D231" i="59"/>
  <c r="E236" i="59" s="1"/>
  <c r="E130" i="59"/>
  <c r="BP266" i="65"/>
  <c r="BP258" i="65"/>
  <c r="BP244" i="65"/>
  <c r="BP222" i="65"/>
  <c r="BP235" i="65"/>
  <c r="BP152" i="65"/>
  <c r="BP162" i="65"/>
  <c r="BP113" i="65"/>
  <c r="BP99" i="65"/>
  <c r="BP115" i="65"/>
  <c r="BP137" i="65"/>
  <c r="BP120" i="65"/>
  <c r="BP60" i="65"/>
  <c r="BP70" i="65"/>
  <c r="E195" i="59"/>
  <c r="E163" i="59"/>
  <c r="E132" i="59"/>
  <c r="E205" i="59"/>
  <c r="E173" i="59"/>
  <c r="E141" i="59"/>
  <c r="BP278" i="65"/>
  <c r="BP247" i="65"/>
  <c r="BP280" i="65"/>
  <c r="BP273" i="65"/>
  <c r="BP272" i="65"/>
  <c r="BP252" i="65"/>
  <c r="J3" i="63"/>
  <c r="BP268" i="65"/>
  <c r="BP224" i="65"/>
  <c r="BP216" i="65"/>
  <c r="BP260" i="65"/>
  <c r="BP206" i="65"/>
  <c r="BP189" i="65"/>
  <c r="BP229" i="65"/>
  <c r="BP153" i="65"/>
  <c r="BP144" i="65"/>
  <c r="BP213" i="65"/>
  <c r="BP151" i="65"/>
  <c r="BP86" i="65"/>
  <c r="BP198" i="65"/>
  <c r="C51" i="67"/>
  <c r="C43" i="67"/>
  <c r="I23" i="67" s="1"/>
  <c r="C35" i="67"/>
  <c r="C58" i="67"/>
  <c r="C50" i="67"/>
  <c r="C42" i="67"/>
  <c r="C34" i="67"/>
  <c r="C28" i="67"/>
  <c r="I14" i="67" s="1"/>
  <c r="C24" i="67"/>
  <c r="I13" i="67" s="1"/>
  <c r="C20" i="67"/>
  <c r="C16" i="67"/>
  <c r="C12" i="67"/>
  <c r="C8" i="67"/>
  <c r="C4" i="67"/>
  <c r="C57" i="67"/>
  <c r="C49" i="67"/>
  <c r="C41" i="67"/>
  <c r="C33" i="67"/>
  <c r="I21" i="67" s="1"/>
  <c r="C56" i="67"/>
  <c r="C48" i="67"/>
  <c r="C40" i="67"/>
  <c r="C32" i="67"/>
  <c r="I19" i="67" s="1"/>
  <c r="C27" i="67"/>
  <c r="C23" i="67"/>
  <c r="C19" i="67"/>
  <c r="I11" i="67" s="1"/>
  <c r="C15" i="67"/>
  <c r="C11" i="67"/>
  <c r="I12" i="67" s="1"/>
  <c r="C7" i="67"/>
  <c r="I6" i="67" s="1"/>
  <c r="C3" i="67"/>
  <c r="I3" i="67" s="1"/>
  <c r="C54" i="67"/>
  <c r="I25" i="67" s="1"/>
  <c r="C46" i="67"/>
  <c r="C38" i="67"/>
  <c r="I20" i="67" s="1"/>
  <c r="C26" i="67"/>
  <c r="I15" i="67" s="1"/>
  <c r="C22" i="67"/>
  <c r="C18" i="67"/>
  <c r="C14" i="67"/>
  <c r="I26" i="67" s="1"/>
  <c r="C10" i="67"/>
  <c r="C6" i="67"/>
  <c r="I5" i="67" s="1"/>
  <c r="C52" i="67"/>
  <c r="C44" i="67"/>
  <c r="C36" i="67"/>
  <c r="C29" i="67"/>
  <c r="I16" i="67" s="1"/>
  <c r="C25" i="67"/>
  <c r="I17" i="67" s="1"/>
  <c r="C21" i="67"/>
  <c r="C17" i="67"/>
  <c r="I10" i="67" s="1"/>
  <c r="C13" i="67"/>
  <c r="C9" i="67"/>
  <c r="I8" i="67" s="1"/>
  <c r="C5" i="67"/>
  <c r="I4" i="67" s="1"/>
  <c r="C55" i="67"/>
  <c r="C30" i="67"/>
  <c r="I18" i="67" s="1"/>
  <c r="C53" i="67"/>
  <c r="I24" i="67" s="1"/>
  <c r="C45" i="67"/>
  <c r="C39" i="67"/>
  <c r="C47" i="67"/>
  <c r="C37" i="67"/>
  <c r="C31" i="67"/>
  <c r="BP125" i="65"/>
  <c r="BP53" i="65"/>
  <c r="BP98" i="65"/>
  <c r="BP88" i="65"/>
  <c r="BP8" i="65"/>
  <c r="BP4" i="65"/>
  <c r="E145" i="59"/>
  <c r="E159" i="59"/>
  <c r="E182" i="59"/>
  <c r="E150" i="59"/>
  <c r="BP105" i="65"/>
  <c r="BP223" i="65"/>
  <c r="BP240" i="65"/>
  <c r="BP237" i="65"/>
  <c r="BP204" i="65"/>
  <c r="BP200" i="65"/>
  <c r="BP185" i="65"/>
  <c r="BP149" i="65"/>
  <c r="BP85" i="65"/>
  <c r="BP134" i="65"/>
  <c r="BP54" i="65"/>
  <c r="BP52" i="65"/>
  <c r="BP195" i="65"/>
  <c r="BP83" i="65"/>
  <c r="BP67" i="65"/>
  <c r="BP94" i="65"/>
  <c r="BP30" i="65"/>
  <c r="E201" i="59"/>
  <c r="E169" i="59"/>
  <c r="E137" i="59"/>
  <c r="E190" i="59"/>
  <c r="E158" i="59"/>
  <c r="E128" i="59"/>
  <c r="E200" i="59"/>
  <c r="E168" i="59"/>
  <c r="E136" i="59"/>
  <c r="E175" i="59"/>
  <c r="G34" i="59"/>
  <c r="D29" i="59"/>
  <c r="BP241" i="65"/>
  <c r="BP270" i="65"/>
  <c r="BP234" i="65"/>
  <c r="BP276" i="65"/>
  <c r="BP231" i="65"/>
  <c r="BP203" i="65"/>
  <c r="BP250" i="65"/>
  <c r="BP140" i="65"/>
  <c r="BP150" i="65"/>
  <c r="BP128" i="65"/>
  <c r="BP61" i="65"/>
  <c r="BP37" i="65"/>
  <c r="BP72" i="65"/>
  <c r="BP63" i="65"/>
  <c r="BP81" i="65"/>
  <c r="BP106" i="65"/>
  <c r="BP84" i="65"/>
  <c r="BP165" i="65"/>
  <c r="BP89" i="65"/>
  <c r="E199" i="59"/>
  <c r="E167" i="59"/>
  <c r="E135" i="59"/>
  <c r="E186" i="59"/>
  <c r="E204" i="59"/>
  <c r="E172" i="59"/>
  <c r="E140" i="59"/>
  <c r="E203" i="59"/>
  <c r="E171" i="59"/>
  <c r="E139" i="59"/>
  <c r="G30" i="59" l="1"/>
  <c r="G29" i="59" s="1"/>
  <c r="E8" i="60" s="1"/>
  <c r="G8" i="60" s="1"/>
  <c r="H8" i="60" s="1"/>
  <c r="Q8" i="60" s="1"/>
  <c r="H63" i="59"/>
  <c r="I22" i="67"/>
  <c r="Q13" i="60"/>
  <c r="N16" i="60"/>
  <c r="E20" i="60"/>
  <c r="H64" i="59"/>
  <c r="G60" i="59"/>
  <c r="E60" i="59"/>
  <c r="D214" i="59"/>
  <c r="D213" i="59"/>
  <c r="H65" i="59"/>
  <c r="D212" i="59"/>
  <c r="D210" i="59"/>
  <c r="D216" i="59"/>
  <c r="D215" i="59"/>
  <c r="D209" i="59"/>
  <c r="E78" i="59"/>
  <c r="E11" i="60" s="1"/>
  <c r="G11" i="60" s="1"/>
  <c r="H11" i="60" s="1"/>
  <c r="N10" i="60" s="1"/>
  <c r="D211" i="59"/>
  <c r="I28" i="67"/>
  <c r="I7" i="67"/>
  <c r="I9" i="67"/>
  <c r="K11" i="63"/>
  <c r="E16" i="63" s="1"/>
  <c r="Q3" i="63"/>
  <c r="Q11" i="63" s="1"/>
  <c r="J11" i="63"/>
  <c r="I27" i="67"/>
  <c r="E12" i="60"/>
  <c r="G12" i="60" s="1"/>
  <c r="H12" i="60" s="1"/>
  <c r="E233" i="59"/>
  <c r="E235" i="59"/>
  <c r="E234" i="59"/>
  <c r="E237" i="59"/>
  <c r="E232" i="59"/>
  <c r="M35" i="60" l="1"/>
  <c r="B14" i="12"/>
  <c r="H60" i="59"/>
  <c r="E9" i="60" s="1"/>
  <c r="G9" i="60" s="1"/>
  <c r="H9" i="60" s="1"/>
  <c r="D208" i="59"/>
  <c r="Q10" i="60"/>
  <c r="N8" i="60"/>
  <c r="E231" i="59"/>
  <c r="AB18" i="63"/>
  <c r="T18" i="63"/>
  <c r="L18" i="63"/>
  <c r="AC18" i="63"/>
  <c r="S18" i="63"/>
  <c r="J18" i="63"/>
  <c r="AA18" i="63"/>
  <c r="R18" i="63"/>
  <c r="I18" i="63"/>
  <c r="Z18" i="63"/>
  <c r="Q18" i="63"/>
  <c r="H18" i="63"/>
  <c r="AH18" i="63"/>
  <c r="Y18" i="63"/>
  <c r="P18" i="63"/>
  <c r="G18" i="63"/>
  <c r="AG18" i="63"/>
  <c r="X18" i="63"/>
  <c r="O18" i="63"/>
  <c r="F18" i="63"/>
  <c r="AF18" i="63"/>
  <c r="W18" i="63"/>
  <c r="N18" i="63"/>
  <c r="E18" i="63"/>
  <c r="AE18" i="63"/>
  <c r="V18" i="63"/>
  <c r="M18" i="63"/>
  <c r="AD18" i="63"/>
  <c r="U18" i="63"/>
  <c r="K18" i="63"/>
  <c r="Q11" i="60"/>
  <c r="N11" i="60"/>
  <c r="E10" i="60"/>
  <c r="G10" i="60" s="1"/>
  <c r="H10" i="60"/>
  <c r="N9" i="60" l="1"/>
  <c r="Q9" i="60"/>
  <c r="E7" i="60"/>
  <c r="M34" i="60" l="1"/>
  <c r="B13" i="12"/>
  <c r="H53" i="22" l="1"/>
  <c r="F75" i="8"/>
  <c r="F76" i="8"/>
  <c r="F77" i="8"/>
  <c r="F78" i="8"/>
  <c r="F79" i="8"/>
  <c r="F80" i="8"/>
  <c r="F81" i="8"/>
  <c r="G62" i="29"/>
  <c r="G61" i="29"/>
  <c r="G60" i="29"/>
  <c r="G59" i="29"/>
  <c r="G58" i="29"/>
  <c r="G57" i="29"/>
  <c r="G56" i="29"/>
  <c r="G55" i="29"/>
  <c r="G54" i="29"/>
  <c r="G53" i="29"/>
  <c r="G52" i="29"/>
  <c r="G51" i="29"/>
  <c r="G50" i="29"/>
  <c r="G49" i="29"/>
  <c r="G48" i="29"/>
  <c r="G47" i="29"/>
  <c r="G46" i="29"/>
  <c r="G45" i="29"/>
  <c r="G37" i="29"/>
  <c r="G36" i="29"/>
  <c r="G35" i="29"/>
  <c r="G34" i="29"/>
  <c r="G33" i="29"/>
  <c r="G32" i="29"/>
  <c r="G31" i="29"/>
  <c r="G30" i="29"/>
  <c r="G29" i="29"/>
  <c r="G28" i="29"/>
  <c r="G27" i="29"/>
  <c r="G26" i="29"/>
  <c r="G25" i="29"/>
  <c r="G24" i="29"/>
  <c r="G23" i="29"/>
  <c r="G22" i="29"/>
  <c r="G21" i="29"/>
  <c r="G20" i="29"/>
  <c r="D11" i="27"/>
  <c r="D12" i="27"/>
  <c r="D18" i="27"/>
  <c r="D19" i="27"/>
  <c r="D25" i="27"/>
  <c r="D26" i="27"/>
  <c r="D32" i="27"/>
  <c r="D33" i="27"/>
  <c r="D39" i="27"/>
  <c r="D40" i="27"/>
  <c r="D46" i="27"/>
  <c r="D47" i="27"/>
  <c r="D53" i="27"/>
  <c r="D54" i="27"/>
  <c r="D60" i="27"/>
  <c r="D61" i="27"/>
  <c r="D67" i="27"/>
  <c r="D68" i="27"/>
  <c r="D74" i="27"/>
  <c r="D75" i="27"/>
  <c r="D81" i="27"/>
  <c r="D82" i="27"/>
  <c r="D88" i="27"/>
  <c r="D89" i="27"/>
  <c r="D95" i="27"/>
  <c r="D96" i="27"/>
  <c r="D102" i="27"/>
  <c r="D103" i="27"/>
  <c r="D109" i="27"/>
  <c r="D110" i="27"/>
  <c r="D116" i="27"/>
  <c r="D117" i="27"/>
  <c r="D123" i="27"/>
  <c r="D124" i="27"/>
  <c r="D130" i="27"/>
  <c r="D131" i="27"/>
  <c r="D137" i="27"/>
  <c r="D138" i="27"/>
  <c r="D144" i="27"/>
  <c r="D145" i="27"/>
  <c r="D151" i="27"/>
  <c r="D152" i="27"/>
  <c r="D158" i="27"/>
  <c r="D159" i="27"/>
  <c r="D165" i="27"/>
  <c r="D166" i="27"/>
  <c r="D172" i="27"/>
  <c r="D173" i="27"/>
  <c r="D179" i="27"/>
  <c r="D180" i="27"/>
  <c r="D186" i="27"/>
  <c r="D187" i="27"/>
  <c r="D193" i="27"/>
  <c r="D194" i="27"/>
  <c r="D200" i="27"/>
  <c r="D201" i="27"/>
  <c r="D207" i="27"/>
  <c r="D208" i="27"/>
  <c r="D214" i="27"/>
  <c r="D215" i="27"/>
  <c r="D221" i="27"/>
  <c r="D222" i="27"/>
  <c r="D228" i="27"/>
  <c r="D229" i="27"/>
  <c r="D235" i="27"/>
  <c r="D236" i="27"/>
  <c r="D242" i="27"/>
  <c r="D243" i="27"/>
  <c r="D249" i="27"/>
  <c r="D250" i="27"/>
  <c r="D256" i="27"/>
  <c r="D257" i="27"/>
  <c r="D263" i="27"/>
  <c r="D264" i="27"/>
  <c r="D270" i="27"/>
  <c r="D271" i="27"/>
  <c r="D277" i="27"/>
  <c r="D278" i="27"/>
  <c r="D284" i="27"/>
  <c r="D285" i="27"/>
  <c r="D291" i="27"/>
  <c r="D292" i="27"/>
  <c r="D298" i="27"/>
  <c r="D299" i="27"/>
  <c r="D305" i="27"/>
  <c r="D306" i="27"/>
  <c r="D312" i="27"/>
  <c r="D313" i="27"/>
  <c r="D319" i="27"/>
  <c r="D320" i="27"/>
  <c r="D326" i="27"/>
  <c r="D327" i="27"/>
  <c r="D333" i="27"/>
  <c r="D334" i="27"/>
  <c r="D340" i="27"/>
  <c r="D341" i="27"/>
  <c r="D347" i="27"/>
  <c r="D348" i="27"/>
  <c r="D354" i="27"/>
  <c r="D355" i="27"/>
  <c r="D361" i="27"/>
  <c r="D362" i="27"/>
  <c r="D368" i="27"/>
  <c r="D369" i="27"/>
  <c r="H8" i="27" l="1"/>
  <c r="H9" i="27"/>
  <c r="H10" i="27"/>
  <c r="H11" i="27"/>
  <c r="H12" i="27"/>
  <c r="H13" i="27"/>
  <c r="H14" i="27"/>
  <c r="H15"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6" i="27"/>
  <c r="A364" i="27"/>
  <c r="A365" i="27" s="1"/>
  <c r="A357" i="27"/>
  <c r="A358" i="27" s="1"/>
  <c r="A350" i="27"/>
  <c r="A351" i="27" s="1"/>
  <c r="A343" i="27"/>
  <c r="A344" i="27" s="1"/>
  <c r="A336" i="27"/>
  <c r="A337" i="27" s="1"/>
  <c r="A329" i="27"/>
  <c r="A330" i="27" s="1"/>
  <c r="A322" i="27"/>
  <c r="A323" i="27" s="1"/>
  <c r="A315" i="27"/>
  <c r="A316" i="27" s="1"/>
  <c r="A308" i="27"/>
  <c r="A309" i="27" s="1"/>
  <c r="A301" i="27"/>
  <c r="A302" i="27" s="1"/>
  <c r="A294" i="27"/>
  <c r="A295" i="27" s="1"/>
  <c r="A287" i="27"/>
  <c r="A288" i="27" s="1"/>
  <c r="A280" i="27"/>
  <c r="A281" i="27" s="1"/>
  <c r="A273" i="27"/>
  <c r="A274" i="27" s="1"/>
  <c r="A266" i="27"/>
  <c r="A267" i="27" s="1"/>
  <c r="A259" i="27"/>
  <c r="A260" i="27" s="1"/>
  <c r="A252" i="27"/>
  <c r="A253" i="27" s="1"/>
  <c r="A245" i="27"/>
  <c r="A246" i="27" s="1"/>
  <c r="A238" i="27"/>
  <c r="A239" i="27" s="1"/>
  <c r="A231" i="27"/>
  <c r="A232" i="27" s="1"/>
  <c r="A224" i="27"/>
  <c r="A225" i="27" s="1"/>
  <c r="A217" i="27"/>
  <c r="A218" i="27" s="1"/>
  <c r="A210" i="27"/>
  <c r="A211" i="27" s="1"/>
  <c r="A203" i="27"/>
  <c r="A204" i="27" s="1"/>
  <c r="A196" i="27"/>
  <c r="A197" i="27" s="1"/>
  <c r="A189" i="27"/>
  <c r="A190" i="27" s="1"/>
  <c r="A182" i="27"/>
  <c r="A183" i="27" s="1"/>
  <c r="A175" i="27"/>
  <c r="A176" i="27" s="1"/>
  <c r="A168" i="27"/>
  <c r="A169" i="27" s="1"/>
  <c r="A161" i="27"/>
  <c r="A162" i="27" s="1"/>
  <c r="A154" i="27"/>
  <c r="A155" i="27" s="1"/>
  <c r="A147" i="27"/>
  <c r="A148" i="27" s="1"/>
  <c r="A140" i="27"/>
  <c r="A141" i="27" s="1"/>
  <c r="A133" i="27"/>
  <c r="A134" i="27" s="1"/>
  <c r="A126" i="27"/>
  <c r="A127" i="27" s="1"/>
  <c r="A119" i="27"/>
  <c r="A120" i="27" s="1"/>
  <c r="A112" i="27"/>
  <c r="A113" i="27" s="1"/>
  <c r="A105" i="27"/>
  <c r="A106" i="27" s="1"/>
  <c r="A98" i="27"/>
  <c r="A99" i="27" s="1"/>
  <c r="A91" i="27"/>
  <c r="A92" i="27" s="1"/>
  <c r="A84" i="27"/>
  <c r="A85" i="27" s="1"/>
  <c r="A77" i="27"/>
  <c r="A78" i="27" s="1"/>
  <c r="A70" i="27"/>
  <c r="A71" i="27" s="1"/>
  <c r="A63" i="27"/>
  <c r="A64" i="27" s="1"/>
  <c r="A56" i="27"/>
  <c r="A57" i="27" s="1"/>
  <c r="A49" i="27"/>
  <c r="A50" i="27" s="1"/>
  <c r="A42" i="27"/>
  <c r="A43" i="27" s="1"/>
  <c r="A35" i="27"/>
  <c r="A36" i="27" s="1"/>
  <c r="A28" i="27"/>
  <c r="A29" i="27" s="1"/>
  <c r="A21" i="27"/>
  <c r="A22" i="27" s="1"/>
  <c r="A14" i="27"/>
  <c r="A15" i="27" s="1"/>
  <c r="A114" i="27" l="1"/>
  <c r="A115" i="27" s="1"/>
  <c r="A116" i="27" s="1"/>
  <c r="A117" i="27" s="1"/>
  <c r="A212" i="27"/>
  <c r="A213" i="27" s="1"/>
  <c r="A214" i="27" s="1"/>
  <c r="A215" i="27" s="1"/>
  <c r="A219" i="27"/>
  <c r="A220" i="27" s="1"/>
  <c r="A221" i="27" s="1"/>
  <c r="A222" i="27" s="1"/>
  <c r="A303" i="27"/>
  <c r="A304" i="27" s="1"/>
  <c r="A305" i="27" s="1"/>
  <c r="A306" i="27" s="1"/>
  <c r="A121" i="27"/>
  <c r="A122" i="27" s="1"/>
  <c r="A123" i="27" s="1"/>
  <c r="A124" i="27" s="1"/>
  <c r="A310" i="27"/>
  <c r="A311" i="27" s="1"/>
  <c r="A312" i="27" s="1"/>
  <c r="A313" i="27" s="1"/>
  <c r="A366" i="27"/>
  <c r="A367" i="27" s="1"/>
  <c r="A368" i="27" s="1"/>
  <c r="A369" i="27" s="1"/>
  <c r="A296" i="27"/>
  <c r="A297" i="27" s="1"/>
  <c r="A298" i="27" s="1"/>
  <c r="A299" i="27" s="1"/>
  <c r="A142" i="27"/>
  <c r="A143" i="27" s="1"/>
  <c r="A144" i="27" s="1"/>
  <c r="A145" i="27" s="1"/>
  <c r="A317" i="27"/>
  <c r="A318" i="27" s="1"/>
  <c r="A319" i="27" s="1"/>
  <c r="A320" i="27" s="1"/>
  <c r="A324" i="27"/>
  <c r="A325" i="27" s="1"/>
  <c r="A326" i="27" s="1"/>
  <c r="A327" i="27" s="1"/>
  <c r="A282" i="27"/>
  <c r="A283" i="27" s="1"/>
  <c r="A284" i="27" s="1"/>
  <c r="A285" i="27" s="1"/>
  <c r="A289" i="27"/>
  <c r="A290" i="27" s="1"/>
  <c r="A291" i="27" s="1"/>
  <c r="A292" i="27" s="1"/>
  <c r="A331" i="27"/>
  <c r="A332" i="27" s="1"/>
  <c r="A333" i="27" s="1"/>
  <c r="A334" i="27" s="1"/>
  <c r="A135" i="27"/>
  <c r="A136" i="27" s="1"/>
  <c r="A137" i="27" s="1"/>
  <c r="A138" i="27" s="1"/>
  <c r="A149" i="27"/>
  <c r="A150" i="27" s="1"/>
  <c r="A151" i="27" s="1"/>
  <c r="A152" i="27" s="1"/>
  <c r="A86" i="27"/>
  <c r="A87" i="27" s="1"/>
  <c r="A88" i="27" s="1"/>
  <c r="A89" i="27" s="1"/>
  <c r="A338" i="27"/>
  <c r="A339" i="27" s="1"/>
  <c r="A340" i="27" s="1"/>
  <c r="A341" i="27" s="1"/>
  <c r="A128" i="27"/>
  <c r="A129" i="27" s="1"/>
  <c r="A130" i="27" s="1"/>
  <c r="A131" i="27" s="1"/>
  <c r="A226" i="27"/>
  <c r="A227" i="27" s="1"/>
  <c r="A228" i="27" s="1"/>
  <c r="A229" i="27" s="1"/>
  <c r="A240" i="27"/>
  <c r="A241" i="27" s="1"/>
  <c r="A242" i="27" s="1"/>
  <c r="A243" i="27" s="1"/>
  <c r="A247" i="27"/>
  <c r="A248" i="27" s="1"/>
  <c r="A249" i="27" s="1"/>
  <c r="A250" i="27" s="1"/>
  <c r="A93" i="27"/>
  <c r="A94" i="27" s="1"/>
  <c r="A95" i="27" s="1"/>
  <c r="A96" i="27" s="1"/>
  <c r="A261" i="27"/>
  <c r="A262" i="27" s="1"/>
  <c r="A263" i="27" s="1"/>
  <c r="A264" i="27" s="1"/>
  <c r="A345" i="27"/>
  <c r="A346" i="27" s="1"/>
  <c r="A347" i="27" s="1"/>
  <c r="A348" i="27" s="1"/>
  <c r="A205" i="27"/>
  <c r="A206" i="27" s="1"/>
  <c r="A207" i="27" s="1"/>
  <c r="A208" i="27" s="1"/>
  <c r="A51" i="27"/>
  <c r="A52" i="27" s="1"/>
  <c r="A53" i="27" s="1"/>
  <c r="A54" i="27" s="1"/>
  <c r="A65" i="27"/>
  <c r="A66" i="27" s="1"/>
  <c r="A67" i="27" s="1"/>
  <c r="A68" i="27" s="1"/>
  <c r="A156" i="27"/>
  <c r="A157" i="27" s="1"/>
  <c r="A158" i="27" s="1"/>
  <c r="A159" i="27" s="1"/>
  <c r="A163" i="27"/>
  <c r="A164" i="27" s="1"/>
  <c r="A165" i="27" s="1"/>
  <c r="A166" i="27" s="1"/>
  <c r="A170" i="27"/>
  <c r="A171" i="27" s="1"/>
  <c r="A172" i="27" s="1"/>
  <c r="A173" i="27" s="1"/>
  <c r="A177" i="27"/>
  <c r="A178" i="27" s="1"/>
  <c r="A179" i="27" s="1"/>
  <c r="A180" i="27" s="1"/>
  <c r="A184" i="27"/>
  <c r="A185" i="27" s="1"/>
  <c r="A186" i="27" s="1"/>
  <c r="A187" i="27" s="1"/>
  <c r="A352" i="27"/>
  <c r="A353" i="27" s="1"/>
  <c r="A354" i="27" s="1"/>
  <c r="A355" i="27" s="1"/>
  <c r="A37" i="27"/>
  <c r="A38" i="27" s="1"/>
  <c r="A39" i="27" s="1"/>
  <c r="A40" i="27" s="1"/>
  <c r="A44" i="27"/>
  <c r="A45" i="27" s="1"/>
  <c r="A46" i="27" s="1"/>
  <c r="A47" i="27" s="1"/>
  <c r="A58" i="27"/>
  <c r="A59" i="27" s="1"/>
  <c r="A60" i="27" s="1"/>
  <c r="A61" i="27" s="1"/>
  <c r="A233" i="27"/>
  <c r="A234" i="27" s="1"/>
  <c r="A235" i="27" s="1"/>
  <c r="A236" i="27" s="1"/>
  <c r="A79" i="27"/>
  <c r="A80" i="27" s="1"/>
  <c r="A81" i="27" s="1"/>
  <c r="A82" i="27" s="1"/>
  <c r="A254" i="27"/>
  <c r="A255" i="27" s="1"/>
  <c r="A256" i="27" s="1"/>
  <c r="A257" i="27" s="1"/>
  <c r="A16" i="27"/>
  <c r="A17" i="27" s="1"/>
  <c r="A18" i="27" s="1"/>
  <c r="A19" i="27" s="1"/>
  <c r="A100" i="27"/>
  <c r="A101" i="27" s="1"/>
  <c r="A102" i="27" s="1"/>
  <c r="A103" i="27" s="1"/>
  <c r="A268" i="27"/>
  <c r="A269" i="27" s="1"/>
  <c r="A270" i="27" s="1"/>
  <c r="A271" i="27" s="1"/>
  <c r="A23" i="27"/>
  <c r="A24" i="27" s="1"/>
  <c r="A25" i="27" s="1"/>
  <c r="A26" i="27" s="1"/>
  <c r="A107" i="27"/>
  <c r="A108" i="27" s="1"/>
  <c r="A109" i="27" s="1"/>
  <c r="A110" i="27" s="1"/>
  <c r="A191" i="27"/>
  <c r="A192" i="27" s="1"/>
  <c r="A193" i="27" s="1"/>
  <c r="A194" i="27" s="1"/>
  <c r="A275" i="27"/>
  <c r="A276" i="27" s="1"/>
  <c r="A277" i="27" s="1"/>
  <c r="A278" i="27" s="1"/>
  <c r="A359" i="27"/>
  <c r="A360" i="27" s="1"/>
  <c r="A361" i="27" s="1"/>
  <c r="A362" i="27" s="1"/>
  <c r="A30" i="27"/>
  <c r="A31" i="27" s="1"/>
  <c r="A32" i="27" s="1"/>
  <c r="A33" i="27" s="1"/>
  <c r="A198" i="27"/>
  <c r="A199" i="27" s="1"/>
  <c r="A200" i="27" s="1"/>
  <c r="A201" i="27" s="1"/>
  <c r="A72" i="27"/>
  <c r="A73" i="27" s="1"/>
  <c r="A74" i="27" s="1"/>
  <c r="A75" i="27" s="1"/>
  <c r="C3" i="56" l="1"/>
  <c r="D15" i="27" s="1"/>
  <c r="C4" i="56"/>
  <c r="D36" i="27" s="1"/>
  <c r="C5" i="56"/>
  <c r="D29" i="27" s="1"/>
  <c r="C6" i="56"/>
  <c r="D43" i="27" s="1"/>
  <c r="C7" i="56"/>
  <c r="D50" i="27" s="1"/>
  <c r="C8" i="56"/>
  <c r="D57" i="27" s="1"/>
  <c r="C9" i="56"/>
  <c r="D71" i="27" s="1"/>
  <c r="C10" i="56"/>
  <c r="D64" i="27" s="1"/>
  <c r="C11" i="56"/>
  <c r="D78" i="27" s="1"/>
  <c r="C12" i="56"/>
  <c r="D85" i="27" s="1"/>
  <c r="C13" i="56"/>
  <c r="C14" i="56"/>
  <c r="D120" i="27" s="1"/>
  <c r="C15" i="56"/>
  <c r="D99" i="27" s="1"/>
  <c r="C16" i="56"/>
  <c r="D106" i="27" s="1"/>
  <c r="C17" i="56"/>
  <c r="D113" i="27" s="1"/>
  <c r="C18" i="56"/>
  <c r="D127" i="27" s="1"/>
  <c r="C19" i="56"/>
  <c r="D134" i="27" s="1"/>
  <c r="C20" i="56"/>
  <c r="D141" i="27" s="1"/>
  <c r="C21" i="56"/>
  <c r="D162" i="27" s="1"/>
  <c r="C22" i="56"/>
  <c r="D155" i="27" s="1"/>
  <c r="C23" i="56"/>
  <c r="D148" i="27" s="1"/>
  <c r="C24" i="56"/>
  <c r="D169" i="27" s="1"/>
  <c r="C25" i="56"/>
  <c r="D176" i="27" s="1"/>
  <c r="C26" i="56"/>
  <c r="D190" i="27" s="1"/>
  <c r="C27" i="56"/>
  <c r="D183" i="27" s="1"/>
  <c r="C28" i="56"/>
  <c r="D197" i="27" s="1"/>
  <c r="C29" i="56"/>
  <c r="D246" i="27" s="1"/>
  <c r="C30" i="56"/>
  <c r="D253" i="27" s="1"/>
  <c r="C31" i="56"/>
  <c r="D204" i="27" s="1"/>
  <c r="C32" i="56"/>
  <c r="D218" i="27" s="1"/>
  <c r="C33" i="56"/>
  <c r="D225" i="27" s="1"/>
  <c r="C34" i="56"/>
  <c r="D232" i="27" s="1"/>
  <c r="C35" i="56"/>
  <c r="D211" i="27" s="1"/>
  <c r="C36" i="56"/>
  <c r="D239" i="27" s="1"/>
  <c r="C37" i="56"/>
  <c r="C38" i="56"/>
  <c r="D267" i="27" s="1"/>
  <c r="C39" i="56"/>
  <c r="D274" i="27" s="1"/>
  <c r="C40" i="56"/>
  <c r="D281" i="27" s="1"/>
  <c r="C41" i="56"/>
  <c r="D288" i="27" s="1"/>
  <c r="C42" i="56"/>
  <c r="D295" i="27" s="1"/>
  <c r="C43" i="56"/>
  <c r="D302" i="27" s="1"/>
  <c r="C44" i="56"/>
  <c r="D309" i="27" s="1"/>
  <c r="C45" i="56"/>
  <c r="D316" i="27" s="1"/>
  <c r="C46" i="56"/>
  <c r="D323" i="27" s="1"/>
  <c r="C47" i="56"/>
  <c r="D337" i="27" s="1"/>
  <c r="C48" i="56"/>
  <c r="D330" i="27" s="1"/>
  <c r="C49" i="56"/>
  <c r="D344" i="27" s="1"/>
  <c r="C50" i="56"/>
  <c r="D358" i="27" s="1"/>
  <c r="C51" i="56"/>
  <c r="D351" i="27" s="1"/>
  <c r="C52" i="56"/>
  <c r="D365" i="27" s="1"/>
  <c r="C53" i="56"/>
  <c r="D8" i="27" s="1"/>
  <c r="C2" i="56"/>
  <c r="D22" i="27" s="1"/>
  <c r="O61" i="46"/>
  <c r="O62" i="46"/>
  <c r="D92" i="27" l="1"/>
  <c r="F74" i="8"/>
  <c r="F82" i="8" s="1"/>
  <c r="F73" i="8"/>
  <c r="D260" i="27"/>
  <c r="H18" i="25"/>
  <c r="H19" i="25"/>
  <c r="H20" i="25"/>
  <c r="H21" i="25"/>
  <c r="O104" i="16"/>
  <c r="O105" i="16"/>
  <c r="O106" i="16"/>
  <c r="O107" i="16"/>
  <c r="O108" i="16"/>
  <c r="O109" i="16"/>
  <c r="O110" i="16"/>
  <c r="O111" i="16"/>
  <c r="O112" i="16"/>
  <c r="O113" i="16"/>
  <c r="O114" i="16"/>
  <c r="O115" i="16"/>
  <c r="O116" i="16"/>
  <c r="O117" i="16"/>
  <c r="O118" i="16"/>
  <c r="O119" i="16"/>
  <c r="O120" i="16"/>
  <c r="O121" i="16"/>
  <c r="O103" i="16"/>
  <c r="N78" i="16"/>
  <c r="N79" i="16"/>
  <c r="N80" i="16"/>
  <c r="N81" i="16"/>
  <c r="N82" i="16"/>
  <c r="N83" i="16"/>
  <c r="N84" i="16"/>
  <c r="N85" i="16"/>
  <c r="N86" i="16"/>
  <c r="N87" i="16"/>
  <c r="N88" i="16"/>
  <c r="N89" i="16"/>
  <c r="N90" i="16"/>
  <c r="N91" i="16"/>
  <c r="N92" i="16"/>
  <c r="N93" i="16"/>
  <c r="N94" i="16"/>
  <c r="N95" i="16"/>
  <c r="N77" i="16"/>
  <c r="O52" i="16"/>
  <c r="O53" i="16"/>
  <c r="O54" i="16"/>
  <c r="O55" i="16"/>
  <c r="O56" i="16"/>
  <c r="O57" i="16"/>
  <c r="O58" i="16"/>
  <c r="O59" i="16"/>
  <c r="O60" i="16"/>
  <c r="O61" i="16"/>
  <c r="O62" i="16"/>
  <c r="O63" i="16"/>
  <c r="O64" i="16"/>
  <c r="O65" i="16"/>
  <c r="O66" i="16"/>
  <c r="O67" i="16"/>
  <c r="O68" i="16"/>
  <c r="O69" i="16"/>
  <c r="O51" i="16"/>
  <c r="N26" i="16"/>
  <c r="N27" i="16"/>
  <c r="N28" i="16"/>
  <c r="N29" i="16"/>
  <c r="N30" i="16"/>
  <c r="N31" i="16"/>
  <c r="N32" i="16"/>
  <c r="N33" i="16"/>
  <c r="N34" i="16"/>
  <c r="N35" i="16"/>
  <c r="N36" i="16"/>
  <c r="N37" i="16"/>
  <c r="N38" i="16"/>
  <c r="N39" i="16"/>
  <c r="N40" i="16"/>
  <c r="N41" i="16"/>
  <c r="N42" i="16"/>
  <c r="N43" i="16"/>
  <c r="N25" i="16"/>
  <c r="F26" i="16"/>
  <c r="H58" i="10"/>
  <c r="F28" i="16"/>
  <c r="F29" i="16"/>
  <c r="F30" i="16"/>
  <c r="F31" i="16"/>
  <c r="F32" i="16"/>
  <c r="F33" i="16"/>
  <c r="F34" i="16"/>
  <c r="F35" i="16"/>
  <c r="F36" i="16"/>
  <c r="F37" i="16"/>
  <c r="F38" i="16"/>
  <c r="F39" i="16"/>
  <c r="F40" i="16"/>
  <c r="F41" i="16"/>
  <c r="F42" i="16"/>
  <c r="F43" i="16"/>
  <c r="G52" i="16"/>
  <c r="G53" i="16"/>
  <c r="G54" i="16"/>
  <c r="G55" i="16"/>
  <c r="G56" i="16"/>
  <c r="G57" i="16"/>
  <c r="G58" i="16"/>
  <c r="G59" i="16"/>
  <c r="G60" i="16"/>
  <c r="G61" i="16"/>
  <c r="G62" i="16"/>
  <c r="G63" i="16"/>
  <c r="G64" i="16"/>
  <c r="G65" i="16"/>
  <c r="G66" i="16"/>
  <c r="G67" i="16"/>
  <c r="G68" i="16"/>
  <c r="G69" i="16"/>
  <c r="F78" i="16"/>
  <c r="F79" i="16"/>
  <c r="F80" i="16"/>
  <c r="F81" i="16"/>
  <c r="F82" i="16"/>
  <c r="F83" i="16"/>
  <c r="F84" i="16"/>
  <c r="F85" i="16"/>
  <c r="F86" i="16"/>
  <c r="F87" i="16"/>
  <c r="F88" i="16"/>
  <c r="F89" i="16"/>
  <c r="F90" i="16"/>
  <c r="F91" i="16"/>
  <c r="F92" i="16"/>
  <c r="F93" i="16"/>
  <c r="F94" i="16"/>
  <c r="F95" i="16"/>
  <c r="G104" i="16"/>
  <c r="G105" i="16"/>
  <c r="G106" i="16"/>
  <c r="G107" i="16"/>
  <c r="G108" i="16"/>
  <c r="G109" i="16"/>
  <c r="G110" i="16"/>
  <c r="G111" i="16"/>
  <c r="G112" i="16"/>
  <c r="G113" i="16"/>
  <c r="G114" i="16"/>
  <c r="G115" i="16"/>
  <c r="G116" i="16"/>
  <c r="G117" i="16"/>
  <c r="G118" i="16"/>
  <c r="G119" i="16"/>
  <c r="G120" i="16"/>
  <c r="G121" i="16"/>
  <c r="M102" i="16"/>
  <c r="L76" i="16"/>
  <c r="M50" i="16"/>
  <c r="L24" i="16"/>
  <c r="H51" i="10"/>
  <c r="H55" i="30"/>
  <c r="H45" i="30"/>
  <c r="H46" i="22"/>
  <c r="O122" i="16" l="1"/>
  <c r="N96" i="16"/>
  <c r="O70" i="16"/>
  <c r="N44" i="16"/>
  <c r="O23" i="46"/>
  <c r="AA5" i="6"/>
  <c r="AA6" i="6"/>
  <c r="AA7" i="6"/>
  <c r="AA8" i="6"/>
  <c r="AA9" i="6"/>
  <c r="AA4" i="6"/>
  <c r="X4" i="6"/>
  <c r="E22" i="22" s="1"/>
  <c r="O25" i="46" l="1"/>
  <c r="O24" i="46"/>
  <c r="O26" i="46"/>
  <c r="O27" i="46"/>
  <c r="O28" i="46"/>
  <c r="O29" i="46"/>
  <c r="O30" i="46"/>
  <c r="O31" i="46"/>
  <c r="O32" i="46"/>
  <c r="O33" i="46"/>
  <c r="O34" i="46"/>
  <c r="O35" i="46"/>
  <c r="O36" i="46"/>
  <c r="O37" i="46"/>
  <c r="O38" i="46"/>
  <c r="O39" i="46"/>
  <c r="O40" i="46"/>
  <c r="O41" i="46"/>
  <c r="O42" i="46"/>
  <c r="O44" i="46"/>
  <c r="O45" i="46"/>
  <c r="E69" i="11"/>
  <c r="E70" i="11"/>
  <c r="E71" i="11"/>
  <c r="E72" i="11"/>
  <c r="E73" i="11"/>
  <c r="E74" i="11"/>
  <c r="E75" i="11"/>
  <c r="E76" i="11"/>
  <c r="E77" i="11"/>
  <c r="E78" i="11"/>
  <c r="E79" i="11"/>
  <c r="E80" i="11"/>
  <c r="E81" i="11"/>
  <c r="E82" i="11"/>
  <c r="E83" i="11"/>
  <c r="E84" i="11"/>
  <c r="E85" i="11"/>
  <c r="E86" i="11"/>
  <c r="E68" i="11"/>
  <c r="E67" i="11"/>
  <c r="D69" i="11"/>
  <c r="D70" i="11"/>
  <c r="D71" i="11"/>
  <c r="D72" i="11"/>
  <c r="D73" i="11"/>
  <c r="D74" i="11"/>
  <c r="D75" i="11"/>
  <c r="D76" i="11"/>
  <c r="D77" i="11"/>
  <c r="D78" i="11"/>
  <c r="D79" i="11"/>
  <c r="D80" i="11"/>
  <c r="D81" i="11"/>
  <c r="D82" i="11"/>
  <c r="D83" i="11"/>
  <c r="D84" i="11"/>
  <c r="D85" i="11"/>
  <c r="D86" i="11"/>
  <c r="D68" i="11"/>
  <c r="D67" i="11"/>
  <c r="S12" i="6"/>
  <c r="D42" i="11"/>
  <c r="D58" i="11"/>
  <c r="D44" i="11"/>
  <c r="D45" i="11"/>
  <c r="D46" i="11"/>
  <c r="D47" i="11"/>
  <c r="D48" i="11"/>
  <c r="D49" i="11"/>
  <c r="D50" i="11"/>
  <c r="D51" i="11"/>
  <c r="D52" i="11"/>
  <c r="D53" i="11"/>
  <c r="D54" i="11"/>
  <c r="D55" i="11"/>
  <c r="D56" i="11"/>
  <c r="D57" i="11"/>
  <c r="D59" i="11"/>
  <c r="D60" i="11"/>
  <c r="D61" i="11"/>
  <c r="D43" i="11"/>
  <c r="X6" i="6" l="1"/>
  <c r="C6" i="3"/>
  <c r="C31" i="48"/>
  <c r="Q6" i="48"/>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311" i="52"/>
  <c r="A312" i="52"/>
  <c r="A313" i="52"/>
  <c r="A314" i="52"/>
  <c r="A315" i="52"/>
  <c r="A316" i="52"/>
  <c r="A317" i="52"/>
  <c r="A318" i="52"/>
  <c r="A319" i="52"/>
  <c r="A320" i="52"/>
  <c r="A321" i="52"/>
  <c r="A322" i="52"/>
  <c r="A323" i="52"/>
  <c r="A324" i="52"/>
  <c r="A325" i="52"/>
  <c r="A326" i="52"/>
  <c r="A327" i="52"/>
  <c r="A328" i="52"/>
  <c r="A329" i="52"/>
  <c r="A330" i="52"/>
  <c r="A331" i="52"/>
  <c r="A332" i="52"/>
  <c r="A333" i="52"/>
  <c r="A334" i="52"/>
  <c r="A335" i="52"/>
  <c r="A336" i="52"/>
  <c r="A337" i="52"/>
  <c r="A338" i="52"/>
  <c r="A339" i="52"/>
  <c r="A340" i="52"/>
  <c r="A341" i="52"/>
  <c r="A342" i="52"/>
  <c r="A343" i="52"/>
  <c r="A344" i="52"/>
  <c r="A345" i="52"/>
  <c r="A346" i="52"/>
  <c r="A347" i="52"/>
  <c r="A348" i="52"/>
  <c r="A349" i="52"/>
  <c r="A350" i="52"/>
  <c r="A351" i="52"/>
  <c r="A352" i="52"/>
  <c r="A353" i="52"/>
  <c r="A354" i="52"/>
  <c r="A355" i="52"/>
  <c r="A356" i="52"/>
  <c r="A357" i="52"/>
  <c r="A358" i="52"/>
  <c r="A359" i="52"/>
  <c r="A360" i="52"/>
  <c r="A361" i="52"/>
  <c r="A362" i="52"/>
  <c r="A363" i="52"/>
  <c r="A364" i="52"/>
  <c r="A365" i="52"/>
  <c r="A366" i="52"/>
  <c r="A367" i="52"/>
  <c r="A368" i="52"/>
  <c r="A369" i="52"/>
  <c r="A370" i="52"/>
  <c r="A371" i="52"/>
  <c r="A372" i="52"/>
  <c r="A373" i="52"/>
  <c r="A374" i="52"/>
  <c r="A375" i="52"/>
  <c r="A376" i="52"/>
  <c r="A377" i="52"/>
  <c r="A378" i="52"/>
  <c r="A379" i="52"/>
  <c r="A380" i="52"/>
  <c r="A381" i="52"/>
  <c r="A382" i="52"/>
  <c r="A383" i="52"/>
  <c r="A384" i="52"/>
  <c r="A385" i="52"/>
  <c r="A386" i="52"/>
  <c r="A387" i="52"/>
  <c r="A388" i="52"/>
  <c r="A389" i="52"/>
  <c r="A390" i="52"/>
  <c r="A391" i="52"/>
  <c r="A392" i="52"/>
  <c r="A393" i="52"/>
  <c r="A394" i="52"/>
  <c r="A395" i="52"/>
  <c r="A396" i="52"/>
  <c r="A397" i="52"/>
  <c r="A398" i="52"/>
  <c r="A399" i="52"/>
  <c r="A400" i="52"/>
  <c r="A401" i="52"/>
  <c r="A402" i="52"/>
  <c r="A403" i="52"/>
  <c r="A404" i="52"/>
  <c r="A405" i="52"/>
  <c r="A406" i="52"/>
  <c r="A407" i="52"/>
  <c r="A408" i="52"/>
  <c r="A409" i="52"/>
  <c r="A410" i="52"/>
  <c r="A411" i="52"/>
  <c r="A412" i="52"/>
  <c r="A413" i="52"/>
  <c r="A414" i="52"/>
  <c r="A415" i="52"/>
  <c r="A416" i="52"/>
  <c r="A417" i="52"/>
  <c r="A418" i="52"/>
  <c r="A419" i="52"/>
  <c r="A420" i="52"/>
  <c r="A421" i="52"/>
  <c r="A422" i="52"/>
  <c r="A423" i="52"/>
  <c r="A424" i="52"/>
  <c r="A425" i="52"/>
  <c r="A426" i="52"/>
  <c r="A427" i="52"/>
  <c r="A428" i="52"/>
  <c r="A429" i="52"/>
  <c r="A430" i="52"/>
  <c r="A431" i="52"/>
  <c r="A432" i="52"/>
  <c r="A433" i="52"/>
  <c r="A434" i="52"/>
  <c r="A435" i="52"/>
  <c r="A436" i="52"/>
  <c r="A437" i="52"/>
  <c r="A438" i="52"/>
  <c r="A439" i="52"/>
  <c r="A440" i="52"/>
  <c r="A441" i="52"/>
  <c r="A442" i="52"/>
  <c r="A443" i="52"/>
  <c r="A444" i="52"/>
  <c r="A445" i="52"/>
  <c r="A446" i="52"/>
  <c r="A447" i="52"/>
  <c r="A448" i="52"/>
  <c r="A449" i="52"/>
  <c r="A450" i="52"/>
  <c r="A451" i="52"/>
  <c r="A452" i="52"/>
  <c r="A453" i="52"/>
  <c r="A454" i="52"/>
  <c r="A455" i="52"/>
  <c r="A456" i="52"/>
  <c r="A457" i="52"/>
  <c r="A458" i="52"/>
  <c r="A459" i="52"/>
  <c r="A460" i="52"/>
  <c r="A461" i="52"/>
  <c r="A462" i="52"/>
  <c r="A463" i="52"/>
  <c r="A464" i="52"/>
  <c r="A465" i="52"/>
  <c r="A466" i="52"/>
  <c r="A467" i="52"/>
  <c r="A468" i="52"/>
  <c r="A469" i="52"/>
  <c r="A470" i="52"/>
  <c r="A471" i="52"/>
  <c r="A472" i="52"/>
  <c r="A473" i="52"/>
  <c r="A474" i="52"/>
  <c r="A475" i="52"/>
  <c r="A476" i="52"/>
  <c r="A477" i="52"/>
  <c r="A478" i="52"/>
  <c r="A479" i="52"/>
  <c r="A480" i="52"/>
  <c r="A481" i="52"/>
  <c r="A482" i="52"/>
  <c r="A483" i="52"/>
  <c r="A484" i="52"/>
  <c r="A485" i="52"/>
  <c r="A486" i="52"/>
  <c r="A487" i="52"/>
  <c r="A488" i="52"/>
  <c r="A489" i="52"/>
  <c r="A490" i="52"/>
  <c r="A491" i="52"/>
  <c r="A492" i="52"/>
  <c r="A493" i="52"/>
  <c r="A494" i="52"/>
  <c r="A495" i="52"/>
  <c r="A496" i="52"/>
  <c r="A497" i="52"/>
  <c r="A498" i="52"/>
  <c r="A499" i="52"/>
  <c r="A500" i="52"/>
  <c r="A501" i="52"/>
  <c r="A502" i="52"/>
  <c r="A503" i="52"/>
  <c r="A504" i="52"/>
  <c r="A505" i="52"/>
  <c r="A506" i="52"/>
  <c r="A507" i="52"/>
  <c r="A508" i="52"/>
  <c r="A509" i="52"/>
  <c r="A510" i="52"/>
  <c r="A511" i="52"/>
  <c r="A512" i="52"/>
  <c r="A513" i="52"/>
  <c r="A514" i="52"/>
  <c r="A515" i="52"/>
  <c r="A516" i="52"/>
  <c r="A517" i="52"/>
  <c r="A518" i="52"/>
  <c r="A519" i="52"/>
  <c r="A520" i="52"/>
  <c r="A521" i="52"/>
  <c r="A522" i="52"/>
  <c r="A523" i="52"/>
  <c r="A524" i="52"/>
  <c r="A525" i="52"/>
  <c r="A526" i="52"/>
  <c r="A527" i="52"/>
  <c r="A528" i="52"/>
  <c r="A529" i="52"/>
  <c r="A530" i="52"/>
  <c r="A531" i="52"/>
  <c r="A532" i="52"/>
  <c r="A533" i="52"/>
  <c r="A534" i="52"/>
  <c r="A535" i="52"/>
  <c r="A536" i="52"/>
  <c r="A537" i="52"/>
  <c r="A538" i="52"/>
  <c r="A539" i="52"/>
  <c r="A540" i="52"/>
  <c r="A541" i="52"/>
  <c r="A542" i="52"/>
  <c r="A543" i="52"/>
  <c r="A544" i="52"/>
  <c r="A545" i="52"/>
  <c r="A546" i="52"/>
  <c r="A547" i="52"/>
  <c r="A548" i="52"/>
  <c r="A549" i="52"/>
  <c r="A550" i="52"/>
  <c r="A551" i="52"/>
  <c r="A552" i="52"/>
  <c r="A553" i="52"/>
  <c r="A554" i="52"/>
  <c r="A555" i="52"/>
  <c r="A556" i="52"/>
  <c r="A557" i="52"/>
  <c r="A558" i="52"/>
  <c r="A559" i="52"/>
  <c r="A560" i="52"/>
  <c r="A561" i="52"/>
  <c r="A562" i="52"/>
  <c r="A563" i="52"/>
  <c r="A564" i="52"/>
  <c r="A565" i="52"/>
  <c r="A566" i="52"/>
  <c r="A567" i="52"/>
  <c r="A568" i="52"/>
  <c r="A569" i="52"/>
  <c r="A570" i="52"/>
  <c r="A571" i="52"/>
  <c r="A572" i="52"/>
  <c r="A573" i="52"/>
  <c r="A574" i="52"/>
  <c r="A575" i="52"/>
  <c r="A576" i="52"/>
  <c r="A577" i="52"/>
  <c r="A578" i="52"/>
  <c r="A579" i="52"/>
  <c r="A580" i="52"/>
  <c r="A581" i="52"/>
  <c r="A582" i="52"/>
  <c r="A583" i="52"/>
  <c r="A584" i="52"/>
  <c r="A585" i="52"/>
  <c r="A586" i="52"/>
  <c r="A587" i="52"/>
  <c r="A588" i="52"/>
  <c r="A589" i="52"/>
  <c r="A590" i="52"/>
  <c r="A591" i="52"/>
  <c r="A592" i="52"/>
  <c r="A593" i="52"/>
  <c r="A594" i="52"/>
  <c r="A595" i="52"/>
  <c r="A596" i="52"/>
  <c r="A597" i="52"/>
  <c r="A598" i="52"/>
  <c r="A599" i="52"/>
  <c r="A600" i="52"/>
  <c r="A601" i="52"/>
  <c r="A602" i="52"/>
  <c r="A603" i="52"/>
  <c r="A604" i="52"/>
  <c r="A605" i="52"/>
  <c r="A606" i="52"/>
  <c r="A607" i="52"/>
  <c r="A608" i="52"/>
  <c r="A609" i="52"/>
  <c r="A610" i="52"/>
  <c r="A611" i="52"/>
  <c r="A612" i="52"/>
  <c r="A613" i="52"/>
  <c r="A614" i="52"/>
  <c r="A615" i="52"/>
  <c r="A616" i="52"/>
  <c r="A617" i="52"/>
  <c r="A618" i="52"/>
  <c r="A619" i="52"/>
  <c r="A620" i="52"/>
  <c r="A621" i="52"/>
  <c r="A622" i="52"/>
  <c r="A623" i="52"/>
  <c r="A624" i="52"/>
  <c r="A625" i="52"/>
  <c r="A626" i="52"/>
  <c r="A627" i="52"/>
  <c r="A628" i="52"/>
  <c r="A629" i="52"/>
  <c r="A630" i="52"/>
  <c r="A631" i="52"/>
  <c r="A632" i="52"/>
  <c r="A633" i="52"/>
  <c r="A634" i="52"/>
  <c r="A635" i="52"/>
  <c r="A636" i="52"/>
  <c r="A637" i="52"/>
  <c r="A638" i="52"/>
  <c r="A639" i="52"/>
  <c r="A640" i="52"/>
  <c r="A641" i="52"/>
  <c r="A642" i="52"/>
  <c r="A643" i="52"/>
  <c r="A644" i="52"/>
  <c r="A645" i="52"/>
  <c r="A646" i="52"/>
  <c r="A647" i="52"/>
  <c r="A648" i="52"/>
  <c r="A649" i="52"/>
  <c r="A650" i="52"/>
  <c r="A651" i="52"/>
  <c r="A652" i="52"/>
  <c r="A653" i="52"/>
  <c r="A654" i="52"/>
  <c r="A655" i="52"/>
  <c r="A656" i="52"/>
  <c r="A657" i="52"/>
  <c r="A658" i="52"/>
  <c r="A659" i="52"/>
  <c r="A660" i="52"/>
  <c r="A661" i="52"/>
  <c r="A662" i="52"/>
  <c r="A663" i="52"/>
  <c r="A664" i="52"/>
  <c r="A665" i="52"/>
  <c r="A666" i="52"/>
  <c r="A667" i="52"/>
  <c r="A668" i="52"/>
  <c r="A669" i="52"/>
  <c r="A670" i="52"/>
  <c r="A671" i="52"/>
  <c r="A672" i="52"/>
  <c r="A673" i="52"/>
  <c r="A674" i="52"/>
  <c r="A675" i="52"/>
  <c r="A676" i="52"/>
  <c r="A677" i="52"/>
  <c r="A678" i="52"/>
  <c r="A679" i="52"/>
  <c r="A680" i="52"/>
  <c r="A681" i="52"/>
  <c r="A682" i="52"/>
  <c r="A683" i="52"/>
  <c r="A684" i="52"/>
  <c r="A685" i="52"/>
  <c r="A686" i="52"/>
  <c r="A687" i="52"/>
  <c r="A688" i="52"/>
  <c r="A689" i="52"/>
  <c r="A690" i="52"/>
  <c r="A691" i="52"/>
  <c r="A692" i="52"/>
  <c r="A693" i="52"/>
  <c r="A694" i="52"/>
  <c r="A695" i="52"/>
  <c r="A696" i="52"/>
  <c r="A697" i="52"/>
  <c r="A698" i="52"/>
  <c r="A699" i="52"/>
  <c r="A700" i="52"/>
  <c r="A701" i="52"/>
  <c r="A702" i="52"/>
  <c r="A703" i="52"/>
  <c r="A704" i="52"/>
  <c r="A705" i="52"/>
  <c r="A706" i="52"/>
  <c r="A707" i="52"/>
  <c r="A708" i="52"/>
  <c r="A709" i="52"/>
  <c r="A710" i="52"/>
  <c r="A711" i="52"/>
  <c r="A712" i="52"/>
  <c r="A713" i="52"/>
  <c r="A714" i="52"/>
  <c r="A715" i="52"/>
  <c r="A716" i="52"/>
  <c r="A717" i="52"/>
  <c r="A718" i="52"/>
  <c r="A719" i="52"/>
  <c r="A720" i="52"/>
  <c r="A721" i="52"/>
  <c r="A722" i="52"/>
  <c r="A723" i="52"/>
  <c r="A724" i="52"/>
  <c r="A725" i="52"/>
  <c r="A726" i="52"/>
  <c r="A727" i="52"/>
  <c r="A728" i="52"/>
  <c r="A729" i="52"/>
  <c r="A730" i="52"/>
  <c r="A731" i="52"/>
  <c r="A732" i="52"/>
  <c r="A733" i="52"/>
  <c r="A734" i="52"/>
  <c r="A735" i="52"/>
  <c r="A736" i="52"/>
  <c r="A737" i="52"/>
  <c r="A738" i="52"/>
  <c r="A739" i="52"/>
  <c r="A740" i="52"/>
  <c r="A741" i="52"/>
  <c r="A742" i="52"/>
  <c r="A743" i="52"/>
  <c r="A744" i="52"/>
  <c r="A745" i="52"/>
  <c r="A746" i="52"/>
  <c r="A747" i="52"/>
  <c r="A748" i="52"/>
  <c r="A749" i="52"/>
  <c r="A750" i="52"/>
  <c r="A751" i="52"/>
  <c r="A752" i="52"/>
  <c r="A753" i="52"/>
  <c r="A754" i="52"/>
  <c r="A755" i="52"/>
  <c r="A756" i="52"/>
  <c r="A757" i="52"/>
  <c r="A758" i="52"/>
  <c r="A759" i="52"/>
  <c r="A760" i="52"/>
  <c r="A761" i="52"/>
  <c r="A762" i="52"/>
  <c r="A763" i="52"/>
  <c r="A764" i="52"/>
  <c r="A765" i="52"/>
  <c r="A766" i="52"/>
  <c r="A767" i="52"/>
  <c r="A768" i="52"/>
  <c r="A769" i="52"/>
  <c r="A770" i="52"/>
  <c r="A771" i="52"/>
  <c r="A772" i="52"/>
  <c r="A773" i="52"/>
  <c r="A774" i="52"/>
  <c r="A775" i="52"/>
  <c r="A776" i="52"/>
  <c r="A777" i="52"/>
  <c r="A778" i="52"/>
  <c r="A779" i="52"/>
  <c r="A780" i="52"/>
  <c r="A781" i="52"/>
  <c r="A782" i="52"/>
  <c r="A783" i="52"/>
  <c r="A784" i="52"/>
  <c r="A785" i="52"/>
  <c r="A786" i="52"/>
  <c r="A787" i="52"/>
  <c r="A788" i="52"/>
  <c r="A789" i="52"/>
  <c r="A790" i="52"/>
  <c r="A791" i="52"/>
  <c r="A792" i="52"/>
  <c r="A793" i="52"/>
  <c r="A794" i="52"/>
  <c r="A795" i="52"/>
  <c r="A796" i="52"/>
  <c r="A797" i="52"/>
  <c r="A798" i="52"/>
  <c r="A799" i="52"/>
  <c r="A800" i="52"/>
  <c r="A801" i="52"/>
  <c r="A802" i="52"/>
  <c r="A803" i="52"/>
  <c r="A804" i="52"/>
  <c r="A805" i="52"/>
  <c r="A806" i="52"/>
  <c r="A807" i="52"/>
  <c r="A808" i="52"/>
  <c r="A809" i="52"/>
  <c r="A810" i="52"/>
  <c r="A811" i="52"/>
  <c r="A812" i="52"/>
  <c r="A813" i="52"/>
  <c r="A814" i="52"/>
  <c r="A815" i="52"/>
  <c r="A816" i="52"/>
  <c r="A817" i="52"/>
  <c r="A818" i="52"/>
  <c r="A819" i="52"/>
  <c r="A820" i="52"/>
  <c r="A821" i="52"/>
  <c r="A822" i="52"/>
  <c r="A823" i="52"/>
  <c r="A824" i="52"/>
  <c r="A825" i="52"/>
  <c r="A826" i="52"/>
  <c r="A827" i="52"/>
  <c r="A828" i="52"/>
  <c r="A829" i="52"/>
  <c r="A830" i="52"/>
  <c r="A831" i="52"/>
  <c r="A832" i="52"/>
  <c r="A833" i="52"/>
  <c r="A834" i="52"/>
  <c r="A835" i="52"/>
  <c r="A836" i="52"/>
  <c r="A837" i="52"/>
  <c r="A838" i="52"/>
  <c r="A839" i="52"/>
  <c r="A840" i="52"/>
  <c r="A841" i="52"/>
  <c r="A842" i="52"/>
  <c r="A843" i="52"/>
  <c r="A844" i="52"/>
  <c r="A845" i="52"/>
  <c r="A846" i="52"/>
  <c r="A847" i="52"/>
  <c r="A848" i="52"/>
  <c r="A849" i="52"/>
  <c r="A850" i="52"/>
  <c r="A851" i="52"/>
  <c r="A852" i="52"/>
  <c r="A853" i="52"/>
  <c r="A854" i="52"/>
  <c r="A855" i="52"/>
  <c r="A856" i="52"/>
  <c r="A857" i="52"/>
  <c r="A858" i="52"/>
  <c r="A859" i="52"/>
  <c r="A860" i="52"/>
  <c r="A861" i="52"/>
  <c r="A862" i="52"/>
  <c r="A863" i="52"/>
  <c r="A864" i="52"/>
  <c r="A865" i="52"/>
  <c r="A866" i="52"/>
  <c r="A867" i="52"/>
  <c r="A868" i="52"/>
  <c r="A869" i="52"/>
  <c r="A870" i="52"/>
  <c r="A871" i="52"/>
  <c r="A872" i="52"/>
  <c r="A873" i="52"/>
  <c r="A874" i="52"/>
  <c r="A875" i="52"/>
  <c r="A876" i="52"/>
  <c r="A877" i="52"/>
  <c r="A878" i="52"/>
  <c r="A879" i="52"/>
  <c r="A880" i="52"/>
  <c r="A881" i="52"/>
  <c r="A882" i="52"/>
  <c r="A883" i="52"/>
  <c r="A884" i="52"/>
  <c r="A885" i="52"/>
  <c r="A886" i="52"/>
  <c r="A887" i="52"/>
  <c r="A888" i="52"/>
  <c r="A889" i="52"/>
  <c r="A890" i="52"/>
  <c r="A891" i="52"/>
  <c r="A892" i="52"/>
  <c r="A893" i="52"/>
  <c r="A894" i="52"/>
  <c r="A895" i="52"/>
  <c r="A896" i="52"/>
  <c r="A897" i="52"/>
  <c r="A898" i="52"/>
  <c r="A899" i="52"/>
  <c r="A900" i="52"/>
  <c r="A901" i="52"/>
  <c r="A902" i="52"/>
  <c r="A903" i="52"/>
  <c r="A904" i="52"/>
  <c r="A905" i="52"/>
  <c r="A906" i="52"/>
  <c r="A907" i="52"/>
  <c r="A908" i="52"/>
  <c r="A909" i="52"/>
  <c r="A910" i="52"/>
  <c r="A911" i="52"/>
  <c r="A912" i="52"/>
  <c r="A913" i="52"/>
  <c r="A914" i="52"/>
  <c r="A915" i="52"/>
  <c r="A916" i="52"/>
  <c r="A917" i="52"/>
  <c r="A918" i="52"/>
  <c r="A919" i="52"/>
  <c r="A920" i="52"/>
  <c r="A921" i="52"/>
  <c r="A922" i="52"/>
  <c r="A923" i="52"/>
  <c r="A924" i="52"/>
  <c r="A925" i="52"/>
  <c r="A926" i="52"/>
  <c r="A927" i="52"/>
  <c r="A928" i="52"/>
  <c r="A929" i="52"/>
  <c r="A930" i="52"/>
  <c r="A931" i="52"/>
  <c r="A932" i="52"/>
  <c r="A933" i="52"/>
  <c r="A934" i="52"/>
  <c r="A935" i="52"/>
  <c r="A936" i="52"/>
  <c r="A937" i="52"/>
  <c r="A938" i="52"/>
  <c r="A939" i="52"/>
  <c r="A940" i="52"/>
  <c r="A941" i="52"/>
  <c r="A942" i="52"/>
  <c r="A943" i="52"/>
  <c r="A944" i="52"/>
  <c r="A945" i="52"/>
  <c r="A946" i="52"/>
  <c r="A947" i="52"/>
  <c r="A948" i="52"/>
  <c r="A949" i="52"/>
  <c r="A950" i="52"/>
  <c r="A951" i="52"/>
  <c r="A952" i="52"/>
  <c r="A953" i="52"/>
  <c r="A954" i="52"/>
  <c r="A955" i="52"/>
  <c r="A956" i="52"/>
  <c r="A957" i="52"/>
  <c r="A958" i="52"/>
  <c r="A959" i="52"/>
  <c r="A960" i="52"/>
  <c r="A961" i="52"/>
  <c r="A962" i="52"/>
  <c r="A963" i="52"/>
  <c r="A964" i="52"/>
  <c r="A965" i="52"/>
  <c r="A966" i="52"/>
  <c r="A967" i="52"/>
  <c r="A968" i="52"/>
  <c r="A969" i="52"/>
  <c r="A970" i="52"/>
  <c r="A971" i="52"/>
  <c r="A972" i="52"/>
  <c r="A973" i="52"/>
  <c r="A974" i="52"/>
  <c r="A975" i="52"/>
  <c r="A976" i="52"/>
  <c r="A977" i="52"/>
  <c r="A978" i="52"/>
  <c r="A979" i="52"/>
  <c r="A980" i="52"/>
  <c r="A981" i="52"/>
  <c r="A982" i="52"/>
  <c r="A983" i="52"/>
  <c r="A984" i="52"/>
  <c r="A985" i="52"/>
  <c r="A986" i="52"/>
  <c r="A987" i="52"/>
  <c r="A988" i="52"/>
  <c r="A989" i="52"/>
  <c r="A990" i="52"/>
  <c r="A991" i="52"/>
  <c r="A992" i="52"/>
  <c r="A993" i="52"/>
  <c r="A994" i="52"/>
  <c r="A995" i="52"/>
  <c r="A996" i="52"/>
  <c r="A997" i="52"/>
  <c r="A998" i="52"/>
  <c r="A999" i="52"/>
  <c r="A1000" i="52"/>
  <c r="A1001" i="52"/>
  <c r="A1002" i="52"/>
  <c r="A1003" i="52"/>
  <c r="A1004" i="52"/>
  <c r="A1005" i="52"/>
  <c r="A1006" i="52"/>
  <c r="A1007" i="52"/>
  <c r="A1008" i="52"/>
  <c r="A1009" i="52"/>
  <c r="A1010" i="52"/>
  <c r="A1011" i="52"/>
  <c r="A1012" i="52"/>
  <c r="A1013" i="52"/>
  <c r="A1014" i="52"/>
  <c r="A1015" i="52"/>
  <c r="A1016" i="52"/>
  <c r="A1017" i="52"/>
  <c r="A1018" i="52"/>
  <c r="A1019" i="52"/>
  <c r="A1020" i="52"/>
  <c r="A1021" i="52"/>
  <c r="A1022" i="52"/>
  <c r="A1023" i="52"/>
  <c r="A1024" i="52"/>
  <c r="A1025" i="52"/>
  <c r="A1026" i="52"/>
  <c r="A1027" i="52"/>
  <c r="A1028" i="52"/>
  <c r="A1029" i="52"/>
  <c r="A1030" i="52"/>
  <c r="A1031" i="52"/>
  <c r="A1032" i="52"/>
  <c r="A1033" i="52"/>
  <c r="A1034" i="52"/>
  <c r="A1035" i="52"/>
  <c r="A1036" i="52"/>
  <c r="A1037" i="52"/>
  <c r="A1038" i="52"/>
  <c r="A1039" i="52"/>
  <c r="A1040" i="52"/>
  <c r="A1041" i="52"/>
  <c r="A1042" i="52"/>
  <c r="A1043" i="52"/>
  <c r="A1044" i="52"/>
  <c r="A1045" i="52"/>
  <c r="A1046" i="52"/>
  <c r="A1047" i="52"/>
  <c r="A1048" i="52"/>
  <c r="A1049" i="52"/>
  <c r="A1050" i="52"/>
  <c r="A1051" i="52"/>
  <c r="A1052" i="52"/>
  <c r="A1053" i="52"/>
  <c r="A1054" i="52"/>
  <c r="A1055" i="52"/>
  <c r="A1056" i="52"/>
  <c r="A1057" i="52"/>
  <c r="A1058" i="52"/>
  <c r="A1059" i="52"/>
  <c r="A1060" i="52"/>
  <c r="A1061" i="52"/>
  <c r="A1062" i="52"/>
  <c r="A1063" i="52"/>
  <c r="A1064" i="52"/>
  <c r="A1065" i="52"/>
  <c r="A1066" i="52"/>
  <c r="A1067" i="52"/>
  <c r="A1068" i="52"/>
  <c r="A1069" i="52"/>
  <c r="A1070" i="52"/>
  <c r="A1071" i="52"/>
  <c r="A1072" i="52"/>
  <c r="A1073" i="52"/>
  <c r="A1074" i="52"/>
  <c r="A1075" i="52"/>
  <c r="A1076" i="52"/>
  <c r="A1077" i="52"/>
  <c r="A1078" i="52"/>
  <c r="A1079" i="52"/>
  <c r="A1080" i="52"/>
  <c r="A1081" i="52"/>
  <c r="A1082" i="52"/>
  <c r="A1083" i="52"/>
  <c r="A1084" i="52"/>
  <c r="A1085" i="52"/>
  <c r="A1086" i="52"/>
  <c r="A1087" i="52"/>
  <c r="A1088" i="52"/>
  <c r="A1089" i="52"/>
  <c r="A1090" i="52"/>
  <c r="A1091" i="52"/>
  <c r="A1092" i="52"/>
  <c r="A1093" i="52"/>
  <c r="A1094" i="52"/>
  <c r="A1095" i="52"/>
  <c r="A1096" i="52"/>
  <c r="A1097" i="52"/>
  <c r="A1098" i="52"/>
  <c r="A1099" i="52"/>
  <c r="A1100" i="52"/>
  <c r="A1101" i="52"/>
  <c r="A1102" i="52"/>
  <c r="A1103" i="52"/>
  <c r="A1104" i="52"/>
  <c r="A1105" i="52"/>
  <c r="A1106" i="52"/>
  <c r="A1107" i="52"/>
  <c r="A1108" i="52"/>
  <c r="A1109" i="52"/>
  <c r="A1110" i="52"/>
  <c r="A1111" i="52"/>
  <c r="A1112" i="52"/>
  <c r="A1113" i="52"/>
  <c r="A1114" i="52"/>
  <c r="A1115" i="52"/>
  <c r="A1116" i="52"/>
  <c r="A1117" i="52"/>
  <c r="A1118" i="52"/>
  <c r="A1119" i="52"/>
  <c r="A1120" i="52"/>
  <c r="A1121" i="52"/>
  <c r="A1122" i="52"/>
  <c r="A1123" i="52"/>
  <c r="A1124" i="52"/>
  <c r="A1125" i="52"/>
  <c r="A1126" i="52"/>
  <c r="A1127" i="52"/>
  <c r="A1128" i="52"/>
  <c r="A1129" i="52"/>
  <c r="A1130" i="52"/>
  <c r="A1131" i="52"/>
  <c r="A1132" i="52"/>
  <c r="A1133" i="52"/>
  <c r="A1134" i="52"/>
  <c r="A1135" i="52"/>
  <c r="A1136" i="52"/>
  <c r="A1137" i="52"/>
  <c r="A1138" i="52"/>
  <c r="A1139" i="52"/>
  <c r="A1140" i="52"/>
  <c r="A1141" i="52"/>
  <c r="A1142" i="52"/>
  <c r="A1143" i="52"/>
  <c r="A1144" i="52"/>
  <c r="A1145" i="52"/>
  <c r="A1146" i="52"/>
  <c r="A1147" i="52"/>
  <c r="A1148" i="52"/>
  <c r="A1149" i="52"/>
  <c r="A1150" i="52"/>
  <c r="A1151" i="52"/>
  <c r="A1152" i="52"/>
  <c r="A1153" i="52"/>
  <c r="A1154" i="52"/>
  <c r="A1155" i="52"/>
  <c r="A1156" i="52"/>
  <c r="A1157" i="52"/>
  <c r="A1158" i="52"/>
  <c r="A1159" i="52"/>
  <c r="A1160" i="52"/>
  <c r="A1161" i="52"/>
  <c r="A1162" i="52"/>
  <c r="A1163" i="52"/>
  <c r="A1164" i="52"/>
  <c r="A1165" i="52"/>
  <c r="A1166" i="52"/>
  <c r="A1167" i="52"/>
  <c r="A1168" i="52"/>
  <c r="A1169" i="52"/>
  <c r="A1170" i="52"/>
  <c r="A1171" i="52"/>
  <c r="A1172" i="52"/>
  <c r="A1173" i="52"/>
  <c r="A1174" i="52"/>
  <c r="A1175" i="52"/>
  <c r="A1176" i="52"/>
  <c r="A1177" i="52"/>
  <c r="A1178" i="52"/>
  <c r="A1179" i="52"/>
  <c r="A1180" i="52"/>
  <c r="A1181" i="52"/>
  <c r="A1182" i="52"/>
  <c r="A1183" i="52"/>
  <c r="A1184" i="52"/>
  <c r="A1185" i="52"/>
  <c r="A1186" i="52"/>
  <c r="A1187" i="52"/>
  <c r="A1188" i="52"/>
  <c r="A1189" i="52"/>
  <c r="A1190" i="52"/>
  <c r="A1191" i="52"/>
  <c r="A1192" i="52"/>
  <c r="A1193" i="52"/>
  <c r="A1194" i="52"/>
  <c r="A1195" i="52"/>
  <c r="A1196" i="52"/>
  <c r="A1197" i="52"/>
  <c r="A1198" i="52"/>
  <c r="A1199" i="52"/>
  <c r="A1200" i="52"/>
  <c r="A1201" i="52"/>
  <c r="A1202" i="52"/>
  <c r="A1203" i="52"/>
  <c r="A1204" i="52"/>
  <c r="A1205" i="52"/>
  <c r="A1206" i="52"/>
  <c r="A1207" i="52"/>
  <c r="A1208" i="52"/>
  <c r="A1209" i="52"/>
  <c r="A1210" i="52"/>
  <c r="A1211" i="52"/>
  <c r="A1212" i="52"/>
  <c r="A1213" i="52"/>
  <c r="A1214" i="52"/>
  <c r="A1215" i="52"/>
  <c r="A1216" i="52"/>
  <c r="A1217" i="52"/>
  <c r="A1218" i="52"/>
  <c r="A1219" i="52"/>
  <c r="A1220" i="52"/>
  <c r="A1221" i="52"/>
  <c r="A1222" i="52"/>
  <c r="A1223" i="52"/>
  <c r="A1224" i="52"/>
  <c r="A1225" i="52"/>
  <c r="A1226" i="52"/>
  <c r="A1227" i="52"/>
  <c r="A1228" i="52"/>
  <c r="A1229" i="52"/>
  <c r="A1230" i="52"/>
  <c r="A1231" i="52"/>
  <c r="A1232" i="52"/>
  <c r="A1233" i="52"/>
  <c r="A1234" i="52"/>
  <c r="A1235" i="52"/>
  <c r="A1236" i="52"/>
  <c r="A1237" i="52"/>
  <c r="A1238" i="52"/>
  <c r="A1239" i="52"/>
  <c r="A1240" i="52"/>
  <c r="A1241" i="52"/>
  <c r="A1242" i="52"/>
  <c r="A1243" i="52"/>
  <c r="A1244" i="52"/>
  <c r="A1245" i="52"/>
  <c r="A1246" i="52"/>
  <c r="A1247" i="52"/>
  <c r="A1248" i="52"/>
  <c r="A1249" i="52"/>
  <c r="A1250" i="52"/>
  <c r="A1251" i="52"/>
  <c r="A1252" i="52"/>
  <c r="A1253" i="52"/>
  <c r="A1254" i="52"/>
  <c r="A1255" i="52"/>
  <c r="A1256" i="52"/>
  <c r="A1257" i="52"/>
  <c r="A1258" i="52"/>
  <c r="A1259" i="52"/>
  <c r="A1260" i="52"/>
  <c r="A1261" i="52"/>
  <c r="A1262" i="52"/>
  <c r="A1263" i="52"/>
  <c r="A1264" i="52"/>
  <c r="A1265" i="52"/>
  <c r="A1266" i="52"/>
  <c r="A1267" i="52"/>
  <c r="A1268" i="52"/>
  <c r="A1269" i="52"/>
  <c r="A1270" i="52"/>
  <c r="A1271" i="52"/>
  <c r="A1272" i="52"/>
  <c r="A1273" i="52"/>
  <c r="A1274" i="52"/>
  <c r="A1275" i="52"/>
  <c r="A1276" i="52"/>
  <c r="A1277" i="52"/>
  <c r="A1278" i="52"/>
  <c r="A1279" i="52"/>
  <c r="A1280" i="52"/>
  <c r="A1281" i="52"/>
  <c r="A1282" i="52"/>
  <c r="A1283" i="52"/>
  <c r="A1284" i="52"/>
  <c r="A1285" i="52"/>
  <c r="A1286" i="52"/>
  <c r="A1287" i="52"/>
  <c r="A1288" i="52"/>
  <c r="A1289" i="52"/>
  <c r="A1290" i="52"/>
  <c r="A1291" i="52"/>
  <c r="A1292" i="52"/>
  <c r="A1293" i="52"/>
  <c r="A1294" i="52"/>
  <c r="A1295" i="52"/>
  <c r="A1296" i="52"/>
  <c r="A1297" i="52"/>
  <c r="A1298" i="52"/>
  <c r="A1299" i="52"/>
  <c r="A1300" i="52"/>
  <c r="A1301" i="52"/>
  <c r="A1302" i="52"/>
  <c r="A1303" i="52"/>
  <c r="A1304" i="52"/>
  <c r="A1305" i="52"/>
  <c r="A1306" i="52"/>
  <c r="A1307" i="52"/>
  <c r="A1308" i="52"/>
  <c r="A1309" i="52"/>
  <c r="A1310" i="52"/>
  <c r="A1311" i="52"/>
  <c r="A1312" i="52"/>
  <c r="A1313" i="52"/>
  <c r="A1314" i="52"/>
  <c r="A1315" i="52"/>
  <c r="A1316" i="52"/>
  <c r="A1317" i="52"/>
  <c r="A1318" i="52"/>
  <c r="A1319" i="52"/>
  <c r="A1320" i="52"/>
  <c r="A1321" i="52"/>
  <c r="A1322" i="52"/>
  <c r="A1323" i="52"/>
  <c r="A1324" i="52"/>
  <c r="A1325" i="52"/>
  <c r="A1326" i="52"/>
  <c r="A1327" i="52"/>
  <c r="A1328" i="52"/>
  <c r="A1329" i="52"/>
  <c r="A1330" i="52"/>
  <c r="A1331" i="52"/>
  <c r="A1332" i="52"/>
  <c r="A1333" i="52"/>
  <c r="A1334" i="52"/>
  <c r="A1335" i="52"/>
  <c r="A1336" i="52"/>
  <c r="A1337" i="52"/>
  <c r="A1338" i="52"/>
  <c r="A1339" i="52"/>
  <c r="A1340" i="52"/>
  <c r="A1341" i="52"/>
  <c r="A1342" i="52"/>
  <c r="A1343" i="52"/>
  <c r="A1344" i="52"/>
  <c r="A1345" i="52"/>
  <c r="A1346" i="52"/>
  <c r="A1347" i="52"/>
  <c r="A1348" i="52"/>
  <c r="A1349" i="52"/>
  <c r="A1350" i="52"/>
  <c r="A1351" i="52"/>
  <c r="A1352" i="52"/>
  <c r="A1353" i="52"/>
  <c r="A1354" i="52"/>
  <c r="A1355" i="52"/>
  <c r="A1356" i="52"/>
  <c r="A1357" i="52"/>
  <c r="A1358" i="52"/>
  <c r="A1359" i="52"/>
  <c r="A1360" i="52"/>
  <c r="A1361" i="52"/>
  <c r="A1362" i="52"/>
  <c r="A1363" i="52"/>
  <c r="A1364" i="52"/>
  <c r="A1365" i="52"/>
  <c r="A1366" i="52"/>
  <c r="A1367" i="52"/>
  <c r="A1368" i="52"/>
  <c r="A1369" i="52"/>
  <c r="A1370" i="52"/>
  <c r="A1371" i="52"/>
  <c r="A1372" i="52"/>
  <c r="A1373" i="52"/>
  <c r="A1374" i="52"/>
  <c r="A1375" i="52"/>
  <c r="A1376" i="52"/>
  <c r="A1377" i="52"/>
  <c r="A1378" i="52"/>
  <c r="A1379" i="52"/>
  <c r="A1380" i="52"/>
  <c r="A1381" i="52"/>
  <c r="A1382" i="52"/>
  <c r="A1383" i="52"/>
  <c r="A1384" i="52"/>
  <c r="A1385" i="52"/>
  <c r="A1386" i="52"/>
  <c r="A1387" i="52"/>
  <c r="A1388" i="52"/>
  <c r="A1389" i="52"/>
  <c r="A1390" i="52"/>
  <c r="A1391" i="52"/>
  <c r="A1392" i="52"/>
  <c r="A1393" i="52"/>
  <c r="A1394" i="52"/>
  <c r="A1395" i="52"/>
  <c r="A1396" i="52"/>
  <c r="A1397" i="52"/>
  <c r="A1398" i="52"/>
  <c r="A1399" i="52"/>
  <c r="A1400" i="52"/>
  <c r="A1401" i="52"/>
  <c r="A1402" i="52"/>
  <c r="A1403" i="52"/>
  <c r="A1404" i="52"/>
  <c r="A1405" i="52"/>
  <c r="A1406" i="52"/>
  <c r="A1407" i="52"/>
  <c r="A1408" i="52"/>
  <c r="A1409" i="52"/>
  <c r="A1410" i="52"/>
  <c r="A1411" i="52"/>
  <c r="A1412" i="52"/>
  <c r="A1413" i="52"/>
  <c r="A1414" i="52"/>
  <c r="A1415" i="52"/>
  <c r="A1416" i="52"/>
  <c r="A1417" i="52"/>
  <c r="A1418" i="52"/>
  <c r="A1419" i="52"/>
  <c r="A1420" i="52"/>
  <c r="A1421" i="52"/>
  <c r="A1422" i="52"/>
  <c r="A1423" i="52"/>
  <c r="A1424" i="52"/>
  <c r="A1425" i="52"/>
  <c r="A1426" i="52"/>
  <c r="A1427" i="52"/>
  <c r="A1428" i="52"/>
  <c r="A1429" i="52"/>
  <c r="A1430" i="52"/>
  <c r="A1431" i="52"/>
  <c r="A1432" i="52"/>
  <c r="A1433" i="52"/>
  <c r="A1434" i="52"/>
  <c r="A1435" i="52"/>
  <c r="A1436" i="52"/>
  <c r="A1437" i="52"/>
  <c r="A1438" i="52"/>
  <c r="A1439" i="52"/>
  <c r="A1440" i="52"/>
  <c r="A1441" i="52"/>
  <c r="A1442" i="52"/>
  <c r="A1443" i="52"/>
  <c r="A1444" i="52"/>
  <c r="A1445" i="52"/>
  <c r="A1446" i="52"/>
  <c r="A1447" i="52"/>
  <c r="A1448" i="52"/>
  <c r="A1449" i="52"/>
  <c r="A1450" i="52"/>
  <c r="A1451" i="52"/>
  <c r="A1452" i="52"/>
  <c r="A1453" i="52"/>
  <c r="A1454" i="52"/>
  <c r="A1455" i="52"/>
  <c r="A1456" i="52"/>
  <c r="A1457" i="52"/>
  <c r="A1458" i="52"/>
  <c r="A1459" i="52"/>
  <c r="A1460" i="52"/>
  <c r="A1461" i="52"/>
  <c r="A1462" i="52"/>
  <c r="A1463" i="52"/>
  <c r="A1464" i="52"/>
  <c r="A1465" i="52"/>
  <c r="A1466" i="52"/>
  <c r="A1467" i="52"/>
  <c r="A1468" i="52"/>
  <c r="A1469" i="52"/>
  <c r="A1470" i="52"/>
  <c r="A1471" i="52"/>
  <c r="A1472" i="52"/>
  <c r="A1473" i="52"/>
  <c r="A1474" i="52"/>
  <c r="A1475" i="52"/>
  <c r="A1476" i="52"/>
  <c r="A1477" i="52"/>
  <c r="A1478" i="52"/>
  <c r="A1479" i="52"/>
  <c r="A1480" i="52"/>
  <c r="A1481" i="52"/>
  <c r="A1482" i="52"/>
  <c r="A1483" i="52"/>
  <c r="A1484" i="52"/>
  <c r="A1485" i="52"/>
  <c r="A1486" i="52"/>
  <c r="A1487" i="52"/>
  <c r="A1488" i="52"/>
  <c r="A1489" i="52"/>
  <c r="A1490" i="52"/>
  <c r="A1491" i="52"/>
  <c r="A1492" i="52"/>
  <c r="A1493" i="52"/>
  <c r="A1494" i="52"/>
  <c r="A1495" i="52"/>
  <c r="A1496" i="52"/>
  <c r="A1497" i="52"/>
  <c r="A1498" i="52"/>
  <c r="A1499" i="52"/>
  <c r="A1500" i="52"/>
  <c r="A1501" i="52"/>
  <c r="A1502" i="52"/>
  <c r="A1503" i="52"/>
  <c r="A1504" i="52"/>
  <c r="A1505" i="52"/>
  <c r="A1506" i="52"/>
  <c r="A1507" i="52"/>
  <c r="A1508" i="52"/>
  <c r="A1509" i="52"/>
  <c r="A1510" i="52"/>
  <c r="A1511" i="52"/>
  <c r="A1512" i="52"/>
  <c r="A1513" i="52"/>
  <c r="A1514" i="52"/>
  <c r="A1515" i="52"/>
  <c r="A1516" i="52"/>
  <c r="A1517" i="52"/>
  <c r="A1518" i="52"/>
  <c r="A1519" i="52"/>
  <c r="A1520" i="52"/>
  <c r="A1521" i="52"/>
  <c r="A1522" i="52"/>
  <c r="A1523" i="52"/>
  <c r="A1524" i="52"/>
  <c r="A1525" i="52"/>
  <c r="A1526" i="52"/>
  <c r="A1527" i="52"/>
  <c r="A1528" i="52"/>
  <c r="A1529" i="52"/>
  <c r="A1530" i="52"/>
  <c r="A1531" i="52"/>
  <c r="A1532" i="52"/>
  <c r="A1533" i="52"/>
  <c r="A1534" i="52"/>
  <c r="A1535" i="52"/>
  <c r="A1536" i="52"/>
  <c r="A1537" i="52"/>
  <c r="A1538" i="52"/>
  <c r="A1539" i="52"/>
  <c r="A1540" i="52"/>
  <c r="A1541" i="52"/>
  <c r="A1542" i="52"/>
  <c r="A1543" i="52"/>
  <c r="A1544" i="52"/>
  <c r="A1545" i="52"/>
  <c r="A1546" i="52"/>
  <c r="A1547" i="52"/>
  <c r="A1548" i="52"/>
  <c r="A1549" i="52"/>
  <c r="A1550" i="52"/>
  <c r="A1551" i="52"/>
  <c r="A1552" i="52"/>
  <c r="A1553" i="52"/>
  <c r="A1554" i="52"/>
  <c r="A1555" i="52"/>
  <c r="A1556" i="52"/>
  <c r="A1557" i="52"/>
  <c r="A1558" i="52"/>
  <c r="A1559" i="52"/>
  <c r="A1560" i="52"/>
  <c r="A1561" i="52"/>
  <c r="A1562" i="52"/>
  <c r="A1563" i="52"/>
  <c r="A1564" i="52"/>
  <c r="A1565" i="52"/>
  <c r="A1566" i="52"/>
  <c r="A1567" i="52"/>
  <c r="A1568" i="52"/>
  <c r="A1569" i="52"/>
  <c r="A1570" i="52"/>
  <c r="A1571" i="52"/>
  <c r="A1572" i="52"/>
  <c r="A1573" i="52"/>
  <c r="A1574" i="52"/>
  <c r="A1575" i="52"/>
  <c r="A1576" i="52"/>
  <c r="A1577" i="52"/>
  <c r="A2" i="52"/>
  <c r="AL5" i="6" l="1"/>
  <c r="AL6" i="6"/>
  <c r="AL7" i="6"/>
  <c r="AL8" i="6"/>
  <c r="AL9" i="6"/>
  <c r="AL4" i="6"/>
  <c r="E24" i="22"/>
  <c r="E25" i="22"/>
  <c r="E26" i="22"/>
  <c r="E27" i="22"/>
  <c r="E28" i="22"/>
  <c r="E29" i="22"/>
  <c r="E30" i="22"/>
  <c r="E31" i="22"/>
  <c r="E32" i="22"/>
  <c r="E33" i="22"/>
  <c r="E34" i="22"/>
  <c r="E35" i="22"/>
  <c r="E36" i="22"/>
  <c r="E37" i="22"/>
  <c r="E38" i="22"/>
  <c r="E39" i="22"/>
  <c r="E40" i="22"/>
  <c r="E21" i="22"/>
  <c r="X5" i="6"/>
  <c r="E23" i="22" s="1"/>
  <c r="X7" i="6"/>
  <c r="X8" i="6"/>
  <c r="X9" i="6"/>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H5" i="54"/>
  <c r="H9" i="54"/>
  <c r="H13" i="54"/>
  <c r="H17" i="54"/>
  <c r="H21" i="54"/>
  <c r="H25" i="54"/>
  <c r="H29" i="54"/>
  <c r="H33" i="54"/>
  <c r="H37" i="54"/>
  <c r="H41" i="54"/>
  <c r="H45" i="54"/>
  <c r="H49" i="54"/>
  <c r="H53" i="54"/>
  <c r="H57" i="54"/>
  <c r="H61" i="54"/>
  <c r="H65" i="54"/>
  <c r="H69" i="54"/>
  <c r="H73" i="54"/>
  <c r="H77" i="54"/>
  <c r="H81" i="54"/>
  <c r="H85" i="54"/>
  <c r="H89" i="54"/>
  <c r="H93" i="54"/>
  <c r="H97" i="54"/>
  <c r="H101" i="54"/>
  <c r="H105" i="54"/>
  <c r="H109" i="54"/>
  <c r="H113" i="54"/>
  <c r="H117" i="54"/>
  <c r="H121" i="54"/>
  <c r="H125" i="54"/>
  <c r="H129" i="54"/>
  <c r="H133" i="54"/>
  <c r="H137" i="54"/>
  <c r="H141" i="54"/>
  <c r="H145" i="54"/>
  <c r="H149" i="54"/>
  <c r="H153" i="54"/>
  <c r="H157" i="54"/>
  <c r="H161" i="54"/>
  <c r="H165" i="54"/>
  <c r="H169" i="54"/>
  <c r="H173" i="54"/>
  <c r="H177" i="54"/>
  <c r="H181" i="54"/>
  <c r="H185" i="54"/>
  <c r="H189" i="54"/>
  <c r="H193" i="54"/>
  <c r="H197" i="54"/>
  <c r="H201" i="54"/>
  <c r="H205" i="54"/>
  <c r="H209" i="54"/>
  <c r="H213" i="54"/>
  <c r="H217" i="54"/>
  <c r="H221" i="54"/>
  <c r="H225" i="54"/>
  <c r="H229" i="54"/>
  <c r="H233" i="54"/>
  <c r="H237" i="54"/>
  <c r="H241" i="54"/>
  <c r="H245" i="54"/>
  <c r="H249" i="54"/>
  <c r="H253" i="54"/>
  <c r="H257" i="54"/>
  <c r="H261" i="54"/>
  <c r="H265" i="54"/>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 i="51"/>
  <c r="D23" i="6" l="1"/>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22" i="6"/>
  <c r="L5" i="52"/>
  <c r="L9" i="52"/>
  <c r="L13" i="52"/>
  <c r="L17" i="52"/>
  <c r="L21" i="52"/>
  <c r="L25" i="52"/>
  <c r="L29" i="52"/>
  <c r="L33" i="52"/>
  <c r="L37" i="52"/>
  <c r="L41" i="52"/>
  <c r="L45" i="52"/>
  <c r="L49" i="52"/>
  <c r="L53" i="52"/>
  <c r="L57" i="52"/>
  <c r="L61" i="52"/>
  <c r="L65" i="52"/>
  <c r="L69" i="52"/>
  <c r="L73" i="52"/>
  <c r="L77" i="52"/>
  <c r="L81" i="52"/>
  <c r="L85" i="52"/>
  <c r="L89" i="52"/>
  <c r="L93" i="52"/>
  <c r="L97" i="52"/>
  <c r="L101" i="52"/>
  <c r="L105" i="52"/>
  <c r="L109" i="52"/>
  <c r="L113" i="52"/>
  <c r="L117" i="52"/>
  <c r="L121" i="52"/>
  <c r="L125" i="52"/>
  <c r="L129" i="52"/>
  <c r="L133" i="52"/>
  <c r="L137" i="52"/>
  <c r="L141" i="52"/>
  <c r="L145" i="52"/>
  <c r="L149" i="52"/>
  <c r="L153" i="52"/>
  <c r="L157" i="52"/>
  <c r="L161" i="52"/>
  <c r="L165" i="52"/>
  <c r="L169" i="52"/>
  <c r="L173" i="52"/>
  <c r="L177" i="52"/>
  <c r="L181" i="52"/>
  <c r="L185" i="52"/>
  <c r="L189" i="52"/>
  <c r="L193" i="52"/>
  <c r="L197" i="52"/>
  <c r="L201" i="52"/>
  <c r="L205" i="52"/>
  <c r="L209" i="52"/>
  <c r="L213" i="52"/>
  <c r="L217" i="52"/>
  <c r="L221" i="52"/>
  <c r="L225" i="52"/>
  <c r="L229" i="52"/>
  <c r="L233" i="52"/>
  <c r="L237" i="52"/>
  <c r="L241" i="52"/>
  <c r="L245" i="52"/>
  <c r="L249" i="52"/>
  <c r="L253" i="52"/>
  <c r="L257" i="52"/>
  <c r="L261" i="52"/>
  <c r="L265" i="52"/>
  <c r="L269" i="52"/>
  <c r="L273" i="52"/>
  <c r="L277" i="52"/>
  <c r="L281" i="52"/>
  <c r="L285" i="52"/>
  <c r="L289" i="52"/>
  <c r="L293" i="52"/>
  <c r="L297" i="52"/>
  <c r="L301" i="52"/>
  <c r="L305" i="52"/>
  <c r="L309" i="52"/>
  <c r="L313" i="52"/>
  <c r="L317" i="52"/>
  <c r="L321" i="52"/>
  <c r="L325" i="52"/>
  <c r="L329" i="52"/>
  <c r="L333" i="52"/>
  <c r="L337" i="52"/>
  <c r="L341" i="52"/>
  <c r="L345" i="52"/>
  <c r="L349" i="52"/>
  <c r="L353" i="52"/>
  <c r="L357" i="52"/>
  <c r="L361" i="52"/>
  <c r="L365" i="52"/>
  <c r="L369" i="52"/>
  <c r="L373" i="52"/>
  <c r="L377" i="52"/>
  <c r="L381" i="52"/>
  <c r="L385" i="52"/>
  <c r="L389" i="52"/>
  <c r="L393" i="52"/>
  <c r="L397" i="52"/>
  <c r="L401" i="52"/>
  <c r="L405" i="52"/>
  <c r="L409" i="52"/>
  <c r="L413" i="52"/>
  <c r="L417" i="52"/>
  <c r="L421" i="52"/>
  <c r="L425" i="52"/>
  <c r="L429" i="52"/>
  <c r="L433" i="52"/>
  <c r="L437" i="52"/>
  <c r="L441" i="52"/>
  <c r="L445" i="52"/>
  <c r="L449" i="52"/>
  <c r="L453" i="52"/>
  <c r="L457" i="52"/>
  <c r="L461" i="52"/>
  <c r="L465" i="52"/>
  <c r="L469" i="52"/>
  <c r="L473" i="52"/>
  <c r="L477" i="52"/>
  <c r="L481" i="52"/>
  <c r="L485" i="52"/>
  <c r="L489" i="52"/>
  <c r="L493" i="52"/>
  <c r="L497" i="52"/>
  <c r="L501" i="52"/>
  <c r="L505" i="52"/>
  <c r="L509" i="52"/>
  <c r="L513" i="52"/>
  <c r="L517" i="52"/>
  <c r="L521" i="52"/>
  <c r="L525" i="52"/>
  <c r="L529" i="52"/>
  <c r="L533" i="52"/>
  <c r="L537" i="52"/>
  <c r="L541" i="52"/>
  <c r="L545" i="52"/>
  <c r="L549" i="52"/>
  <c r="L553" i="52"/>
  <c r="L557" i="52"/>
  <c r="L561" i="52"/>
  <c r="L565" i="52"/>
  <c r="L569" i="52"/>
  <c r="L573" i="52"/>
  <c r="L577" i="52"/>
  <c r="L581" i="52"/>
  <c r="L585" i="52"/>
  <c r="L589" i="52"/>
  <c r="L593" i="52"/>
  <c r="L597" i="52"/>
  <c r="L601" i="52"/>
  <c r="L605" i="52"/>
  <c r="L609" i="52"/>
  <c r="L613" i="52"/>
  <c r="L617" i="52"/>
  <c r="L621" i="52"/>
  <c r="L625" i="52"/>
  <c r="L629" i="52"/>
  <c r="L633" i="52"/>
  <c r="L637" i="52"/>
  <c r="L641" i="52"/>
  <c r="L645" i="52"/>
  <c r="L649" i="52"/>
  <c r="L653" i="52"/>
  <c r="L657" i="52"/>
  <c r="L661" i="52"/>
  <c r="L665" i="52"/>
  <c r="L669" i="52"/>
  <c r="L673" i="52"/>
  <c r="L677" i="52"/>
  <c r="L681" i="52"/>
  <c r="L685" i="52"/>
  <c r="L689" i="52"/>
  <c r="L693" i="52"/>
  <c r="L697" i="52"/>
  <c r="L701" i="52"/>
  <c r="L705" i="52"/>
  <c r="L709" i="52"/>
  <c r="L713" i="52"/>
  <c r="L717" i="52"/>
  <c r="L721" i="52"/>
  <c r="L725" i="52"/>
  <c r="L729" i="52"/>
  <c r="L733" i="52"/>
  <c r="L737" i="52"/>
  <c r="L741" i="52"/>
  <c r="L745" i="52"/>
  <c r="L749" i="52"/>
  <c r="L753" i="52"/>
  <c r="L757" i="52"/>
  <c r="L761" i="52"/>
  <c r="L765" i="52"/>
  <c r="L769" i="52"/>
  <c r="L773" i="52"/>
  <c r="L777" i="52"/>
  <c r="L781" i="52"/>
  <c r="L785" i="52"/>
  <c r="L789" i="52"/>
  <c r="L793" i="52"/>
  <c r="L797" i="52"/>
  <c r="L801" i="52"/>
  <c r="L805" i="52"/>
  <c r="L809" i="52"/>
  <c r="L813" i="52"/>
  <c r="L817" i="52"/>
  <c r="L821" i="52"/>
  <c r="L825" i="52"/>
  <c r="L829" i="52"/>
  <c r="L833" i="52"/>
  <c r="L837" i="52"/>
  <c r="L841" i="52"/>
  <c r="L845" i="52"/>
  <c r="L849" i="52"/>
  <c r="L853" i="52"/>
  <c r="L857" i="52"/>
  <c r="L861" i="52"/>
  <c r="L865" i="52"/>
  <c r="L869" i="52"/>
  <c r="L873" i="52"/>
  <c r="L877" i="52"/>
  <c r="L881" i="52"/>
  <c r="L885" i="52"/>
  <c r="L889" i="52"/>
  <c r="L893" i="52"/>
  <c r="L897" i="52"/>
  <c r="L901" i="52"/>
  <c r="L905" i="52"/>
  <c r="L909" i="52"/>
  <c r="L913" i="52"/>
  <c r="L917" i="52"/>
  <c r="L921" i="52"/>
  <c r="L925" i="52"/>
  <c r="L929" i="52"/>
  <c r="L933" i="52"/>
  <c r="L937" i="52"/>
  <c r="L941" i="52"/>
  <c r="L945" i="52"/>
  <c r="L949" i="52"/>
  <c r="L953" i="52"/>
  <c r="L957" i="52"/>
  <c r="L961" i="52"/>
  <c r="L965" i="52"/>
  <c r="L969" i="52"/>
  <c r="L973" i="52"/>
  <c r="L977" i="52"/>
  <c r="L981" i="52"/>
  <c r="L985" i="52"/>
  <c r="L989" i="52"/>
  <c r="L993" i="52"/>
  <c r="L997" i="52"/>
  <c r="L1001" i="52"/>
  <c r="L1005" i="52"/>
  <c r="L1009" i="52"/>
  <c r="L1013" i="52"/>
  <c r="L1017" i="52"/>
  <c r="L1021" i="52"/>
  <c r="L1025" i="52"/>
  <c r="L1029" i="52"/>
  <c r="L1033" i="52"/>
  <c r="L1037" i="52"/>
  <c r="L1041" i="52"/>
  <c r="L1045" i="52"/>
  <c r="L1049" i="52"/>
  <c r="L1053" i="52"/>
  <c r="L1057" i="52"/>
  <c r="L1061" i="52"/>
  <c r="L1065" i="52"/>
  <c r="L1069" i="52"/>
  <c r="L1073" i="52"/>
  <c r="L1077" i="52"/>
  <c r="L1081" i="52"/>
  <c r="L1085" i="52"/>
  <c r="L1089" i="52"/>
  <c r="L1093" i="52"/>
  <c r="L1097" i="52"/>
  <c r="L1101" i="52"/>
  <c r="L1105" i="52"/>
  <c r="L1109" i="52"/>
  <c r="L1113" i="52"/>
  <c r="L1117" i="52"/>
  <c r="L1121" i="52"/>
  <c r="L1125" i="52"/>
  <c r="L1129" i="52"/>
  <c r="L1133" i="52"/>
  <c r="L1137" i="52"/>
  <c r="L1141" i="52"/>
  <c r="L1145" i="52"/>
  <c r="L1149" i="52"/>
  <c r="L1153" i="52"/>
  <c r="L1157" i="52"/>
  <c r="L1161" i="52"/>
  <c r="L1165" i="52"/>
  <c r="L1169" i="52"/>
  <c r="L1173" i="52"/>
  <c r="L1177" i="52"/>
  <c r="L1181" i="52"/>
  <c r="L1185" i="52"/>
  <c r="L1189" i="52"/>
  <c r="L1193" i="52"/>
  <c r="L1197" i="52"/>
  <c r="L1201" i="52"/>
  <c r="L1205" i="52"/>
  <c r="L1209" i="52"/>
  <c r="L1213" i="52"/>
  <c r="L1217" i="52"/>
  <c r="L1221" i="52"/>
  <c r="L1225" i="52"/>
  <c r="L1229" i="52"/>
  <c r="L1233" i="52"/>
  <c r="L1237" i="52"/>
  <c r="L1241" i="52"/>
  <c r="L1245" i="52"/>
  <c r="L1249" i="52"/>
  <c r="L1253" i="52"/>
  <c r="L1257" i="52"/>
  <c r="L1261" i="52"/>
  <c r="L1265" i="52"/>
  <c r="L1269" i="52"/>
  <c r="L1273" i="52"/>
  <c r="L1277" i="52"/>
  <c r="L1281" i="52"/>
  <c r="L1285" i="52"/>
  <c r="L1289" i="52"/>
  <c r="L1293" i="52"/>
  <c r="L1297" i="52"/>
  <c r="L1301" i="52"/>
  <c r="L1305" i="52"/>
  <c r="L1309" i="52"/>
  <c r="L1313" i="52"/>
  <c r="L1317" i="52"/>
  <c r="L1321" i="52"/>
  <c r="L1325" i="52"/>
  <c r="L1329" i="52"/>
  <c r="L1333" i="52"/>
  <c r="L1337" i="52"/>
  <c r="L1341" i="52"/>
  <c r="L1345" i="52"/>
  <c r="L1349" i="52"/>
  <c r="L1353" i="52"/>
  <c r="L1357" i="52"/>
  <c r="L1361" i="52"/>
  <c r="L1365" i="52"/>
  <c r="L1369" i="52"/>
  <c r="L1373" i="52"/>
  <c r="L1377" i="52"/>
  <c r="L1381" i="52"/>
  <c r="L1385" i="52"/>
  <c r="L1389" i="52"/>
  <c r="L1393" i="52"/>
  <c r="L1397" i="52"/>
  <c r="L1401" i="52"/>
  <c r="L1405" i="52"/>
  <c r="L1409" i="52"/>
  <c r="L1413" i="52"/>
  <c r="L1417" i="52"/>
  <c r="L1421" i="52"/>
  <c r="L1425" i="52"/>
  <c r="L1429" i="52"/>
  <c r="L1433" i="52"/>
  <c r="L1437" i="52"/>
  <c r="L1441" i="52"/>
  <c r="L1445" i="52"/>
  <c r="L1449" i="52"/>
  <c r="L1453" i="52"/>
  <c r="L1457" i="52"/>
  <c r="L1461" i="52"/>
  <c r="L1465" i="52"/>
  <c r="L1469" i="52"/>
  <c r="L1473" i="52"/>
  <c r="L1477" i="52"/>
  <c r="L1481" i="52"/>
  <c r="L1485" i="52"/>
  <c r="L1489" i="52"/>
  <c r="L1493" i="52"/>
  <c r="L1497" i="52"/>
  <c r="L1501" i="52"/>
  <c r="L1505" i="52"/>
  <c r="L1509" i="52"/>
  <c r="L1513" i="52"/>
  <c r="L1517" i="52"/>
  <c r="L1521" i="52"/>
  <c r="L1525" i="52"/>
  <c r="L1529" i="52"/>
  <c r="L1533" i="52"/>
  <c r="L1537" i="52"/>
  <c r="L1541" i="52"/>
  <c r="L1545" i="52"/>
  <c r="L1549" i="52"/>
  <c r="L1553" i="52"/>
  <c r="L1557" i="52"/>
  <c r="L1561" i="52"/>
  <c r="L1565" i="52"/>
  <c r="L1569" i="52"/>
  <c r="L1573" i="52"/>
  <c r="L1577" i="52"/>
  <c r="J5" i="52"/>
  <c r="J9" i="52"/>
  <c r="J13" i="52"/>
  <c r="J17" i="52"/>
  <c r="J21" i="52"/>
  <c r="J25" i="52"/>
  <c r="J29" i="52"/>
  <c r="J33" i="52"/>
  <c r="J37" i="52"/>
  <c r="J41" i="52"/>
  <c r="J45" i="52"/>
  <c r="J49" i="52"/>
  <c r="J53" i="52"/>
  <c r="J57" i="52"/>
  <c r="J61" i="52"/>
  <c r="J65" i="52"/>
  <c r="J69" i="52"/>
  <c r="J73" i="52"/>
  <c r="J77" i="52"/>
  <c r="J81" i="52"/>
  <c r="J85" i="52"/>
  <c r="J89" i="52"/>
  <c r="J93" i="52"/>
  <c r="J97" i="52"/>
  <c r="J101" i="52"/>
  <c r="J105" i="52"/>
  <c r="J109" i="52"/>
  <c r="J113" i="52"/>
  <c r="J117" i="52"/>
  <c r="J121" i="52"/>
  <c r="J125" i="52"/>
  <c r="J129" i="52"/>
  <c r="J133" i="52"/>
  <c r="J137" i="52"/>
  <c r="J141" i="52"/>
  <c r="J145" i="52"/>
  <c r="J149" i="52"/>
  <c r="J153" i="52"/>
  <c r="J157" i="52"/>
  <c r="J161" i="52"/>
  <c r="J165" i="52"/>
  <c r="J169" i="52"/>
  <c r="J173" i="52"/>
  <c r="J177" i="52"/>
  <c r="J181" i="52"/>
  <c r="J185" i="52"/>
  <c r="J189" i="52"/>
  <c r="J193" i="52"/>
  <c r="J197" i="52"/>
  <c r="J201" i="52"/>
  <c r="J205" i="52"/>
  <c r="J209" i="52"/>
  <c r="J213" i="52"/>
  <c r="J217" i="52"/>
  <c r="J221" i="52"/>
  <c r="J225" i="52"/>
  <c r="J229" i="52"/>
  <c r="J233" i="52"/>
  <c r="J237" i="52"/>
  <c r="J241" i="52"/>
  <c r="J245" i="52"/>
  <c r="J249" i="52"/>
  <c r="J253" i="52"/>
  <c r="J257" i="52"/>
  <c r="J261" i="52"/>
  <c r="J265" i="52"/>
  <c r="J269" i="52"/>
  <c r="J273" i="52"/>
  <c r="J277" i="52"/>
  <c r="J281" i="52"/>
  <c r="J285" i="52"/>
  <c r="J289" i="52"/>
  <c r="J293" i="52"/>
  <c r="J297" i="52"/>
  <c r="J301" i="52"/>
  <c r="J305" i="52"/>
  <c r="J309" i="52"/>
  <c r="J313" i="52"/>
  <c r="J317" i="52"/>
  <c r="J321" i="52"/>
  <c r="J325" i="52"/>
  <c r="J329" i="52"/>
  <c r="J333" i="52"/>
  <c r="J337" i="52"/>
  <c r="J341" i="52"/>
  <c r="J345" i="52"/>
  <c r="J349" i="52"/>
  <c r="J353" i="52"/>
  <c r="J357" i="52"/>
  <c r="J361" i="52"/>
  <c r="J365" i="52"/>
  <c r="J369" i="52"/>
  <c r="J373" i="52"/>
  <c r="J377" i="52"/>
  <c r="J381" i="52"/>
  <c r="J385" i="52"/>
  <c r="J389" i="52"/>
  <c r="J393" i="52"/>
  <c r="J397" i="52"/>
  <c r="J401" i="52"/>
  <c r="J405" i="52"/>
  <c r="J409" i="52"/>
  <c r="J413" i="52"/>
  <c r="J417" i="52"/>
  <c r="J421" i="52"/>
  <c r="J425" i="52"/>
  <c r="J429" i="52"/>
  <c r="J433" i="52"/>
  <c r="J437" i="52"/>
  <c r="J441" i="52"/>
  <c r="J445" i="52"/>
  <c r="J449" i="52"/>
  <c r="J453" i="52"/>
  <c r="J457" i="52"/>
  <c r="J461" i="52"/>
  <c r="J465" i="52"/>
  <c r="J469" i="52"/>
  <c r="J473" i="52"/>
  <c r="J477" i="52"/>
  <c r="J481" i="52"/>
  <c r="J485" i="52"/>
  <c r="J489" i="52"/>
  <c r="J493" i="52"/>
  <c r="J497" i="52"/>
  <c r="J501" i="52"/>
  <c r="J505" i="52"/>
  <c r="J509" i="52"/>
  <c r="J513" i="52"/>
  <c r="J517" i="52"/>
  <c r="J521" i="52"/>
  <c r="J525" i="52"/>
  <c r="J529" i="52"/>
  <c r="J533" i="52"/>
  <c r="J537" i="52"/>
  <c r="J541" i="52"/>
  <c r="J545" i="52"/>
  <c r="J549" i="52"/>
  <c r="J553" i="52"/>
  <c r="J557" i="52"/>
  <c r="J561" i="52"/>
  <c r="J565" i="52"/>
  <c r="J569" i="52"/>
  <c r="J573" i="52"/>
  <c r="J577" i="52"/>
  <c r="J581" i="52"/>
  <c r="J585" i="52"/>
  <c r="J589" i="52"/>
  <c r="J593" i="52"/>
  <c r="J597" i="52"/>
  <c r="J601" i="52"/>
  <c r="J605" i="52"/>
  <c r="J609" i="52"/>
  <c r="J613" i="52"/>
  <c r="J617" i="52"/>
  <c r="J621" i="52"/>
  <c r="J625" i="52"/>
  <c r="J629" i="52"/>
  <c r="J633" i="52"/>
  <c r="J637" i="52"/>
  <c r="J641" i="52"/>
  <c r="J645" i="52"/>
  <c r="J649" i="52"/>
  <c r="J653" i="52"/>
  <c r="J657" i="52"/>
  <c r="J661" i="52"/>
  <c r="J665" i="52"/>
  <c r="J669" i="52"/>
  <c r="J673" i="52"/>
  <c r="J677" i="52"/>
  <c r="J681" i="52"/>
  <c r="J685" i="52"/>
  <c r="J689" i="52"/>
  <c r="J693" i="52"/>
  <c r="J697" i="52"/>
  <c r="J701" i="52"/>
  <c r="J705" i="52"/>
  <c r="J709" i="52"/>
  <c r="J713" i="52"/>
  <c r="J717" i="52"/>
  <c r="J721" i="52"/>
  <c r="J725" i="52"/>
  <c r="J729" i="52"/>
  <c r="J733" i="52"/>
  <c r="J737" i="52"/>
  <c r="J741" i="52"/>
  <c r="J745" i="52"/>
  <c r="J749" i="52"/>
  <c r="J753" i="52"/>
  <c r="J757" i="52"/>
  <c r="J761" i="52"/>
  <c r="J765" i="52"/>
  <c r="J769" i="52"/>
  <c r="J773" i="52"/>
  <c r="J777" i="52"/>
  <c r="J781" i="52"/>
  <c r="J785" i="52"/>
  <c r="J789" i="52"/>
  <c r="J793" i="52"/>
  <c r="J797" i="52"/>
  <c r="J801" i="52"/>
  <c r="J805" i="52"/>
  <c r="J809" i="52"/>
  <c r="J813" i="52"/>
  <c r="J817" i="52"/>
  <c r="J821" i="52"/>
  <c r="J825" i="52"/>
  <c r="J829" i="52"/>
  <c r="J833" i="52"/>
  <c r="J837" i="52"/>
  <c r="J841" i="52"/>
  <c r="J845" i="52"/>
  <c r="J849" i="52"/>
  <c r="J853" i="52"/>
  <c r="J857" i="52"/>
  <c r="J861" i="52"/>
  <c r="J865" i="52"/>
  <c r="J869" i="52"/>
  <c r="J873" i="52"/>
  <c r="J877" i="52"/>
  <c r="J881" i="52"/>
  <c r="J885" i="52"/>
  <c r="J889" i="52"/>
  <c r="J893" i="52"/>
  <c r="J897" i="52"/>
  <c r="J901" i="52"/>
  <c r="J905" i="52"/>
  <c r="J909" i="52"/>
  <c r="J913" i="52"/>
  <c r="J917" i="52"/>
  <c r="J921" i="52"/>
  <c r="J925" i="52"/>
  <c r="J929" i="52"/>
  <c r="J933" i="52"/>
  <c r="J937" i="52"/>
  <c r="J941" i="52"/>
  <c r="J945" i="52"/>
  <c r="J949" i="52"/>
  <c r="J953" i="52"/>
  <c r="J957" i="52"/>
  <c r="J961" i="52"/>
  <c r="J965" i="52"/>
  <c r="J969" i="52"/>
  <c r="J973" i="52"/>
  <c r="J977" i="52"/>
  <c r="J981" i="52"/>
  <c r="J985" i="52"/>
  <c r="J989" i="52"/>
  <c r="J993" i="52"/>
  <c r="J997" i="52"/>
  <c r="J1001" i="52"/>
  <c r="J1005" i="52"/>
  <c r="J1009" i="52"/>
  <c r="J1013" i="52"/>
  <c r="J1017" i="52"/>
  <c r="J1021" i="52"/>
  <c r="J1025" i="52"/>
  <c r="J1029" i="52"/>
  <c r="J1033" i="52"/>
  <c r="J1037" i="52"/>
  <c r="J1041" i="52"/>
  <c r="J1045" i="52"/>
  <c r="J1049" i="52"/>
  <c r="J1053" i="52"/>
  <c r="J1057" i="52"/>
  <c r="J1061" i="52"/>
  <c r="J1065" i="52"/>
  <c r="J1069" i="52"/>
  <c r="J1073" i="52"/>
  <c r="J1077" i="52"/>
  <c r="J1081" i="52"/>
  <c r="J1085" i="52"/>
  <c r="J1089" i="52"/>
  <c r="J1093" i="52"/>
  <c r="J1097" i="52"/>
  <c r="J1101" i="52"/>
  <c r="J1105" i="52"/>
  <c r="J1109" i="52"/>
  <c r="J1113" i="52"/>
  <c r="J1117" i="52"/>
  <c r="J1121" i="52"/>
  <c r="J1125" i="52"/>
  <c r="J1129" i="52"/>
  <c r="J1133" i="52"/>
  <c r="J1137" i="52"/>
  <c r="J1141" i="52"/>
  <c r="J1145" i="52"/>
  <c r="J1149" i="52"/>
  <c r="J1153" i="52"/>
  <c r="J1157" i="52"/>
  <c r="J1161" i="52"/>
  <c r="J1165" i="52"/>
  <c r="J1169" i="52"/>
  <c r="J1173" i="52"/>
  <c r="J1177" i="52"/>
  <c r="J1181" i="52"/>
  <c r="J1185" i="52"/>
  <c r="J1189" i="52"/>
  <c r="J1193" i="52"/>
  <c r="J1197" i="52"/>
  <c r="J1201" i="52"/>
  <c r="J1205" i="52"/>
  <c r="J1209" i="52"/>
  <c r="J1213" i="52"/>
  <c r="J1217" i="52"/>
  <c r="J1221" i="52"/>
  <c r="J1225" i="52"/>
  <c r="J1229" i="52"/>
  <c r="J1233" i="52"/>
  <c r="J1237" i="52"/>
  <c r="J1241" i="52"/>
  <c r="J1245" i="52"/>
  <c r="J1249" i="52"/>
  <c r="J1253" i="52"/>
  <c r="J1257" i="52"/>
  <c r="J1261" i="52"/>
  <c r="J1265" i="52"/>
  <c r="J1269" i="52"/>
  <c r="J1273" i="52"/>
  <c r="J1277" i="52"/>
  <c r="J1281" i="52"/>
  <c r="J1285" i="52"/>
  <c r="J1289" i="52"/>
  <c r="J1293" i="52"/>
  <c r="J1297" i="52"/>
  <c r="J1301" i="52"/>
  <c r="J1305" i="52"/>
  <c r="J1309" i="52"/>
  <c r="J1313" i="52"/>
  <c r="J1317" i="52"/>
  <c r="J1321" i="52"/>
  <c r="J1325" i="52"/>
  <c r="J1329" i="52"/>
  <c r="J1333" i="52"/>
  <c r="J1337" i="52"/>
  <c r="J1341" i="52"/>
  <c r="J1345" i="52"/>
  <c r="J1349" i="52"/>
  <c r="J1353" i="52"/>
  <c r="J1357" i="52"/>
  <c r="J1361" i="52"/>
  <c r="J1365" i="52"/>
  <c r="J1369" i="52"/>
  <c r="J1373" i="52"/>
  <c r="J1377" i="52"/>
  <c r="J1381" i="52"/>
  <c r="J1385" i="52"/>
  <c r="J1389" i="52"/>
  <c r="J1393" i="52"/>
  <c r="J1397" i="52"/>
  <c r="J1401" i="52"/>
  <c r="J1405" i="52"/>
  <c r="J1409" i="52"/>
  <c r="J1413" i="52"/>
  <c r="J1417" i="52"/>
  <c r="J1421" i="52"/>
  <c r="J1425" i="52"/>
  <c r="J1429" i="52"/>
  <c r="J1433" i="52"/>
  <c r="J1437" i="52"/>
  <c r="J1441" i="52"/>
  <c r="J1445" i="52"/>
  <c r="J1449" i="52"/>
  <c r="J1453" i="52"/>
  <c r="J1457" i="52"/>
  <c r="J1461" i="52"/>
  <c r="J1465" i="52"/>
  <c r="J1469" i="52"/>
  <c r="J1473" i="52"/>
  <c r="J1477" i="52"/>
  <c r="J1481" i="52"/>
  <c r="J1485" i="52"/>
  <c r="J1489" i="52"/>
  <c r="J1493" i="52"/>
  <c r="J1497" i="52"/>
  <c r="J1501" i="52"/>
  <c r="J1505" i="52"/>
  <c r="J1509" i="52"/>
  <c r="J1513" i="52"/>
  <c r="J1517" i="52"/>
  <c r="J1521" i="52"/>
  <c r="J1525" i="52"/>
  <c r="J1529" i="52"/>
  <c r="J1533" i="52"/>
  <c r="J1537" i="52"/>
  <c r="J1541" i="52"/>
  <c r="J1545" i="52"/>
  <c r="J1549" i="52"/>
  <c r="J1553" i="52"/>
  <c r="J1557" i="52"/>
  <c r="J1561" i="52"/>
  <c r="J1565" i="52"/>
  <c r="J1569" i="52"/>
  <c r="J1573" i="52"/>
  <c r="J1577" i="52"/>
  <c r="H5" i="52"/>
  <c r="H9" i="52"/>
  <c r="H13" i="52"/>
  <c r="H17" i="52"/>
  <c r="H21" i="52"/>
  <c r="H25" i="52"/>
  <c r="H29" i="52"/>
  <c r="H33" i="52"/>
  <c r="H37" i="52"/>
  <c r="H41" i="52"/>
  <c r="H45" i="52"/>
  <c r="H49" i="52"/>
  <c r="H53" i="52"/>
  <c r="H57" i="52"/>
  <c r="H61" i="52"/>
  <c r="H65" i="52"/>
  <c r="H69" i="52"/>
  <c r="H73" i="52"/>
  <c r="H77" i="52"/>
  <c r="H81" i="52"/>
  <c r="H85" i="52"/>
  <c r="H89" i="52"/>
  <c r="H93" i="52"/>
  <c r="H97" i="52"/>
  <c r="H101" i="52"/>
  <c r="H105" i="52"/>
  <c r="H109" i="52"/>
  <c r="H113" i="52"/>
  <c r="H117" i="52"/>
  <c r="H121" i="52"/>
  <c r="H125" i="52"/>
  <c r="H129" i="52"/>
  <c r="H133" i="52"/>
  <c r="H137" i="52"/>
  <c r="H141" i="52"/>
  <c r="H145" i="52"/>
  <c r="H149" i="52"/>
  <c r="H153" i="52"/>
  <c r="H157" i="52"/>
  <c r="H161" i="52"/>
  <c r="H165" i="52"/>
  <c r="H169" i="52"/>
  <c r="H173" i="52"/>
  <c r="H177" i="52"/>
  <c r="H181" i="52"/>
  <c r="H185" i="52"/>
  <c r="H189" i="52"/>
  <c r="H193" i="52"/>
  <c r="H197" i="52"/>
  <c r="H201" i="52"/>
  <c r="H205" i="52"/>
  <c r="H209" i="52"/>
  <c r="H213" i="52"/>
  <c r="H217" i="52"/>
  <c r="H221" i="52"/>
  <c r="H225" i="52"/>
  <c r="H229" i="52"/>
  <c r="H233" i="52"/>
  <c r="H237" i="52"/>
  <c r="H241" i="52"/>
  <c r="H245" i="52"/>
  <c r="H249" i="52"/>
  <c r="H253" i="52"/>
  <c r="H257" i="52"/>
  <c r="H261" i="52"/>
  <c r="H265" i="52"/>
  <c r="H269" i="52"/>
  <c r="H273" i="52"/>
  <c r="H277" i="52"/>
  <c r="H281" i="52"/>
  <c r="H285" i="52"/>
  <c r="H289" i="52"/>
  <c r="H293" i="52"/>
  <c r="H297" i="52"/>
  <c r="H301" i="52"/>
  <c r="H305" i="52"/>
  <c r="H309" i="52"/>
  <c r="H313" i="52"/>
  <c r="H317" i="52"/>
  <c r="H321" i="52"/>
  <c r="H325" i="52"/>
  <c r="H329" i="52"/>
  <c r="H333" i="52"/>
  <c r="H337" i="52"/>
  <c r="H341" i="52"/>
  <c r="H345" i="52"/>
  <c r="H349" i="52"/>
  <c r="H353" i="52"/>
  <c r="H357" i="52"/>
  <c r="H361" i="52"/>
  <c r="H365" i="52"/>
  <c r="H369" i="52"/>
  <c r="H373" i="52"/>
  <c r="H377" i="52"/>
  <c r="H381" i="52"/>
  <c r="H385" i="52"/>
  <c r="H389" i="52"/>
  <c r="H393" i="52"/>
  <c r="H397" i="52"/>
  <c r="H401" i="52"/>
  <c r="H405" i="52"/>
  <c r="H409" i="52"/>
  <c r="H413" i="52"/>
  <c r="H417" i="52"/>
  <c r="H421" i="52"/>
  <c r="H425" i="52"/>
  <c r="H429" i="52"/>
  <c r="H433" i="52"/>
  <c r="H437" i="52"/>
  <c r="H441" i="52"/>
  <c r="H445" i="52"/>
  <c r="H449" i="52"/>
  <c r="H453" i="52"/>
  <c r="H457" i="52"/>
  <c r="H461" i="52"/>
  <c r="H465" i="52"/>
  <c r="H469" i="52"/>
  <c r="H473" i="52"/>
  <c r="H477" i="52"/>
  <c r="H481" i="52"/>
  <c r="H485" i="52"/>
  <c r="H489" i="52"/>
  <c r="H493" i="52"/>
  <c r="H497" i="52"/>
  <c r="H501" i="52"/>
  <c r="H505" i="52"/>
  <c r="H509" i="52"/>
  <c r="H513" i="52"/>
  <c r="H517" i="52"/>
  <c r="H521" i="52"/>
  <c r="H525" i="52"/>
  <c r="H529" i="52"/>
  <c r="H533" i="52"/>
  <c r="H537" i="52"/>
  <c r="H541" i="52"/>
  <c r="H545" i="52"/>
  <c r="H549" i="52"/>
  <c r="H553" i="52"/>
  <c r="H557" i="52"/>
  <c r="H561" i="52"/>
  <c r="H565" i="52"/>
  <c r="H569" i="52"/>
  <c r="H573" i="52"/>
  <c r="H577" i="52"/>
  <c r="H581" i="52"/>
  <c r="H585" i="52"/>
  <c r="H589" i="52"/>
  <c r="H593" i="52"/>
  <c r="H597" i="52"/>
  <c r="H601" i="52"/>
  <c r="H605" i="52"/>
  <c r="H609" i="52"/>
  <c r="H613" i="52"/>
  <c r="H617" i="52"/>
  <c r="H621" i="52"/>
  <c r="H625" i="52"/>
  <c r="H629" i="52"/>
  <c r="H633" i="52"/>
  <c r="H637" i="52"/>
  <c r="H641" i="52"/>
  <c r="H645" i="52"/>
  <c r="H649" i="52"/>
  <c r="H653" i="52"/>
  <c r="H657" i="52"/>
  <c r="H661" i="52"/>
  <c r="H665" i="52"/>
  <c r="H669" i="52"/>
  <c r="H673" i="52"/>
  <c r="H677" i="52"/>
  <c r="H681" i="52"/>
  <c r="H685" i="52"/>
  <c r="H689" i="52"/>
  <c r="H693" i="52"/>
  <c r="H697" i="52"/>
  <c r="H701" i="52"/>
  <c r="H705" i="52"/>
  <c r="H709" i="52"/>
  <c r="H713" i="52"/>
  <c r="H717" i="52"/>
  <c r="H721" i="52"/>
  <c r="H725" i="52"/>
  <c r="H729" i="52"/>
  <c r="H733" i="52"/>
  <c r="H737" i="52"/>
  <c r="H741" i="52"/>
  <c r="H745" i="52"/>
  <c r="H749" i="52"/>
  <c r="H753" i="52"/>
  <c r="H757" i="52"/>
  <c r="H761" i="52"/>
  <c r="H765" i="52"/>
  <c r="H769" i="52"/>
  <c r="H773" i="52"/>
  <c r="H777" i="52"/>
  <c r="H781" i="52"/>
  <c r="H785" i="52"/>
  <c r="H789" i="52"/>
  <c r="H793" i="52"/>
  <c r="H797" i="52"/>
  <c r="H801" i="52"/>
  <c r="H805" i="52"/>
  <c r="H809" i="52"/>
  <c r="H813" i="52"/>
  <c r="H817" i="52"/>
  <c r="H821" i="52"/>
  <c r="H825" i="52"/>
  <c r="H829" i="52"/>
  <c r="H833" i="52"/>
  <c r="H837" i="52"/>
  <c r="H841" i="52"/>
  <c r="H845" i="52"/>
  <c r="H849" i="52"/>
  <c r="H853" i="52"/>
  <c r="H857" i="52"/>
  <c r="H861" i="52"/>
  <c r="H865" i="52"/>
  <c r="H869" i="52"/>
  <c r="H873" i="52"/>
  <c r="H877" i="52"/>
  <c r="H881" i="52"/>
  <c r="H885" i="52"/>
  <c r="H889" i="52"/>
  <c r="H893" i="52"/>
  <c r="H897" i="52"/>
  <c r="H901" i="52"/>
  <c r="H905" i="52"/>
  <c r="H909" i="52"/>
  <c r="H913" i="52"/>
  <c r="H917" i="52"/>
  <c r="H921" i="52"/>
  <c r="H925" i="52"/>
  <c r="H929" i="52"/>
  <c r="H933" i="52"/>
  <c r="H937" i="52"/>
  <c r="H941" i="52"/>
  <c r="H945" i="52"/>
  <c r="H949" i="52"/>
  <c r="H953" i="52"/>
  <c r="H957" i="52"/>
  <c r="H961" i="52"/>
  <c r="H965" i="52"/>
  <c r="H969" i="52"/>
  <c r="H973" i="52"/>
  <c r="H977" i="52"/>
  <c r="H981" i="52"/>
  <c r="H985" i="52"/>
  <c r="H989" i="52"/>
  <c r="H993" i="52"/>
  <c r="H997" i="52"/>
  <c r="H1001" i="52"/>
  <c r="H1005" i="52"/>
  <c r="H1009" i="52"/>
  <c r="H1013" i="52"/>
  <c r="H1017" i="52"/>
  <c r="H1021" i="52"/>
  <c r="H1025" i="52"/>
  <c r="H1029" i="52"/>
  <c r="H1033" i="52"/>
  <c r="H1037" i="52"/>
  <c r="H1041" i="52"/>
  <c r="H1045" i="52"/>
  <c r="H1049" i="52"/>
  <c r="H1053" i="52"/>
  <c r="H1057" i="52"/>
  <c r="H1061" i="52"/>
  <c r="H1065" i="52"/>
  <c r="H1069" i="52"/>
  <c r="H1073" i="52"/>
  <c r="H1077" i="52"/>
  <c r="H1081" i="52"/>
  <c r="H1085" i="52"/>
  <c r="H1089" i="52"/>
  <c r="H1093" i="52"/>
  <c r="H1097" i="52"/>
  <c r="H1101" i="52"/>
  <c r="H1105" i="52"/>
  <c r="H1109" i="52"/>
  <c r="H1113" i="52"/>
  <c r="H1117" i="52"/>
  <c r="H1121" i="52"/>
  <c r="H1125" i="52"/>
  <c r="H1129" i="52"/>
  <c r="H1133" i="52"/>
  <c r="H1137" i="52"/>
  <c r="H1141" i="52"/>
  <c r="H1145" i="52"/>
  <c r="H1149" i="52"/>
  <c r="H1153" i="52"/>
  <c r="H1157" i="52"/>
  <c r="H1161" i="52"/>
  <c r="H1165" i="52"/>
  <c r="H1169" i="52"/>
  <c r="H1173" i="52"/>
  <c r="H1177" i="52"/>
  <c r="H1181" i="52"/>
  <c r="H1185" i="52"/>
  <c r="H1189" i="52"/>
  <c r="H1193" i="52"/>
  <c r="H1197" i="52"/>
  <c r="H1201" i="52"/>
  <c r="H1205" i="52"/>
  <c r="H1209" i="52"/>
  <c r="H1213" i="52"/>
  <c r="H1217" i="52"/>
  <c r="H1221" i="52"/>
  <c r="H1225" i="52"/>
  <c r="H1229" i="52"/>
  <c r="H1233" i="52"/>
  <c r="H1237" i="52"/>
  <c r="H1241" i="52"/>
  <c r="H1245" i="52"/>
  <c r="H1249" i="52"/>
  <c r="H1253" i="52"/>
  <c r="H1257" i="52"/>
  <c r="H1261" i="52"/>
  <c r="H1265" i="52"/>
  <c r="H1269" i="52"/>
  <c r="H1273" i="52"/>
  <c r="H1277" i="52"/>
  <c r="H1281" i="52"/>
  <c r="H1285" i="52"/>
  <c r="H1289" i="52"/>
  <c r="H1293" i="52"/>
  <c r="H1297" i="52"/>
  <c r="H1301" i="52"/>
  <c r="H1305" i="52"/>
  <c r="H1309" i="52"/>
  <c r="H1313" i="52"/>
  <c r="H1317" i="52"/>
  <c r="H1321" i="52"/>
  <c r="H1325" i="52"/>
  <c r="H1329" i="52"/>
  <c r="H1333" i="52"/>
  <c r="H1337" i="52"/>
  <c r="H1341" i="52"/>
  <c r="H1345" i="52"/>
  <c r="H1349" i="52"/>
  <c r="H1353" i="52"/>
  <c r="H1357" i="52"/>
  <c r="H1361" i="52"/>
  <c r="H1365" i="52"/>
  <c r="H1369" i="52"/>
  <c r="H1373" i="52"/>
  <c r="H1377" i="52"/>
  <c r="H1381" i="52"/>
  <c r="H1385" i="52"/>
  <c r="H1389" i="52"/>
  <c r="H1393" i="52"/>
  <c r="H1397" i="52"/>
  <c r="H1401" i="52"/>
  <c r="H1405" i="52"/>
  <c r="H1409" i="52"/>
  <c r="H1413" i="52"/>
  <c r="H1417" i="52"/>
  <c r="H1421" i="52"/>
  <c r="H1425" i="52"/>
  <c r="H1429" i="52"/>
  <c r="H1433" i="52"/>
  <c r="H1437" i="52"/>
  <c r="H1441" i="52"/>
  <c r="H1445" i="52"/>
  <c r="H1449" i="52"/>
  <c r="H1453" i="52"/>
  <c r="H1457" i="52"/>
  <c r="H1461" i="52"/>
  <c r="H1465" i="52"/>
  <c r="H1469" i="52"/>
  <c r="H1473" i="52"/>
  <c r="H1477" i="52"/>
  <c r="H1481" i="52"/>
  <c r="H1485" i="52"/>
  <c r="H1489" i="52"/>
  <c r="H1493" i="52"/>
  <c r="H1497" i="52"/>
  <c r="H1501" i="52"/>
  <c r="H1505" i="52"/>
  <c r="H1509" i="52"/>
  <c r="H1513" i="52"/>
  <c r="H1517" i="52"/>
  <c r="H1521" i="52"/>
  <c r="H1525" i="52"/>
  <c r="H1529" i="52"/>
  <c r="H1533" i="52"/>
  <c r="H1537" i="52"/>
  <c r="H1541" i="52"/>
  <c r="H1545" i="52"/>
  <c r="H1549" i="52"/>
  <c r="H1553" i="52"/>
  <c r="H1557" i="52"/>
  <c r="H1561" i="52"/>
  <c r="H1565" i="52"/>
  <c r="H1569" i="52"/>
  <c r="H1573" i="52"/>
  <c r="H1577" i="52"/>
  <c r="AC395" i="52"/>
  <c r="AC394" i="52"/>
  <c r="AC393" i="52"/>
  <c r="AC392" i="52"/>
  <c r="AC391" i="52"/>
  <c r="AC390" i="52"/>
  <c r="AC389" i="52"/>
  <c r="AC388" i="52"/>
  <c r="AC387" i="52"/>
  <c r="AC386" i="52"/>
  <c r="AC385" i="52"/>
  <c r="AC384" i="52"/>
  <c r="AC383" i="52"/>
  <c r="AC382" i="52"/>
  <c r="AC381" i="52"/>
  <c r="AC380" i="52"/>
  <c r="AC379" i="52"/>
  <c r="AC378" i="52"/>
  <c r="AC377" i="52"/>
  <c r="AC376" i="52"/>
  <c r="AC375" i="52"/>
  <c r="AC374" i="52"/>
  <c r="AC373" i="52"/>
  <c r="AC372" i="52"/>
  <c r="AC371" i="52"/>
  <c r="AC370" i="52"/>
  <c r="AC369" i="52"/>
  <c r="AC368" i="52"/>
  <c r="AC367" i="52"/>
  <c r="AC366" i="52"/>
  <c r="AC365" i="52"/>
  <c r="AC364" i="52"/>
  <c r="AC363" i="52"/>
  <c r="AC362" i="52"/>
  <c r="AC361" i="52"/>
  <c r="AC360" i="52"/>
  <c r="AC359" i="52"/>
  <c r="AC358" i="52"/>
  <c r="AC357" i="52"/>
  <c r="AC356" i="52"/>
  <c r="AC355" i="52"/>
  <c r="AC354" i="52"/>
  <c r="AC353" i="52"/>
  <c r="AC352" i="52"/>
  <c r="AC351" i="52"/>
  <c r="AC350" i="52"/>
  <c r="AC349" i="52"/>
  <c r="AC348" i="52"/>
  <c r="AC347" i="52"/>
  <c r="AC346" i="52"/>
  <c r="AC345" i="52"/>
  <c r="AC344" i="52"/>
  <c r="AC343" i="52"/>
  <c r="AC342" i="52"/>
  <c r="AC341" i="52"/>
  <c r="AC340" i="52"/>
  <c r="AC339" i="52"/>
  <c r="AC338" i="52"/>
  <c r="AC337" i="52"/>
  <c r="AC336" i="52"/>
  <c r="AC335" i="52"/>
  <c r="AC334" i="52"/>
  <c r="AC333" i="52"/>
  <c r="AC332" i="52"/>
  <c r="AC331" i="52"/>
  <c r="AC330" i="52"/>
  <c r="AC329" i="52"/>
  <c r="AC328" i="52"/>
  <c r="AC327" i="52"/>
  <c r="AC326" i="52"/>
  <c r="AC325" i="52"/>
  <c r="AC324" i="52"/>
  <c r="AC323" i="52"/>
  <c r="AC322" i="52"/>
  <c r="AC321" i="52"/>
  <c r="AC320" i="52"/>
  <c r="AC319" i="52"/>
  <c r="AC318" i="52"/>
  <c r="AC317" i="52"/>
  <c r="AC316" i="52"/>
  <c r="AC315" i="52"/>
  <c r="AC314" i="52"/>
  <c r="AC313" i="52"/>
  <c r="AC312" i="52"/>
  <c r="AC311" i="52"/>
  <c r="AC310" i="52"/>
  <c r="AC309" i="52"/>
  <c r="AC308" i="52"/>
  <c r="AC307" i="52"/>
  <c r="AC306" i="52"/>
  <c r="AC305" i="52"/>
  <c r="AC304" i="52"/>
  <c r="AC303" i="52"/>
  <c r="AC302" i="52"/>
  <c r="AC301" i="52"/>
  <c r="AC300" i="52"/>
  <c r="AC299" i="52"/>
  <c r="AC298" i="52"/>
  <c r="AC297" i="52"/>
  <c r="AC296" i="52"/>
  <c r="AC295" i="52"/>
  <c r="AC294" i="52"/>
  <c r="AC293" i="52"/>
  <c r="AC292" i="52"/>
  <c r="AC291" i="52"/>
  <c r="AC290" i="52"/>
  <c r="AC289" i="52"/>
  <c r="AC288" i="52"/>
  <c r="AC287" i="52"/>
  <c r="AC286" i="52"/>
  <c r="AC285" i="52"/>
  <c r="AC284" i="52"/>
  <c r="AC283" i="52"/>
  <c r="AC282" i="52"/>
  <c r="AC281" i="52"/>
  <c r="AC280" i="52"/>
  <c r="AC279" i="52"/>
  <c r="AC278" i="52"/>
  <c r="AC277" i="52"/>
  <c r="AC276" i="52"/>
  <c r="AC275" i="52"/>
  <c r="AC274" i="52"/>
  <c r="AC273" i="52"/>
  <c r="AC272" i="52"/>
  <c r="AC271" i="52"/>
  <c r="AC270" i="52"/>
  <c r="AC269" i="52"/>
  <c r="AC268" i="52"/>
  <c r="AC267" i="52"/>
  <c r="AC266" i="52"/>
  <c r="AC265" i="52"/>
  <c r="AC264" i="52"/>
  <c r="AC263" i="52"/>
  <c r="AC262" i="52"/>
  <c r="AC261" i="52"/>
  <c r="AC260" i="52"/>
  <c r="AC259" i="52"/>
  <c r="AC258" i="52"/>
  <c r="AC257" i="52"/>
  <c r="AC256" i="52"/>
  <c r="AC255" i="52"/>
  <c r="AC254" i="52"/>
  <c r="AC253" i="52"/>
  <c r="AC252" i="52"/>
  <c r="AC251" i="52"/>
  <c r="AC250" i="52"/>
  <c r="AC249" i="52"/>
  <c r="AC248" i="52"/>
  <c r="AC247" i="52"/>
  <c r="AC246" i="52"/>
  <c r="AC245" i="52"/>
  <c r="AC244" i="52"/>
  <c r="AC243" i="52"/>
  <c r="AC242" i="52"/>
  <c r="AC241" i="52"/>
  <c r="AC240" i="52"/>
  <c r="AC239" i="52"/>
  <c r="AC238" i="52"/>
  <c r="AC237" i="52"/>
  <c r="AC236" i="52"/>
  <c r="AC235" i="52"/>
  <c r="AC234" i="52"/>
  <c r="AC233" i="52"/>
  <c r="AC232" i="52"/>
  <c r="AC231" i="52"/>
  <c r="AC230" i="52"/>
  <c r="AC229" i="52"/>
  <c r="AC228" i="52"/>
  <c r="AC227" i="52"/>
  <c r="AC226" i="52"/>
  <c r="AC225" i="52"/>
  <c r="AC224" i="52"/>
  <c r="AC223" i="52"/>
  <c r="AC222" i="52"/>
  <c r="AC221" i="52"/>
  <c r="AC220" i="52"/>
  <c r="AC219" i="52"/>
  <c r="AC218" i="52"/>
  <c r="AC217" i="52"/>
  <c r="AC216" i="52"/>
  <c r="AC215" i="52"/>
  <c r="AC214" i="52"/>
  <c r="AC213" i="52"/>
  <c r="AC212" i="52"/>
  <c r="AC211" i="52"/>
  <c r="AC210" i="52"/>
  <c r="AC209" i="52"/>
  <c r="AC208" i="52"/>
  <c r="AC207" i="52"/>
  <c r="AC206" i="52"/>
  <c r="AC205" i="52"/>
  <c r="AC204" i="52"/>
  <c r="AC203" i="52"/>
  <c r="AC202" i="52"/>
  <c r="AC201" i="52"/>
  <c r="AC200" i="52"/>
  <c r="AC199" i="52"/>
  <c r="AC198" i="52"/>
  <c r="AC197" i="52"/>
  <c r="AC196" i="52"/>
  <c r="AC195" i="52"/>
  <c r="AC194" i="52"/>
  <c r="AC193" i="52"/>
  <c r="AC192" i="52"/>
  <c r="AC191" i="52"/>
  <c r="AC190" i="52"/>
  <c r="AC189" i="52"/>
  <c r="AC188" i="52"/>
  <c r="AC187" i="52"/>
  <c r="AC186" i="52"/>
  <c r="AC185" i="52"/>
  <c r="AC184" i="52"/>
  <c r="AC183" i="52"/>
  <c r="AC182" i="52"/>
  <c r="AC181" i="52"/>
  <c r="AC180" i="52"/>
  <c r="AC179" i="52"/>
  <c r="AC178" i="52"/>
  <c r="AC177" i="52"/>
  <c r="AC176" i="52"/>
  <c r="AC175" i="52"/>
  <c r="AC174" i="52"/>
  <c r="AC173" i="52"/>
  <c r="AC172" i="52"/>
  <c r="AC171" i="52"/>
  <c r="AC170" i="52"/>
  <c r="AC169" i="52"/>
  <c r="AC168" i="52"/>
  <c r="AC167" i="52"/>
  <c r="AC166" i="52"/>
  <c r="AC165" i="52"/>
  <c r="AC164" i="52"/>
  <c r="AC163" i="52"/>
  <c r="AC162" i="52"/>
  <c r="AC161" i="52"/>
  <c r="AC160" i="52"/>
  <c r="AC159" i="52"/>
  <c r="AC158" i="52"/>
  <c r="AC157" i="52"/>
  <c r="AC156" i="52"/>
  <c r="AC155" i="52"/>
  <c r="AC154" i="52"/>
  <c r="AC153" i="52"/>
  <c r="AC152" i="52"/>
  <c r="AC151" i="52"/>
  <c r="AC150" i="52"/>
  <c r="AC149" i="52"/>
  <c r="AC148" i="52"/>
  <c r="AC147" i="52"/>
  <c r="AC146" i="52"/>
  <c r="AC145" i="52"/>
  <c r="AC144" i="52"/>
  <c r="AC143" i="52"/>
  <c r="AC142" i="52"/>
  <c r="AC141" i="52"/>
  <c r="AC140" i="52"/>
  <c r="AC139" i="52"/>
  <c r="AC138" i="52"/>
  <c r="AC137" i="52"/>
  <c r="AC136" i="52"/>
  <c r="AC135" i="52"/>
  <c r="AC134" i="52"/>
  <c r="AC133" i="52"/>
  <c r="AC132" i="52"/>
  <c r="AC131" i="52"/>
  <c r="AC130" i="52"/>
  <c r="AC129" i="52"/>
  <c r="AC128" i="52"/>
  <c r="AC127" i="52"/>
  <c r="AC126" i="52"/>
  <c r="AC125" i="52"/>
  <c r="AC124" i="52"/>
  <c r="AC123" i="52"/>
  <c r="AC122" i="52"/>
  <c r="AC121" i="52"/>
  <c r="AC120" i="52"/>
  <c r="AC119" i="52"/>
  <c r="AC118" i="52"/>
  <c r="AC117" i="52"/>
  <c r="AC116" i="52"/>
  <c r="AC115" i="52"/>
  <c r="AC114" i="52"/>
  <c r="AC113" i="52"/>
  <c r="AC112" i="52"/>
  <c r="AC111" i="52"/>
  <c r="AC110" i="52"/>
  <c r="AC109" i="52"/>
  <c r="AC108" i="52"/>
  <c r="AC107" i="52"/>
  <c r="AC106" i="52"/>
  <c r="AC105" i="52"/>
  <c r="AC104" i="52"/>
  <c r="AC103" i="52"/>
  <c r="AC102" i="52"/>
  <c r="AC101" i="52"/>
  <c r="AC100" i="52"/>
  <c r="AC99" i="52"/>
  <c r="AC98" i="52"/>
  <c r="AC97" i="52"/>
  <c r="AC96" i="52"/>
  <c r="AC95" i="52"/>
  <c r="AC94" i="52"/>
  <c r="AC93" i="52"/>
  <c r="AC92" i="52"/>
  <c r="AC91" i="52"/>
  <c r="AC90" i="52"/>
  <c r="AC89" i="52"/>
  <c r="AC88" i="52"/>
  <c r="AC87" i="52"/>
  <c r="AC86" i="52"/>
  <c r="AC85" i="52"/>
  <c r="AC84" i="52"/>
  <c r="AC83" i="52"/>
  <c r="AC82" i="52"/>
  <c r="AC81" i="52"/>
  <c r="AC80" i="52"/>
  <c r="AC79" i="52"/>
  <c r="AC78" i="52"/>
  <c r="AC77" i="52"/>
  <c r="AC76" i="52"/>
  <c r="AC75" i="52"/>
  <c r="AC74" i="52"/>
  <c r="AC73" i="52"/>
  <c r="AC72" i="52"/>
  <c r="AC71" i="52"/>
  <c r="AC70" i="52"/>
  <c r="AC69" i="52"/>
  <c r="AC68" i="52"/>
  <c r="AC67" i="52"/>
  <c r="AC66" i="52"/>
  <c r="AC65" i="52"/>
  <c r="AC64" i="52"/>
  <c r="AC63" i="52"/>
  <c r="AC62" i="52"/>
  <c r="AC61" i="52"/>
  <c r="AC60" i="52"/>
  <c r="AC59" i="52"/>
  <c r="AC58" i="52"/>
  <c r="AC57" i="52"/>
  <c r="AC56" i="52"/>
  <c r="AC55" i="52"/>
  <c r="AC54" i="52"/>
  <c r="AC53" i="52"/>
  <c r="AC52" i="52"/>
  <c r="AC51" i="52"/>
  <c r="AC50" i="52"/>
  <c r="AC49" i="52"/>
  <c r="AC48" i="52"/>
  <c r="AC47" i="52"/>
  <c r="AC46" i="52"/>
  <c r="AC45" i="52"/>
  <c r="AC44" i="52"/>
  <c r="AC43" i="52"/>
  <c r="AC42" i="52"/>
  <c r="AC41" i="52"/>
  <c r="AC40" i="52"/>
  <c r="AC39" i="52"/>
  <c r="AC38" i="52"/>
  <c r="AC37" i="52"/>
  <c r="AC36" i="52"/>
  <c r="AC35" i="52"/>
  <c r="AC34" i="52"/>
  <c r="AC33" i="52"/>
  <c r="AC32" i="52"/>
  <c r="AC31" i="52"/>
  <c r="AC30" i="52"/>
  <c r="AC29" i="52"/>
  <c r="AC28" i="52"/>
  <c r="AC27" i="52"/>
  <c r="AC26" i="52"/>
  <c r="AC25" i="52"/>
  <c r="AC24" i="52"/>
  <c r="AC23" i="52"/>
  <c r="AC22" i="52"/>
  <c r="AC21" i="52"/>
  <c r="AC20" i="52"/>
  <c r="AC19" i="52"/>
  <c r="AC18" i="52"/>
  <c r="AC17" i="52"/>
  <c r="AC16" i="52"/>
  <c r="AC15" i="52"/>
  <c r="AC14" i="52"/>
  <c r="AC13" i="52"/>
  <c r="AC12" i="52"/>
  <c r="AC11" i="52"/>
  <c r="AC10" i="52"/>
  <c r="AC9" i="52"/>
  <c r="AC8" i="52"/>
  <c r="AC7" i="52"/>
  <c r="AC6" i="52"/>
  <c r="AC5" i="52"/>
  <c r="AC4" i="52"/>
  <c r="AC3" i="52"/>
  <c r="AC2" i="52"/>
  <c r="I5" i="51"/>
  <c r="I9" i="51"/>
  <c r="I13" i="51"/>
  <c r="I17" i="51"/>
  <c r="I21" i="51"/>
  <c r="I25" i="51"/>
  <c r="I29" i="51"/>
  <c r="I33" i="51"/>
  <c r="I37" i="51"/>
  <c r="I41" i="51"/>
  <c r="I45" i="51"/>
  <c r="I49" i="51"/>
  <c r="I53" i="51"/>
  <c r="I57" i="51"/>
  <c r="I61" i="51"/>
  <c r="I65" i="51"/>
  <c r="I69" i="51"/>
  <c r="I73" i="51"/>
  <c r="I77" i="51"/>
  <c r="I81" i="51"/>
  <c r="I85" i="51"/>
  <c r="I89" i="51"/>
  <c r="I93" i="51"/>
  <c r="I97" i="51"/>
  <c r="I101" i="51"/>
  <c r="I105" i="51"/>
  <c r="I109" i="51"/>
  <c r="I113" i="51"/>
  <c r="I117" i="51"/>
  <c r="I121" i="51"/>
  <c r="I125" i="51"/>
  <c r="I129" i="51"/>
  <c r="I133" i="51"/>
  <c r="I137" i="51"/>
  <c r="I141" i="51"/>
  <c r="I145" i="51"/>
  <c r="I149" i="51"/>
  <c r="I153" i="51"/>
  <c r="I157" i="51"/>
  <c r="I161" i="51"/>
  <c r="I165" i="51"/>
  <c r="I169" i="51"/>
  <c r="I173" i="51"/>
  <c r="I177" i="51"/>
  <c r="I181" i="51"/>
  <c r="I185" i="51"/>
  <c r="I189" i="51"/>
  <c r="I193" i="51"/>
  <c r="I197" i="51"/>
  <c r="I201" i="51"/>
  <c r="I205" i="51"/>
  <c r="I209" i="51"/>
  <c r="I213" i="51"/>
  <c r="I217" i="51"/>
  <c r="I221" i="51"/>
  <c r="I225" i="51"/>
  <c r="I229" i="51"/>
  <c r="I233" i="51"/>
  <c r="I237" i="51"/>
  <c r="I241" i="51"/>
  <c r="I245" i="51"/>
  <c r="I249" i="51"/>
  <c r="I253" i="51"/>
  <c r="I257" i="51"/>
  <c r="I261" i="51"/>
  <c r="I265" i="51"/>
  <c r="AD341" i="52"/>
  <c r="AD351" i="52"/>
  <c r="AE58" i="52"/>
  <c r="AF324" i="52"/>
  <c r="AD306" i="52"/>
  <c r="AE165" i="52"/>
  <c r="AF47" i="52"/>
  <c r="AE394" i="52"/>
  <c r="AD126" i="52"/>
  <c r="AF282" i="52"/>
  <c r="AE213" i="52"/>
  <c r="AD279" i="52"/>
  <c r="AE78" i="52"/>
  <c r="AF203" i="52"/>
  <c r="AF380" i="52"/>
  <c r="AF65" i="52"/>
  <c r="AF60" i="52"/>
  <c r="AE27" i="52"/>
  <c r="AD384" i="52"/>
  <c r="AE256" i="52"/>
  <c r="AF258" i="52"/>
  <c r="AD105" i="52"/>
  <c r="AF284" i="52"/>
  <c r="AE158" i="52"/>
  <c r="AE302" i="52"/>
  <c r="AF166" i="52"/>
  <c r="AE342" i="52"/>
  <c r="AD321" i="52"/>
  <c r="AD391" i="52"/>
  <c r="AD162" i="52"/>
  <c r="AE73" i="52"/>
  <c r="AD41" i="52"/>
  <c r="AF285" i="52"/>
  <c r="AE104" i="52"/>
  <c r="AF349" i="52"/>
  <c r="AF82" i="52"/>
  <c r="AF44" i="52"/>
  <c r="AE111" i="52"/>
  <c r="AD85" i="52"/>
  <c r="AD174" i="52"/>
  <c r="AE163" i="52"/>
  <c r="AD116" i="52"/>
  <c r="AD11" i="52"/>
  <c r="AE206" i="52"/>
  <c r="AF120" i="52"/>
  <c r="AF369" i="52"/>
  <c r="AD144" i="52"/>
  <c r="AD205" i="52"/>
  <c r="AE156" i="52"/>
  <c r="AE160" i="52"/>
  <c r="AF48" i="52"/>
  <c r="AD151" i="52"/>
  <c r="AF255" i="52"/>
  <c r="AF86" i="52"/>
  <c r="AD361" i="52"/>
  <c r="AF5" i="52"/>
  <c r="AD314" i="52"/>
  <c r="AD317" i="52"/>
  <c r="AE122" i="52"/>
  <c r="AF155" i="52"/>
  <c r="AF190" i="52"/>
  <c r="AE172" i="52"/>
  <c r="AE136" i="52"/>
  <c r="AF182" i="52"/>
  <c r="AF106" i="52"/>
  <c r="AE363" i="52"/>
  <c r="AF293" i="52"/>
  <c r="AD231" i="52"/>
  <c r="AE10" i="52"/>
  <c r="AF111" i="52"/>
  <c r="AE262" i="52"/>
  <c r="AF57" i="52"/>
  <c r="AF228" i="52"/>
  <c r="AD368" i="52"/>
  <c r="AF268" i="52"/>
  <c r="AE37" i="52"/>
  <c r="AD243" i="52"/>
  <c r="AD103" i="52"/>
  <c r="AE242" i="52"/>
  <c r="AD121" i="52"/>
  <c r="AF195" i="52"/>
  <c r="AD280" i="52"/>
  <c r="AE358" i="52"/>
  <c r="AE120" i="52"/>
  <c r="AE223" i="52"/>
  <c r="AD17" i="52"/>
  <c r="AE353" i="52"/>
  <c r="AF35" i="52"/>
  <c r="AE379" i="52"/>
  <c r="AF63" i="52"/>
  <c r="AE211" i="52"/>
  <c r="AD107" i="52"/>
  <c r="AF167" i="52"/>
  <c r="AE341" i="52"/>
  <c r="AD153" i="52"/>
  <c r="AE177" i="52"/>
  <c r="AE285" i="52"/>
  <c r="AF186" i="52"/>
  <c r="AD350" i="52"/>
  <c r="AD8" i="52"/>
  <c r="AE171" i="52"/>
  <c r="AD156" i="52"/>
  <c r="AE86" i="52"/>
  <c r="AF220" i="52"/>
  <c r="AF93" i="52"/>
  <c r="AD339" i="52"/>
  <c r="AE237" i="52"/>
  <c r="AD305" i="52"/>
  <c r="AE249" i="52"/>
  <c r="AF172" i="52"/>
  <c r="AF118" i="52"/>
  <c r="AD190" i="52"/>
  <c r="AD111" i="52"/>
  <c r="AD220" i="52"/>
  <c r="AE272" i="52"/>
  <c r="AD258" i="52"/>
  <c r="AF151" i="52"/>
  <c r="AF144" i="52"/>
  <c r="AD141" i="52"/>
  <c r="AD139" i="52"/>
  <c r="AD49" i="52"/>
  <c r="AF335" i="52"/>
  <c r="AF219" i="52"/>
  <c r="AE146" i="52"/>
  <c r="AE43" i="52"/>
  <c r="AE56" i="52"/>
  <c r="AF96" i="52"/>
  <c r="AE278" i="52"/>
  <c r="AD381" i="52"/>
  <c r="AE61" i="52"/>
  <c r="AD128" i="52"/>
  <c r="AF66" i="52"/>
  <c r="AF352" i="52"/>
  <c r="AD372" i="52"/>
  <c r="AD157" i="52"/>
  <c r="AE221" i="52"/>
  <c r="AE7" i="52"/>
  <c r="AD390" i="52"/>
  <c r="AD155" i="52"/>
  <c r="AD113" i="52"/>
  <c r="AF386" i="52"/>
  <c r="AE82" i="52"/>
  <c r="AD167" i="52"/>
  <c r="AE48" i="52"/>
  <c r="AE236" i="52"/>
  <c r="AD346" i="52"/>
  <c r="AE97" i="52"/>
  <c r="AD173" i="52"/>
  <c r="AD213" i="52"/>
  <c r="AE117" i="52"/>
  <c r="AD68" i="52"/>
  <c r="AF28" i="52"/>
  <c r="AF143" i="52"/>
  <c r="AF70" i="52"/>
  <c r="AF297" i="52"/>
  <c r="AE210" i="52"/>
  <c r="AF121" i="52"/>
  <c r="AD214" i="52"/>
  <c r="AF164" i="52"/>
  <c r="AD79" i="52"/>
  <c r="AD72" i="52"/>
  <c r="AD186" i="52"/>
  <c r="AE55" i="52"/>
  <c r="AD100" i="52"/>
  <c r="AE299" i="52"/>
  <c r="AE328" i="52"/>
  <c r="AD329" i="52"/>
  <c r="AF67" i="52"/>
  <c r="AD71" i="52"/>
  <c r="AF179" i="52"/>
  <c r="AD388" i="52"/>
  <c r="AD60" i="52"/>
  <c r="AD63" i="52"/>
  <c r="AF90" i="52"/>
  <c r="AD352" i="52"/>
  <c r="AE50" i="52"/>
  <c r="AF305" i="52"/>
  <c r="AF358" i="52"/>
  <c r="AF316" i="52"/>
  <c r="AF208" i="52"/>
  <c r="AD56" i="52"/>
  <c r="AE281" i="52"/>
  <c r="AD293" i="52"/>
  <c r="AD177" i="52"/>
  <c r="AE8" i="52"/>
  <c r="AD324" i="52"/>
  <c r="AF68" i="52"/>
  <c r="AF138" i="52"/>
  <c r="AF292" i="52"/>
  <c r="AD389" i="52"/>
  <c r="AF147" i="52"/>
  <c r="AF334" i="52"/>
  <c r="AF355" i="52"/>
  <c r="AF375" i="52"/>
  <c r="AD115" i="52"/>
  <c r="AE199" i="52"/>
  <c r="AD330" i="52"/>
  <c r="AD287" i="52"/>
  <c r="AE197" i="52"/>
  <c r="AF244" i="52"/>
  <c r="AF50" i="52"/>
  <c r="AE70" i="52"/>
  <c r="AF317" i="52"/>
  <c r="AF271" i="52"/>
  <c r="AE227" i="52"/>
  <c r="AF327" i="52"/>
  <c r="AF39" i="52"/>
  <c r="AF89" i="52"/>
  <c r="AD138" i="52"/>
  <c r="AD264" i="52"/>
  <c r="AF115" i="52"/>
  <c r="AD233" i="52"/>
  <c r="AF378" i="52"/>
  <c r="AD357" i="52"/>
  <c r="AF100" i="52"/>
  <c r="AE138" i="52"/>
  <c r="AD175" i="52"/>
  <c r="AE123" i="52"/>
  <c r="AD377" i="52"/>
  <c r="AD248" i="52"/>
  <c r="AE198" i="52"/>
  <c r="AF216" i="52"/>
  <c r="AE260" i="52"/>
  <c r="AF8" i="52"/>
  <c r="AD6" i="52"/>
  <c r="AF133" i="52"/>
  <c r="AF321" i="52"/>
  <c r="AD221" i="52"/>
  <c r="AF345" i="52"/>
  <c r="AD244" i="52"/>
  <c r="AF22" i="52"/>
  <c r="AE293" i="52"/>
  <c r="AD135" i="52"/>
  <c r="AD249" i="52"/>
  <c r="AF269" i="52"/>
  <c r="AE332" i="52"/>
  <c r="AE31" i="52"/>
  <c r="AE389" i="52"/>
  <c r="AE88" i="52"/>
  <c r="AE142" i="52"/>
  <c r="AD80" i="52"/>
  <c r="AE44" i="52"/>
  <c r="AF101" i="52"/>
  <c r="AD132" i="52"/>
  <c r="AF373" i="52"/>
  <c r="AD345" i="52"/>
  <c r="AE154" i="52"/>
  <c r="AE269" i="52"/>
  <c r="AE368" i="52"/>
  <c r="AE162" i="52"/>
  <c r="AE81" i="52"/>
  <c r="AF227" i="52"/>
  <c r="AD65" i="52"/>
  <c r="AF175" i="52"/>
  <c r="AD271" i="52"/>
  <c r="AE127" i="52"/>
  <c r="AF108" i="52"/>
  <c r="AD281" i="52"/>
  <c r="AF102" i="52"/>
  <c r="AF274" i="52"/>
  <c r="AF390" i="52"/>
  <c r="AF308" i="52"/>
  <c r="AD120" i="52"/>
  <c r="AE378" i="52"/>
  <c r="AD320" i="52"/>
  <c r="AE106" i="52"/>
  <c r="AF231" i="52"/>
  <c r="AD343" i="52"/>
  <c r="AE309" i="52"/>
  <c r="AE193" i="52"/>
  <c r="AE259" i="52"/>
  <c r="AF379" i="52"/>
  <c r="AD43" i="52"/>
  <c r="AF385" i="52"/>
  <c r="AD207" i="52"/>
  <c r="AD42" i="52"/>
  <c r="AF235" i="52"/>
  <c r="AD24" i="52"/>
  <c r="AD304" i="52"/>
  <c r="AD117" i="52"/>
  <c r="AD35" i="52"/>
  <c r="AD23" i="52"/>
  <c r="AF298" i="52"/>
  <c r="AF174" i="52"/>
  <c r="AF322" i="52"/>
  <c r="AE284" i="52"/>
  <c r="AF393" i="52"/>
  <c r="AF73" i="52"/>
  <c r="AD19" i="52"/>
  <c r="AE274" i="52"/>
  <c r="AD34" i="52"/>
  <c r="AE126" i="52"/>
  <c r="AD382" i="52"/>
  <c r="AE303" i="52"/>
  <c r="AF264" i="52"/>
  <c r="AD365" i="52"/>
  <c r="AE75" i="52"/>
  <c r="AE167" i="52"/>
  <c r="AE307" i="52"/>
  <c r="AE336" i="52"/>
  <c r="AD282" i="52"/>
  <c r="AF241" i="52"/>
  <c r="AF159" i="52"/>
  <c r="AE387" i="52"/>
  <c r="AD371" i="52"/>
  <c r="AF217" i="52"/>
  <c r="AD182" i="52"/>
  <c r="AD187" i="52"/>
  <c r="AF4" i="52"/>
  <c r="AD172" i="52"/>
  <c r="AE112" i="52"/>
  <c r="AD38" i="52"/>
  <c r="AD28" i="52"/>
  <c r="AD97" i="52"/>
  <c r="AF201" i="52"/>
  <c r="AD290" i="52"/>
  <c r="AF288" i="52"/>
  <c r="AE25" i="52"/>
  <c r="AE149" i="52"/>
  <c r="AE22" i="52"/>
  <c r="AF191" i="52"/>
  <c r="AF97" i="52"/>
  <c r="AD88" i="52"/>
  <c r="AF372" i="52"/>
  <c r="AF169" i="52"/>
  <c r="AE339" i="52"/>
  <c r="AF337" i="52"/>
  <c r="AE91" i="52"/>
  <c r="AF273" i="52"/>
  <c r="AF6" i="52"/>
  <c r="AD168" i="52"/>
  <c r="AE241" i="52"/>
  <c r="AD256" i="52"/>
  <c r="AD154" i="52"/>
  <c r="AD170" i="52"/>
  <c r="AF157" i="52"/>
  <c r="AE83" i="52"/>
  <c r="AD142" i="52"/>
  <c r="AF332" i="52"/>
  <c r="AD122" i="52"/>
  <c r="AE350" i="52"/>
  <c r="AD86" i="52"/>
  <c r="AD110" i="52"/>
  <c r="AE143" i="52"/>
  <c r="AE107" i="52"/>
  <c r="AE383" i="52"/>
  <c r="AF122" i="52"/>
  <c r="AF126" i="52"/>
  <c r="AD95" i="52"/>
  <c r="AD47" i="52"/>
  <c r="AD217" i="52"/>
  <c r="AD268" i="52"/>
  <c r="AD165" i="52"/>
  <c r="AD90" i="52"/>
  <c r="AF347" i="52"/>
  <c r="AD387" i="52"/>
  <c r="AE268" i="52"/>
  <c r="AD210" i="52"/>
  <c r="AE391" i="52"/>
  <c r="AD137" i="52"/>
  <c r="AE49" i="52"/>
  <c r="AF218" i="52"/>
  <c r="AD82" i="52"/>
  <c r="AE385" i="52"/>
  <c r="AF315" i="52"/>
  <c r="AE133" i="52"/>
  <c r="AD197" i="52"/>
  <c r="AF72" i="52"/>
  <c r="AD325" i="52"/>
  <c r="AF33" i="52"/>
  <c r="AF223" i="52"/>
  <c r="AE323" i="52"/>
  <c r="AF388" i="52"/>
  <c r="AE24" i="52"/>
  <c r="AD171" i="52"/>
  <c r="AE209" i="52"/>
  <c r="AE54" i="52"/>
  <c r="AE315" i="52"/>
  <c r="AD276" i="52"/>
  <c r="AE159" i="52"/>
  <c r="AE189" i="52"/>
  <c r="AD362" i="52"/>
  <c r="AE176" i="52"/>
  <c r="AD44" i="52"/>
  <c r="AF160" i="52"/>
  <c r="AF119" i="52"/>
  <c r="AE164" i="52"/>
  <c r="AE131" i="52"/>
  <c r="AD202" i="52"/>
  <c r="AE226" i="52"/>
  <c r="AE253" i="52"/>
  <c r="AE87" i="52"/>
  <c r="AF130" i="52"/>
  <c r="AF197" i="52"/>
  <c r="AE178" i="52"/>
  <c r="AD112" i="52"/>
  <c r="AD150" i="52"/>
  <c r="AE344" i="52"/>
  <c r="AF69" i="52"/>
  <c r="AD7" i="52"/>
  <c r="AF234" i="52"/>
  <c r="AE100" i="52"/>
  <c r="AE283" i="52"/>
  <c r="AF62" i="52"/>
  <c r="AE380" i="52"/>
  <c r="AD375" i="52"/>
  <c r="AD67" i="52"/>
  <c r="AE45" i="52"/>
  <c r="AF150" i="52"/>
  <c r="AF61" i="52"/>
  <c r="AD124" i="52"/>
  <c r="AD236" i="52"/>
  <c r="AF382" i="52"/>
  <c r="AF283" i="52"/>
  <c r="AD203" i="52"/>
  <c r="AD275" i="52"/>
  <c r="AE222" i="52"/>
  <c r="AE57" i="52"/>
  <c r="AE205" i="52"/>
  <c r="AD246" i="52"/>
  <c r="AD288" i="52"/>
  <c r="AE343" i="52"/>
  <c r="AE291" i="52"/>
  <c r="AE294" i="52"/>
  <c r="AE28" i="52"/>
  <c r="AF261" i="52"/>
  <c r="AE92" i="52"/>
  <c r="AE15" i="52"/>
  <c r="AE338" i="52"/>
  <c r="AE139" i="52"/>
  <c r="AF206" i="52"/>
  <c r="AF325" i="52"/>
  <c r="AE115" i="52"/>
  <c r="AD218" i="52"/>
  <c r="AD148" i="52"/>
  <c r="AF313" i="52"/>
  <c r="AF303" i="52"/>
  <c r="AF311" i="52"/>
  <c r="AF350" i="52"/>
  <c r="AE300" i="52"/>
  <c r="AF286" i="52"/>
  <c r="AD237" i="52"/>
  <c r="AF149" i="52"/>
  <c r="AE360" i="52"/>
  <c r="AE11" i="52"/>
  <c r="AF210" i="52"/>
  <c r="AF340" i="52"/>
  <c r="AD216" i="52"/>
  <c r="AF262" i="52"/>
  <c r="AE132" i="52"/>
  <c r="AF387" i="52"/>
  <c r="AE150" i="52"/>
  <c r="AF215" i="52"/>
  <c r="AF339" i="52"/>
  <c r="AD338" i="52"/>
  <c r="AF137" i="52"/>
  <c r="AE321" i="52"/>
  <c r="AD74" i="52"/>
  <c r="AE392" i="52"/>
  <c r="AD309" i="52"/>
  <c r="AD59" i="52"/>
  <c r="AE326" i="52"/>
  <c r="AE359" i="52"/>
  <c r="AE346" i="52"/>
  <c r="AF294" i="52"/>
  <c r="AE9" i="52"/>
  <c r="AE186" i="52"/>
  <c r="AE40" i="52"/>
  <c r="AD327" i="52"/>
  <c r="AD31" i="52"/>
  <c r="AE218" i="52"/>
  <c r="AF78" i="52"/>
  <c r="AF251" i="52"/>
  <c r="AF181" i="52"/>
  <c r="AF46" i="52"/>
  <c r="AF145" i="52"/>
  <c r="AD54" i="52"/>
  <c r="AE16" i="52"/>
  <c r="AF300" i="52"/>
  <c r="AF95" i="52"/>
  <c r="AE168" i="52"/>
  <c r="AD310" i="52"/>
  <c r="AD286" i="52"/>
  <c r="AF361" i="52"/>
  <c r="AE109" i="52"/>
  <c r="AD149" i="52"/>
  <c r="AD315" i="52"/>
  <c r="AE130" i="52"/>
  <c r="AE311" i="52"/>
  <c r="AF184" i="52"/>
  <c r="AF56" i="52"/>
  <c r="AD234" i="52"/>
  <c r="AD201" i="52"/>
  <c r="AF114" i="52"/>
  <c r="AE118" i="52"/>
  <c r="AF18" i="52"/>
  <c r="AE32" i="52"/>
  <c r="AF15" i="52"/>
  <c r="AF309" i="52"/>
  <c r="AD240" i="52"/>
  <c r="AD347" i="52"/>
  <c r="AD238" i="52"/>
  <c r="AF205" i="52"/>
  <c r="AD354" i="52"/>
  <c r="AE364" i="52"/>
  <c r="AD106" i="52"/>
  <c r="AF161" i="52"/>
  <c r="AD395" i="52"/>
  <c r="AD300" i="52"/>
  <c r="AF177" i="52"/>
  <c r="AE52" i="52"/>
  <c r="AD102" i="52"/>
  <c r="AE248" i="52"/>
  <c r="AE231" i="52"/>
  <c r="AE296" i="52"/>
  <c r="AF37" i="52"/>
  <c r="AD251" i="52"/>
  <c r="AF32" i="52"/>
  <c r="AF211" i="52"/>
  <c r="AE72" i="52"/>
  <c r="AF260" i="52"/>
  <c r="AF132" i="52"/>
  <c r="AD114" i="52"/>
  <c r="AE59" i="52"/>
  <c r="AF25" i="52"/>
  <c r="AD99" i="52"/>
  <c r="AF110" i="52"/>
  <c r="AD98" i="52"/>
  <c r="AD379" i="52"/>
  <c r="AF280" i="52"/>
  <c r="AE63" i="52"/>
  <c r="AF142" i="52"/>
  <c r="AE369" i="52"/>
  <c r="AF338" i="52"/>
  <c r="AF351" i="52"/>
  <c r="AF85" i="52"/>
  <c r="AE201" i="52"/>
  <c r="AF290" i="52"/>
  <c r="AD125" i="52"/>
  <c r="AF367" i="52"/>
  <c r="AE244" i="52"/>
  <c r="AE21" i="52"/>
  <c r="AF185" i="52"/>
  <c r="AE238" i="52"/>
  <c r="AE191" i="52"/>
  <c r="AE39" i="52"/>
  <c r="AF259" i="52"/>
  <c r="AF254" i="52"/>
  <c r="AE333" i="52"/>
  <c r="AF14" i="52"/>
  <c r="AF199" i="52"/>
  <c r="AF141" i="52"/>
  <c r="AD189" i="52"/>
  <c r="AE204" i="52"/>
  <c r="AF263" i="52"/>
  <c r="AE68" i="52"/>
  <c r="AF173" i="52"/>
  <c r="AD195" i="52"/>
  <c r="AE292" i="52"/>
  <c r="AE148" i="52"/>
  <c r="AE5" i="52"/>
  <c r="AF331" i="52"/>
  <c r="AD18" i="52"/>
  <c r="AE220" i="52"/>
  <c r="AF314" i="52"/>
  <c r="AD22" i="52"/>
  <c r="AE203" i="52"/>
  <c r="AD262" i="52"/>
  <c r="AF192" i="52"/>
  <c r="AD224" i="52"/>
  <c r="AE374" i="52"/>
  <c r="AF36" i="52"/>
  <c r="AD307" i="52"/>
  <c r="AF189" i="52"/>
  <c r="AD61" i="52"/>
  <c r="AD52" i="52"/>
  <c r="AF21" i="52"/>
  <c r="AD104" i="52"/>
  <c r="AE103" i="52"/>
  <c r="AD378" i="52"/>
  <c r="AE322" i="52"/>
  <c r="AE65" i="52"/>
  <c r="AE151" i="52"/>
  <c r="AF279" i="52"/>
  <c r="AE290" i="52"/>
  <c r="AD192" i="52"/>
  <c r="AF51" i="52"/>
  <c r="AF250" i="52"/>
  <c r="AF256" i="52"/>
  <c r="AE29" i="52"/>
  <c r="AE166" i="52"/>
  <c r="AE298" i="52"/>
  <c r="AE36" i="52"/>
  <c r="AE76" i="52"/>
  <c r="AD250" i="52"/>
  <c r="AF328" i="52"/>
  <c r="AE289" i="52"/>
  <c r="AF356" i="52"/>
  <c r="AF270" i="52"/>
  <c r="AF134" i="52"/>
  <c r="AE245" i="52"/>
  <c r="AD337" i="52"/>
  <c r="AD373" i="52"/>
  <c r="AD359" i="52"/>
  <c r="AF98" i="52"/>
  <c r="AE110" i="52"/>
  <c r="AD265" i="52"/>
  <c r="AD199" i="52"/>
  <c r="AF83" i="52"/>
  <c r="AE270" i="52"/>
  <c r="AF363" i="52"/>
  <c r="AE80" i="52"/>
  <c r="AE6" i="52"/>
  <c r="AD318" i="52"/>
  <c r="AF362" i="52"/>
  <c r="AF202" i="52"/>
  <c r="AD301" i="52"/>
  <c r="AE375" i="52"/>
  <c r="AD91" i="52"/>
  <c r="AE365" i="52"/>
  <c r="AE38" i="52"/>
  <c r="AD333" i="52"/>
  <c r="AD278" i="52"/>
  <c r="AD134" i="52"/>
  <c r="AD360" i="52"/>
  <c r="AD146" i="52"/>
  <c r="AF43" i="52"/>
  <c r="AE330" i="52"/>
  <c r="AF165" i="52"/>
  <c r="AD370" i="52"/>
  <c r="AE108" i="52"/>
  <c r="AD313" i="52"/>
  <c r="AD297" i="52"/>
  <c r="AF103" i="52"/>
  <c r="AE188" i="52"/>
  <c r="AD212" i="52"/>
  <c r="AF99" i="52"/>
  <c r="AE232" i="52"/>
  <c r="AE4" i="52"/>
  <c r="AD285" i="52"/>
  <c r="AE337" i="52"/>
  <c r="AD335" i="52"/>
  <c r="AF74" i="52"/>
  <c r="AD33" i="52"/>
  <c r="AD267" i="52"/>
  <c r="AD380" i="52"/>
  <c r="AD178" i="52"/>
  <c r="AE228" i="52"/>
  <c r="AF105" i="52"/>
  <c r="AF276" i="52"/>
  <c r="AD367" i="52"/>
  <c r="AE325" i="52"/>
  <c r="AD334" i="52"/>
  <c r="AE161" i="52"/>
  <c r="AE258" i="52"/>
  <c r="AE347" i="52"/>
  <c r="AE316" i="52"/>
  <c r="AD312" i="52"/>
  <c r="AF20" i="52"/>
  <c r="AE229" i="52"/>
  <c r="AD181" i="52"/>
  <c r="AE17" i="52"/>
  <c r="AF213" i="52"/>
  <c r="AE279" i="52"/>
  <c r="AE13" i="52"/>
  <c r="AD215" i="52"/>
  <c r="AD145" i="52"/>
  <c r="AE263" i="52"/>
  <c r="AE51" i="52"/>
  <c r="AE255" i="52"/>
  <c r="AE388" i="52"/>
  <c r="AE257" i="52"/>
  <c r="AD229" i="52"/>
  <c r="AD119" i="52"/>
  <c r="AF242" i="52"/>
  <c r="AE349" i="52"/>
  <c r="AE219" i="52"/>
  <c r="AF246" i="52"/>
  <c r="AD270" i="52"/>
  <c r="AD48" i="52"/>
  <c r="AF183" i="52"/>
  <c r="AF266" i="52"/>
  <c r="AD235" i="52"/>
  <c r="AE94" i="52"/>
  <c r="AD4" i="52"/>
  <c r="AD16" i="52"/>
  <c r="AD239" i="52"/>
  <c r="AE20" i="52"/>
  <c r="AD263" i="52"/>
  <c r="AE47" i="52"/>
  <c r="AD131" i="52"/>
  <c r="AD385" i="52"/>
  <c r="AD32" i="52"/>
  <c r="AD303" i="52"/>
  <c r="AE187" i="52"/>
  <c r="AE357" i="52"/>
  <c r="AD254" i="52"/>
  <c r="AF76" i="52"/>
  <c r="AD9" i="52"/>
  <c r="AF326" i="52"/>
  <c r="AD394" i="52"/>
  <c r="AD283" i="52"/>
  <c r="AE243" i="52"/>
  <c r="AE134" i="52"/>
  <c r="AE282" i="52"/>
  <c r="AD66" i="52"/>
  <c r="AE297" i="52"/>
  <c r="AD289" i="52"/>
  <c r="AD242" i="52"/>
  <c r="AE225" i="52"/>
  <c r="AD226" i="52"/>
  <c r="AD84" i="52"/>
  <c r="AF113" i="52"/>
  <c r="AE184" i="52"/>
  <c r="AD109" i="52"/>
  <c r="AF364" i="52"/>
  <c r="AD118" i="52"/>
  <c r="AF207" i="52"/>
  <c r="AD353" i="52"/>
  <c r="AF136" i="52"/>
  <c r="AF209" i="52"/>
  <c r="AE93" i="52"/>
  <c r="AD340" i="52"/>
  <c r="AF306" i="52"/>
  <c r="AE77" i="52"/>
  <c r="AD253" i="52"/>
  <c r="AD143" i="52"/>
  <c r="AE373" i="52"/>
  <c r="AD247" i="52"/>
  <c r="AF239" i="52"/>
  <c r="AD206" i="52"/>
  <c r="AD332" i="52"/>
  <c r="AF307" i="52"/>
  <c r="AF170" i="52"/>
  <c r="AE318" i="52"/>
  <c r="AE71" i="52"/>
  <c r="AF71" i="52"/>
  <c r="AF381" i="52"/>
  <c r="AD272" i="52"/>
  <c r="AD257" i="52"/>
  <c r="AE98" i="52"/>
  <c r="AE362" i="52"/>
  <c r="AE124" i="52"/>
  <c r="AE312" i="52"/>
  <c r="AF94" i="52"/>
  <c r="AE179" i="52"/>
  <c r="AD295" i="52"/>
  <c r="AE351" i="52"/>
  <c r="AF224" i="52"/>
  <c r="AE304" i="52"/>
  <c r="AF389" i="52"/>
  <c r="AD194" i="52"/>
  <c r="AF320" i="52"/>
  <c r="AE361" i="52"/>
  <c r="AD64" i="52"/>
  <c r="AF299" i="52"/>
  <c r="AE152" i="52"/>
  <c r="AD77" i="52"/>
  <c r="AF344" i="52"/>
  <c r="AD349" i="52"/>
  <c r="AF140" i="52"/>
  <c r="AE129" i="52"/>
  <c r="AD69" i="52"/>
  <c r="AF17" i="52"/>
  <c r="AE324" i="52"/>
  <c r="AF240" i="52"/>
  <c r="AE34" i="52"/>
  <c r="AD358" i="52"/>
  <c r="AE53" i="52"/>
  <c r="AE275" i="52"/>
  <c r="AD184" i="52"/>
  <c r="AD25" i="52"/>
  <c r="AE308" i="52"/>
  <c r="AF49" i="52"/>
  <c r="AD188" i="52"/>
  <c r="AD364" i="52"/>
  <c r="AE286" i="52"/>
  <c r="AF248" i="52"/>
  <c r="AF188" i="52"/>
  <c r="AD2" i="52"/>
  <c r="AF146" i="52"/>
  <c r="AE170" i="52"/>
  <c r="AD27" i="52"/>
  <c r="AD46" i="52"/>
  <c r="AF243" i="52"/>
  <c r="AE301" i="52"/>
  <c r="AD336" i="52"/>
  <c r="AF58" i="52"/>
  <c r="AD14" i="52"/>
  <c r="AF178" i="52"/>
  <c r="AF162" i="52"/>
  <c r="AE41" i="52"/>
  <c r="AE180" i="52"/>
  <c r="AE102" i="52"/>
  <c r="AE182" i="52"/>
  <c r="AE95" i="52"/>
  <c r="AD198" i="52"/>
  <c r="AD179" i="52"/>
  <c r="AE340" i="52"/>
  <c r="AE155" i="52"/>
  <c r="AF222" i="52"/>
  <c r="AE247" i="52"/>
  <c r="AF3" i="52"/>
  <c r="AF237" i="52"/>
  <c r="AD284" i="52"/>
  <c r="AD81" i="52"/>
  <c r="AE288" i="52"/>
  <c r="AD53" i="52"/>
  <c r="AE317" i="52"/>
  <c r="AE192" i="52"/>
  <c r="AE271" i="52"/>
  <c r="AE234" i="52"/>
  <c r="AE125" i="52"/>
  <c r="AE174" i="52"/>
  <c r="AF302" i="52"/>
  <c r="AF291" i="52"/>
  <c r="AF112" i="52"/>
  <c r="AE214" i="52"/>
  <c r="AD322" i="52"/>
  <c r="AE224" i="52"/>
  <c r="AF289" i="52"/>
  <c r="AD163" i="52"/>
  <c r="AE185" i="52"/>
  <c r="AF267" i="52"/>
  <c r="AE277" i="52"/>
  <c r="AE105" i="52"/>
  <c r="AE265" i="52"/>
  <c r="AD308" i="52"/>
  <c r="AE181" i="52"/>
  <c r="AE266" i="52"/>
  <c r="AF148" i="52"/>
  <c r="AE173" i="52"/>
  <c r="AE35" i="52"/>
  <c r="AE12" i="52"/>
  <c r="AE320" i="52"/>
  <c r="AE62" i="52"/>
  <c r="AE329" i="52"/>
  <c r="AD78" i="52"/>
  <c r="AF152" i="52"/>
  <c r="AF371" i="52"/>
  <c r="AF52" i="52"/>
  <c r="AE393" i="52"/>
  <c r="AF196" i="52"/>
  <c r="AE196" i="52"/>
  <c r="AF236" i="52"/>
  <c r="AF238" i="52"/>
  <c r="AD386" i="52"/>
  <c r="AE215" i="52"/>
  <c r="AF374" i="52"/>
  <c r="AF333" i="52"/>
  <c r="AF9" i="52"/>
  <c r="AD208" i="52"/>
  <c r="AE90" i="52"/>
  <c r="AD326" i="52"/>
  <c r="AD355" i="52"/>
  <c r="AF296" i="52"/>
  <c r="AD259" i="52"/>
  <c r="AF168" i="52"/>
  <c r="AF128" i="52"/>
  <c r="AF221" i="52"/>
  <c r="AE395" i="52"/>
  <c r="AF26" i="52"/>
  <c r="AD108" i="52"/>
  <c r="AE99" i="52"/>
  <c r="AE356" i="52"/>
  <c r="AD316" i="52"/>
  <c r="AD21" i="52"/>
  <c r="AF163" i="52"/>
  <c r="AD366" i="52"/>
  <c r="AD273" i="52"/>
  <c r="AE331" i="52"/>
  <c r="AE370" i="52"/>
  <c r="AF29" i="52"/>
  <c r="AF40" i="52"/>
  <c r="AD160" i="52"/>
  <c r="AD37" i="52"/>
  <c r="AE157" i="52"/>
  <c r="AD13" i="52"/>
  <c r="AD266" i="52"/>
  <c r="AD348" i="52"/>
  <c r="AF204" i="52"/>
  <c r="AD261" i="52"/>
  <c r="AF304" i="52"/>
  <c r="AE216" i="52"/>
  <c r="AF365" i="52"/>
  <c r="AE195" i="52"/>
  <c r="AE280" i="52"/>
  <c r="AF30" i="52"/>
  <c r="AE85" i="52"/>
  <c r="AD83" i="52"/>
  <c r="AF194" i="52"/>
  <c r="AD193" i="52"/>
  <c r="AE264" i="52"/>
  <c r="AE233" i="52"/>
  <c r="AD12" i="52"/>
  <c r="AE261" i="52"/>
  <c r="AE46" i="52"/>
  <c r="AE239" i="52"/>
  <c r="AF176" i="52"/>
  <c r="AE217" i="52"/>
  <c r="AD344" i="52"/>
  <c r="AD93" i="52"/>
  <c r="AD51" i="52"/>
  <c r="AE18" i="52"/>
  <c r="AF368" i="52"/>
  <c r="AE74" i="52"/>
  <c r="AD166" i="52"/>
  <c r="AD30" i="52"/>
  <c r="AF360" i="52"/>
  <c r="AD392" i="52"/>
  <c r="AD299" i="52"/>
  <c r="AF16" i="52"/>
  <c r="AE147" i="52"/>
  <c r="AE366" i="52"/>
  <c r="AE371" i="52"/>
  <c r="AD15" i="52"/>
  <c r="AE354" i="52"/>
  <c r="AD129" i="52"/>
  <c r="AD277" i="52"/>
  <c r="AE390" i="52"/>
  <c r="AF129" i="52"/>
  <c r="AD176" i="52"/>
  <c r="AE60" i="52"/>
  <c r="AD219" i="52"/>
  <c r="AF281" i="52"/>
  <c r="AD39" i="52"/>
  <c r="AF366" i="52"/>
  <c r="AD393" i="52"/>
  <c r="AD180" i="52"/>
  <c r="AD50" i="52"/>
  <c r="AF229" i="52"/>
  <c r="AF158" i="52"/>
  <c r="AE252" i="52"/>
  <c r="AF2" i="52"/>
  <c r="AF330" i="52"/>
  <c r="AE141" i="52"/>
  <c r="AF171" i="52"/>
  <c r="AF278" i="52"/>
  <c r="AD133" i="52"/>
  <c r="AF139" i="52"/>
  <c r="AD169" i="52"/>
  <c r="AD45" i="52"/>
  <c r="AD311" i="52"/>
  <c r="AD185" i="52"/>
  <c r="AF117" i="52"/>
  <c r="AD40" i="52"/>
  <c r="AF127" i="52"/>
  <c r="AD294" i="52"/>
  <c r="AD227" i="52"/>
  <c r="AF88" i="52"/>
  <c r="AF123" i="52"/>
  <c r="AD55" i="52"/>
  <c r="AD123" i="52"/>
  <c r="AD101" i="52"/>
  <c r="AF377" i="52"/>
  <c r="AD96" i="52"/>
  <c r="AF295" i="52"/>
  <c r="AD140" i="52"/>
  <c r="AE335" i="52"/>
  <c r="AF24" i="52"/>
  <c r="AF153" i="52"/>
  <c r="AD89" i="52"/>
  <c r="AD223" i="52"/>
  <c r="AF247" i="52"/>
  <c r="AE254" i="52"/>
  <c r="AE113" i="52"/>
  <c r="AD76" i="52"/>
  <c r="AD369" i="52"/>
  <c r="AE376" i="52"/>
  <c r="AF249" i="52"/>
  <c r="AD94" i="52"/>
  <c r="AF341" i="52"/>
  <c r="AD331" i="52"/>
  <c r="AD260" i="52"/>
  <c r="AF154" i="52"/>
  <c r="AF45" i="52"/>
  <c r="AD127" i="52"/>
  <c r="AF91" i="52"/>
  <c r="AF359" i="52"/>
  <c r="AE327" i="52"/>
  <c r="AF277" i="52"/>
  <c r="AD232" i="52"/>
  <c r="AE2" i="52"/>
  <c r="AD376" i="52"/>
  <c r="AD183" i="52"/>
  <c r="AF342" i="52"/>
  <c r="AF104" i="52"/>
  <c r="AF187" i="52"/>
  <c r="AF336" i="52"/>
  <c r="AD161" i="52"/>
  <c r="AE313" i="52"/>
  <c r="AF10" i="52"/>
  <c r="AF87" i="52"/>
  <c r="AF80" i="52"/>
  <c r="AE194" i="52"/>
  <c r="AF131" i="52"/>
  <c r="AE287" i="52"/>
  <c r="AF230" i="52"/>
  <c r="AD291" i="52"/>
  <c r="AF180" i="52"/>
  <c r="AE64" i="52"/>
  <c r="AD328" i="52"/>
  <c r="AF312" i="52"/>
  <c r="AF301" i="52"/>
  <c r="AD92" i="52"/>
  <c r="AD209" i="52"/>
  <c r="AE345" i="52"/>
  <c r="AD298" i="52"/>
  <c r="AF42" i="52"/>
  <c r="AD20" i="52"/>
  <c r="AD3" i="52"/>
  <c r="AF79" i="52"/>
  <c r="AD29" i="52"/>
  <c r="AF19" i="52"/>
  <c r="AD5" i="52"/>
  <c r="AE42" i="52"/>
  <c r="AF233" i="52"/>
  <c r="AE306" i="52"/>
  <c r="AD73" i="52"/>
  <c r="AE276" i="52"/>
  <c r="AD62" i="52"/>
  <c r="AF376" i="52"/>
  <c r="AE382" i="52"/>
  <c r="AE273" i="52"/>
  <c r="AF53" i="52"/>
  <c r="AF353" i="52"/>
  <c r="AF34" i="52"/>
  <c r="AE352" i="52"/>
  <c r="AF13" i="52"/>
  <c r="AF64" i="52"/>
  <c r="AE26" i="52"/>
  <c r="AE30" i="52"/>
  <c r="AD363" i="52"/>
  <c r="AE202" i="52"/>
  <c r="AD57" i="52"/>
  <c r="AD196" i="52"/>
  <c r="AF7" i="52"/>
  <c r="AE67" i="52"/>
  <c r="AF124" i="52"/>
  <c r="AD292" i="52"/>
  <c r="AE144" i="52"/>
  <c r="AE137" i="52"/>
  <c r="AD211" i="52"/>
  <c r="AF391" i="52"/>
  <c r="AF318" i="52"/>
  <c r="AF245" i="52"/>
  <c r="AF75" i="52"/>
  <c r="AE372" i="52"/>
  <c r="AD241" i="52"/>
  <c r="AF384" i="52"/>
  <c r="AE14" i="52"/>
  <c r="AE319" i="52"/>
  <c r="AE295" i="52"/>
  <c r="AD225" i="52"/>
  <c r="AD269" i="52"/>
  <c r="AE116" i="52"/>
  <c r="AE348" i="52"/>
  <c r="AE66" i="52"/>
  <c r="AE23" i="52"/>
  <c r="AF193" i="52"/>
  <c r="AF12" i="52"/>
  <c r="AF27" i="52"/>
  <c r="AE119" i="52"/>
  <c r="AE96" i="52"/>
  <c r="AE114" i="52"/>
  <c r="AD274" i="52"/>
  <c r="AF156" i="52"/>
  <c r="AE153" i="52"/>
  <c r="AF31" i="52"/>
  <c r="AF253" i="52"/>
  <c r="AE386" i="52"/>
  <c r="AF370" i="52"/>
  <c r="AD356" i="52"/>
  <c r="AD245" i="52"/>
  <c r="AF257" i="52"/>
  <c r="AF392" i="52"/>
  <c r="AD228" i="52"/>
  <c r="AE101" i="52"/>
  <c r="AE235" i="52"/>
  <c r="AD75" i="52"/>
  <c r="AE310" i="52"/>
  <c r="AF200" i="52"/>
  <c r="AE334" i="52"/>
  <c r="AE314" i="52"/>
  <c r="AF107" i="52"/>
  <c r="AF346" i="52"/>
  <c r="AF319" i="52"/>
  <c r="AF225" i="52"/>
  <c r="AD147" i="52"/>
  <c r="AF11" i="52"/>
  <c r="AD130" i="52"/>
  <c r="AD255" i="52"/>
  <c r="AE3" i="52"/>
  <c r="AD319" i="52"/>
  <c r="AE89" i="52"/>
  <c r="AE33" i="52"/>
  <c r="AD10" i="52"/>
  <c r="AE145" i="52"/>
  <c r="AF135" i="52"/>
  <c r="AD58" i="52"/>
  <c r="AE128" i="52"/>
  <c r="AD252" i="52"/>
  <c r="AF275" i="52"/>
  <c r="AE84" i="52"/>
  <c r="AF125" i="52"/>
  <c r="AF323" i="52"/>
  <c r="AD383" i="52"/>
  <c r="AF59" i="52"/>
  <c r="AF55" i="52"/>
  <c r="AE19" i="52"/>
  <c r="AF383" i="52"/>
  <c r="AF265" i="52"/>
  <c r="AF81" i="52"/>
  <c r="AE355" i="52"/>
  <c r="AD200" i="52"/>
  <c r="AF92" i="52"/>
  <c r="AD70" i="52"/>
  <c r="AD342" i="52"/>
  <c r="AE384" i="52"/>
  <c r="AE169" i="52"/>
  <c r="AF54" i="52"/>
  <c r="AF287" i="52"/>
  <c r="AE200" i="52"/>
  <c r="AF198" i="52"/>
  <c r="AF343" i="52"/>
  <c r="AF348" i="52"/>
  <c r="AF212" i="52"/>
  <c r="AE183" i="52"/>
  <c r="AD302" i="52"/>
  <c r="AE121" i="52"/>
  <c r="AF357" i="52"/>
  <c r="AF77" i="52"/>
  <c r="AF109" i="52"/>
  <c r="AD36" i="52"/>
  <c r="AD158" i="52"/>
  <c r="AE367" i="52"/>
  <c r="AF329" i="52"/>
  <c r="AD296" i="52"/>
  <c r="AE69" i="52"/>
  <c r="AF354" i="52"/>
  <c r="AF84" i="52"/>
  <c r="AF214" i="52"/>
  <c r="AD152" i="52"/>
  <c r="AF38" i="52"/>
  <c r="AD164" i="52"/>
  <c r="AF232" i="52"/>
  <c r="AE251" i="52"/>
  <c r="AE240" i="52"/>
  <c r="AE79" i="52"/>
  <c r="AE381" i="52"/>
  <c r="AE250" i="52"/>
  <c r="AF23" i="52"/>
  <c r="AD136" i="52"/>
  <c r="AD374" i="52"/>
  <c r="AE212" i="52"/>
  <c r="AD26" i="52"/>
  <c r="AE267" i="52"/>
  <c r="AF272" i="52"/>
  <c r="AD222" i="52"/>
  <c r="AD87" i="52"/>
  <c r="AE207" i="52"/>
  <c r="AF116" i="52"/>
  <c r="AF252" i="52"/>
  <c r="AE230" i="52"/>
  <c r="AD323" i="52"/>
  <c r="AD230" i="52"/>
  <c r="AE135" i="52"/>
  <c r="AE208" i="52"/>
  <c r="AF226" i="52"/>
  <c r="AE305" i="52"/>
  <c r="AF394" i="52"/>
  <c r="AE140" i="52"/>
  <c r="AD191" i="52"/>
  <c r="AE246" i="52"/>
  <c r="AE377" i="52"/>
  <c r="AE190" i="52"/>
  <c r="AF310" i="52"/>
  <c r="AF41" i="52"/>
  <c r="AD159" i="52"/>
  <c r="AE175" i="52"/>
  <c r="AD204" i="52"/>
  <c r="AF395" i="52"/>
  <c r="D102" i="6" l="1"/>
  <c r="D101" i="6"/>
  <c r="H22" i="25" l="1"/>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G17" i="11"/>
  <c r="E17" i="11"/>
  <c r="E19" i="11"/>
  <c r="G19" i="11"/>
  <c r="E20" i="11"/>
  <c r="F20" i="11"/>
  <c r="G20" i="11"/>
  <c r="E21" i="11"/>
  <c r="F21" i="11"/>
  <c r="G21" i="11"/>
  <c r="E22" i="11"/>
  <c r="F22" i="11"/>
  <c r="G22" i="11"/>
  <c r="E23" i="11"/>
  <c r="F23" i="11"/>
  <c r="G23" i="11"/>
  <c r="E24" i="11"/>
  <c r="F24" i="11"/>
  <c r="G24" i="11"/>
  <c r="E25" i="11"/>
  <c r="F25" i="11"/>
  <c r="G25" i="11"/>
  <c r="E26" i="11"/>
  <c r="F26" i="11"/>
  <c r="G26" i="11"/>
  <c r="E27" i="11"/>
  <c r="F27" i="11"/>
  <c r="G27" i="11"/>
  <c r="E28" i="11"/>
  <c r="F28" i="11"/>
  <c r="G28" i="11"/>
  <c r="E29" i="11"/>
  <c r="F29" i="11"/>
  <c r="G29" i="11"/>
  <c r="E30" i="11"/>
  <c r="F30" i="11"/>
  <c r="G30" i="11"/>
  <c r="E31" i="11"/>
  <c r="F31" i="11"/>
  <c r="G31" i="11"/>
  <c r="E32" i="11"/>
  <c r="F32" i="11"/>
  <c r="G32" i="11"/>
  <c r="E33" i="11"/>
  <c r="F33" i="11"/>
  <c r="G33" i="11"/>
  <c r="E34" i="11"/>
  <c r="F34" i="11"/>
  <c r="G34" i="11"/>
  <c r="E35" i="11"/>
  <c r="F35" i="11"/>
  <c r="G35" i="11"/>
  <c r="E36" i="11"/>
  <c r="F36" i="11"/>
  <c r="G36" i="11"/>
  <c r="G18" i="11"/>
  <c r="F18" i="11"/>
  <c r="E18" i="11"/>
  <c r="F20" i="30"/>
  <c r="F22" i="30"/>
  <c r="F23" i="30"/>
  <c r="F24" i="30"/>
  <c r="G24" i="30" s="1"/>
  <c r="F25" i="30"/>
  <c r="F26" i="30"/>
  <c r="F27" i="30"/>
  <c r="F28" i="30"/>
  <c r="F29" i="30"/>
  <c r="F30" i="30"/>
  <c r="F31" i="30"/>
  <c r="F32" i="30"/>
  <c r="F33" i="30"/>
  <c r="F34" i="30"/>
  <c r="F35" i="30"/>
  <c r="F36" i="30"/>
  <c r="F37" i="30"/>
  <c r="F38" i="30"/>
  <c r="F39" i="30"/>
  <c r="F21" i="30"/>
  <c r="E27" i="10"/>
  <c r="E95" i="16" l="1"/>
  <c r="D95" i="16"/>
  <c r="E43" i="16"/>
  <c r="D43" i="16"/>
  <c r="E94" i="16"/>
  <c r="D94" i="16"/>
  <c r="E93" i="16"/>
  <c r="D93" i="16"/>
  <c r="E92" i="16"/>
  <c r="D92" i="16"/>
  <c r="E91" i="16"/>
  <c r="D91" i="16"/>
  <c r="E90" i="16"/>
  <c r="D90" i="16"/>
  <c r="E89" i="16"/>
  <c r="D89" i="16"/>
  <c r="E88" i="16"/>
  <c r="D88" i="16"/>
  <c r="E87" i="16"/>
  <c r="D87" i="16"/>
  <c r="E86" i="16"/>
  <c r="D86" i="16"/>
  <c r="E85" i="16"/>
  <c r="D85" i="16"/>
  <c r="E84" i="16"/>
  <c r="D84" i="16"/>
  <c r="E83" i="16"/>
  <c r="D83" i="16"/>
  <c r="E82" i="16"/>
  <c r="D82" i="16"/>
  <c r="E81" i="16"/>
  <c r="D81" i="16"/>
  <c r="E80" i="16"/>
  <c r="D80" i="16"/>
  <c r="E79" i="16"/>
  <c r="D79" i="16"/>
  <c r="E78" i="16"/>
  <c r="D78" i="16"/>
  <c r="D77" i="16"/>
  <c r="D76" i="16"/>
  <c r="D30" i="16"/>
  <c r="E30" i="16"/>
  <c r="D31" i="16"/>
  <c r="E31" i="16"/>
  <c r="D32" i="16"/>
  <c r="E32" i="16"/>
  <c r="D33" i="16"/>
  <c r="E33" i="16"/>
  <c r="D34" i="16"/>
  <c r="E34" i="16"/>
  <c r="D35" i="16"/>
  <c r="E35" i="16"/>
  <c r="D36" i="16"/>
  <c r="E36" i="16"/>
  <c r="D37" i="16"/>
  <c r="E37" i="16"/>
  <c r="D38" i="16"/>
  <c r="E38" i="16"/>
  <c r="D39" i="16"/>
  <c r="E39" i="16"/>
  <c r="D40" i="16"/>
  <c r="E40" i="16"/>
  <c r="D41" i="16"/>
  <c r="E41" i="16"/>
  <c r="D42" i="16"/>
  <c r="E42" i="16"/>
  <c r="D24" i="16"/>
  <c r="F121" i="16"/>
  <c r="E121" i="16"/>
  <c r="F120" i="16"/>
  <c r="E120" i="16"/>
  <c r="F119" i="16"/>
  <c r="E119" i="16"/>
  <c r="F118" i="16"/>
  <c r="E118" i="16"/>
  <c r="F117" i="16"/>
  <c r="E117" i="16"/>
  <c r="F116" i="16"/>
  <c r="E116" i="16"/>
  <c r="F115" i="16"/>
  <c r="E115" i="16"/>
  <c r="F114" i="16"/>
  <c r="E114" i="16"/>
  <c r="F113" i="16"/>
  <c r="E113" i="16"/>
  <c r="F112" i="16"/>
  <c r="E112" i="16"/>
  <c r="F111" i="16"/>
  <c r="E111" i="16"/>
  <c r="F110" i="16"/>
  <c r="E110" i="16"/>
  <c r="F109" i="16"/>
  <c r="E109" i="16"/>
  <c r="F108" i="16"/>
  <c r="E108" i="16"/>
  <c r="F107" i="16"/>
  <c r="E107" i="16"/>
  <c r="F106" i="16"/>
  <c r="E106" i="16"/>
  <c r="F105" i="16"/>
  <c r="E105" i="16"/>
  <c r="F104" i="16"/>
  <c r="E104" i="16"/>
  <c r="E103" i="16"/>
  <c r="E102" i="16"/>
  <c r="E52" i="16"/>
  <c r="F52" i="16"/>
  <c r="E53" i="16"/>
  <c r="F53" i="16"/>
  <c r="E54" i="16"/>
  <c r="F54" i="16"/>
  <c r="E55" i="16"/>
  <c r="F55" i="16"/>
  <c r="E56" i="16"/>
  <c r="F56" i="16"/>
  <c r="E57" i="16"/>
  <c r="F57" i="16"/>
  <c r="E58" i="16"/>
  <c r="F58" i="16"/>
  <c r="E59" i="16"/>
  <c r="F59" i="16"/>
  <c r="E60" i="16"/>
  <c r="F60" i="16"/>
  <c r="E61" i="16"/>
  <c r="F61" i="16"/>
  <c r="E62" i="16"/>
  <c r="F62" i="16"/>
  <c r="E63" i="16"/>
  <c r="F63" i="16"/>
  <c r="E64" i="16"/>
  <c r="F64" i="16"/>
  <c r="E65" i="16"/>
  <c r="F65" i="16"/>
  <c r="E66" i="16"/>
  <c r="F66" i="16"/>
  <c r="E67" i="16"/>
  <c r="F67" i="16"/>
  <c r="E68" i="16"/>
  <c r="F68" i="16"/>
  <c r="E69" i="16"/>
  <c r="F69" i="16"/>
  <c r="F51" i="16"/>
  <c r="E50" i="16"/>
  <c r="E51" i="16"/>
  <c r="D26" i="16"/>
  <c r="E26" i="16"/>
  <c r="D27" i="16"/>
  <c r="F27" i="16" s="1"/>
  <c r="E27" i="16"/>
  <c r="D28" i="16"/>
  <c r="E28" i="16"/>
  <c r="D29" i="16"/>
  <c r="E29" i="16"/>
  <c r="D25" i="16"/>
  <c r="D18" i="48"/>
  <c r="E25" i="16" s="1"/>
  <c r="D19" i="48"/>
  <c r="D20" i="48"/>
  <c r="F103" i="16" s="1"/>
  <c r="D21" i="48"/>
  <c r="N50" i="16" s="1"/>
  <c r="D17" i="48"/>
  <c r="Q32" i="48"/>
  <c r="Q31" i="48"/>
  <c r="Q30" i="48"/>
  <c r="Q29" i="48"/>
  <c r="Q28" i="48"/>
  <c r="Q27" i="48"/>
  <c r="E31" i="48"/>
  <c r="D31" i="48"/>
  <c r="Q26" i="48"/>
  <c r="Q25" i="48"/>
  <c r="Q24" i="48"/>
  <c r="Q23" i="48"/>
  <c r="Q22" i="48"/>
  <c r="Q21" i="48"/>
  <c r="Q20" i="48"/>
  <c r="Q19" i="48"/>
  <c r="Q18" i="48"/>
  <c r="Q17" i="48"/>
  <c r="Q16" i="48"/>
  <c r="Q15" i="48"/>
  <c r="Q14" i="48"/>
  <c r="Q13" i="48"/>
  <c r="Q12" i="48"/>
  <c r="Q11" i="48"/>
  <c r="Q10" i="48"/>
  <c r="Q9" i="48"/>
  <c r="Q8" i="48"/>
  <c r="Q7" i="48"/>
  <c r="Q5" i="48"/>
  <c r="E77" i="16" l="1"/>
  <c r="F50" i="16"/>
  <c r="E76" i="16"/>
  <c r="M24" i="16"/>
  <c r="N24" i="16" s="1"/>
  <c r="M76" i="16"/>
  <c r="F102" i="16"/>
  <c r="N102" i="16"/>
  <c r="E24" i="16"/>
  <c r="G31" i="48"/>
  <c r="O50" i="16" s="1"/>
  <c r="C77" i="6"/>
  <c r="G51" i="16" l="1"/>
  <c r="G103" i="16"/>
  <c r="F25" i="16"/>
  <c r="F77" i="16"/>
  <c r="O102" i="16"/>
  <c r="G102" i="16"/>
  <c r="G50" i="16"/>
  <c r="F24" i="16"/>
  <c r="N76" i="16"/>
  <c r="F76" i="16"/>
  <c r="F68" i="11"/>
  <c r="A25" i="46"/>
  <c r="A26" i="46" s="1"/>
  <c r="A27" i="46" s="1"/>
  <c r="A28" i="46" s="1"/>
  <c r="A29" i="46" s="1"/>
  <c r="A30" i="46" s="1"/>
  <c r="A31" i="46" s="1"/>
  <c r="A33" i="46" s="1"/>
  <c r="A34" i="46" s="1"/>
  <c r="A36" i="46" s="1"/>
  <c r="A37" i="46" s="1"/>
  <c r="A38" i="46" s="1"/>
  <c r="A39" i="46" s="1"/>
  <c r="A40" i="46" s="1"/>
  <c r="A41" i="46" s="1"/>
  <c r="A42" i="46" s="1"/>
  <c r="A43" i="46" s="1"/>
  <c r="A44" i="46" s="1"/>
  <c r="A45" i="46" s="1"/>
  <c r="A46" i="46" s="1"/>
  <c r="A47" i="46" s="1"/>
  <c r="A49" i="46" s="1"/>
  <c r="A50" i="46" s="1"/>
  <c r="A51" i="46" s="1"/>
  <c r="A52" i="46" s="1"/>
  <c r="A53" i="46" s="1"/>
  <c r="A54" i="46" s="1"/>
  <c r="A55" i="46" s="1"/>
  <c r="A56" i="46" s="1"/>
  <c r="A57" i="46" s="1"/>
  <c r="A58" i="46" s="1"/>
  <c r="A60" i="46" s="1"/>
  <c r="A61" i="46" s="1"/>
  <c r="A62" i="46" s="1"/>
  <c r="A63" i="46" s="1"/>
  <c r="A65" i="46" s="1"/>
  <c r="A66" i="46" s="1"/>
  <c r="A68" i="46" s="1"/>
  <c r="A69"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4" i="46" s="1"/>
  <c r="A95" i="46" s="1"/>
  <c r="A96" i="46" s="1"/>
  <c r="F69" i="11"/>
  <c r="F70" i="11"/>
  <c r="F71" i="11"/>
  <c r="F72" i="11"/>
  <c r="F73" i="11"/>
  <c r="F74" i="11"/>
  <c r="F75" i="11"/>
  <c r="F76" i="11"/>
  <c r="F77" i="11"/>
  <c r="F78" i="11"/>
  <c r="F79" i="11"/>
  <c r="F80" i="11"/>
  <c r="F81" i="11"/>
  <c r="F82" i="11"/>
  <c r="F83" i="11"/>
  <c r="F84" i="11"/>
  <c r="F85" i="11"/>
  <c r="F86" i="11"/>
  <c r="F67" i="11"/>
  <c r="E43" i="11"/>
  <c r="E44" i="11"/>
  <c r="E45" i="11"/>
  <c r="E46" i="11"/>
  <c r="A98" i="46" l="1"/>
  <c r="A100" i="46" s="1"/>
  <c r="A101" i="46" s="1"/>
  <c r="A102" i="46" s="1"/>
  <c r="A103" i="46" s="1"/>
  <c r="A105" i="46" s="1"/>
  <c r="A106" i="46" s="1"/>
  <c r="A107" i="46" s="1"/>
  <c r="A108" i="46" s="1"/>
  <c r="A110" i="46" s="1"/>
  <c r="A111" i="46" s="1"/>
  <c r="A112" i="46" s="1"/>
  <c r="A114" i="46" s="1"/>
  <c r="A115" i="46" s="1"/>
  <c r="A116" i="46" s="1"/>
  <c r="A117" i="46" s="1"/>
  <c r="A119" i="46" s="1"/>
  <c r="A120" i="46" s="1"/>
  <c r="A121" i="46" s="1"/>
  <c r="A122" i="46" s="1"/>
  <c r="A124" i="46" s="1"/>
  <c r="A125" i="46" s="1"/>
  <c r="A127" i="46" s="1"/>
  <c r="A128" i="46" s="1"/>
  <c r="A129" i="46" s="1"/>
  <c r="A130" i="46" s="1"/>
  <c r="A131" i="46" s="1"/>
  <c r="A133" i="46" s="1"/>
  <c r="G122" i="16" l="1"/>
  <c r="G70" i="16"/>
  <c r="F28" i="42" l="1"/>
  <c r="K5" i="20"/>
  <c r="K9" i="20"/>
  <c r="K13" i="20"/>
  <c r="K17" i="20"/>
  <c r="K21" i="20"/>
  <c r="K25" i="20"/>
  <c r="K29" i="20"/>
  <c r="K33" i="20"/>
  <c r="K37" i="20"/>
  <c r="K41" i="20"/>
  <c r="K45" i="20"/>
  <c r="K49" i="20"/>
  <c r="K53" i="20"/>
  <c r="K57" i="20"/>
  <c r="K61" i="20"/>
  <c r="K65" i="20"/>
  <c r="K69" i="20"/>
  <c r="K73" i="20"/>
  <c r="K77" i="20"/>
  <c r="K81" i="20"/>
  <c r="K85" i="20"/>
  <c r="K89" i="20"/>
  <c r="K93" i="20"/>
  <c r="K97" i="20"/>
  <c r="K101" i="20"/>
  <c r="K105" i="20"/>
  <c r="K109" i="20"/>
  <c r="K113" i="20"/>
  <c r="K117" i="20"/>
  <c r="K121" i="20"/>
  <c r="K125" i="20"/>
  <c r="K129" i="20"/>
  <c r="K133" i="20"/>
  <c r="K137" i="20"/>
  <c r="K141" i="20"/>
  <c r="K145" i="20"/>
  <c r="K149" i="20"/>
  <c r="K153" i="20"/>
  <c r="K157" i="20"/>
  <c r="K161" i="20"/>
  <c r="K165" i="20"/>
  <c r="K169" i="20"/>
  <c r="K173" i="20"/>
  <c r="K177" i="20"/>
  <c r="K181" i="20"/>
  <c r="K185" i="20"/>
  <c r="K189" i="20"/>
  <c r="K193" i="20"/>
  <c r="K197" i="20"/>
  <c r="K201" i="20"/>
  <c r="K205" i="20"/>
  <c r="K209" i="20"/>
  <c r="K213" i="20"/>
  <c r="K217" i="20"/>
  <c r="K221" i="20"/>
  <c r="K225" i="20"/>
  <c r="K229" i="20"/>
  <c r="K233" i="20"/>
  <c r="K237" i="20"/>
  <c r="K241" i="20"/>
  <c r="K245" i="20"/>
  <c r="K249" i="20"/>
  <c r="K253" i="20"/>
  <c r="K257" i="20"/>
  <c r="K261" i="20"/>
  <c r="K265" i="20"/>
  <c r="K269" i="20"/>
  <c r="K273" i="20"/>
  <c r="K277" i="20"/>
  <c r="K281" i="20"/>
  <c r="K285" i="20"/>
  <c r="K289" i="20"/>
  <c r="K293" i="20"/>
  <c r="K297" i="20"/>
  <c r="K301" i="20"/>
  <c r="K305" i="20"/>
  <c r="K309" i="20"/>
  <c r="K313" i="20"/>
  <c r="K317" i="20"/>
  <c r="K321" i="20"/>
  <c r="K325" i="20"/>
  <c r="K329" i="20"/>
  <c r="K333" i="20"/>
  <c r="K337" i="20"/>
  <c r="K341" i="20"/>
  <c r="K345" i="20"/>
  <c r="K349" i="20"/>
  <c r="K353" i="20"/>
  <c r="K357" i="20"/>
  <c r="K361" i="20"/>
  <c r="K365" i="20"/>
  <c r="K369" i="20"/>
  <c r="K373" i="20"/>
  <c r="K377" i="20"/>
  <c r="K381" i="20"/>
  <c r="K385" i="20"/>
  <c r="K389" i="20"/>
  <c r="K393" i="20"/>
  <c r="K397" i="20"/>
  <c r="K401" i="20"/>
  <c r="K405" i="20"/>
  <c r="K409" i="20"/>
  <c r="K413" i="20"/>
  <c r="K417" i="20"/>
  <c r="K421" i="20"/>
  <c r="K425" i="20"/>
  <c r="K429" i="20"/>
  <c r="K433" i="20"/>
  <c r="K437" i="20"/>
  <c r="K441" i="20"/>
  <c r="K445" i="20"/>
  <c r="K449" i="20"/>
  <c r="K453" i="20"/>
  <c r="K457" i="20"/>
  <c r="K461" i="20"/>
  <c r="K465" i="20"/>
  <c r="K469" i="20"/>
  <c r="K473" i="20"/>
  <c r="K477" i="20"/>
  <c r="K481" i="20"/>
  <c r="K485" i="20"/>
  <c r="K489" i="20"/>
  <c r="K493" i="20"/>
  <c r="K497" i="20"/>
  <c r="K501" i="20"/>
  <c r="K505" i="20"/>
  <c r="K509" i="20"/>
  <c r="K513" i="20"/>
  <c r="K517" i="20"/>
  <c r="K521" i="20"/>
  <c r="K525" i="20"/>
  <c r="K529" i="20"/>
  <c r="K533" i="20"/>
  <c r="K537" i="20"/>
  <c r="K541" i="20"/>
  <c r="K545" i="20"/>
  <c r="K549" i="20"/>
  <c r="K553" i="20"/>
  <c r="K557" i="20"/>
  <c r="K561" i="20"/>
  <c r="K565" i="20"/>
  <c r="K569" i="20"/>
  <c r="K573" i="20"/>
  <c r="K577" i="20"/>
  <c r="K581" i="20"/>
  <c r="K585" i="20"/>
  <c r="K589" i="20"/>
  <c r="K593" i="20"/>
  <c r="K597" i="20"/>
  <c r="K601" i="20"/>
  <c r="K605" i="20"/>
  <c r="K609" i="20"/>
  <c r="K613" i="20"/>
  <c r="K617" i="20"/>
  <c r="K621" i="20"/>
  <c r="K625" i="20"/>
  <c r="K629" i="20"/>
  <c r="K633" i="20"/>
  <c r="K637" i="20"/>
  <c r="K641" i="20"/>
  <c r="K645" i="20"/>
  <c r="K649" i="20"/>
  <c r="K653" i="20"/>
  <c r="K657" i="20"/>
  <c r="K661" i="20"/>
  <c r="K665" i="20"/>
  <c r="K669" i="20"/>
  <c r="K673" i="20"/>
  <c r="K677" i="20"/>
  <c r="K681" i="20"/>
  <c r="K685" i="20"/>
  <c r="K689" i="20"/>
  <c r="K693" i="20"/>
  <c r="K697" i="20"/>
  <c r="K701" i="20"/>
  <c r="K705" i="20"/>
  <c r="K709" i="20"/>
  <c r="K713" i="20"/>
  <c r="K717" i="20"/>
  <c r="K721" i="20"/>
  <c r="K725" i="20"/>
  <c r="K729" i="20"/>
  <c r="K733" i="20"/>
  <c r="K737" i="20"/>
  <c r="K741" i="20"/>
  <c r="K745" i="20"/>
  <c r="K749" i="20"/>
  <c r="K753" i="20"/>
  <c r="K757" i="20"/>
  <c r="K761" i="20"/>
  <c r="K765" i="20"/>
  <c r="K769" i="20"/>
  <c r="K773" i="20"/>
  <c r="K777" i="20"/>
  <c r="K781" i="20"/>
  <c r="K785" i="20"/>
  <c r="K789" i="20"/>
  <c r="K793" i="20"/>
  <c r="K797" i="20"/>
  <c r="K801" i="20"/>
  <c r="K805" i="20"/>
  <c r="K809" i="20"/>
  <c r="K813" i="20"/>
  <c r="K817" i="20"/>
  <c r="K821" i="20"/>
  <c r="K825" i="20"/>
  <c r="K829" i="20"/>
  <c r="K833" i="20"/>
  <c r="K837" i="20"/>
  <c r="K841" i="20"/>
  <c r="K845" i="20"/>
  <c r="K849" i="20"/>
  <c r="K853" i="20"/>
  <c r="K857" i="20"/>
  <c r="K861" i="20"/>
  <c r="K865" i="20"/>
  <c r="K869" i="20"/>
  <c r="K873" i="20"/>
  <c r="K877" i="20"/>
  <c r="K881" i="20"/>
  <c r="K885" i="20"/>
  <c r="K889" i="20"/>
  <c r="K893" i="20"/>
  <c r="K897" i="20"/>
  <c r="K901" i="20"/>
  <c r="K905" i="20"/>
  <c r="K909" i="20"/>
  <c r="K913" i="20"/>
  <c r="K917" i="20"/>
  <c r="K921" i="20"/>
  <c r="K925" i="20"/>
  <c r="K929" i="20"/>
  <c r="K933" i="20"/>
  <c r="K937" i="20"/>
  <c r="K941" i="20"/>
  <c r="K945" i="20"/>
  <c r="K949" i="20"/>
  <c r="K953" i="20"/>
  <c r="K957" i="20"/>
  <c r="K961" i="20"/>
  <c r="K965" i="20"/>
  <c r="K969" i="20"/>
  <c r="K973" i="20"/>
  <c r="K977" i="20"/>
  <c r="K981" i="20"/>
  <c r="K985" i="20"/>
  <c r="K989" i="20"/>
  <c r="K993" i="20"/>
  <c r="K997" i="20"/>
  <c r="K1001" i="20"/>
  <c r="K1005" i="20"/>
  <c r="K1009" i="20"/>
  <c r="K1013" i="20"/>
  <c r="K1017" i="20"/>
  <c r="K1021" i="20"/>
  <c r="K1025" i="20"/>
  <c r="K1029" i="20"/>
  <c r="K1033" i="20"/>
  <c r="K1037" i="20"/>
  <c r="K1041" i="20"/>
  <c r="K1045" i="20"/>
  <c r="K1049" i="20"/>
  <c r="K1053" i="20"/>
  <c r="K1057" i="20"/>
  <c r="K1061" i="20"/>
  <c r="K1065" i="20"/>
  <c r="K1069" i="20"/>
  <c r="K1073" i="20"/>
  <c r="K1077" i="20"/>
  <c r="K1081" i="20"/>
  <c r="K1085" i="20"/>
  <c r="K1089" i="20"/>
  <c r="K1093" i="20"/>
  <c r="K1097" i="20"/>
  <c r="K1101" i="20"/>
  <c r="K1105" i="20"/>
  <c r="K1109" i="20"/>
  <c r="K1113" i="20"/>
  <c r="K1117" i="20"/>
  <c r="K1121" i="20"/>
  <c r="K1125" i="20"/>
  <c r="K1129" i="20"/>
  <c r="K1133" i="20"/>
  <c r="K1137" i="20"/>
  <c r="K1141" i="20"/>
  <c r="K1145" i="20"/>
  <c r="K1149" i="20"/>
  <c r="K1153" i="20"/>
  <c r="K1157" i="20"/>
  <c r="K1161" i="20"/>
  <c r="K1165" i="20"/>
  <c r="K1169" i="20"/>
  <c r="K1173" i="20"/>
  <c r="K1177" i="20"/>
  <c r="K1181" i="20"/>
  <c r="K1185" i="20"/>
  <c r="K1189" i="20"/>
  <c r="K1193" i="20"/>
  <c r="K1197" i="20"/>
  <c r="K1201" i="20"/>
  <c r="K1205" i="20"/>
  <c r="K1209" i="20"/>
  <c r="K1213" i="20"/>
  <c r="K1217" i="20"/>
  <c r="K1221" i="20"/>
  <c r="K1225" i="20"/>
  <c r="K1229" i="20"/>
  <c r="K1233" i="20"/>
  <c r="K1237" i="20"/>
  <c r="K1241" i="20"/>
  <c r="K1245" i="20"/>
  <c r="K1249" i="20"/>
  <c r="K1253" i="20"/>
  <c r="K1257" i="20"/>
  <c r="K1261" i="20"/>
  <c r="K1265" i="20"/>
  <c r="K1269" i="20"/>
  <c r="K1273" i="20"/>
  <c r="K1277" i="20"/>
  <c r="K1281" i="20"/>
  <c r="K1285" i="20"/>
  <c r="K1289" i="20"/>
  <c r="K1293" i="20"/>
  <c r="K1297" i="20"/>
  <c r="K1301" i="20"/>
  <c r="K1305" i="20"/>
  <c r="K1309" i="20"/>
  <c r="K1313" i="20"/>
  <c r="K1317" i="20"/>
  <c r="K1321" i="20"/>
  <c r="K1325" i="20"/>
  <c r="K1329" i="20"/>
  <c r="K1333" i="20"/>
  <c r="K1337" i="20"/>
  <c r="K1341" i="20"/>
  <c r="K1345" i="20"/>
  <c r="K1349" i="20"/>
  <c r="K1353" i="20"/>
  <c r="K1357" i="20"/>
  <c r="K1361" i="20"/>
  <c r="K1365" i="20"/>
  <c r="K1369" i="20"/>
  <c r="K1373" i="20"/>
  <c r="K1377" i="20"/>
  <c r="K1381" i="20"/>
  <c r="K1385" i="20"/>
  <c r="K1389" i="20"/>
  <c r="K1393" i="20"/>
  <c r="K1397" i="20"/>
  <c r="K1401" i="20"/>
  <c r="K1405" i="20"/>
  <c r="K1409" i="20"/>
  <c r="K1413" i="20"/>
  <c r="K1417" i="20"/>
  <c r="K1421" i="20"/>
  <c r="K1425" i="20"/>
  <c r="K1429" i="20"/>
  <c r="K1433" i="20"/>
  <c r="K1437" i="20"/>
  <c r="K1441" i="20"/>
  <c r="K1445" i="20"/>
  <c r="K1449" i="20"/>
  <c r="K1453" i="20"/>
  <c r="K1457" i="20"/>
  <c r="K1461" i="20"/>
  <c r="K1465" i="20"/>
  <c r="K1469" i="20"/>
  <c r="K1473" i="20"/>
  <c r="K1477" i="20"/>
  <c r="K1481" i="20"/>
  <c r="K1485" i="20"/>
  <c r="K1489" i="20"/>
  <c r="K1493" i="20"/>
  <c r="K1497" i="20"/>
  <c r="K1501" i="20"/>
  <c r="K1505" i="20"/>
  <c r="K1509" i="20"/>
  <c r="K1513" i="20"/>
  <c r="K1517" i="20"/>
  <c r="K1521" i="20"/>
  <c r="K1525" i="20"/>
  <c r="K1529" i="20"/>
  <c r="K1533" i="20"/>
  <c r="K1537" i="20"/>
  <c r="K1541" i="20"/>
  <c r="K1545" i="20"/>
  <c r="K1549" i="20"/>
  <c r="K1553" i="20"/>
  <c r="K1557" i="20"/>
  <c r="K1561" i="20"/>
  <c r="K1565" i="20"/>
  <c r="K1569" i="20"/>
  <c r="K1573" i="20"/>
  <c r="K1577" i="20"/>
  <c r="I5" i="20"/>
  <c r="I9" i="20"/>
  <c r="I13" i="20"/>
  <c r="I17" i="20"/>
  <c r="I21" i="20"/>
  <c r="I25" i="20"/>
  <c r="I29" i="20"/>
  <c r="I33" i="20"/>
  <c r="I37" i="20"/>
  <c r="I41" i="20"/>
  <c r="I45" i="20"/>
  <c r="I49" i="20"/>
  <c r="I53" i="20"/>
  <c r="I57" i="20"/>
  <c r="I61" i="20"/>
  <c r="I65" i="20"/>
  <c r="I69" i="20"/>
  <c r="I73" i="20"/>
  <c r="I77" i="20"/>
  <c r="I81" i="20"/>
  <c r="I85" i="20"/>
  <c r="I89" i="20"/>
  <c r="I93" i="20"/>
  <c r="I97" i="20"/>
  <c r="I101" i="20"/>
  <c r="I105" i="20"/>
  <c r="I109" i="20"/>
  <c r="I113" i="20"/>
  <c r="I117" i="20"/>
  <c r="I121" i="20"/>
  <c r="I125" i="20"/>
  <c r="I129" i="20"/>
  <c r="I133" i="20"/>
  <c r="I137" i="20"/>
  <c r="I141" i="20"/>
  <c r="I145" i="20"/>
  <c r="I149" i="20"/>
  <c r="I153" i="20"/>
  <c r="I157" i="20"/>
  <c r="I161" i="20"/>
  <c r="I165" i="20"/>
  <c r="I169" i="20"/>
  <c r="I173" i="20"/>
  <c r="I177" i="20"/>
  <c r="I181" i="20"/>
  <c r="I185" i="20"/>
  <c r="I189" i="20"/>
  <c r="I193" i="20"/>
  <c r="I197" i="20"/>
  <c r="I201" i="20"/>
  <c r="I205" i="20"/>
  <c r="I209" i="20"/>
  <c r="I213" i="20"/>
  <c r="I217" i="20"/>
  <c r="I221" i="20"/>
  <c r="I225" i="20"/>
  <c r="I229" i="20"/>
  <c r="I233" i="20"/>
  <c r="I237" i="20"/>
  <c r="I241" i="20"/>
  <c r="I245" i="20"/>
  <c r="I249" i="20"/>
  <c r="I253" i="20"/>
  <c r="I257" i="20"/>
  <c r="I261" i="20"/>
  <c r="I265" i="20"/>
  <c r="I269" i="20"/>
  <c r="I273" i="20"/>
  <c r="I277" i="20"/>
  <c r="I281" i="20"/>
  <c r="I285" i="20"/>
  <c r="I289" i="20"/>
  <c r="I293" i="20"/>
  <c r="I297" i="20"/>
  <c r="I301" i="20"/>
  <c r="I305" i="20"/>
  <c r="I309" i="20"/>
  <c r="I313" i="20"/>
  <c r="I317" i="20"/>
  <c r="I321" i="20"/>
  <c r="I325" i="20"/>
  <c r="I329" i="20"/>
  <c r="I333" i="20"/>
  <c r="I337" i="20"/>
  <c r="I341" i="20"/>
  <c r="I345" i="20"/>
  <c r="I349" i="20"/>
  <c r="I353" i="20"/>
  <c r="I357" i="20"/>
  <c r="I361" i="20"/>
  <c r="I365" i="20"/>
  <c r="I369" i="20"/>
  <c r="I373" i="20"/>
  <c r="I377" i="20"/>
  <c r="I381" i="20"/>
  <c r="I385" i="20"/>
  <c r="I389" i="20"/>
  <c r="I393" i="20"/>
  <c r="I397" i="20"/>
  <c r="I401" i="20"/>
  <c r="I405" i="20"/>
  <c r="I409" i="20"/>
  <c r="I413" i="20"/>
  <c r="I417" i="20"/>
  <c r="I421" i="20"/>
  <c r="I425" i="20"/>
  <c r="I429" i="20"/>
  <c r="I433" i="20"/>
  <c r="I437" i="20"/>
  <c r="I441" i="20"/>
  <c r="I445" i="20"/>
  <c r="I449" i="20"/>
  <c r="I453" i="20"/>
  <c r="I457" i="20"/>
  <c r="I461" i="20"/>
  <c r="I465" i="20"/>
  <c r="I469" i="20"/>
  <c r="I473" i="20"/>
  <c r="I477" i="20"/>
  <c r="I481" i="20"/>
  <c r="I485" i="20"/>
  <c r="I489" i="20"/>
  <c r="I493" i="20"/>
  <c r="I497" i="20"/>
  <c r="I501" i="20"/>
  <c r="I505" i="20"/>
  <c r="I509" i="20"/>
  <c r="I513" i="20"/>
  <c r="I517" i="20"/>
  <c r="I521" i="20"/>
  <c r="I525" i="20"/>
  <c r="I529" i="20"/>
  <c r="I533" i="20"/>
  <c r="I537" i="20"/>
  <c r="I541" i="20"/>
  <c r="I545" i="20"/>
  <c r="I549" i="20"/>
  <c r="I553" i="20"/>
  <c r="I557" i="20"/>
  <c r="I561" i="20"/>
  <c r="I565" i="20"/>
  <c r="I569" i="20"/>
  <c r="I573" i="20"/>
  <c r="I577" i="20"/>
  <c r="I581" i="20"/>
  <c r="I585" i="20"/>
  <c r="I589" i="20"/>
  <c r="I593" i="20"/>
  <c r="I597" i="20"/>
  <c r="I601" i="20"/>
  <c r="I605" i="20"/>
  <c r="I609" i="20"/>
  <c r="I613" i="20"/>
  <c r="I617" i="20"/>
  <c r="I621" i="20"/>
  <c r="I625" i="20"/>
  <c r="I629" i="20"/>
  <c r="I633" i="20"/>
  <c r="I637" i="20"/>
  <c r="I641" i="20"/>
  <c r="I645" i="20"/>
  <c r="I649" i="20"/>
  <c r="I653" i="20"/>
  <c r="I657" i="20"/>
  <c r="I661" i="20"/>
  <c r="I665" i="20"/>
  <c r="I669" i="20"/>
  <c r="I673" i="20"/>
  <c r="I677" i="20"/>
  <c r="I681" i="20"/>
  <c r="I685" i="20"/>
  <c r="I689" i="20"/>
  <c r="I693" i="20"/>
  <c r="I697" i="20"/>
  <c r="I701" i="20"/>
  <c r="I705" i="20"/>
  <c r="I709" i="20"/>
  <c r="I713" i="20"/>
  <c r="I717" i="20"/>
  <c r="I721" i="20"/>
  <c r="I725" i="20"/>
  <c r="I729" i="20"/>
  <c r="I733" i="20"/>
  <c r="I737" i="20"/>
  <c r="I741" i="20"/>
  <c r="I745" i="20"/>
  <c r="I749" i="20"/>
  <c r="I753" i="20"/>
  <c r="I757" i="20"/>
  <c r="I761" i="20"/>
  <c r="I765" i="20"/>
  <c r="I769" i="20"/>
  <c r="I773" i="20"/>
  <c r="I777" i="20"/>
  <c r="I781" i="20"/>
  <c r="I785" i="20"/>
  <c r="I789" i="20"/>
  <c r="I793" i="20"/>
  <c r="I797" i="20"/>
  <c r="I801" i="20"/>
  <c r="I805" i="20"/>
  <c r="I809" i="20"/>
  <c r="I813" i="20"/>
  <c r="I817" i="20"/>
  <c r="I821" i="20"/>
  <c r="I825" i="20"/>
  <c r="I829" i="20"/>
  <c r="I833" i="20"/>
  <c r="I837" i="20"/>
  <c r="I841" i="20"/>
  <c r="I845" i="20"/>
  <c r="I849" i="20"/>
  <c r="I853" i="20"/>
  <c r="I857" i="20"/>
  <c r="I861" i="20"/>
  <c r="I865" i="20"/>
  <c r="I869" i="20"/>
  <c r="I873" i="20"/>
  <c r="I877" i="20"/>
  <c r="I881" i="20"/>
  <c r="I885" i="20"/>
  <c r="I889" i="20"/>
  <c r="I893" i="20"/>
  <c r="I897" i="20"/>
  <c r="I901" i="20"/>
  <c r="I905" i="20"/>
  <c r="I909" i="20"/>
  <c r="I913" i="20"/>
  <c r="I917" i="20"/>
  <c r="I921" i="20"/>
  <c r="I925" i="20"/>
  <c r="I929" i="20"/>
  <c r="I933" i="20"/>
  <c r="I937" i="20"/>
  <c r="I941" i="20"/>
  <c r="I945" i="20"/>
  <c r="I949" i="20"/>
  <c r="I953" i="20"/>
  <c r="I957" i="20"/>
  <c r="I961" i="20"/>
  <c r="I965" i="20"/>
  <c r="I969" i="20"/>
  <c r="I973" i="20"/>
  <c r="I977" i="20"/>
  <c r="I981" i="20"/>
  <c r="I985" i="20"/>
  <c r="I989" i="20"/>
  <c r="I993" i="20"/>
  <c r="I997" i="20"/>
  <c r="I1001" i="20"/>
  <c r="I1005" i="20"/>
  <c r="I1009" i="20"/>
  <c r="I1013" i="20"/>
  <c r="I1017" i="20"/>
  <c r="I1021" i="20"/>
  <c r="I1025" i="20"/>
  <c r="I1029" i="20"/>
  <c r="I1033" i="20"/>
  <c r="I1037" i="20"/>
  <c r="I1041" i="20"/>
  <c r="I1045" i="20"/>
  <c r="I1049" i="20"/>
  <c r="I1053" i="20"/>
  <c r="I1057" i="20"/>
  <c r="I1061" i="20"/>
  <c r="I1065" i="20"/>
  <c r="I1069" i="20"/>
  <c r="I1073" i="20"/>
  <c r="I1077" i="20"/>
  <c r="I1081" i="20"/>
  <c r="I1085" i="20"/>
  <c r="I1089" i="20"/>
  <c r="I1093" i="20"/>
  <c r="I1097" i="20"/>
  <c r="I1101" i="20"/>
  <c r="I1105" i="20"/>
  <c r="I1109" i="20"/>
  <c r="I1113" i="20"/>
  <c r="I1117" i="20"/>
  <c r="I1121" i="20"/>
  <c r="I1125" i="20"/>
  <c r="I1129" i="20"/>
  <c r="I1133" i="20"/>
  <c r="I1137" i="20"/>
  <c r="I1141" i="20"/>
  <c r="I1145" i="20"/>
  <c r="I1149" i="20"/>
  <c r="I1153" i="20"/>
  <c r="I1157" i="20"/>
  <c r="I1161" i="20"/>
  <c r="I1165" i="20"/>
  <c r="I1169" i="20"/>
  <c r="I1173" i="20"/>
  <c r="I1177" i="20"/>
  <c r="I1181" i="20"/>
  <c r="I1185" i="20"/>
  <c r="I1189" i="20"/>
  <c r="I1193" i="20"/>
  <c r="I1197" i="20"/>
  <c r="I1201" i="20"/>
  <c r="I1205" i="20"/>
  <c r="I1209" i="20"/>
  <c r="I1213" i="20"/>
  <c r="I1217" i="20"/>
  <c r="I1221" i="20"/>
  <c r="I1225" i="20"/>
  <c r="I1229" i="20"/>
  <c r="I1233" i="20"/>
  <c r="I1237" i="20"/>
  <c r="I1241" i="20"/>
  <c r="I1245" i="20"/>
  <c r="I1249" i="20"/>
  <c r="I1253" i="20"/>
  <c r="I1257" i="20"/>
  <c r="I1261" i="20"/>
  <c r="I1265" i="20"/>
  <c r="I1269" i="20"/>
  <c r="I1273" i="20"/>
  <c r="I1277" i="20"/>
  <c r="I1281" i="20"/>
  <c r="I1285" i="20"/>
  <c r="I1289" i="20"/>
  <c r="I1293" i="20"/>
  <c r="I1297" i="20"/>
  <c r="I1301" i="20"/>
  <c r="I1305" i="20"/>
  <c r="I1309" i="20"/>
  <c r="I1313" i="20"/>
  <c r="I1317" i="20"/>
  <c r="I1321" i="20"/>
  <c r="I1325" i="20"/>
  <c r="I1329" i="20"/>
  <c r="I1333" i="20"/>
  <c r="I1337" i="20"/>
  <c r="I1341" i="20"/>
  <c r="I1345" i="20"/>
  <c r="I1349" i="20"/>
  <c r="I1353" i="20"/>
  <c r="I1357" i="20"/>
  <c r="I1361" i="20"/>
  <c r="I1365" i="20"/>
  <c r="I1369" i="20"/>
  <c r="I1373" i="20"/>
  <c r="I1377" i="20"/>
  <c r="I1381" i="20"/>
  <c r="I1385" i="20"/>
  <c r="I1389" i="20"/>
  <c r="I1393" i="20"/>
  <c r="I1397" i="20"/>
  <c r="I1401" i="20"/>
  <c r="I1405" i="20"/>
  <c r="I1409" i="20"/>
  <c r="I1413" i="20"/>
  <c r="I1417" i="20"/>
  <c r="I1421" i="20"/>
  <c r="I1425" i="20"/>
  <c r="I1429" i="20"/>
  <c r="I1433" i="20"/>
  <c r="I1437" i="20"/>
  <c r="I1441" i="20"/>
  <c r="I1445" i="20"/>
  <c r="I1449" i="20"/>
  <c r="I1453" i="20"/>
  <c r="I1457" i="20"/>
  <c r="I1461" i="20"/>
  <c r="I1465" i="20"/>
  <c r="I1469" i="20"/>
  <c r="I1473" i="20"/>
  <c r="I1477" i="20"/>
  <c r="I1481" i="20"/>
  <c r="I1485" i="20"/>
  <c r="I1489" i="20"/>
  <c r="I1493" i="20"/>
  <c r="I1497" i="20"/>
  <c r="I1501" i="20"/>
  <c r="I1505" i="20"/>
  <c r="I1509" i="20"/>
  <c r="I1513" i="20"/>
  <c r="I1517" i="20"/>
  <c r="I1521" i="20"/>
  <c r="I1525" i="20"/>
  <c r="I1529" i="20"/>
  <c r="I1533" i="20"/>
  <c r="I1537" i="20"/>
  <c r="I1541" i="20"/>
  <c r="I1545" i="20"/>
  <c r="I1549" i="20"/>
  <c r="I1553" i="20"/>
  <c r="I1557" i="20"/>
  <c r="I1561" i="20"/>
  <c r="I1565" i="20"/>
  <c r="I1569" i="20"/>
  <c r="I1573" i="20"/>
  <c r="I1577" i="20"/>
  <c r="G5" i="20"/>
  <c r="G9" i="20"/>
  <c r="G13" i="20"/>
  <c r="G17" i="20"/>
  <c r="G21" i="20"/>
  <c r="G25" i="20"/>
  <c r="G29" i="20"/>
  <c r="G33" i="20"/>
  <c r="G37" i="20"/>
  <c r="G41" i="20"/>
  <c r="G45" i="20"/>
  <c r="G49" i="20"/>
  <c r="G53" i="20"/>
  <c r="G57" i="20"/>
  <c r="G61" i="20"/>
  <c r="G65" i="20"/>
  <c r="G69" i="20"/>
  <c r="G73" i="20"/>
  <c r="G77" i="20"/>
  <c r="G81" i="20"/>
  <c r="G85" i="20"/>
  <c r="G89" i="20"/>
  <c r="G93" i="20"/>
  <c r="G97" i="20"/>
  <c r="G101" i="20"/>
  <c r="G105" i="20"/>
  <c r="G109" i="20"/>
  <c r="G113" i="20"/>
  <c r="G117" i="20"/>
  <c r="G121" i="20"/>
  <c r="G125" i="20"/>
  <c r="G129" i="20"/>
  <c r="G133" i="20"/>
  <c r="G137" i="20"/>
  <c r="G141" i="20"/>
  <c r="G145" i="20"/>
  <c r="G149" i="20"/>
  <c r="G153" i="20"/>
  <c r="G157" i="20"/>
  <c r="G161" i="20"/>
  <c r="G165" i="20"/>
  <c r="G169" i="20"/>
  <c r="G173" i="20"/>
  <c r="G177" i="20"/>
  <c r="G181" i="20"/>
  <c r="G185" i="20"/>
  <c r="G189" i="20"/>
  <c r="G193" i="20"/>
  <c r="G197" i="20"/>
  <c r="G201" i="20"/>
  <c r="G205" i="20"/>
  <c r="G209" i="20"/>
  <c r="G213" i="20"/>
  <c r="G217" i="20"/>
  <c r="G221" i="20"/>
  <c r="G225" i="20"/>
  <c r="G229" i="20"/>
  <c r="G233" i="20"/>
  <c r="G237" i="20"/>
  <c r="G241" i="20"/>
  <c r="G245" i="20"/>
  <c r="G249" i="20"/>
  <c r="G253" i="20"/>
  <c r="G257" i="20"/>
  <c r="G261" i="20"/>
  <c r="G265" i="20"/>
  <c r="G269" i="20"/>
  <c r="G273" i="20"/>
  <c r="G277" i="20"/>
  <c r="G281" i="20"/>
  <c r="G285" i="20"/>
  <c r="G289" i="20"/>
  <c r="G293" i="20"/>
  <c r="G297" i="20"/>
  <c r="G301" i="20"/>
  <c r="G305" i="20"/>
  <c r="G309" i="20"/>
  <c r="G313" i="20"/>
  <c r="G317" i="20"/>
  <c r="G321" i="20"/>
  <c r="G325" i="20"/>
  <c r="G329" i="20"/>
  <c r="G333" i="20"/>
  <c r="G337" i="20"/>
  <c r="G341" i="20"/>
  <c r="G345" i="20"/>
  <c r="G349" i="20"/>
  <c r="G353" i="20"/>
  <c r="G357" i="20"/>
  <c r="G361" i="20"/>
  <c r="G365" i="20"/>
  <c r="G369" i="20"/>
  <c r="G373" i="20"/>
  <c r="G377" i="20"/>
  <c r="G381" i="20"/>
  <c r="G385" i="20"/>
  <c r="G389" i="20"/>
  <c r="G393" i="20"/>
  <c r="G397" i="20"/>
  <c r="G401" i="20"/>
  <c r="G405" i="20"/>
  <c r="G409" i="20"/>
  <c r="G413" i="20"/>
  <c r="G417" i="20"/>
  <c r="G421" i="20"/>
  <c r="G425" i="20"/>
  <c r="G429" i="20"/>
  <c r="G433" i="20"/>
  <c r="G437" i="20"/>
  <c r="G441" i="20"/>
  <c r="G445" i="20"/>
  <c r="G449" i="20"/>
  <c r="G453" i="20"/>
  <c r="G457" i="20"/>
  <c r="G461" i="20"/>
  <c r="G465" i="20"/>
  <c r="G469" i="20"/>
  <c r="G473" i="20"/>
  <c r="G477" i="20"/>
  <c r="G481" i="20"/>
  <c r="G485" i="20"/>
  <c r="G489" i="20"/>
  <c r="G493" i="20"/>
  <c r="G497" i="20"/>
  <c r="G501" i="20"/>
  <c r="G505" i="20"/>
  <c r="G509" i="20"/>
  <c r="G513" i="20"/>
  <c r="G517" i="20"/>
  <c r="G521" i="20"/>
  <c r="G525" i="20"/>
  <c r="G529" i="20"/>
  <c r="G533" i="20"/>
  <c r="G537" i="20"/>
  <c r="G541" i="20"/>
  <c r="G545" i="20"/>
  <c r="G549" i="20"/>
  <c r="G553" i="20"/>
  <c r="G557" i="20"/>
  <c r="G561" i="20"/>
  <c r="G565" i="20"/>
  <c r="G569" i="20"/>
  <c r="G573" i="20"/>
  <c r="G577" i="20"/>
  <c r="G581" i="20"/>
  <c r="G585" i="20"/>
  <c r="G589" i="20"/>
  <c r="G593" i="20"/>
  <c r="G597" i="20"/>
  <c r="G601" i="20"/>
  <c r="G605" i="20"/>
  <c r="G609" i="20"/>
  <c r="G613" i="20"/>
  <c r="G617" i="20"/>
  <c r="G621" i="20"/>
  <c r="G625" i="20"/>
  <c r="G629" i="20"/>
  <c r="G633" i="20"/>
  <c r="G637" i="20"/>
  <c r="G641" i="20"/>
  <c r="G645" i="20"/>
  <c r="G649" i="20"/>
  <c r="G653" i="20"/>
  <c r="G657" i="20"/>
  <c r="G661" i="20"/>
  <c r="G665" i="20"/>
  <c r="G669" i="20"/>
  <c r="G673" i="20"/>
  <c r="G677" i="20"/>
  <c r="G681" i="20"/>
  <c r="G685" i="20"/>
  <c r="G689" i="20"/>
  <c r="G693" i="20"/>
  <c r="G697" i="20"/>
  <c r="G701" i="20"/>
  <c r="G705" i="20"/>
  <c r="G709" i="20"/>
  <c r="G713" i="20"/>
  <c r="G717" i="20"/>
  <c r="G721" i="20"/>
  <c r="G725" i="20"/>
  <c r="G729" i="20"/>
  <c r="G733" i="20"/>
  <c r="G737" i="20"/>
  <c r="G741" i="20"/>
  <c r="G745" i="20"/>
  <c r="G749" i="20"/>
  <c r="G753" i="20"/>
  <c r="G757" i="20"/>
  <c r="G761" i="20"/>
  <c r="G765" i="20"/>
  <c r="G769" i="20"/>
  <c r="G773" i="20"/>
  <c r="G777" i="20"/>
  <c r="G781" i="20"/>
  <c r="G785" i="20"/>
  <c r="G789" i="20"/>
  <c r="G793" i="20"/>
  <c r="G797" i="20"/>
  <c r="G801" i="20"/>
  <c r="G805" i="20"/>
  <c r="G809" i="20"/>
  <c r="G813" i="20"/>
  <c r="G817" i="20"/>
  <c r="G821" i="20"/>
  <c r="G825" i="20"/>
  <c r="G829" i="20"/>
  <c r="G833" i="20"/>
  <c r="G837" i="20"/>
  <c r="G841" i="20"/>
  <c r="G845" i="20"/>
  <c r="G849" i="20"/>
  <c r="G853" i="20"/>
  <c r="G857" i="20"/>
  <c r="G861" i="20"/>
  <c r="G865" i="20"/>
  <c r="G869" i="20"/>
  <c r="G873" i="20"/>
  <c r="G877" i="20"/>
  <c r="G881" i="20"/>
  <c r="G885" i="20"/>
  <c r="G889" i="20"/>
  <c r="G893" i="20"/>
  <c r="G897" i="20"/>
  <c r="G901" i="20"/>
  <c r="G905" i="20"/>
  <c r="G909" i="20"/>
  <c r="G913" i="20"/>
  <c r="G917" i="20"/>
  <c r="G921" i="20"/>
  <c r="G925" i="20"/>
  <c r="G929" i="20"/>
  <c r="G933" i="20"/>
  <c r="G937" i="20"/>
  <c r="G941" i="20"/>
  <c r="G945" i="20"/>
  <c r="G949" i="20"/>
  <c r="G953" i="20"/>
  <c r="G957" i="20"/>
  <c r="G961" i="20"/>
  <c r="G965" i="20"/>
  <c r="G969" i="20"/>
  <c r="G973" i="20"/>
  <c r="G977" i="20"/>
  <c r="G981" i="20"/>
  <c r="G985" i="20"/>
  <c r="G989" i="20"/>
  <c r="G993" i="20"/>
  <c r="G997" i="20"/>
  <c r="G1001" i="20"/>
  <c r="G1005" i="20"/>
  <c r="G1009" i="20"/>
  <c r="G1013" i="20"/>
  <c r="G1017" i="20"/>
  <c r="G1021" i="20"/>
  <c r="G1025" i="20"/>
  <c r="G1029" i="20"/>
  <c r="G1033" i="20"/>
  <c r="G1037" i="20"/>
  <c r="G1041" i="20"/>
  <c r="G1045" i="20"/>
  <c r="G1049" i="20"/>
  <c r="G1053" i="20"/>
  <c r="G1057" i="20"/>
  <c r="G1061" i="20"/>
  <c r="G1065" i="20"/>
  <c r="G1069" i="20"/>
  <c r="G1073" i="20"/>
  <c r="G1077" i="20"/>
  <c r="G1081" i="20"/>
  <c r="G1085" i="20"/>
  <c r="G1089" i="20"/>
  <c r="G1093" i="20"/>
  <c r="G1097" i="20"/>
  <c r="G1101" i="20"/>
  <c r="G1105" i="20"/>
  <c r="G1109" i="20"/>
  <c r="G1113" i="20"/>
  <c r="G1117" i="20"/>
  <c r="G1121" i="20"/>
  <c r="G1125" i="20"/>
  <c r="G1129" i="20"/>
  <c r="G1133" i="20"/>
  <c r="G1137" i="20"/>
  <c r="G1141" i="20"/>
  <c r="G1145" i="20"/>
  <c r="G1149" i="20"/>
  <c r="G1153" i="20"/>
  <c r="G1157" i="20"/>
  <c r="G1161" i="20"/>
  <c r="G1165" i="20"/>
  <c r="G1169" i="20"/>
  <c r="G1173" i="20"/>
  <c r="G1177" i="20"/>
  <c r="G1181" i="20"/>
  <c r="G1185" i="20"/>
  <c r="G1189" i="20"/>
  <c r="G1193" i="20"/>
  <c r="G1197" i="20"/>
  <c r="G1201" i="20"/>
  <c r="G1205" i="20"/>
  <c r="G1209" i="20"/>
  <c r="G1213" i="20"/>
  <c r="G1217" i="20"/>
  <c r="G1221" i="20"/>
  <c r="G1225" i="20"/>
  <c r="G1229" i="20"/>
  <c r="G1233" i="20"/>
  <c r="G1237" i="20"/>
  <c r="G1241" i="20"/>
  <c r="G1245" i="20"/>
  <c r="G1249" i="20"/>
  <c r="G1253" i="20"/>
  <c r="G1257" i="20"/>
  <c r="G1261" i="20"/>
  <c r="G1265" i="20"/>
  <c r="G1269" i="20"/>
  <c r="G1273" i="20"/>
  <c r="G1277" i="20"/>
  <c r="G1281" i="20"/>
  <c r="G1285" i="20"/>
  <c r="G1289" i="20"/>
  <c r="G1293" i="20"/>
  <c r="G1297" i="20"/>
  <c r="G1301" i="20"/>
  <c r="G1305" i="20"/>
  <c r="G1309" i="20"/>
  <c r="G1313" i="20"/>
  <c r="G1317" i="20"/>
  <c r="G1321" i="20"/>
  <c r="G1325" i="20"/>
  <c r="G1329" i="20"/>
  <c r="G1333" i="20"/>
  <c r="G1337" i="20"/>
  <c r="G1341" i="20"/>
  <c r="G1345" i="20"/>
  <c r="G1349" i="20"/>
  <c r="G1353" i="20"/>
  <c r="G1357" i="20"/>
  <c r="G1361" i="20"/>
  <c r="G1365" i="20"/>
  <c r="G1369" i="20"/>
  <c r="G1373" i="20"/>
  <c r="G1377" i="20"/>
  <c r="G1381" i="20"/>
  <c r="G1385" i="20"/>
  <c r="G1389" i="20"/>
  <c r="G1393" i="20"/>
  <c r="G1397" i="20"/>
  <c r="G1401" i="20"/>
  <c r="G1405" i="20"/>
  <c r="G1409" i="20"/>
  <c r="G1413" i="20"/>
  <c r="G1417" i="20"/>
  <c r="G1421" i="20"/>
  <c r="G1425" i="20"/>
  <c r="G1429" i="20"/>
  <c r="G1433" i="20"/>
  <c r="G1437" i="20"/>
  <c r="G1441" i="20"/>
  <c r="G1445" i="20"/>
  <c r="G1449" i="20"/>
  <c r="G1453" i="20"/>
  <c r="G1457" i="20"/>
  <c r="G1461" i="20"/>
  <c r="G1465" i="20"/>
  <c r="G1469" i="20"/>
  <c r="G1473" i="20"/>
  <c r="G1477" i="20"/>
  <c r="G1481" i="20"/>
  <c r="G1485" i="20"/>
  <c r="G1489" i="20"/>
  <c r="G1493" i="20"/>
  <c r="G1497" i="20"/>
  <c r="G1501" i="20"/>
  <c r="G1505" i="20"/>
  <c r="G1509" i="20"/>
  <c r="G1513" i="20"/>
  <c r="G1517" i="20"/>
  <c r="G1521" i="20"/>
  <c r="G1525" i="20"/>
  <c r="G1529" i="20"/>
  <c r="G1533" i="20"/>
  <c r="G1537" i="20"/>
  <c r="G1541" i="20"/>
  <c r="G1545" i="20"/>
  <c r="G1549" i="20"/>
  <c r="G1553" i="20"/>
  <c r="G1557" i="20"/>
  <c r="G1561" i="20"/>
  <c r="G1565" i="20"/>
  <c r="G1569" i="20"/>
  <c r="G1573" i="20"/>
  <c r="G1577" i="20"/>
  <c r="H17" i="25"/>
  <c r="E26" i="10"/>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E31" i="10"/>
  <c r="E32" i="10"/>
  <c r="E33" i="10"/>
  <c r="E34" i="10"/>
  <c r="E35" i="10"/>
  <c r="E36" i="10"/>
  <c r="E37" i="10"/>
  <c r="E38" i="10"/>
  <c r="E39" i="10"/>
  <c r="E40" i="10"/>
  <c r="E41" i="10"/>
  <c r="E42" i="10"/>
  <c r="E43" i="10"/>
  <c r="E44" i="10"/>
  <c r="E45" i="10"/>
  <c r="E28" i="10"/>
  <c r="E29" i="10"/>
  <c r="E30" i="10"/>
  <c r="F47" i="17" l="1"/>
  <c r="F48" i="17"/>
  <c r="F49" i="17"/>
  <c r="F50" i="17"/>
  <c r="F51" i="17"/>
  <c r="F52" i="17"/>
  <c r="F53" i="17"/>
  <c r="F54" i="17"/>
  <c r="F55" i="17"/>
  <c r="F56" i="17"/>
  <c r="F57" i="17"/>
  <c r="F58" i="17"/>
  <c r="F59" i="17"/>
  <c r="F60" i="17"/>
  <c r="F61" i="17"/>
  <c r="F62" i="17"/>
  <c r="F63" i="17"/>
  <c r="F64" i="17"/>
  <c r="F65" i="17"/>
  <c r="F46" i="17"/>
  <c r="F21" i="17"/>
  <c r="F22" i="17"/>
  <c r="F23" i="17"/>
  <c r="F24" i="17"/>
  <c r="F25" i="17"/>
  <c r="F26" i="17"/>
  <c r="F27" i="17"/>
  <c r="F28" i="17"/>
  <c r="F29" i="17"/>
  <c r="F30" i="17"/>
  <c r="F31" i="17"/>
  <c r="F32" i="17"/>
  <c r="F33" i="17"/>
  <c r="F34" i="17"/>
  <c r="F35" i="17"/>
  <c r="F36" i="17"/>
  <c r="F37" i="17"/>
  <c r="F38" i="17"/>
  <c r="F39" i="17"/>
  <c r="F40" i="17"/>
  <c r="E61" i="11"/>
  <c r="E60" i="11"/>
  <c r="E59" i="11"/>
  <c r="E58" i="11"/>
  <c r="E57" i="11"/>
  <c r="E47" i="11"/>
  <c r="E48" i="11"/>
  <c r="E49" i="11"/>
  <c r="E50" i="11"/>
  <c r="E51" i="11"/>
  <c r="E52" i="11"/>
  <c r="E53" i="11"/>
  <c r="E54" i="11"/>
  <c r="E55" i="11"/>
  <c r="E56" i="11"/>
  <c r="H36" i="11"/>
  <c r="H35" i="11"/>
  <c r="H34" i="11"/>
  <c r="H33" i="11"/>
  <c r="H32" i="11"/>
  <c r="H20" i="11"/>
  <c r="H21" i="11"/>
  <c r="H22" i="11"/>
  <c r="H23" i="11"/>
  <c r="H24" i="11"/>
  <c r="H25" i="11"/>
  <c r="H26" i="11"/>
  <c r="H27" i="11"/>
  <c r="H28" i="11"/>
  <c r="H29" i="11"/>
  <c r="H30" i="11"/>
  <c r="H31" i="11"/>
  <c r="F40" i="22"/>
  <c r="F39" i="22"/>
  <c r="F38" i="22"/>
  <c r="F37" i="22"/>
  <c r="F36" i="22"/>
  <c r="F22" i="22"/>
  <c r="F23" i="22"/>
  <c r="F24" i="22"/>
  <c r="F25" i="22"/>
  <c r="F26" i="22"/>
  <c r="F27" i="22"/>
  <c r="F28" i="22"/>
  <c r="F29" i="22"/>
  <c r="F30" i="22"/>
  <c r="F31" i="22"/>
  <c r="F32" i="22"/>
  <c r="F33" i="22"/>
  <c r="F34" i="22"/>
  <c r="F35" i="22"/>
  <c r="G39" i="30"/>
  <c r="G38" i="30"/>
  <c r="G37" i="30"/>
  <c r="G36" i="30"/>
  <c r="G35" i="30"/>
  <c r="G21" i="30"/>
  <c r="G22" i="30"/>
  <c r="G23" i="30"/>
  <c r="G25" i="30"/>
  <c r="G26" i="30"/>
  <c r="G27" i="30"/>
  <c r="G28" i="30"/>
  <c r="G29" i="30"/>
  <c r="G30" i="30"/>
  <c r="G31" i="30"/>
  <c r="G32" i="30"/>
  <c r="G33" i="30"/>
  <c r="G34" i="30"/>
  <c r="F45" i="10"/>
  <c r="F44" i="10"/>
  <c r="F43" i="10"/>
  <c r="F42" i="10"/>
  <c r="F41" i="10"/>
  <c r="F28" i="10"/>
  <c r="F29" i="10"/>
  <c r="D10" i="40"/>
  <c r="B57" i="40"/>
  <c r="B18" i="40"/>
  <c r="C13" i="6"/>
  <c r="C96" i="6"/>
  <c r="D60" i="40"/>
  <c r="C15" i="6"/>
  <c r="C23" i="6"/>
  <c r="D27" i="40"/>
  <c r="C93" i="6"/>
  <c r="B17" i="40"/>
  <c r="B25" i="40"/>
  <c r="B37" i="40"/>
  <c r="C81" i="6"/>
  <c r="C76" i="6"/>
  <c r="B62" i="40"/>
  <c r="C20" i="6"/>
  <c r="B5" i="40"/>
  <c r="C86" i="6"/>
  <c r="C79" i="6"/>
  <c r="C90" i="6"/>
  <c r="B4" i="40"/>
  <c r="D26" i="40"/>
  <c r="D25" i="40"/>
  <c r="D55" i="40"/>
  <c r="C11" i="6"/>
  <c r="B14" i="40"/>
  <c r="D73" i="40"/>
  <c r="C94" i="6"/>
  <c r="C12" i="6"/>
  <c r="C53" i="6"/>
  <c r="B22" i="40"/>
  <c r="D31" i="40"/>
  <c r="D12" i="40"/>
  <c r="D57" i="40"/>
  <c r="C78" i="6"/>
  <c r="C24" i="6"/>
  <c r="B50" i="40"/>
  <c r="D16" i="40"/>
  <c r="C52" i="6"/>
  <c r="D22" i="40"/>
  <c r="B35" i="40"/>
  <c r="B46" i="40"/>
  <c r="D45" i="40"/>
  <c r="D54" i="40"/>
  <c r="C4" i="6"/>
  <c r="B53" i="40"/>
  <c r="C92" i="6"/>
  <c r="D72" i="40"/>
  <c r="B36" i="40"/>
  <c r="B61" i="40"/>
  <c r="B32" i="40"/>
  <c r="C44" i="6"/>
  <c r="D33" i="40"/>
  <c r="D19" i="40"/>
  <c r="B16" i="40"/>
  <c r="D3" i="40"/>
  <c r="B60" i="40"/>
  <c r="D14" i="40"/>
  <c r="D71" i="40"/>
  <c r="C17" i="6"/>
  <c r="D37" i="40"/>
  <c r="C87" i="6"/>
  <c r="D6" i="40"/>
  <c r="D62" i="40"/>
  <c r="D70" i="40"/>
  <c r="D74" i="40"/>
  <c r="D5" i="40"/>
  <c r="C95" i="6"/>
  <c r="D23" i="40"/>
  <c r="C45" i="6"/>
  <c r="C75" i="6"/>
  <c r="B15" i="40"/>
  <c r="B58" i="40"/>
  <c r="B70" i="40"/>
  <c r="C84" i="6"/>
  <c r="B24" i="40"/>
  <c r="B34" i="40"/>
  <c r="C38" i="6"/>
  <c r="B68" i="40"/>
  <c r="B72" i="40"/>
  <c r="D18" i="40"/>
  <c r="C49" i="6"/>
  <c r="D48" i="40"/>
  <c r="C30" i="6"/>
  <c r="C27" i="6"/>
  <c r="B3" i="40"/>
  <c r="C80" i="6"/>
  <c r="D17" i="40"/>
  <c r="D36" i="40"/>
  <c r="B28" i="40"/>
  <c r="D29" i="40"/>
  <c r="D49" i="40"/>
  <c r="C85" i="6"/>
  <c r="D13" i="40"/>
  <c r="D7" i="40"/>
  <c r="B13" i="40"/>
  <c r="B26" i="40"/>
  <c r="C7" i="6"/>
  <c r="C43" i="6"/>
  <c r="C32" i="6"/>
  <c r="D21" i="40"/>
  <c r="C46" i="6"/>
  <c r="B29" i="40"/>
  <c r="C8" i="6"/>
  <c r="B54" i="40"/>
  <c r="C83" i="6"/>
  <c r="B48" i="40"/>
  <c r="C5" i="6"/>
  <c r="B45" i="40"/>
  <c r="B64" i="40"/>
  <c r="B49" i="40"/>
  <c r="D30" i="40"/>
  <c r="C9" i="6"/>
  <c r="D46" i="40"/>
  <c r="C82" i="6"/>
  <c r="D68" i="40"/>
  <c r="C3" i="6"/>
  <c r="C22" i="6"/>
  <c r="D64" i="40"/>
  <c r="B7" i="40"/>
  <c r="C36" i="6"/>
  <c r="C42" i="6"/>
  <c r="D66" i="40"/>
  <c r="D50" i="40"/>
  <c r="B73" i="40"/>
  <c r="B27" i="40"/>
  <c r="C18" i="6"/>
  <c r="D4" i="40"/>
  <c r="C50" i="6"/>
  <c r="C39" i="6"/>
  <c r="B30" i="40"/>
  <c r="C33" i="6"/>
  <c r="B19" i="40"/>
  <c r="C40" i="6"/>
  <c r="C28" i="6"/>
  <c r="B65" i="40"/>
  <c r="B21" i="40"/>
  <c r="B31" i="40"/>
  <c r="C26" i="6"/>
  <c r="C31" i="6"/>
  <c r="D53" i="40"/>
  <c r="C88" i="6"/>
  <c r="C41" i="6"/>
  <c r="D35" i="40"/>
  <c r="B71" i="40"/>
  <c r="D15" i="40"/>
  <c r="C14" i="6"/>
  <c r="C51" i="6"/>
  <c r="B10" i="40"/>
  <c r="B12" i="40"/>
  <c r="D58" i="40"/>
  <c r="D65" i="40"/>
  <c r="B8" i="40"/>
  <c r="B55" i="40"/>
  <c r="C29" i="6"/>
  <c r="D32" i="40"/>
  <c r="C34" i="6"/>
  <c r="C25" i="6"/>
  <c r="C6" i="6"/>
  <c r="B66" i="40"/>
  <c r="B20" i="40"/>
  <c r="D61" i="40"/>
  <c r="B33" i="40"/>
  <c r="B41" i="40"/>
  <c r="B6" i="40"/>
  <c r="C35" i="6"/>
  <c r="C48" i="6"/>
  <c r="D28" i="40"/>
  <c r="D41" i="40"/>
  <c r="C91" i="6"/>
  <c r="D8" i="40"/>
  <c r="C47" i="6"/>
  <c r="C37" i="6"/>
  <c r="C16" i="6"/>
  <c r="B23" i="40"/>
  <c r="C89" i="6"/>
  <c r="F56" i="46" l="1"/>
  <c r="G56" i="46" s="1"/>
  <c r="F55" i="46"/>
  <c r="G55" i="46" s="1"/>
  <c r="F80" i="46"/>
  <c r="G80" i="46" s="1"/>
  <c r="F117" i="46"/>
  <c r="G117" i="46" s="1"/>
  <c r="F26" i="46"/>
  <c r="G26" i="46" s="1"/>
  <c r="F61" i="46"/>
  <c r="G61" i="46" s="1"/>
  <c r="F51" i="46"/>
  <c r="G51" i="46" s="1"/>
  <c r="F58" i="46"/>
  <c r="G58" i="46" s="1"/>
  <c r="F91" i="46"/>
  <c r="G91" i="46" s="1"/>
  <c r="F111" i="46"/>
  <c r="G111" i="46" s="1"/>
  <c r="F69" i="46"/>
  <c r="G69" i="46" s="1"/>
  <c r="F47" i="46"/>
  <c r="G47" i="46" s="1"/>
  <c r="F46" i="46"/>
  <c r="G46" i="46" s="1"/>
  <c r="F72" i="46"/>
  <c r="G72" i="46" s="1"/>
  <c r="F107" i="46"/>
  <c r="G107" i="46" s="1"/>
  <c r="F116" i="46"/>
  <c r="G116" i="46" s="1"/>
  <c r="F52" i="46"/>
  <c r="G52" i="46" s="1"/>
  <c r="F42" i="46"/>
  <c r="G42" i="46" s="1"/>
  <c r="F50" i="46"/>
  <c r="G50" i="46" s="1"/>
  <c r="F83" i="46"/>
  <c r="G83" i="46" s="1"/>
  <c r="F101" i="46"/>
  <c r="G101" i="46" s="1"/>
  <c r="F76" i="46"/>
  <c r="G76" i="46" s="1"/>
  <c r="F39" i="46"/>
  <c r="G39" i="46" s="1"/>
  <c r="F38" i="46"/>
  <c r="G38" i="46" s="1"/>
  <c r="F63" i="46"/>
  <c r="G63" i="46" s="1"/>
  <c r="F96" i="46"/>
  <c r="G96" i="46" s="1"/>
  <c r="F106" i="46"/>
  <c r="G106" i="46" s="1"/>
  <c r="F43" i="46"/>
  <c r="G43" i="46" s="1"/>
  <c r="F23" i="46"/>
  <c r="G23" i="46" s="1"/>
  <c r="F41" i="46"/>
  <c r="G41" i="46" s="1"/>
  <c r="F75" i="46"/>
  <c r="G75" i="46" s="1"/>
  <c r="F90" i="46"/>
  <c r="G90" i="46" s="1"/>
  <c r="F85" i="46"/>
  <c r="G85" i="46" s="1"/>
  <c r="F29" i="46"/>
  <c r="G29" i="46" s="1"/>
  <c r="F28" i="46"/>
  <c r="G28" i="46" s="1"/>
  <c r="F54" i="46"/>
  <c r="G54" i="46" s="1"/>
  <c r="F87" i="46"/>
  <c r="G87" i="46" s="1"/>
  <c r="F95" i="46"/>
  <c r="G95" i="46" s="1"/>
  <c r="F34" i="46"/>
  <c r="G34" i="46" s="1"/>
  <c r="F103" i="46"/>
  <c r="G103" i="46" s="1"/>
  <c r="F31" i="46"/>
  <c r="G31" i="46" s="1"/>
  <c r="F57" i="46"/>
  <c r="G57" i="46" s="1"/>
  <c r="F82" i="46"/>
  <c r="G82" i="46" s="1"/>
  <c r="F53" i="46"/>
  <c r="G53" i="46" s="1"/>
  <c r="F130" i="46"/>
  <c r="G130" i="46" s="1"/>
  <c r="F129" i="46"/>
  <c r="G129" i="46" s="1"/>
  <c r="F45" i="46"/>
  <c r="G45" i="46" s="1"/>
  <c r="F79" i="46"/>
  <c r="G79" i="46" s="1"/>
  <c r="F86" i="46"/>
  <c r="G86" i="46" s="1"/>
  <c r="F125" i="46"/>
  <c r="G125" i="46" s="1"/>
  <c r="F92" i="46"/>
  <c r="G92" i="46" s="1"/>
  <c r="F133" i="46"/>
  <c r="G133" i="46" s="1"/>
  <c r="F40" i="46"/>
  <c r="G40" i="46" s="1"/>
  <c r="F74" i="46"/>
  <c r="G74" i="46" s="1"/>
  <c r="F98" i="46"/>
  <c r="G98" i="46" s="1"/>
  <c r="F120" i="46"/>
  <c r="G120" i="46" s="1"/>
  <c r="F108" i="46"/>
  <c r="G108" i="46" s="1"/>
  <c r="F37" i="46"/>
  <c r="G37" i="46" s="1"/>
  <c r="F71" i="46"/>
  <c r="G71" i="46" s="1"/>
  <c r="F78" i="46"/>
  <c r="G78" i="46" s="1"/>
  <c r="F115" i="46"/>
  <c r="G115" i="46" s="1"/>
  <c r="F84" i="46"/>
  <c r="G84" i="46" s="1"/>
  <c r="F122" i="46"/>
  <c r="G122" i="46" s="1"/>
  <c r="F30" i="46"/>
  <c r="G30" i="46" s="1"/>
  <c r="F89" i="46"/>
  <c r="G89" i="46" s="1"/>
  <c r="F112" i="46"/>
  <c r="G112" i="46" s="1"/>
  <c r="F81" i="46"/>
  <c r="G81" i="46" s="1"/>
  <c r="F88" i="46"/>
  <c r="G88" i="46" s="1"/>
  <c r="F128" i="46"/>
  <c r="G128" i="46" s="1"/>
  <c r="F44" i="46"/>
  <c r="G44" i="46" s="1"/>
  <c r="F62" i="46"/>
  <c r="G62" i="46" s="1"/>
  <c r="F77" i="46"/>
  <c r="G77" i="46" s="1"/>
  <c r="F66" i="46"/>
  <c r="G66" i="46" s="1"/>
  <c r="F102" i="46"/>
  <c r="G102" i="46" s="1"/>
  <c r="F121" i="46"/>
  <c r="G121" i="46" s="1"/>
  <c r="F27" i="46"/>
  <c r="G27" i="46" s="1"/>
  <c r="F131" i="46"/>
  <c r="G131" i="46" s="1"/>
  <c r="F66" i="17"/>
  <c r="G40" i="30"/>
  <c r="D24" i="12" s="1"/>
  <c r="E28" i="60" s="1"/>
  <c r="F41" i="22"/>
  <c r="D23" i="12" s="1"/>
  <c r="E27" i="60" s="1"/>
  <c r="F41" i="17"/>
  <c r="E62" i="11"/>
  <c r="D30" i="12" l="1"/>
  <c r="E34" i="60" s="1"/>
  <c r="F87" i="11"/>
  <c r="F96" i="16" l="1"/>
  <c r="D32" i="12" s="1"/>
  <c r="E36" i="60" s="1"/>
  <c r="G20" i="30"/>
  <c r="G56" i="27" l="1"/>
  <c r="H56" i="27" s="1"/>
  <c r="C3" i="28" a="1"/>
  <c r="C5" i="28" a="1"/>
  <c r="C4" i="28" a="1"/>
  <c r="H7" i="27" l="1"/>
  <c r="H16" i="27"/>
  <c r="C3" i="28"/>
  <c r="K470" i="20" s="1"/>
  <c r="C4" i="28"/>
  <c r="L67" i="52" s="1"/>
  <c r="C5" i="28"/>
  <c r="J212" i="52" s="1"/>
  <c r="F30" i="10"/>
  <c r="F31" i="10"/>
  <c r="F32" i="10"/>
  <c r="F33" i="10"/>
  <c r="F34" i="10"/>
  <c r="F35" i="10"/>
  <c r="F36" i="10"/>
  <c r="F37" i="10"/>
  <c r="F38" i="10"/>
  <c r="F39" i="10"/>
  <c r="G1051" i="20" l="1"/>
  <c r="G1155" i="20"/>
  <c r="G1251" i="20"/>
  <c r="G1491" i="20"/>
  <c r="G1347" i="20"/>
  <c r="I1475" i="20"/>
  <c r="K1359" i="20"/>
  <c r="I1471" i="20"/>
  <c r="G1531" i="20"/>
  <c r="G1131" i="20"/>
  <c r="G1427" i="20"/>
  <c r="G931" i="20"/>
  <c r="G1483" i="20"/>
  <c r="G939" i="20"/>
  <c r="G1355" i="20"/>
  <c r="G1511" i="20"/>
  <c r="G1327" i="20"/>
  <c r="G1503" i="20"/>
  <c r="G1311" i="20"/>
  <c r="G239" i="20"/>
  <c r="G627" i="20"/>
  <c r="G371" i="20"/>
  <c r="G139" i="20"/>
  <c r="G1127" i="20"/>
  <c r="G1103" i="20"/>
  <c r="G927" i="20"/>
  <c r="G727" i="20"/>
  <c r="G495" i="20"/>
  <c r="I251" i="20"/>
  <c r="G867" i="20"/>
  <c r="G695" i="20"/>
  <c r="G471" i="20"/>
  <c r="G215" i="20"/>
  <c r="G603" i="20"/>
  <c r="G347" i="20"/>
  <c r="G115" i="20"/>
  <c r="I1451" i="20"/>
  <c r="I1207" i="20"/>
  <c r="I1463" i="20"/>
  <c r="I243" i="20"/>
  <c r="G1539" i="20"/>
  <c r="G1451" i="20"/>
  <c r="G1291" i="20"/>
  <c r="G1091" i="20"/>
  <c r="G839" i="20"/>
  <c r="G1487" i="20"/>
  <c r="G1295" i="20"/>
  <c r="G1095" i="20"/>
  <c r="G887" i="20"/>
  <c r="G687" i="20"/>
  <c r="G463" i="20"/>
  <c r="G207" i="20"/>
  <c r="G595" i="20"/>
  <c r="G339" i="20"/>
  <c r="G107" i="20"/>
  <c r="I1443" i="20"/>
  <c r="K1295" i="20"/>
  <c r="I1399" i="20"/>
  <c r="K391" i="20"/>
  <c r="G767" i="20"/>
  <c r="G1443" i="20"/>
  <c r="G1283" i="20"/>
  <c r="G1067" i="20"/>
  <c r="G827" i="20"/>
  <c r="G1447" i="20"/>
  <c r="G1247" i="20"/>
  <c r="G1039" i="20"/>
  <c r="G843" i="20"/>
  <c r="G631" i="20"/>
  <c r="G399" i="20"/>
  <c r="G787" i="20"/>
  <c r="G531" i="20"/>
  <c r="G275" i="20"/>
  <c r="G43" i="20"/>
  <c r="I1379" i="20"/>
  <c r="G71" i="20"/>
  <c r="I1367" i="20"/>
  <c r="G1243" i="20"/>
  <c r="G1035" i="20"/>
  <c r="G879" i="20"/>
  <c r="G1415" i="20"/>
  <c r="G1199" i="20"/>
  <c r="G999" i="20"/>
  <c r="G815" i="20"/>
  <c r="G599" i="20"/>
  <c r="G343" i="20"/>
  <c r="G731" i="20"/>
  <c r="G475" i="20"/>
  <c r="G219" i="20"/>
  <c r="I1191" i="20"/>
  <c r="I1323" i="20"/>
  <c r="G15" i="20"/>
  <c r="I955" i="20"/>
  <c r="G911" i="20"/>
  <c r="G1231" i="20"/>
  <c r="G895" i="20"/>
  <c r="G367" i="20"/>
  <c r="G499" i="20"/>
  <c r="G11" i="20"/>
  <c r="I1347" i="20"/>
  <c r="I987" i="20"/>
  <c r="G1571" i="20"/>
  <c r="G1515" i="20"/>
  <c r="G1387" i="20"/>
  <c r="G1187" i="20"/>
  <c r="G987" i="20"/>
  <c r="G1551" i="20"/>
  <c r="G1391" i="20"/>
  <c r="G1191" i="20"/>
  <c r="G991" i="20"/>
  <c r="G199" i="20"/>
  <c r="G591" i="20"/>
  <c r="G335" i="20"/>
  <c r="G723" i="20"/>
  <c r="G467" i="20"/>
  <c r="G211" i="20"/>
  <c r="I1571" i="20"/>
  <c r="I1315" i="20"/>
  <c r="G7" i="20"/>
  <c r="I795" i="20"/>
  <c r="G1439" i="20"/>
  <c r="G1031" i="20"/>
  <c r="G623" i="20"/>
  <c r="G755" i="20"/>
  <c r="G243" i="20"/>
  <c r="G39" i="20"/>
  <c r="G1419" i="20"/>
  <c r="G1507" i="20"/>
  <c r="G1379" i="20"/>
  <c r="G1179" i="20"/>
  <c r="G971" i="20"/>
  <c r="G1543" i="20"/>
  <c r="G1351" i="20"/>
  <c r="G1135" i="20"/>
  <c r="G935" i="20"/>
  <c r="G743" i="20"/>
  <c r="G527" i="20"/>
  <c r="G271" i="20"/>
  <c r="G659" i="20"/>
  <c r="G403" i="20"/>
  <c r="G171" i="20"/>
  <c r="I1507" i="20"/>
  <c r="I1251" i="20"/>
  <c r="I1527" i="20"/>
  <c r="K1455" i="20"/>
  <c r="I1343" i="20"/>
  <c r="I1335" i="20"/>
  <c r="I1271" i="20"/>
  <c r="I1239" i="20"/>
  <c r="K1487" i="20"/>
  <c r="I1115" i="20"/>
  <c r="I1091" i="20"/>
  <c r="I1495" i="20"/>
  <c r="I1083" i="20"/>
  <c r="I1019" i="20"/>
  <c r="K1503" i="20"/>
  <c r="K1391" i="20"/>
  <c r="I1127" i="20"/>
  <c r="I1039" i="20"/>
  <c r="K1231" i="20"/>
  <c r="I947" i="20"/>
  <c r="I1031" i="20"/>
  <c r="I1147" i="20"/>
  <c r="I867" i="20"/>
  <c r="I935" i="20"/>
  <c r="I779" i="20"/>
  <c r="I735" i="20"/>
  <c r="I855" i="20"/>
  <c r="I839" i="20"/>
  <c r="K1079" i="20"/>
  <c r="K487" i="20"/>
  <c r="I595" i="20"/>
  <c r="I491" i="20"/>
  <c r="I475" i="20"/>
  <c r="I363" i="20"/>
  <c r="I819" i="20"/>
  <c r="K1183" i="20"/>
  <c r="I1087" i="20"/>
  <c r="I887" i="20"/>
  <c r="K1343" i="20"/>
  <c r="I539" i="20"/>
  <c r="I299" i="20"/>
  <c r="K1411" i="20"/>
  <c r="G1555" i="20"/>
  <c r="G1499" i="20"/>
  <c r="G1435" i="20"/>
  <c r="G1371" i="20"/>
  <c r="G1259" i="20"/>
  <c r="G1163" i="20"/>
  <c r="G1059" i="20"/>
  <c r="G963" i="20"/>
  <c r="G811" i="20"/>
  <c r="G1519" i="20"/>
  <c r="G1423" i="20"/>
  <c r="G1319" i="20"/>
  <c r="G1223" i="20"/>
  <c r="G1119" i="20"/>
  <c r="G1007" i="20"/>
  <c r="G899" i="20"/>
  <c r="G863" i="20"/>
  <c r="G719" i="20"/>
  <c r="G615" i="20"/>
  <c r="G487" i="20"/>
  <c r="G359" i="20"/>
  <c r="G231" i="20"/>
  <c r="G747" i="20"/>
  <c r="G619" i="20"/>
  <c r="G491" i="20"/>
  <c r="G363" i="20"/>
  <c r="G235" i="20"/>
  <c r="G131" i="20"/>
  <c r="G3" i="20"/>
  <c r="I1467" i="20"/>
  <c r="I1339" i="20"/>
  <c r="I1199" i="20"/>
  <c r="G31" i="20"/>
  <c r="I1487" i="20"/>
  <c r="I1359" i="20"/>
  <c r="I1231" i="20"/>
  <c r="I1107" i="20"/>
  <c r="I971" i="20"/>
  <c r="I811" i="20"/>
  <c r="K1543" i="20"/>
  <c r="I1079" i="20"/>
  <c r="I871" i="20"/>
  <c r="K1279" i="20"/>
  <c r="I515" i="20"/>
  <c r="I291" i="20"/>
  <c r="I67" i="20"/>
  <c r="G1383" i="20"/>
  <c r="G1287" i="20"/>
  <c r="G1183" i="20"/>
  <c r="G1071" i="20"/>
  <c r="G975" i="20"/>
  <c r="G855" i="20"/>
  <c r="G167" i="20"/>
  <c r="G679" i="20"/>
  <c r="G559" i="20"/>
  <c r="G431" i="20"/>
  <c r="G303" i="20"/>
  <c r="G203" i="20"/>
  <c r="G691" i="20"/>
  <c r="G563" i="20"/>
  <c r="G435" i="20"/>
  <c r="G307" i="20"/>
  <c r="G159" i="20"/>
  <c r="G75" i="20"/>
  <c r="I1539" i="20"/>
  <c r="I1411" i="20"/>
  <c r="I1283" i="20"/>
  <c r="G103" i="20"/>
  <c r="I1559" i="20"/>
  <c r="I1431" i="20"/>
  <c r="I1303" i="20"/>
  <c r="I1179" i="20"/>
  <c r="I1051" i="20"/>
  <c r="I907" i="20"/>
  <c r="I739" i="20"/>
  <c r="I1175" i="20"/>
  <c r="I983" i="20"/>
  <c r="I791" i="20"/>
  <c r="I659" i="20"/>
  <c r="I419" i="20"/>
  <c r="I171" i="20"/>
  <c r="G1475" i="20"/>
  <c r="G1323" i="20"/>
  <c r="G1123" i="20"/>
  <c r="G923" i="20"/>
  <c r="G1563" i="20"/>
  <c r="G891" i="20"/>
  <c r="G1467" i="20"/>
  <c r="G1403" i="20"/>
  <c r="G1315" i="20"/>
  <c r="G1219" i="20"/>
  <c r="G1115" i="20"/>
  <c r="G1003" i="20"/>
  <c r="G883" i="20"/>
  <c r="G1575" i="20"/>
  <c r="G1479" i="20"/>
  <c r="G1375" i="20"/>
  <c r="G1263" i="20"/>
  <c r="G1167" i="20"/>
  <c r="G1063" i="20"/>
  <c r="G967" i="20"/>
  <c r="G819" i="20"/>
  <c r="G759" i="20"/>
  <c r="G663" i="20"/>
  <c r="G551" i="20"/>
  <c r="G423" i="20"/>
  <c r="G295" i="20"/>
  <c r="G183" i="20"/>
  <c r="G683" i="20"/>
  <c r="G555" i="20"/>
  <c r="G427" i="20"/>
  <c r="G299" i="20"/>
  <c r="G195" i="20"/>
  <c r="G67" i="20"/>
  <c r="I1531" i="20"/>
  <c r="I1403" i="20"/>
  <c r="I1275" i="20"/>
  <c r="G95" i="20"/>
  <c r="I1551" i="20"/>
  <c r="I1423" i="20"/>
  <c r="I1295" i="20"/>
  <c r="I1171" i="20"/>
  <c r="I1043" i="20"/>
  <c r="I891" i="20"/>
  <c r="I731" i="20"/>
  <c r="I1167" i="20"/>
  <c r="I967" i="20"/>
  <c r="I783" i="20"/>
  <c r="I635" i="20"/>
  <c r="I403" i="20"/>
  <c r="I163" i="20"/>
  <c r="G1547" i="20"/>
  <c r="G1411" i="20"/>
  <c r="G1227" i="20"/>
  <c r="G1027" i="20"/>
  <c r="G807" i="20"/>
  <c r="G859" i="20"/>
  <c r="G1523" i="20"/>
  <c r="G1459" i="20"/>
  <c r="G1395" i="20"/>
  <c r="G1307" i="20"/>
  <c r="G1195" i="20"/>
  <c r="G1099" i="20"/>
  <c r="G995" i="20"/>
  <c r="G851" i="20"/>
  <c r="G1567" i="20"/>
  <c r="G1455" i="20"/>
  <c r="G1359" i="20"/>
  <c r="G1255" i="20"/>
  <c r="G1159" i="20"/>
  <c r="G1055" i="20"/>
  <c r="G943" i="20"/>
  <c r="G875" i="20"/>
  <c r="G751" i="20"/>
  <c r="G655" i="20"/>
  <c r="G535" i="20"/>
  <c r="G407" i="20"/>
  <c r="G279" i="20"/>
  <c r="G795" i="20"/>
  <c r="G667" i="20"/>
  <c r="G539" i="20"/>
  <c r="G411" i="20"/>
  <c r="G283" i="20"/>
  <c r="G179" i="20"/>
  <c r="G51" i="20"/>
  <c r="I1515" i="20"/>
  <c r="I1387" i="20"/>
  <c r="I1259" i="20"/>
  <c r="G79" i="20"/>
  <c r="I1535" i="20"/>
  <c r="I1407" i="20"/>
  <c r="I1279" i="20"/>
  <c r="I1155" i="20"/>
  <c r="I1027" i="20"/>
  <c r="I875" i="20"/>
  <c r="I699" i="20"/>
  <c r="I1151" i="20"/>
  <c r="I951" i="20"/>
  <c r="I743" i="20"/>
  <c r="I611" i="20"/>
  <c r="I371" i="20"/>
  <c r="K1551" i="20"/>
  <c r="K423" i="20"/>
  <c r="K1415" i="20"/>
  <c r="K1303" i="20"/>
  <c r="K1207" i="20"/>
  <c r="K1191" i="20"/>
  <c r="I599" i="20"/>
  <c r="I511" i="20"/>
  <c r="I431" i="20"/>
  <c r="I423" i="20"/>
  <c r="I255" i="20"/>
  <c r="I167" i="20"/>
  <c r="I79" i="20"/>
  <c r="I71" i="20"/>
  <c r="K963" i="20"/>
  <c r="K755" i="20"/>
  <c r="K455" i="20"/>
  <c r="G1363" i="20"/>
  <c r="G1299" i="20"/>
  <c r="G1235" i="20"/>
  <c r="G1171" i="20"/>
  <c r="G1107" i="20"/>
  <c r="G1043" i="20"/>
  <c r="G979" i="20"/>
  <c r="G915" i="20"/>
  <c r="G791" i="20"/>
  <c r="G1559" i="20"/>
  <c r="G1495" i="20"/>
  <c r="G1431" i="20"/>
  <c r="G1367" i="20"/>
  <c r="G1303" i="20"/>
  <c r="G1239" i="20"/>
  <c r="G1175" i="20"/>
  <c r="G1111" i="20"/>
  <c r="G1047" i="20"/>
  <c r="G983" i="20"/>
  <c r="G919" i="20"/>
  <c r="G907" i="20"/>
  <c r="G775" i="20"/>
  <c r="G735" i="20"/>
  <c r="G671" i="20"/>
  <c r="G607" i="20"/>
  <c r="G543" i="20"/>
  <c r="G479" i="20"/>
  <c r="G415" i="20"/>
  <c r="G351" i="20"/>
  <c r="G287" i="20"/>
  <c r="G223" i="20"/>
  <c r="G803" i="20"/>
  <c r="G739" i="20"/>
  <c r="G675" i="20"/>
  <c r="G611" i="20"/>
  <c r="G547" i="20"/>
  <c r="G483" i="20"/>
  <c r="G419" i="20"/>
  <c r="G355" i="20"/>
  <c r="G291" i="20"/>
  <c r="G227" i="20"/>
  <c r="G187" i="20"/>
  <c r="G123" i="20"/>
  <c r="G59" i="20"/>
  <c r="I1219" i="20"/>
  <c r="I1523" i="20"/>
  <c r="I1459" i="20"/>
  <c r="I1395" i="20"/>
  <c r="I1331" i="20"/>
  <c r="I1267" i="20"/>
  <c r="K1099" i="20"/>
  <c r="G87" i="20"/>
  <c r="G23" i="20"/>
  <c r="I1543" i="20"/>
  <c r="I1479" i="20"/>
  <c r="I1415" i="20"/>
  <c r="I1351" i="20"/>
  <c r="I1287" i="20"/>
  <c r="I1223" i="20"/>
  <c r="I1163" i="20"/>
  <c r="I1099" i="20"/>
  <c r="I1035" i="20"/>
  <c r="I963" i="20"/>
  <c r="I883" i="20"/>
  <c r="I803" i="20"/>
  <c r="I715" i="20"/>
  <c r="K1519" i="20"/>
  <c r="I1159" i="20"/>
  <c r="I1055" i="20"/>
  <c r="I959" i="20"/>
  <c r="I863" i="20"/>
  <c r="I767" i="20"/>
  <c r="K1151" i="20"/>
  <c r="I619" i="20"/>
  <c r="I507" i="20"/>
  <c r="I387" i="20"/>
  <c r="I275" i="20"/>
  <c r="I147" i="20"/>
  <c r="K1287" i="20"/>
  <c r="I487" i="20"/>
  <c r="K1559" i="20"/>
  <c r="K707" i="20"/>
  <c r="K795" i="20"/>
  <c r="G1339" i="20"/>
  <c r="G1275" i="20"/>
  <c r="G1211" i="20"/>
  <c r="G1147" i="20"/>
  <c r="G1083" i="20"/>
  <c r="G1019" i="20"/>
  <c r="G955" i="20"/>
  <c r="G903" i="20"/>
  <c r="G847" i="20"/>
  <c r="G1535" i="20"/>
  <c r="G1471" i="20"/>
  <c r="G1407" i="20"/>
  <c r="G1343" i="20"/>
  <c r="G1279" i="20"/>
  <c r="G1215" i="20"/>
  <c r="G1151" i="20"/>
  <c r="G1087" i="20"/>
  <c r="G1023" i="20"/>
  <c r="G959" i="20"/>
  <c r="G835" i="20"/>
  <c r="G831" i="20"/>
  <c r="G143" i="20"/>
  <c r="G711" i="20"/>
  <c r="G647" i="20"/>
  <c r="G583" i="20"/>
  <c r="G519" i="20"/>
  <c r="G455" i="20"/>
  <c r="G391" i="20"/>
  <c r="G327" i="20"/>
  <c r="G263" i="20"/>
  <c r="K1167" i="20"/>
  <c r="G779" i="20"/>
  <c r="G715" i="20"/>
  <c r="G651" i="20"/>
  <c r="G587" i="20"/>
  <c r="G523" i="20"/>
  <c r="G459" i="20"/>
  <c r="G395" i="20"/>
  <c r="G331" i="20"/>
  <c r="G267" i="20"/>
  <c r="G135" i="20"/>
  <c r="G163" i="20"/>
  <c r="G99" i="20"/>
  <c r="G35" i="20"/>
  <c r="I1563" i="20"/>
  <c r="I1499" i="20"/>
  <c r="I1435" i="20"/>
  <c r="I1371" i="20"/>
  <c r="I1307" i="20"/>
  <c r="I1243" i="20"/>
  <c r="G127" i="20"/>
  <c r="G63" i="20"/>
  <c r="I1215" i="20"/>
  <c r="I1519" i="20"/>
  <c r="I1455" i="20"/>
  <c r="I1391" i="20"/>
  <c r="I1327" i="20"/>
  <c r="I1263" i="20"/>
  <c r="I1203" i="20"/>
  <c r="I1139" i="20"/>
  <c r="I1075" i="20"/>
  <c r="I1011" i="20"/>
  <c r="I939" i="20"/>
  <c r="I859" i="20"/>
  <c r="I763" i="20"/>
  <c r="K1439" i="20"/>
  <c r="K1327" i="20"/>
  <c r="I1111" i="20"/>
  <c r="I1023" i="20"/>
  <c r="I927" i="20"/>
  <c r="I823" i="20"/>
  <c r="I719" i="20"/>
  <c r="I691" i="20"/>
  <c r="I579" i="20"/>
  <c r="I467" i="20"/>
  <c r="I347" i="20"/>
  <c r="I227" i="20"/>
  <c r="K1575" i="20"/>
  <c r="I679" i="20"/>
  <c r="I343" i="20"/>
  <c r="K503" i="20"/>
  <c r="K1507" i="20"/>
  <c r="G1331" i="20"/>
  <c r="G1267" i="20"/>
  <c r="G1203" i="20"/>
  <c r="G1139" i="20"/>
  <c r="G1075" i="20"/>
  <c r="G1011" i="20"/>
  <c r="G947" i="20"/>
  <c r="G871" i="20"/>
  <c r="G823" i="20"/>
  <c r="G1527" i="20"/>
  <c r="G1463" i="20"/>
  <c r="G1399" i="20"/>
  <c r="G1335" i="20"/>
  <c r="G1271" i="20"/>
  <c r="G1207" i="20"/>
  <c r="G1143" i="20"/>
  <c r="G1079" i="20"/>
  <c r="G1015" i="20"/>
  <c r="G951" i="20"/>
  <c r="G783" i="20"/>
  <c r="G799" i="20"/>
  <c r="K1423" i="20"/>
  <c r="G703" i="20"/>
  <c r="G639" i="20"/>
  <c r="G575" i="20"/>
  <c r="G511" i="20"/>
  <c r="G447" i="20"/>
  <c r="G383" i="20"/>
  <c r="G319" i="20"/>
  <c r="G255" i="20"/>
  <c r="G175" i="20"/>
  <c r="G771" i="20"/>
  <c r="G707" i="20"/>
  <c r="G643" i="20"/>
  <c r="G579" i="20"/>
  <c r="G515" i="20"/>
  <c r="G451" i="20"/>
  <c r="G387" i="20"/>
  <c r="G323" i="20"/>
  <c r="G259" i="20"/>
  <c r="I1211" i="20"/>
  <c r="G155" i="20"/>
  <c r="G91" i="20"/>
  <c r="G27" i="20"/>
  <c r="I1555" i="20"/>
  <c r="I1491" i="20"/>
  <c r="I1427" i="20"/>
  <c r="I1363" i="20"/>
  <c r="I1299" i="20"/>
  <c r="I1235" i="20"/>
  <c r="G119" i="20"/>
  <c r="G55" i="20"/>
  <c r="I1575" i="20"/>
  <c r="I1511" i="20"/>
  <c r="I1447" i="20"/>
  <c r="I1383" i="20"/>
  <c r="I1319" i="20"/>
  <c r="I1255" i="20"/>
  <c r="I1195" i="20"/>
  <c r="I1131" i="20"/>
  <c r="I1067" i="20"/>
  <c r="I1003" i="20"/>
  <c r="I931" i="20"/>
  <c r="I843" i="20"/>
  <c r="I755" i="20"/>
  <c r="K1375" i="20"/>
  <c r="K1199" i="20"/>
  <c r="I1103" i="20"/>
  <c r="I1015" i="20"/>
  <c r="I911" i="20"/>
  <c r="I807" i="20"/>
  <c r="I711" i="20"/>
  <c r="I683" i="20"/>
  <c r="I563" i="20"/>
  <c r="I443" i="20"/>
  <c r="I323" i="20"/>
  <c r="I219" i="20"/>
  <c r="K1463" i="20"/>
  <c r="I663" i="20"/>
  <c r="I319" i="20"/>
  <c r="K247" i="20"/>
  <c r="K1483" i="20"/>
  <c r="G567" i="20"/>
  <c r="G503" i="20"/>
  <c r="G439" i="20"/>
  <c r="G375" i="20"/>
  <c r="G311" i="20"/>
  <c r="G247" i="20"/>
  <c r="G151" i="20"/>
  <c r="G763" i="20"/>
  <c r="G699" i="20"/>
  <c r="G635" i="20"/>
  <c r="G571" i="20"/>
  <c r="G507" i="20"/>
  <c r="G443" i="20"/>
  <c r="G379" i="20"/>
  <c r="G315" i="20"/>
  <c r="G251" i="20"/>
  <c r="G191" i="20"/>
  <c r="G147" i="20"/>
  <c r="G83" i="20"/>
  <c r="G19" i="20"/>
  <c r="I1547" i="20"/>
  <c r="I1483" i="20"/>
  <c r="I1419" i="20"/>
  <c r="I1355" i="20"/>
  <c r="I1291" i="20"/>
  <c r="I1227" i="20"/>
  <c r="G111" i="20"/>
  <c r="G47" i="20"/>
  <c r="I1567" i="20"/>
  <c r="I1503" i="20"/>
  <c r="I1439" i="20"/>
  <c r="I1375" i="20"/>
  <c r="I1311" i="20"/>
  <c r="I1247" i="20"/>
  <c r="I1187" i="20"/>
  <c r="I1123" i="20"/>
  <c r="I1059" i="20"/>
  <c r="I995" i="20"/>
  <c r="I923" i="20"/>
  <c r="I827" i="20"/>
  <c r="I747" i="20"/>
  <c r="K1311" i="20"/>
  <c r="I1183" i="20"/>
  <c r="I1095" i="20"/>
  <c r="I999" i="20"/>
  <c r="I895" i="20"/>
  <c r="I799" i="20"/>
  <c r="I695" i="20"/>
  <c r="I667" i="20"/>
  <c r="I547" i="20"/>
  <c r="I435" i="20"/>
  <c r="I315" i="20"/>
  <c r="I187" i="20"/>
  <c r="K1431" i="20"/>
  <c r="I607" i="20"/>
  <c r="I263" i="20"/>
  <c r="K995" i="20"/>
  <c r="K1419" i="20"/>
  <c r="I727" i="20"/>
  <c r="K1215" i="20"/>
  <c r="I675" i="20"/>
  <c r="I603" i="20"/>
  <c r="I531" i="20"/>
  <c r="I451" i="20"/>
  <c r="I379" i="20"/>
  <c r="I307" i="20"/>
  <c r="I235" i="20"/>
  <c r="I155" i="20"/>
  <c r="K1447" i="20"/>
  <c r="K1271" i="20"/>
  <c r="I647" i="20"/>
  <c r="I479" i="20"/>
  <c r="I303" i="20"/>
  <c r="I135" i="20"/>
  <c r="K1107" i="20"/>
  <c r="K691" i="20"/>
  <c r="K1475" i="20"/>
  <c r="K119" i="20"/>
  <c r="I979" i="20"/>
  <c r="I915" i="20"/>
  <c r="I851" i="20"/>
  <c r="I787" i="20"/>
  <c r="I723" i="20"/>
  <c r="K1247" i="20"/>
  <c r="K1263" i="20"/>
  <c r="I1143" i="20"/>
  <c r="I1063" i="20"/>
  <c r="I991" i="20"/>
  <c r="I919" i="20"/>
  <c r="I847" i="20"/>
  <c r="I775" i="20"/>
  <c r="I703" i="20"/>
  <c r="I131" i="20"/>
  <c r="I643" i="20"/>
  <c r="I571" i="20"/>
  <c r="I499" i="20"/>
  <c r="I427" i="20"/>
  <c r="I355" i="20"/>
  <c r="I283" i="20"/>
  <c r="I211" i="20"/>
  <c r="K1111" i="20"/>
  <c r="K1399" i="20"/>
  <c r="K1159" i="20"/>
  <c r="I575" i="20"/>
  <c r="I407" i="20"/>
  <c r="I231" i="20"/>
  <c r="I47" i="20"/>
  <c r="K931" i="20"/>
  <c r="K127" i="20"/>
  <c r="K1379" i="20"/>
  <c r="K1335" i="20"/>
  <c r="K1143" i="20"/>
  <c r="I559" i="20"/>
  <c r="I391" i="20"/>
  <c r="I223" i="20"/>
  <c r="I39" i="20"/>
  <c r="K883" i="20"/>
  <c r="K1571" i="20"/>
  <c r="K1355" i="20"/>
  <c r="I899" i="20"/>
  <c r="I835" i="20"/>
  <c r="I771" i="20"/>
  <c r="I707" i="20"/>
  <c r="K1119" i="20"/>
  <c r="K295" i="20"/>
  <c r="I1119" i="20"/>
  <c r="I1047" i="20"/>
  <c r="I975" i="20"/>
  <c r="I903" i="20"/>
  <c r="I831" i="20"/>
  <c r="I759" i="20"/>
  <c r="K1407" i="20"/>
  <c r="K231" i="20"/>
  <c r="I627" i="20"/>
  <c r="I555" i="20"/>
  <c r="I483" i="20"/>
  <c r="I411" i="20"/>
  <c r="I339" i="20"/>
  <c r="I259" i="20"/>
  <c r="I179" i="20"/>
  <c r="K167" i="20"/>
  <c r="K1319" i="20"/>
  <c r="I687" i="20"/>
  <c r="I519" i="20"/>
  <c r="I351" i="20"/>
  <c r="I175" i="20"/>
  <c r="K567" i="20"/>
  <c r="K803" i="20"/>
  <c r="K1515" i="20"/>
  <c r="K1283" i="20"/>
  <c r="K1267" i="20"/>
  <c r="K1235" i="20"/>
  <c r="K1203" i="20"/>
  <c r="K1115" i="20"/>
  <c r="K1083" i="20"/>
  <c r="I99" i="20"/>
  <c r="K1175" i="20"/>
  <c r="I671" i="20"/>
  <c r="I583" i="20"/>
  <c r="I495" i="20"/>
  <c r="I415" i="20"/>
  <c r="I327" i="20"/>
  <c r="I239" i="20"/>
  <c r="I159" i="20"/>
  <c r="I55" i="20"/>
  <c r="K311" i="20"/>
  <c r="K947" i="20"/>
  <c r="K739" i="20"/>
  <c r="K327" i="20"/>
  <c r="K1491" i="20"/>
  <c r="K1387" i="20"/>
  <c r="K1243" i="20"/>
  <c r="I107" i="20"/>
  <c r="K999" i="20"/>
  <c r="K1511" i="20"/>
  <c r="K1383" i="20"/>
  <c r="K1255" i="20"/>
  <c r="K1535" i="20"/>
  <c r="I639" i="20"/>
  <c r="I551" i="20"/>
  <c r="I471" i="20"/>
  <c r="I383" i="20"/>
  <c r="I295" i="20"/>
  <c r="I215" i="20"/>
  <c r="I119" i="20"/>
  <c r="I15" i="20"/>
  <c r="K1075" i="20"/>
  <c r="K867" i="20"/>
  <c r="K103" i="20"/>
  <c r="K1555" i="20"/>
  <c r="K1451" i="20"/>
  <c r="K1347" i="20"/>
  <c r="K1187" i="20"/>
  <c r="I59" i="20"/>
  <c r="K551" i="20"/>
  <c r="K1135" i="20"/>
  <c r="I1135" i="20"/>
  <c r="I1071" i="20"/>
  <c r="I1007" i="20"/>
  <c r="I943" i="20"/>
  <c r="I879" i="20"/>
  <c r="I815" i="20"/>
  <c r="I751" i="20"/>
  <c r="K1471" i="20"/>
  <c r="K1567" i="20"/>
  <c r="I651" i="20"/>
  <c r="I587" i="20"/>
  <c r="I523" i="20"/>
  <c r="I459" i="20"/>
  <c r="I395" i="20"/>
  <c r="I331" i="20"/>
  <c r="I267" i="20"/>
  <c r="I203" i="20"/>
  <c r="I139" i="20"/>
  <c r="K1495" i="20"/>
  <c r="K1367" i="20"/>
  <c r="K1239" i="20"/>
  <c r="K615" i="20"/>
  <c r="I623" i="20"/>
  <c r="I543" i="20"/>
  <c r="I455" i="20"/>
  <c r="I367" i="20"/>
  <c r="I287" i="20"/>
  <c r="I199" i="20"/>
  <c r="I111" i="20"/>
  <c r="I7" i="20"/>
  <c r="K1059" i="20"/>
  <c r="K835" i="20"/>
  <c r="K647" i="20"/>
  <c r="K1547" i="20"/>
  <c r="K1443" i="20"/>
  <c r="K1315" i="20"/>
  <c r="K1163" i="20"/>
  <c r="I27" i="20"/>
  <c r="I195" i="20"/>
  <c r="K1527" i="20"/>
  <c r="K1479" i="20"/>
  <c r="K1351" i="20"/>
  <c r="K1223" i="20"/>
  <c r="K359" i="20"/>
  <c r="I615" i="20"/>
  <c r="I535" i="20"/>
  <c r="I447" i="20"/>
  <c r="I359" i="20"/>
  <c r="I279" i="20"/>
  <c r="I191" i="20"/>
  <c r="I103" i="20"/>
  <c r="K631" i="20"/>
  <c r="K1011" i="20"/>
  <c r="K819" i="20"/>
  <c r="K583" i="20"/>
  <c r="K1539" i="20"/>
  <c r="K1427" i="20"/>
  <c r="K1307" i="20"/>
  <c r="K1155" i="20"/>
  <c r="K407" i="20"/>
  <c r="I19" i="20"/>
  <c r="K63" i="20"/>
  <c r="I151" i="20"/>
  <c r="I95" i="20"/>
  <c r="I31" i="20"/>
  <c r="K439" i="20"/>
  <c r="K1043" i="20"/>
  <c r="K915" i="20"/>
  <c r="K787" i="20"/>
  <c r="K1095" i="20"/>
  <c r="K263" i="20"/>
  <c r="K1531" i="20"/>
  <c r="K1467" i="20"/>
  <c r="K1403" i="20"/>
  <c r="K1331" i="20"/>
  <c r="K1259" i="20"/>
  <c r="K1179" i="20"/>
  <c r="K39" i="20"/>
  <c r="I43" i="20"/>
  <c r="K1035" i="20"/>
  <c r="K539" i="20"/>
  <c r="K1127" i="20"/>
  <c r="I655" i="20"/>
  <c r="I591" i="20"/>
  <c r="I527" i="20"/>
  <c r="I463" i="20"/>
  <c r="I399" i="20"/>
  <c r="I335" i="20"/>
  <c r="I271" i="20"/>
  <c r="I207" i="20"/>
  <c r="I143" i="20"/>
  <c r="I87" i="20"/>
  <c r="I23" i="20"/>
  <c r="K375" i="20"/>
  <c r="K1027" i="20"/>
  <c r="K899" i="20"/>
  <c r="K771" i="20"/>
  <c r="K671" i="20"/>
  <c r="K199" i="20"/>
  <c r="K1523" i="20"/>
  <c r="K1459" i="20"/>
  <c r="K1395" i="20"/>
  <c r="K1323" i="20"/>
  <c r="K1251" i="20"/>
  <c r="K1171" i="20"/>
  <c r="I123" i="20"/>
  <c r="I35" i="20"/>
  <c r="K939" i="20"/>
  <c r="I83" i="51"/>
  <c r="K875" i="20"/>
  <c r="I631" i="20"/>
  <c r="I567" i="20"/>
  <c r="I503" i="20"/>
  <c r="I439" i="20"/>
  <c r="I375" i="20"/>
  <c r="I311" i="20"/>
  <c r="I247" i="20"/>
  <c r="I183" i="20"/>
  <c r="I127" i="20"/>
  <c r="I63" i="20"/>
  <c r="K1087" i="20"/>
  <c r="K183" i="20"/>
  <c r="K979" i="20"/>
  <c r="K851" i="20"/>
  <c r="K723" i="20"/>
  <c r="K519" i="20"/>
  <c r="K1563" i="20"/>
  <c r="K1499" i="20"/>
  <c r="K1435" i="20"/>
  <c r="K1371" i="20"/>
  <c r="K1299" i="20"/>
  <c r="K1227" i="20"/>
  <c r="K1139" i="20"/>
  <c r="I91" i="20"/>
  <c r="I3" i="20"/>
  <c r="K747" i="20"/>
  <c r="K1363" i="20"/>
  <c r="K1291" i="20"/>
  <c r="K1219" i="20"/>
  <c r="K1131" i="20"/>
  <c r="I75" i="20"/>
  <c r="K471" i="20"/>
  <c r="K731" i="20"/>
  <c r="K79" i="20"/>
  <c r="H1295" i="52"/>
  <c r="K1019" i="20"/>
  <c r="K55" i="20"/>
  <c r="K967" i="20"/>
  <c r="K935" i="20"/>
  <c r="K927" i="20"/>
  <c r="K895" i="20"/>
  <c r="K863" i="20"/>
  <c r="I1098" i="20"/>
  <c r="G442" i="20"/>
  <c r="G774" i="20"/>
  <c r="G1002" i="20"/>
  <c r="G590" i="20"/>
  <c r="I1218" i="20"/>
  <c r="I158" i="20"/>
  <c r="G1006" i="20"/>
  <c r="G374" i="20"/>
  <c r="K422" i="20"/>
  <c r="G286" i="20"/>
  <c r="K14" i="20"/>
  <c r="G1238" i="20"/>
  <c r="G890" i="20"/>
  <c r="I1534" i="20"/>
  <c r="G1410" i="20"/>
  <c r="G602" i="20"/>
  <c r="G1574" i="20"/>
  <c r="I1354" i="20"/>
  <c r="G1414" i="20"/>
  <c r="G30" i="20"/>
  <c r="G1158" i="20"/>
  <c r="G682" i="20"/>
  <c r="I1270" i="20"/>
  <c r="G1394" i="20"/>
  <c r="G782" i="20"/>
  <c r="I762" i="20"/>
  <c r="G1218" i="20"/>
  <c r="I2" i="20"/>
  <c r="I1134" i="20"/>
  <c r="G1234" i="20"/>
  <c r="G1478" i="20"/>
  <c r="G1062" i="20"/>
  <c r="G630" i="20"/>
  <c r="G222" i="20"/>
  <c r="G482" i="20"/>
  <c r="I1394" i="20"/>
  <c r="I1422" i="20"/>
  <c r="I858" i="20"/>
  <c r="I350" i="20"/>
  <c r="K1450" i="20"/>
  <c r="G1170" i="20"/>
  <c r="G934" i="20"/>
  <c r="G866" i="20"/>
  <c r="I1250" i="20"/>
  <c r="I610" i="20"/>
  <c r="K258" i="20"/>
  <c r="G1538" i="20"/>
  <c r="G1090" i="20"/>
  <c r="G1342" i="20"/>
  <c r="I1202" i="20"/>
  <c r="G462" i="20"/>
  <c r="G802" i="20"/>
  <c r="G282" i="20"/>
  <c r="G166" i="20"/>
  <c r="I566" i="20"/>
  <c r="I594" i="20"/>
  <c r="I234" i="20"/>
  <c r="G2" i="20"/>
  <c r="G1382" i="20"/>
  <c r="G550" i="20"/>
  <c r="G314" i="20"/>
  <c r="I1262" i="20"/>
  <c r="I466" i="20"/>
  <c r="G1498" i="20"/>
  <c r="G1066" i="20"/>
  <c r="G1254" i="20"/>
  <c r="G870" i="20"/>
  <c r="G454" i="20"/>
  <c r="G706" i="20"/>
  <c r="G154" i="20"/>
  <c r="G158" i="20"/>
  <c r="I1130" i="20"/>
  <c r="I654" i="20"/>
  <c r="I226" i="20"/>
  <c r="I1026" i="20"/>
  <c r="I1118" i="20"/>
  <c r="K1294" i="20"/>
  <c r="G1322" i="20"/>
  <c r="G1558" i="20"/>
  <c r="G1070" i="20"/>
  <c r="G694" i="20"/>
  <c r="G270" i="20"/>
  <c r="G530" i="20"/>
  <c r="I1506" i="20"/>
  <c r="I1470" i="20"/>
  <c r="I898" i="20"/>
  <c r="I894" i="20"/>
  <c r="K1254" i="20"/>
  <c r="K783" i="20"/>
  <c r="K735" i="20"/>
  <c r="K695" i="20"/>
  <c r="K639" i="20"/>
  <c r="K527" i="20"/>
  <c r="G1426" i="20"/>
  <c r="G1266" i="20"/>
  <c r="G1106" i="20"/>
  <c r="G922" i="20"/>
  <c r="G1446" i="20"/>
  <c r="G1262" i="20"/>
  <c r="G1110" i="20"/>
  <c r="G942" i="20"/>
  <c r="G798" i="20"/>
  <c r="G654" i="20"/>
  <c r="G478" i="20"/>
  <c r="G326" i="20"/>
  <c r="G906" i="20"/>
  <c r="G714" i="20"/>
  <c r="G554" i="20"/>
  <c r="G330" i="20"/>
  <c r="G66" i="20"/>
  <c r="I1410" i="20"/>
  <c r="G190" i="20"/>
  <c r="I198" i="20"/>
  <c r="I1294" i="20"/>
  <c r="I86" i="20"/>
  <c r="I922" i="20"/>
  <c r="I674" i="20"/>
  <c r="I182" i="20"/>
  <c r="I782" i="20"/>
  <c r="I354" i="20"/>
  <c r="K1518" i="20"/>
  <c r="K1022" i="20"/>
  <c r="G1522" i="20"/>
  <c r="G1370" i="20"/>
  <c r="G1202" i="20"/>
  <c r="G1026" i="20"/>
  <c r="G1542" i="20"/>
  <c r="G1366" i="20"/>
  <c r="G1214" i="20"/>
  <c r="G1046" i="20"/>
  <c r="G902" i="20"/>
  <c r="G758" i="20"/>
  <c r="G582" i="20"/>
  <c r="G422" i="20"/>
  <c r="G262" i="20"/>
  <c r="G826" i="20"/>
  <c r="G674" i="20"/>
  <c r="G466" i="20"/>
  <c r="G250" i="20"/>
  <c r="I1570" i="20"/>
  <c r="I1290" i="20"/>
  <c r="G126" i="20"/>
  <c r="I1462" i="20"/>
  <c r="I366" i="20"/>
  <c r="I1090" i="20"/>
  <c r="I794" i="20"/>
  <c r="I422" i="20"/>
  <c r="I1070" i="20"/>
  <c r="I70" i="20"/>
  <c r="I170" i="20"/>
  <c r="K1150" i="20"/>
  <c r="K218" i="20"/>
  <c r="G1514" i="20"/>
  <c r="G1330" i="20"/>
  <c r="G1194" i="20"/>
  <c r="G1010" i="20"/>
  <c r="G1518" i="20"/>
  <c r="G1350" i="20"/>
  <c r="G1174" i="20"/>
  <c r="G1030" i="20"/>
  <c r="G886" i="20"/>
  <c r="G734" i="20"/>
  <c r="G566" i="20"/>
  <c r="G390" i="20"/>
  <c r="G246" i="20"/>
  <c r="G818" i="20"/>
  <c r="G642" i="20"/>
  <c r="G458" i="20"/>
  <c r="I554" i="20"/>
  <c r="I1554" i="20"/>
  <c r="I1266" i="20"/>
  <c r="G94" i="20"/>
  <c r="I1438" i="20"/>
  <c r="I598" i="20"/>
  <c r="I1066" i="20"/>
  <c r="I778" i="20"/>
  <c r="K698" i="20"/>
  <c r="I1006" i="20"/>
  <c r="I94" i="20"/>
  <c r="I66" i="20"/>
  <c r="K182" i="20"/>
  <c r="G1474" i="20"/>
  <c r="G1306" i="20"/>
  <c r="G1130" i="20"/>
  <c r="G986" i="20"/>
  <c r="G1470" i="20"/>
  <c r="G1318" i="20"/>
  <c r="G1150" i="20"/>
  <c r="G966" i="20"/>
  <c r="G862" i="20"/>
  <c r="G678" i="20"/>
  <c r="G526" i="20"/>
  <c r="G358" i="20"/>
  <c r="G170" i="20"/>
  <c r="G786" i="20"/>
  <c r="G586" i="20"/>
  <c r="G410" i="20"/>
  <c r="G130" i="20"/>
  <c r="I1458" i="20"/>
  <c r="I1226" i="20"/>
  <c r="G14" i="20"/>
  <c r="I1374" i="20"/>
  <c r="I534" i="20"/>
  <c r="I962" i="20"/>
  <c r="I746" i="20"/>
  <c r="I638" i="20"/>
  <c r="I878" i="20"/>
  <c r="I458" i="20"/>
  <c r="I126" i="20"/>
  <c r="K1418" i="20"/>
  <c r="K135" i="20"/>
  <c r="G1434" i="20"/>
  <c r="G1298" i="20"/>
  <c r="G1114" i="20"/>
  <c r="G962" i="20"/>
  <c r="G1454" i="20"/>
  <c r="G1278" i="20"/>
  <c r="G1134" i="20"/>
  <c r="G958" i="20"/>
  <c r="G838" i="20"/>
  <c r="G670" i="20"/>
  <c r="G486" i="20"/>
  <c r="G350" i="20"/>
  <c r="G914" i="20"/>
  <c r="G762" i="20"/>
  <c r="G570" i="20"/>
  <c r="G346" i="20"/>
  <c r="G106" i="20"/>
  <c r="I1426" i="20"/>
  <c r="I570" i="20"/>
  <c r="I538" i="20"/>
  <c r="I1326" i="20"/>
  <c r="I278" i="20"/>
  <c r="I954" i="20"/>
  <c r="I698" i="20"/>
  <c r="I542" i="20"/>
  <c r="I846" i="20"/>
  <c r="I410" i="20"/>
  <c r="I62" i="20"/>
  <c r="K1266" i="20"/>
  <c r="K71" i="20"/>
  <c r="K659" i="20"/>
  <c r="K563" i="20"/>
  <c r="H695" i="52"/>
  <c r="K1195" i="20"/>
  <c r="K1123" i="20"/>
  <c r="I83" i="20"/>
  <c r="I11" i="20"/>
  <c r="K891" i="20"/>
  <c r="K1039" i="20"/>
  <c r="K855" i="20"/>
  <c r="K399" i="20"/>
  <c r="K411" i="20"/>
  <c r="K1015" i="20"/>
  <c r="K823" i="20"/>
  <c r="K383" i="20"/>
  <c r="K315" i="20"/>
  <c r="K791" i="20"/>
  <c r="K239" i="20"/>
  <c r="K307" i="20"/>
  <c r="K107" i="20"/>
  <c r="H1247" i="52"/>
  <c r="H1575" i="52"/>
  <c r="H1271" i="52"/>
  <c r="K1103" i="20"/>
  <c r="K1067" i="20"/>
  <c r="K923" i="20"/>
  <c r="K779" i="20"/>
  <c r="K15" i="20"/>
  <c r="K1031" i="20"/>
  <c r="K959" i="20"/>
  <c r="K887" i="20"/>
  <c r="K807" i="20"/>
  <c r="K711" i="20"/>
  <c r="K495" i="20"/>
  <c r="K207" i="20"/>
  <c r="K619" i="20"/>
  <c r="K403" i="20"/>
  <c r="K59" i="20"/>
  <c r="H1283" i="52"/>
  <c r="L1047" i="52"/>
  <c r="K535" i="20"/>
  <c r="K1051" i="20"/>
  <c r="K907" i="20"/>
  <c r="K763" i="20"/>
  <c r="K679" i="20"/>
  <c r="K1023" i="20"/>
  <c r="K951" i="20"/>
  <c r="K871" i="20"/>
  <c r="K799" i="20"/>
  <c r="K703" i="20"/>
  <c r="K479" i="20"/>
  <c r="K191" i="20"/>
  <c r="K571" i="20"/>
  <c r="K363" i="20"/>
  <c r="H1299" i="52"/>
  <c r="I239" i="51"/>
  <c r="L675" i="52"/>
  <c r="K343" i="20"/>
  <c r="K1003" i="20"/>
  <c r="K859" i="20"/>
  <c r="K715" i="20"/>
  <c r="K1063" i="20"/>
  <c r="K991" i="20"/>
  <c r="K919" i="20"/>
  <c r="K847" i="20"/>
  <c r="K775" i="20"/>
  <c r="K623" i="20"/>
  <c r="K351" i="20"/>
  <c r="K111" i="20"/>
  <c r="K491" i="20"/>
  <c r="K227" i="20"/>
  <c r="H1539" i="52"/>
  <c r="I63" i="51"/>
  <c r="K279" i="20"/>
  <c r="K987" i="20"/>
  <c r="K843" i="20"/>
  <c r="K683" i="20"/>
  <c r="K1055" i="20"/>
  <c r="K983" i="20"/>
  <c r="K911" i="20"/>
  <c r="K839" i="20"/>
  <c r="K767" i="20"/>
  <c r="K575" i="20"/>
  <c r="K335" i="20"/>
  <c r="K151" i="20"/>
  <c r="K483" i="20"/>
  <c r="K187" i="20"/>
  <c r="H1503" i="52"/>
  <c r="H1487" i="52"/>
  <c r="K215" i="20"/>
  <c r="K971" i="20"/>
  <c r="K811" i="20"/>
  <c r="K143" i="20"/>
  <c r="K1047" i="20"/>
  <c r="K975" i="20"/>
  <c r="K903" i="20"/>
  <c r="K831" i="20"/>
  <c r="K743" i="20"/>
  <c r="K559" i="20"/>
  <c r="K255" i="20"/>
  <c r="K667" i="20"/>
  <c r="K443" i="20"/>
  <c r="K147" i="20"/>
  <c r="H1383" i="52"/>
  <c r="H1223" i="52"/>
  <c r="H891" i="52"/>
  <c r="G1528" i="20"/>
  <c r="J1387" i="52"/>
  <c r="K612" i="20"/>
  <c r="H983" i="52"/>
  <c r="J14" i="52"/>
  <c r="H647" i="52"/>
  <c r="H1231" i="52"/>
  <c r="H1071" i="52"/>
  <c r="H895" i="52"/>
  <c r="I51" i="51"/>
  <c r="H1287" i="52"/>
  <c r="H667" i="52"/>
  <c r="H87" i="52"/>
  <c r="J1251" i="52"/>
  <c r="J1331" i="52"/>
  <c r="J1235" i="52"/>
  <c r="J975" i="52"/>
  <c r="J675" i="52"/>
  <c r="L1231" i="52"/>
  <c r="I119" i="51"/>
  <c r="I31" i="51"/>
  <c r="H411" i="52"/>
  <c r="J1531" i="52"/>
  <c r="J1491" i="52"/>
  <c r="J391" i="52"/>
  <c r="H51" i="54"/>
  <c r="K155" i="20"/>
  <c r="H1259" i="52"/>
  <c r="H1199" i="52"/>
  <c r="I11" i="51"/>
  <c r="H1531" i="52"/>
  <c r="H179" i="52"/>
  <c r="H943" i="52"/>
  <c r="J1023" i="52"/>
  <c r="J207" i="52"/>
  <c r="L122" i="52"/>
  <c r="K283" i="20"/>
  <c r="K51" i="20"/>
  <c r="H1431" i="52"/>
  <c r="I203" i="51"/>
  <c r="H1403" i="52"/>
  <c r="H699" i="52"/>
  <c r="H407" i="52"/>
  <c r="H147" i="52"/>
  <c r="J227" i="52"/>
  <c r="L1427" i="52"/>
  <c r="K235" i="20"/>
  <c r="K27" i="20"/>
  <c r="H1419" i="52"/>
  <c r="I131" i="51"/>
  <c r="H1175" i="52"/>
  <c r="H555" i="52"/>
  <c r="H135" i="52"/>
  <c r="J899" i="52"/>
  <c r="L987" i="52"/>
  <c r="L75" i="52"/>
  <c r="L935" i="52"/>
  <c r="L11" i="52"/>
  <c r="K759" i="20"/>
  <c r="K655" i="20"/>
  <c r="K511" i="20"/>
  <c r="K367" i="20"/>
  <c r="K223" i="20"/>
  <c r="K7" i="20"/>
  <c r="K635" i="20"/>
  <c r="K555" i="20"/>
  <c r="K475" i="20"/>
  <c r="K379" i="20"/>
  <c r="K299" i="20"/>
  <c r="K219" i="20"/>
  <c r="K123" i="20"/>
  <c r="K43" i="20"/>
  <c r="H1091" i="52"/>
  <c r="H1527" i="52"/>
  <c r="H1407" i="52"/>
  <c r="H1163" i="52"/>
  <c r="I227" i="51"/>
  <c r="I107" i="51"/>
  <c r="H1227" i="52"/>
  <c r="H1391" i="52"/>
  <c r="I211" i="51"/>
  <c r="H123" i="52"/>
  <c r="H507" i="52"/>
  <c r="H1079" i="52"/>
  <c r="H599" i="52"/>
  <c r="J1435" i="52"/>
  <c r="H835" i="52"/>
  <c r="J1279" i="52"/>
  <c r="J1167" i="52"/>
  <c r="J1139" i="52"/>
  <c r="J991" i="52"/>
  <c r="L1531" i="52"/>
  <c r="J151" i="52"/>
  <c r="L779" i="52"/>
  <c r="K627" i="20"/>
  <c r="K547" i="20"/>
  <c r="K467" i="20"/>
  <c r="K371" i="20"/>
  <c r="K291" i="20"/>
  <c r="K211" i="20"/>
  <c r="K115" i="20"/>
  <c r="K35" i="20"/>
  <c r="H1311" i="52"/>
  <c r="H1515" i="52"/>
  <c r="H1395" i="52"/>
  <c r="I135" i="51"/>
  <c r="I215" i="51"/>
  <c r="I95" i="51"/>
  <c r="I231" i="51"/>
  <c r="H1343" i="52"/>
  <c r="I223" i="51"/>
  <c r="H939" i="52"/>
  <c r="H459" i="52"/>
  <c r="H1031" i="52"/>
  <c r="H455" i="52"/>
  <c r="H1279" i="52"/>
  <c r="H751" i="52"/>
  <c r="J1051" i="52"/>
  <c r="J1107" i="52"/>
  <c r="J1043" i="52"/>
  <c r="J547" i="52"/>
  <c r="L1387" i="52"/>
  <c r="J7" i="52"/>
  <c r="L167" i="52"/>
  <c r="K727" i="20"/>
  <c r="K607" i="20"/>
  <c r="K463" i="20"/>
  <c r="K319" i="20"/>
  <c r="K175" i="20"/>
  <c r="K87" i="20"/>
  <c r="K611" i="20"/>
  <c r="K531" i="20"/>
  <c r="K435" i="20"/>
  <c r="K355" i="20"/>
  <c r="K275" i="20"/>
  <c r="K179" i="20"/>
  <c r="K99" i="20"/>
  <c r="K19" i="20"/>
  <c r="H1215" i="52"/>
  <c r="H1491" i="52"/>
  <c r="H1347" i="52"/>
  <c r="H1179" i="52"/>
  <c r="I191" i="51"/>
  <c r="I47" i="51"/>
  <c r="H1535" i="52"/>
  <c r="H1191" i="52"/>
  <c r="H1387" i="52"/>
  <c r="H843" i="52"/>
  <c r="H363" i="52"/>
  <c r="H839" i="52"/>
  <c r="H359" i="52"/>
  <c r="H1183" i="52"/>
  <c r="H451" i="52"/>
  <c r="H143" i="52"/>
  <c r="J935" i="52"/>
  <c r="J611" i="52"/>
  <c r="J223" i="52"/>
  <c r="L1063" i="52"/>
  <c r="L639" i="52"/>
  <c r="L691" i="52"/>
  <c r="K719" i="20"/>
  <c r="K591" i="20"/>
  <c r="K447" i="20"/>
  <c r="K303" i="20"/>
  <c r="K95" i="20"/>
  <c r="K23" i="20"/>
  <c r="K603" i="20"/>
  <c r="K507" i="20"/>
  <c r="K427" i="20"/>
  <c r="K347" i="20"/>
  <c r="K251" i="20"/>
  <c r="K171" i="20"/>
  <c r="K91" i="20"/>
  <c r="I171" i="51"/>
  <c r="I183" i="51"/>
  <c r="H1479" i="52"/>
  <c r="H1335" i="52"/>
  <c r="H1143" i="52"/>
  <c r="I179" i="51"/>
  <c r="I35" i="51"/>
  <c r="H1511" i="52"/>
  <c r="I111" i="51"/>
  <c r="H1339" i="52"/>
  <c r="H795" i="52"/>
  <c r="H315" i="52"/>
  <c r="H791" i="52"/>
  <c r="H311" i="52"/>
  <c r="H1135" i="52"/>
  <c r="H367" i="52"/>
  <c r="H59" i="52"/>
  <c r="H139" i="52"/>
  <c r="J479" i="52"/>
  <c r="J159" i="52"/>
  <c r="L771" i="52"/>
  <c r="L519" i="52"/>
  <c r="L535" i="52"/>
  <c r="K431" i="20"/>
  <c r="K271" i="20"/>
  <c r="K31" i="20"/>
  <c r="K675" i="20"/>
  <c r="K595" i="20"/>
  <c r="K499" i="20"/>
  <c r="K419" i="20"/>
  <c r="K339" i="20"/>
  <c r="K243" i="20"/>
  <c r="K163" i="20"/>
  <c r="K83" i="20"/>
  <c r="I39" i="51"/>
  <c r="I27" i="51"/>
  <c r="H1443" i="52"/>
  <c r="H1323" i="52"/>
  <c r="I147" i="51"/>
  <c r="I143" i="51"/>
  <c r="I23" i="51"/>
  <c r="H1499" i="52"/>
  <c r="I79" i="51"/>
  <c r="H1203" i="52"/>
  <c r="H747" i="52"/>
  <c r="J1519" i="52"/>
  <c r="H743" i="52"/>
  <c r="H263" i="52"/>
  <c r="H991" i="52"/>
  <c r="H283" i="52"/>
  <c r="J1551" i="52"/>
  <c r="J1427" i="52"/>
  <c r="J347" i="52"/>
  <c r="J819" i="52"/>
  <c r="L1215" i="52"/>
  <c r="L243" i="52"/>
  <c r="H119" i="54"/>
  <c r="K874" i="20"/>
  <c r="I1150" i="20"/>
  <c r="I926" i="20"/>
  <c r="I694" i="20"/>
  <c r="I506" i="20"/>
  <c r="I266" i="20"/>
  <c r="K938" i="20"/>
  <c r="K1342" i="20"/>
  <c r="K1570" i="20"/>
  <c r="K430" i="20"/>
  <c r="K954" i="20"/>
  <c r="G1490" i="20"/>
  <c r="G1386" i="20"/>
  <c r="G1282" i="20"/>
  <c r="G1178" i="20"/>
  <c r="G1074" i="20"/>
  <c r="G978" i="20"/>
  <c r="G1534" i="20"/>
  <c r="G1430" i="20"/>
  <c r="G1326" i="20"/>
  <c r="G1222" i="20"/>
  <c r="G1126" i="20"/>
  <c r="G1022" i="20"/>
  <c r="G918" i="20"/>
  <c r="G846" i="20"/>
  <c r="G742" i="20"/>
  <c r="G646" i="20"/>
  <c r="G542" i="20"/>
  <c r="G438" i="20"/>
  <c r="G334" i="20"/>
  <c r="G230" i="20"/>
  <c r="G882" i="20"/>
  <c r="G778" i="20"/>
  <c r="G658" i="20"/>
  <c r="G538" i="20"/>
  <c r="G418" i="20"/>
  <c r="G274" i="20"/>
  <c r="G90" i="20"/>
  <c r="I1538" i="20"/>
  <c r="I1362" i="20"/>
  <c r="I238" i="20"/>
  <c r="G110" i="20"/>
  <c r="I1566" i="20"/>
  <c r="I1398" i="20"/>
  <c r="I1230" i="20"/>
  <c r="I150" i="20"/>
  <c r="I1050" i="20"/>
  <c r="I890" i="20"/>
  <c r="I714" i="20"/>
  <c r="I230" i="20"/>
  <c r="I438" i="20"/>
  <c r="I1046" i="20"/>
  <c r="I806" i="20"/>
  <c r="I130" i="20"/>
  <c r="I386" i="20"/>
  <c r="I154" i="20"/>
  <c r="K358" i="20"/>
  <c r="K1086" i="20"/>
  <c r="K106" i="20"/>
  <c r="K734" i="20"/>
  <c r="K538" i="20"/>
  <c r="K806" i="20"/>
  <c r="K1202" i="20"/>
  <c r="K390" i="20"/>
  <c r="K1134" i="20"/>
  <c r="K1398" i="20"/>
  <c r="K614" i="20"/>
  <c r="K1110" i="20"/>
  <c r="I162" i="20"/>
  <c r="I282" i="20"/>
  <c r="I394" i="20"/>
  <c r="I522" i="20"/>
  <c r="K1050" i="20"/>
  <c r="I702" i="20"/>
  <c r="I822" i="20"/>
  <c r="I934" i="20"/>
  <c r="I1062" i="20"/>
  <c r="I1174" i="20"/>
  <c r="I502" i="20"/>
  <c r="I142" i="20"/>
  <c r="I294" i="20"/>
  <c r="K1002" i="20"/>
  <c r="I730" i="20"/>
  <c r="I834" i="20"/>
  <c r="I938" i="20"/>
  <c r="I1034" i="20"/>
  <c r="I1146" i="20"/>
  <c r="I406" i="20"/>
  <c r="I22" i="20"/>
  <c r="I1310" i="20"/>
  <c r="I1406" i="20"/>
  <c r="I1518" i="20"/>
  <c r="I1194" i="20"/>
  <c r="G102" i="20"/>
  <c r="G206" i="20"/>
  <c r="I1234" i="20"/>
  <c r="I1346" i="20"/>
  <c r="I1442" i="20"/>
  <c r="I1546" i="20"/>
  <c r="G42" i="20"/>
  <c r="G138" i="20"/>
  <c r="G266" i="20"/>
  <c r="G362" i="20"/>
  <c r="G450" i="20"/>
  <c r="G522" i="20"/>
  <c r="G594" i="20"/>
  <c r="G666" i="20"/>
  <c r="G738" i="20"/>
  <c r="G810" i="20"/>
  <c r="G874" i="20"/>
  <c r="G202" i="20"/>
  <c r="G254" i="20"/>
  <c r="G318" i="20"/>
  <c r="G382" i="20"/>
  <c r="G446" i="20"/>
  <c r="G510" i="20"/>
  <c r="G574" i="20"/>
  <c r="G638" i="20"/>
  <c r="G702" i="20"/>
  <c r="G766" i="20"/>
  <c r="G830" i="20"/>
  <c r="G894" i="20"/>
  <c r="G926" i="20"/>
  <c r="G990" i="20"/>
  <c r="G1054" i="20"/>
  <c r="G1118" i="20"/>
  <c r="G1182" i="20"/>
  <c r="G1246" i="20"/>
  <c r="G1310" i="20"/>
  <c r="G1374" i="20"/>
  <c r="G1438" i="20"/>
  <c r="G1502" i="20"/>
  <c r="G1566" i="20"/>
  <c r="G970" i="20"/>
  <c r="G1034" i="20"/>
  <c r="G1098" i="20"/>
  <c r="G1162" i="20"/>
  <c r="G1226" i="20"/>
  <c r="G1290" i="20"/>
  <c r="G1354" i="20"/>
  <c r="G1418" i="20"/>
  <c r="G1482" i="20"/>
  <c r="G1546" i="20"/>
  <c r="K150" i="20"/>
  <c r="K942" i="20"/>
  <c r="K1306" i="20"/>
  <c r="K850" i="20"/>
  <c r="K1198" i="20"/>
  <c r="K1430" i="20"/>
  <c r="K858" i="20"/>
  <c r="K762" i="20"/>
  <c r="I194" i="20"/>
  <c r="I314" i="20"/>
  <c r="I426" i="20"/>
  <c r="K230" i="20"/>
  <c r="K746" i="20"/>
  <c r="I734" i="20"/>
  <c r="I854" i="20"/>
  <c r="I974" i="20"/>
  <c r="I1078" i="20"/>
  <c r="I1206" i="20"/>
  <c r="I574" i="20"/>
  <c r="I334" i="20"/>
  <c r="I546" i="20"/>
  <c r="I190" i="20"/>
  <c r="K98" i="20"/>
  <c r="K158" i="20"/>
  <c r="K1014" i="20"/>
  <c r="K1378" i="20"/>
  <c r="K898" i="20"/>
  <c r="K1230" i="20"/>
  <c r="K1478" i="20"/>
  <c r="K986" i="20"/>
  <c r="K890" i="20"/>
  <c r="I210" i="20"/>
  <c r="I322" i="20"/>
  <c r="I450" i="20"/>
  <c r="K714" i="20"/>
  <c r="K1078" i="20"/>
  <c r="I750" i="20"/>
  <c r="I862" i="20"/>
  <c r="I990" i="20"/>
  <c r="I1102" i="20"/>
  <c r="I1214" i="20"/>
  <c r="I606" i="20"/>
  <c r="I398" i="20"/>
  <c r="I578" i="20"/>
  <c r="I318" i="20"/>
  <c r="I770" i="20"/>
  <c r="I874" i="20"/>
  <c r="I970" i="20"/>
  <c r="I1082" i="20"/>
  <c r="I1178" i="20"/>
  <c r="I582" i="20"/>
  <c r="I1246" i="20"/>
  <c r="I1342" i="20"/>
  <c r="I1454" i="20"/>
  <c r="I1550" i="20"/>
  <c r="G38" i="20"/>
  <c r="G142" i="20"/>
  <c r="I262" i="20"/>
  <c r="I1282" i="20"/>
  <c r="I1378" i="20"/>
  <c r="I1482" i="20"/>
  <c r="I326" i="20"/>
  <c r="G74" i="20"/>
  <c r="I390" i="20"/>
  <c r="G298" i="20"/>
  <c r="G402" i="20"/>
  <c r="G474" i="20"/>
  <c r="G546" i="20"/>
  <c r="G618" i="20"/>
  <c r="G698" i="20"/>
  <c r="G770" i="20"/>
  <c r="G834" i="20"/>
  <c r="G898" i="20"/>
  <c r="G214" i="20"/>
  <c r="G278" i="20"/>
  <c r="G342" i="20"/>
  <c r="G406" i="20"/>
  <c r="G470" i="20"/>
  <c r="G534" i="20"/>
  <c r="G598" i="20"/>
  <c r="G662" i="20"/>
  <c r="G726" i="20"/>
  <c r="G790" i="20"/>
  <c r="G854" i="20"/>
  <c r="G186" i="20"/>
  <c r="G950" i="20"/>
  <c r="G1014" i="20"/>
  <c r="G1078" i="20"/>
  <c r="G1142" i="20"/>
  <c r="G1206" i="20"/>
  <c r="G1270" i="20"/>
  <c r="G1334" i="20"/>
  <c r="G1398" i="20"/>
  <c r="G1462" i="20"/>
  <c r="G1526" i="20"/>
  <c r="G930" i="20"/>
  <c r="G994" i="20"/>
  <c r="G1058" i="20"/>
  <c r="G1122" i="20"/>
  <c r="G1186" i="20"/>
  <c r="G1250" i="20"/>
  <c r="G1314" i="20"/>
  <c r="G1378" i="20"/>
  <c r="G1442" i="20"/>
  <c r="G1506" i="20"/>
  <c r="G1570" i="20"/>
  <c r="K402" i="20"/>
  <c r="K590" i="20"/>
  <c r="I10" i="20"/>
  <c r="K1530" i="20"/>
  <c r="K246" i="20"/>
  <c r="K1334" i="20"/>
  <c r="K1550" i="20"/>
  <c r="K810" i="20"/>
  <c r="I138" i="20"/>
  <c r="I250" i="20"/>
  <c r="I378" i="20"/>
  <c r="I482" i="20"/>
  <c r="I106" i="20"/>
  <c r="I478" i="20"/>
  <c r="I790" i="20"/>
  <c r="I918" i="20"/>
  <c r="I1022" i="20"/>
  <c r="I1142" i="20"/>
  <c r="I310" i="20"/>
  <c r="I670" i="20"/>
  <c r="I166" i="20"/>
  <c r="I642" i="20"/>
  <c r="I706" i="20"/>
  <c r="I810" i="20"/>
  <c r="I906" i="20"/>
  <c r="I1018" i="20"/>
  <c r="I1114" i="20"/>
  <c r="I214" i="20"/>
  <c r="I662" i="20"/>
  <c r="I1278" i="20"/>
  <c r="I1390" i="20"/>
  <c r="I1486" i="20"/>
  <c r="I454" i="20"/>
  <c r="G78" i="20"/>
  <c r="G174" i="20"/>
  <c r="I650" i="20"/>
  <c r="I1314" i="20"/>
  <c r="I1418" i="20"/>
  <c r="I1522" i="20"/>
  <c r="G10" i="20"/>
  <c r="G122" i="20"/>
  <c r="G234" i="20"/>
  <c r="G338" i="20"/>
  <c r="G426" i="20"/>
  <c r="G506" i="20"/>
  <c r="G578" i="20"/>
  <c r="G650" i="20"/>
  <c r="G722" i="20"/>
  <c r="G794" i="20"/>
  <c r="G858" i="20"/>
  <c r="I46" i="20"/>
  <c r="G238" i="20"/>
  <c r="G302" i="20"/>
  <c r="G366" i="20"/>
  <c r="G430" i="20"/>
  <c r="G494" i="20"/>
  <c r="G558" i="20"/>
  <c r="G622" i="20"/>
  <c r="G686" i="20"/>
  <c r="G750" i="20"/>
  <c r="G814" i="20"/>
  <c r="G878" i="20"/>
  <c r="G178" i="20"/>
  <c r="G974" i="20"/>
  <c r="G1038" i="20"/>
  <c r="G1102" i="20"/>
  <c r="G1166" i="20"/>
  <c r="G1230" i="20"/>
  <c r="G1294" i="20"/>
  <c r="G1358" i="20"/>
  <c r="G1422" i="20"/>
  <c r="G1486" i="20"/>
  <c r="G1550" i="20"/>
  <c r="G954" i="20"/>
  <c r="G1018" i="20"/>
  <c r="G1082" i="20"/>
  <c r="G1146" i="20"/>
  <c r="G1210" i="20"/>
  <c r="G1274" i="20"/>
  <c r="G1338" i="20"/>
  <c r="G1402" i="20"/>
  <c r="G1466" i="20"/>
  <c r="G1530" i="20"/>
  <c r="K514" i="20"/>
  <c r="K1130" i="20"/>
  <c r="G1562" i="20"/>
  <c r="G1458" i="20"/>
  <c r="G1362" i="20"/>
  <c r="G1258" i="20"/>
  <c r="G1154" i="20"/>
  <c r="G1050" i="20"/>
  <c r="G946" i="20"/>
  <c r="G1510" i="20"/>
  <c r="G1406" i="20"/>
  <c r="G1302" i="20"/>
  <c r="G1198" i="20"/>
  <c r="G1094" i="20"/>
  <c r="G998" i="20"/>
  <c r="I634" i="20"/>
  <c r="G822" i="20"/>
  <c r="G718" i="20"/>
  <c r="G614" i="20"/>
  <c r="G518" i="20"/>
  <c r="G414" i="20"/>
  <c r="G310" i="20"/>
  <c r="G194" i="20"/>
  <c r="G850" i="20"/>
  <c r="G746" i="20"/>
  <c r="G634" i="20"/>
  <c r="G514" i="20"/>
  <c r="G394" i="20"/>
  <c r="G218" i="20"/>
  <c r="G58" i="20"/>
  <c r="I1490" i="20"/>
  <c r="I1330" i="20"/>
  <c r="I618" i="20"/>
  <c r="G62" i="20"/>
  <c r="I1526" i="20"/>
  <c r="I1358" i="20"/>
  <c r="I690" i="20"/>
  <c r="I1162" i="20"/>
  <c r="I1002" i="20"/>
  <c r="I842" i="20"/>
  <c r="I446" i="20"/>
  <c r="I526" i="20"/>
  <c r="I6" i="20"/>
  <c r="I998" i="20"/>
  <c r="I766" i="20"/>
  <c r="I30" i="20"/>
  <c r="I338" i="20"/>
  <c r="K1018" i="20"/>
  <c r="K1510" i="20"/>
  <c r="K1026" i="20"/>
  <c r="K862" i="20"/>
  <c r="G1554" i="20"/>
  <c r="G1450" i="20"/>
  <c r="G1346" i="20"/>
  <c r="G1242" i="20"/>
  <c r="G1138" i="20"/>
  <c r="G1042" i="20"/>
  <c r="G938" i="20"/>
  <c r="G1494" i="20"/>
  <c r="G1390" i="20"/>
  <c r="G1286" i="20"/>
  <c r="G1190" i="20"/>
  <c r="G1086" i="20"/>
  <c r="G982" i="20"/>
  <c r="G910" i="20"/>
  <c r="G806" i="20"/>
  <c r="G710" i="20"/>
  <c r="G606" i="20"/>
  <c r="G502" i="20"/>
  <c r="G398" i="20"/>
  <c r="G294" i="20"/>
  <c r="G162" i="20"/>
  <c r="G842" i="20"/>
  <c r="G730" i="20"/>
  <c r="G610" i="20"/>
  <c r="G490" i="20"/>
  <c r="G378" i="20"/>
  <c r="G210" i="20"/>
  <c r="G26" i="20"/>
  <c r="I1474" i="20"/>
  <c r="I1298" i="20"/>
  <c r="I430" i="20"/>
  <c r="G46" i="20"/>
  <c r="I1502" i="20"/>
  <c r="I1334" i="20"/>
  <c r="I630" i="20"/>
  <c r="I1154" i="20"/>
  <c r="I986" i="20"/>
  <c r="I826" i="20"/>
  <c r="I58" i="20"/>
  <c r="I270" i="20"/>
  <c r="I1190" i="20"/>
  <c r="I950" i="20"/>
  <c r="I718" i="20"/>
  <c r="I530" i="20"/>
  <c r="I298" i="20"/>
  <c r="I78" i="20"/>
  <c r="K1422" i="20"/>
  <c r="K738" i="20"/>
  <c r="K526" i="20"/>
  <c r="G1524" i="20"/>
  <c r="K1344" i="20"/>
  <c r="H1420" i="52"/>
  <c r="H195" i="54"/>
  <c r="G354" i="20"/>
  <c r="G290" i="20"/>
  <c r="G226" i="20"/>
  <c r="G146" i="20"/>
  <c r="G82" i="20"/>
  <c r="G18" i="20"/>
  <c r="I1562" i="20"/>
  <c r="I1498" i="20"/>
  <c r="I1434" i="20"/>
  <c r="I1370" i="20"/>
  <c r="I1306" i="20"/>
  <c r="I1242" i="20"/>
  <c r="I518" i="20"/>
  <c r="G182" i="20"/>
  <c r="G118" i="20"/>
  <c r="G54" i="20"/>
  <c r="I666" i="20"/>
  <c r="I1542" i="20"/>
  <c r="I1478" i="20"/>
  <c r="I1414" i="20"/>
  <c r="I1350" i="20"/>
  <c r="I1286" i="20"/>
  <c r="I586" i="20"/>
  <c r="I614" i="20"/>
  <c r="I342" i="20"/>
  <c r="I1170" i="20"/>
  <c r="I1106" i="20"/>
  <c r="I1042" i="20"/>
  <c r="I978" i="20"/>
  <c r="I914" i="20"/>
  <c r="I850" i="20"/>
  <c r="I786" i="20"/>
  <c r="I722" i="20"/>
  <c r="I254" i="20"/>
  <c r="I626" i="20"/>
  <c r="I358" i="20"/>
  <c r="I462" i="20"/>
  <c r="K294" i="20"/>
  <c r="I558" i="20"/>
  <c r="I98" i="20"/>
  <c r="I1166" i="20"/>
  <c r="I1086" i="20"/>
  <c r="I1014" i="20"/>
  <c r="I942" i="20"/>
  <c r="I870" i="20"/>
  <c r="I798" i="20"/>
  <c r="I726" i="20"/>
  <c r="I286" i="20"/>
  <c r="K794" i="20"/>
  <c r="K486" i="20"/>
  <c r="I474" i="20"/>
  <c r="I402" i="20"/>
  <c r="I330" i="20"/>
  <c r="I258" i="20"/>
  <c r="I186" i="20"/>
  <c r="K1090" i="20"/>
  <c r="K1066" i="20"/>
  <c r="I38" i="20"/>
  <c r="K778" i="20"/>
  <c r="K1526" i="20"/>
  <c r="K1446" i="20"/>
  <c r="K1350" i="20"/>
  <c r="K1262" i="20"/>
  <c r="K1158" i="20"/>
  <c r="K374" i="20"/>
  <c r="K914" i="20"/>
  <c r="K454" i="20"/>
  <c r="K1458" i="20"/>
  <c r="K1314" i="20"/>
  <c r="K1154" i="20"/>
  <c r="K1054" i="20"/>
  <c r="K870" i="20"/>
  <c r="K606" i="20"/>
  <c r="K174" i="20"/>
  <c r="K610" i="20"/>
  <c r="K290" i="20"/>
  <c r="K730" i="20"/>
  <c r="K1574" i="20"/>
  <c r="K1494" i="20"/>
  <c r="K1414" i="20"/>
  <c r="K1326" i="20"/>
  <c r="K1222" i="20"/>
  <c r="K1126" i="20"/>
  <c r="K1106" i="20"/>
  <c r="K818" i="20"/>
  <c r="K1562" i="20"/>
  <c r="K1410" i="20"/>
  <c r="K1250" i="20"/>
  <c r="K1102" i="20"/>
  <c r="K1006" i="20"/>
  <c r="K798" i="20"/>
  <c r="K462" i="20"/>
  <c r="K94" i="20"/>
  <c r="K474" i="20"/>
  <c r="K146" i="20"/>
  <c r="G386" i="20"/>
  <c r="G322" i="20"/>
  <c r="G258" i="20"/>
  <c r="I1210" i="20"/>
  <c r="G114" i="20"/>
  <c r="G50" i="20"/>
  <c r="I602" i="20"/>
  <c r="I1530" i="20"/>
  <c r="I1466" i="20"/>
  <c r="I1402" i="20"/>
  <c r="I1338" i="20"/>
  <c r="I1274" i="20"/>
  <c r="I494" i="20"/>
  <c r="I174" i="20"/>
  <c r="G150" i="20"/>
  <c r="G86" i="20"/>
  <c r="G22" i="20"/>
  <c r="I1574" i="20"/>
  <c r="I1510" i="20"/>
  <c r="I1446" i="20"/>
  <c r="I1382" i="20"/>
  <c r="I1318" i="20"/>
  <c r="I1254" i="20"/>
  <c r="I678" i="20"/>
  <c r="I550" i="20"/>
  <c r="I110" i="20"/>
  <c r="I1138" i="20"/>
  <c r="I1074" i="20"/>
  <c r="I1010" i="20"/>
  <c r="I946" i="20"/>
  <c r="I882" i="20"/>
  <c r="I818" i="20"/>
  <c r="I754" i="20"/>
  <c r="I510" i="20"/>
  <c r="K550" i="20"/>
  <c r="I562" i="20"/>
  <c r="I34" i="20"/>
  <c r="I206" i="20"/>
  <c r="I622" i="20"/>
  <c r="I374" i="20"/>
  <c r="I1198" i="20"/>
  <c r="I1126" i="20"/>
  <c r="I1054" i="20"/>
  <c r="I982" i="20"/>
  <c r="I910" i="20"/>
  <c r="I830" i="20"/>
  <c r="I758" i="20"/>
  <c r="I682" i="20"/>
  <c r="I82" i="20"/>
  <c r="I42" i="20"/>
  <c r="I514" i="20"/>
  <c r="I442" i="20"/>
  <c r="I362" i="20"/>
  <c r="I290" i="20"/>
  <c r="I218" i="20"/>
  <c r="I146" i="20"/>
  <c r="I90" i="20"/>
  <c r="K166" i="20"/>
  <c r="I134" i="20"/>
  <c r="K1558" i="20"/>
  <c r="K1486" i="20"/>
  <c r="K1406" i="20"/>
  <c r="K1302" i="20"/>
  <c r="K1206" i="20"/>
  <c r="K1098" i="20"/>
  <c r="K1042" i="20"/>
  <c r="K770" i="20"/>
  <c r="K1538" i="20"/>
  <c r="K1386" i="20"/>
  <c r="K1226" i="20"/>
  <c r="K662" i="20"/>
  <c r="K950" i="20"/>
  <c r="K758" i="20"/>
  <c r="K446" i="20"/>
  <c r="K46" i="20"/>
  <c r="K466" i="20"/>
  <c r="J994" i="52"/>
  <c r="K170" i="20"/>
  <c r="K362" i="20"/>
  <c r="K546" i="20"/>
  <c r="K78" i="20"/>
  <c r="K286" i="20"/>
  <c r="K574" i="20"/>
  <c r="K782" i="20"/>
  <c r="K934" i="20"/>
  <c r="K678" i="20"/>
  <c r="K1122" i="20"/>
  <c r="K1242" i="20"/>
  <c r="K1346" i="20"/>
  <c r="K1466" i="20"/>
  <c r="K326" i="20"/>
  <c r="K802" i="20"/>
  <c r="K994" i="20"/>
  <c r="K438" i="20"/>
  <c r="K1142" i="20"/>
  <c r="K1214" i="20"/>
  <c r="K1286" i="20"/>
  <c r="K1358" i="20"/>
  <c r="K186" i="20"/>
  <c r="K394" i="20"/>
  <c r="K586" i="20"/>
  <c r="K86" i="20"/>
  <c r="K302" i="20"/>
  <c r="K34" i="20"/>
  <c r="K250" i="20"/>
  <c r="K442" i="20"/>
  <c r="K618" i="20"/>
  <c r="K118" i="20"/>
  <c r="K382" i="20"/>
  <c r="K686" i="20"/>
  <c r="K830" i="20"/>
  <c r="K974" i="20"/>
  <c r="K406" i="20"/>
  <c r="K1162" i="20"/>
  <c r="K1274" i="20"/>
  <c r="K1394" i="20"/>
  <c r="K1522" i="20"/>
  <c r="K646" i="20"/>
  <c r="K866" i="20"/>
  <c r="K1058" i="20"/>
  <c r="K630" i="20"/>
  <c r="K1166" i="20"/>
  <c r="K1238" i="20"/>
  <c r="K1318" i="20"/>
  <c r="K1390" i="20"/>
  <c r="K1462" i="20"/>
  <c r="G754" i="20"/>
  <c r="G690" i="20"/>
  <c r="G626" i="20"/>
  <c r="G562" i="20"/>
  <c r="G498" i="20"/>
  <c r="G434" i="20"/>
  <c r="G370" i="20"/>
  <c r="G306" i="20"/>
  <c r="G242" i="20"/>
  <c r="I302" i="20"/>
  <c r="G98" i="20"/>
  <c r="G34" i="20"/>
  <c r="K2" i="20"/>
  <c r="I1514" i="20"/>
  <c r="I1450" i="20"/>
  <c r="I1386" i="20"/>
  <c r="I1322" i="20"/>
  <c r="I1258" i="20"/>
  <c r="I1186" i="20"/>
  <c r="G198" i="20"/>
  <c r="G134" i="20"/>
  <c r="G70" i="20"/>
  <c r="G6" i="20"/>
  <c r="I1558" i="20"/>
  <c r="I1494" i="20"/>
  <c r="I1430" i="20"/>
  <c r="I1366" i="20"/>
  <c r="I1302" i="20"/>
  <c r="I1238" i="20"/>
  <c r="I646" i="20"/>
  <c r="I470" i="20"/>
  <c r="K826" i="20"/>
  <c r="I1122" i="20"/>
  <c r="I1058" i="20"/>
  <c r="I994" i="20"/>
  <c r="I930" i="20"/>
  <c r="I866" i="20"/>
  <c r="I802" i="20"/>
  <c r="I738" i="20"/>
  <c r="I382" i="20"/>
  <c r="I658" i="20"/>
  <c r="I486" i="20"/>
  <c r="I686" i="20"/>
  <c r="I122" i="20"/>
  <c r="I590" i="20"/>
  <c r="I246" i="20"/>
  <c r="I1182" i="20"/>
  <c r="I1110" i="20"/>
  <c r="I1038" i="20"/>
  <c r="I958" i="20"/>
  <c r="I886" i="20"/>
  <c r="I814" i="20"/>
  <c r="I742" i="20"/>
  <c r="I414" i="20"/>
  <c r="I18" i="20"/>
  <c r="K970" i="20"/>
  <c r="I490" i="20"/>
  <c r="I418" i="20"/>
  <c r="I346" i="20"/>
  <c r="I274" i="20"/>
  <c r="I202" i="20"/>
  <c r="I118" i="20"/>
  <c r="I26" i="20"/>
  <c r="I102" i="20"/>
  <c r="K1034" i="20"/>
  <c r="K1542" i="20"/>
  <c r="K1470" i="20"/>
  <c r="K1382" i="20"/>
  <c r="K1278" i="20"/>
  <c r="K1190" i="20"/>
  <c r="K566" i="20"/>
  <c r="K962" i="20"/>
  <c r="K722" i="20"/>
  <c r="K1498" i="20"/>
  <c r="K1338" i="20"/>
  <c r="K1194" i="20"/>
  <c r="K214" i="20"/>
  <c r="K902" i="20"/>
  <c r="K718" i="20"/>
  <c r="K318" i="20"/>
  <c r="K682" i="20"/>
  <c r="K330" i="20"/>
  <c r="K74" i="20"/>
  <c r="I50" i="20"/>
  <c r="K906" i="20"/>
  <c r="K1534" i="20"/>
  <c r="K1454" i="20"/>
  <c r="K1366" i="20"/>
  <c r="K1270" i="20"/>
  <c r="K1174" i="20"/>
  <c r="K502" i="20"/>
  <c r="K946" i="20"/>
  <c r="K1094" i="20"/>
  <c r="K1482" i="20"/>
  <c r="K1322" i="20"/>
  <c r="K1178" i="20"/>
  <c r="K670" i="20"/>
  <c r="K878" i="20"/>
  <c r="K710" i="20"/>
  <c r="K222" i="20"/>
  <c r="K658" i="20"/>
  <c r="K322" i="20"/>
  <c r="K26" i="20"/>
  <c r="K47" i="20"/>
  <c r="K651" i="20"/>
  <c r="K587" i="20"/>
  <c r="K523" i="20"/>
  <c r="K459" i="20"/>
  <c r="K395" i="20"/>
  <c r="K331" i="20"/>
  <c r="K267" i="20"/>
  <c r="K203" i="20"/>
  <c r="K139" i="20"/>
  <c r="K75" i="20"/>
  <c r="K11" i="20"/>
  <c r="I195" i="51"/>
  <c r="H1563" i="52"/>
  <c r="H1467" i="52"/>
  <c r="H1371" i="52"/>
  <c r="H1127" i="52"/>
  <c r="I263" i="51"/>
  <c r="I167" i="51"/>
  <c r="I71" i="51"/>
  <c r="H1307" i="52"/>
  <c r="H1439" i="52"/>
  <c r="I175" i="51"/>
  <c r="H1483" i="52"/>
  <c r="H1035" i="52"/>
  <c r="H651" i="52"/>
  <c r="H267" i="52"/>
  <c r="H935" i="52"/>
  <c r="H551" i="52"/>
  <c r="H191" i="52"/>
  <c r="H1087" i="52"/>
  <c r="H607" i="52"/>
  <c r="J1195" i="52"/>
  <c r="J1407" i="52"/>
  <c r="H43" i="52"/>
  <c r="J39" i="52"/>
  <c r="J847" i="52"/>
  <c r="J519" i="52"/>
  <c r="L1515" i="52"/>
  <c r="L1259" i="52"/>
  <c r="L479" i="52"/>
  <c r="H163" i="54"/>
  <c r="K1339" i="20"/>
  <c r="K1275" i="20"/>
  <c r="K1211" i="20"/>
  <c r="K1147" i="20"/>
  <c r="I115" i="20"/>
  <c r="I51" i="20"/>
  <c r="K599" i="20"/>
  <c r="K1091" i="20"/>
  <c r="K955" i="20"/>
  <c r="K827" i="20"/>
  <c r="K699" i="20"/>
  <c r="K1071" i="20"/>
  <c r="K1007" i="20"/>
  <c r="K943" i="20"/>
  <c r="K879" i="20"/>
  <c r="K815" i="20"/>
  <c r="K751" i="20"/>
  <c r="K687" i="20"/>
  <c r="K543" i="20"/>
  <c r="K415" i="20"/>
  <c r="K287" i="20"/>
  <c r="K159" i="20"/>
  <c r="K663" i="20"/>
  <c r="K643" i="20"/>
  <c r="K579" i="20"/>
  <c r="K515" i="20"/>
  <c r="K451" i="20"/>
  <c r="K387" i="20"/>
  <c r="K323" i="20"/>
  <c r="K259" i="20"/>
  <c r="K195" i="20"/>
  <c r="K131" i="20"/>
  <c r="K67" i="20"/>
  <c r="K3" i="20"/>
  <c r="I15" i="51"/>
  <c r="H1551" i="52"/>
  <c r="H1455" i="52"/>
  <c r="H1359" i="52"/>
  <c r="H1107" i="52"/>
  <c r="I251" i="51"/>
  <c r="I155" i="51"/>
  <c r="I59" i="51"/>
  <c r="H1103" i="52"/>
  <c r="H1415" i="52"/>
  <c r="I127" i="51"/>
  <c r="H1435" i="52"/>
  <c r="H987" i="52"/>
  <c r="H603" i="52"/>
  <c r="H39" i="52"/>
  <c r="H887" i="52"/>
  <c r="H503" i="52"/>
  <c r="H111" i="52"/>
  <c r="H1039" i="52"/>
  <c r="H523" i="52"/>
  <c r="J1111" i="52"/>
  <c r="J1335" i="52"/>
  <c r="J1523" i="52"/>
  <c r="J731" i="52"/>
  <c r="J691" i="52"/>
  <c r="J351" i="52"/>
  <c r="L1371" i="52"/>
  <c r="L1115" i="52"/>
  <c r="L311" i="52"/>
  <c r="H231" i="54"/>
  <c r="K22" i="20"/>
  <c r="K634" i="20"/>
  <c r="K554" i="20"/>
  <c r="K482" i="20"/>
  <c r="K410" i="20"/>
  <c r="K338" i="20"/>
  <c r="K266" i="20"/>
  <c r="K194" i="20"/>
  <c r="K122" i="20"/>
  <c r="K42" i="20"/>
  <c r="H890" i="52"/>
  <c r="K706" i="20"/>
  <c r="K262" i="20"/>
  <c r="K1514" i="20"/>
  <c r="K1442" i="20"/>
  <c r="K1370" i="20"/>
  <c r="K1290" i="20"/>
  <c r="K1218" i="20"/>
  <c r="K1146" i="20"/>
  <c r="K598" i="20"/>
  <c r="K1070" i="20"/>
  <c r="K998" i="20"/>
  <c r="K926" i="20"/>
  <c r="K846" i="20"/>
  <c r="K774" i="20"/>
  <c r="K702" i="20"/>
  <c r="K558" i="20"/>
  <c r="K414" i="20"/>
  <c r="K270" i="20"/>
  <c r="K142" i="20"/>
  <c r="K62" i="20"/>
  <c r="K674" i="20"/>
  <c r="K602" i="20"/>
  <c r="K530" i="20"/>
  <c r="K458" i="20"/>
  <c r="K386" i="20"/>
  <c r="K314" i="20"/>
  <c r="K234" i="20"/>
  <c r="K162" i="20"/>
  <c r="K90" i="20"/>
  <c r="K18" i="20"/>
  <c r="K978" i="20"/>
  <c r="K834" i="20"/>
  <c r="K690" i="20"/>
  <c r="K198" i="20"/>
  <c r="K1506" i="20"/>
  <c r="K1434" i="20"/>
  <c r="K1354" i="20"/>
  <c r="K1282" i="20"/>
  <c r="K1210" i="20"/>
  <c r="K1138" i="20"/>
  <c r="K534" i="20"/>
  <c r="K1062" i="20"/>
  <c r="K990" i="20"/>
  <c r="K910" i="20"/>
  <c r="K838" i="20"/>
  <c r="K766" i="20"/>
  <c r="K694" i="20"/>
  <c r="K542" i="20"/>
  <c r="K398" i="20"/>
  <c r="K254" i="20"/>
  <c r="K126" i="20"/>
  <c r="K54" i="20"/>
  <c r="K666" i="20"/>
  <c r="K594" i="20"/>
  <c r="K522" i="20"/>
  <c r="K450" i="20"/>
  <c r="K378" i="20"/>
  <c r="K298" i="20"/>
  <c r="K226" i="20"/>
  <c r="K154" i="20"/>
  <c r="K82" i="20"/>
  <c r="K10" i="20"/>
  <c r="K1038" i="20"/>
  <c r="K966" i="20"/>
  <c r="K894" i="20"/>
  <c r="K822" i="20"/>
  <c r="K750" i="20"/>
  <c r="K654" i="20"/>
  <c r="K510" i="20"/>
  <c r="K350" i="20"/>
  <c r="K206" i="20"/>
  <c r="K110" i="20"/>
  <c r="K38" i="20"/>
  <c r="K650" i="20"/>
  <c r="K578" i="20"/>
  <c r="K506" i="20"/>
  <c r="K426" i="20"/>
  <c r="K354" i="20"/>
  <c r="K282" i="20"/>
  <c r="K210" i="20"/>
  <c r="K138" i="20"/>
  <c r="K66" i="20"/>
  <c r="K1074" i="20"/>
  <c r="K930" i="20"/>
  <c r="K786" i="20"/>
  <c r="K582" i="20"/>
  <c r="K1546" i="20"/>
  <c r="K1474" i="20"/>
  <c r="K1402" i="20"/>
  <c r="K1330" i="20"/>
  <c r="K1258" i="20"/>
  <c r="K1186" i="20"/>
  <c r="K1114" i="20"/>
  <c r="K278" i="20"/>
  <c r="K1030" i="20"/>
  <c r="K958" i="20"/>
  <c r="K886" i="20"/>
  <c r="K814" i="20"/>
  <c r="K742" i="20"/>
  <c r="K638" i="20"/>
  <c r="K478" i="20"/>
  <c r="K334" i="20"/>
  <c r="K190" i="20"/>
  <c r="K102" i="20"/>
  <c r="K30" i="20"/>
  <c r="K642" i="20"/>
  <c r="K570" i="20"/>
  <c r="K490" i="20"/>
  <c r="K418" i="20"/>
  <c r="K346" i="20"/>
  <c r="K274" i="20"/>
  <c r="K202" i="20"/>
  <c r="K130" i="20"/>
  <c r="K58" i="20"/>
  <c r="I238" i="51"/>
  <c r="H1378" i="52"/>
  <c r="H1490" i="52"/>
  <c r="H1386" i="52"/>
  <c r="H1150" i="52"/>
  <c r="J546" i="52"/>
  <c r="H506" i="52"/>
  <c r="G972" i="20"/>
  <c r="G84" i="20"/>
  <c r="G372" i="20"/>
  <c r="I1084" i="20"/>
  <c r="G1484" i="20"/>
  <c r="G60" i="20"/>
  <c r="I1544" i="20"/>
  <c r="K316" i="20"/>
  <c r="O27" i="27"/>
  <c r="G1012" i="20"/>
  <c r="G436" i="20"/>
  <c r="I1072" i="20"/>
  <c r="G1488" i="20"/>
  <c r="G884" i="20"/>
  <c r="G220" i="20"/>
  <c r="I684" i="20"/>
  <c r="G1424" i="20"/>
  <c r="G704" i="20"/>
  <c r="G12" i="20"/>
  <c r="I500" i="20"/>
  <c r="G976" i="20"/>
  <c r="G344" i="20"/>
  <c r="I1004" i="20"/>
  <c r="K1140" i="20"/>
  <c r="G900" i="20"/>
  <c r="G156" i="20"/>
  <c r="K1532" i="20"/>
  <c r="K760" i="20"/>
  <c r="H1152" i="52"/>
  <c r="H514" i="52"/>
  <c r="H394" i="52"/>
  <c r="H118" i="52"/>
  <c r="G1272" i="20"/>
  <c r="G1420" i="20"/>
  <c r="G664" i="20"/>
  <c r="G732" i="20"/>
  <c r="I708" i="20"/>
  <c r="I1456" i="20"/>
  <c r="K1516" i="20"/>
  <c r="H64" i="54"/>
  <c r="G1232" i="20"/>
  <c r="G1268" i="20"/>
  <c r="G600" i="20"/>
  <c r="G692" i="20"/>
  <c r="I1460" i="20"/>
  <c r="I1328" i="20"/>
  <c r="K1416" i="20"/>
  <c r="G1168" i="20"/>
  <c r="G1228" i="20"/>
  <c r="G448" i="20"/>
  <c r="G628" i="20"/>
  <c r="I1420" i="20"/>
  <c r="I1052" i="20"/>
  <c r="I104" i="20"/>
  <c r="H1122" i="52"/>
  <c r="G1016" i="20"/>
  <c r="G1164" i="20"/>
  <c r="G408" i="20"/>
  <c r="G476" i="20"/>
  <c r="I1356" i="20"/>
  <c r="K1392" i="20"/>
  <c r="K1436" i="20"/>
  <c r="G1464" i="20"/>
  <c r="G1208" i="20"/>
  <c r="G952" i="20"/>
  <c r="G1460" i="20"/>
  <c r="G1204" i="20"/>
  <c r="G948" i="20"/>
  <c r="G640" i="20"/>
  <c r="G384" i="20"/>
  <c r="G196" i="20"/>
  <c r="G668" i="20"/>
  <c r="G412" i="20"/>
  <c r="G192" i="20"/>
  <c r="I1396" i="20"/>
  <c r="I1108" i="20"/>
  <c r="I1416" i="20"/>
  <c r="I1176" i="20"/>
  <c r="I620" i="20"/>
  <c r="K1288" i="20"/>
  <c r="K1056" i="20"/>
  <c r="K28" i="20"/>
  <c r="H888" i="52"/>
  <c r="G848" i="20"/>
  <c r="G1400" i="20"/>
  <c r="G1144" i="20"/>
  <c r="G168" i="20"/>
  <c r="G1396" i="20"/>
  <c r="G1140" i="20"/>
  <c r="G832" i="20"/>
  <c r="G576" i="20"/>
  <c r="G320" i="20"/>
  <c r="G204" i="20"/>
  <c r="G604" i="20"/>
  <c r="G348" i="20"/>
  <c r="G28" i="20"/>
  <c r="I1332" i="20"/>
  <c r="I764" i="20"/>
  <c r="I1288" i="20"/>
  <c r="I1008" i="20"/>
  <c r="I436" i="20"/>
  <c r="I600" i="20"/>
  <c r="K1004" i="20"/>
  <c r="H224" i="52"/>
  <c r="G828" i="20"/>
  <c r="G1360" i="20"/>
  <c r="G1104" i="20"/>
  <c r="G876" i="20"/>
  <c r="G1356" i="20"/>
  <c r="G1100" i="20"/>
  <c r="G792" i="20"/>
  <c r="G536" i="20"/>
  <c r="G280" i="20"/>
  <c r="G820" i="20"/>
  <c r="G564" i="20"/>
  <c r="G308" i="20"/>
  <c r="I1548" i="20"/>
  <c r="I1292" i="20"/>
  <c r="G72" i="20"/>
  <c r="I1100" i="20"/>
  <c r="I888" i="20"/>
  <c r="I340" i="20"/>
  <c r="I448" i="20"/>
  <c r="K708" i="20"/>
  <c r="J1000" i="52"/>
  <c r="L367" i="52"/>
  <c r="G860" i="20"/>
  <c r="G1336" i="20"/>
  <c r="G1080" i="20"/>
  <c r="G864" i="20"/>
  <c r="G1332" i="20"/>
  <c r="G1076" i="20"/>
  <c r="G768" i="20"/>
  <c r="G512" i="20"/>
  <c r="G256" i="20"/>
  <c r="G796" i="20"/>
  <c r="G540" i="20"/>
  <c r="G284" i="20"/>
  <c r="I1524" i="20"/>
  <c r="I1268" i="20"/>
  <c r="G32" i="20"/>
  <c r="I780" i="20"/>
  <c r="I824" i="20"/>
  <c r="I276" i="20"/>
  <c r="I344" i="20"/>
  <c r="K464" i="20"/>
  <c r="J1316" i="52"/>
  <c r="L635" i="52"/>
  <c r="L223" i="52"/>
  <c r="O25" i="27"/>
  <c r="G1552" i="20"/>
  <c r="G1296" i="20"/>
  <c r="G1040" i="20"/>
  <c r="G1548" i="20"/>
  <c r="G1292" i="20"/>
  <c r="G1036" i="20"/>
  <c r="G728" i="20"/>
  <c r="G472" i="20"/>
  <c r="G216" i="20"/>
  <c r="G756" i="20"/>
  <c r="G500" i="20"/>
  <c r="G244" i="20"/>
  <c r="I1484" i="20"/>
  <c r="I1228" i="20"/>
  <c r="I740" i="20"/>
  <c r="I756" i="20"/>
  <c r="I728" i="20"/>
  <c r="I172" i="20"/>
  <c r="I192" i="20"/>
  <c r="K168" i="20"/>
  <c r="J436" i="52"/>
  <c r="G912" i="20"/>
  <c r="G4" i="20"/>
  <c r="G1544" i="20"/>
  <c r="G1480" i="20"/>
  <c r="G1416" i="20"/>
  <c r="G1352" i="20"/>
  <c r="G1288" i="20"/>
  <c r="G1224" i="20"/>
  <c r="G1160" i="20"/>
  <c r="G1096" i="20"/>
  <c r="G1032" i="20"/>
  <c r="G968" i="20"/>
  <c r="G868" i="20"/>
  <c r="G844" i="20"/>
  <c r="G1540" i="20"/>
  <c r="G1476" i="20"/>
  <c r="G1412" i="20"/>
  <c r="G1348" i="20"/>
  <c r="G1284" i="20"/>
  <c r="G1220" i="20"/>
  <c r="G1156" i="20"/>
  <c r="G1092" i="20"/>
  <c r="G1028" i="20"/>
  <c r="G964" i="20"/>
  <c r="G852" i="20"/>
  <c r="G784" i="20"/>
  <c r="G720" i="20"/>
  <c r="G656" i="20"/>
  <c r="G592" i="20"/>
  <c r="G528" i="20"/>
  <c r="G464" i="20"/>
  <c r="G400" i="20"/>
  <c r="G336" i="20"/>
  <c r="G272" i="20"/>
  <c r="G208" i="20"/>
  <c r="G20" i="20"/>
  <c r="I1220" i="20"/>
  <c r="G812" i="20"/>
  <c r="G748" i="20"/>
  <c r="G684" i="20"/>
  <c r="G620" i="20"/>
  <c r="G556" i="20"/>
  <c r="G492" i="20"/>
  <c r="G428" i="20"/>
  <c r="G364" i="20"/>
  <c r="G300" i="20"/>
  <c r="G236" i="20"/>
  <c r="I1192" i="20"/>
  <c r="G180" i="20"/>
  <c r="I1540" i="20"/>
  <c r="I1476" i="20"/>
  <c r="I1412" i="20"/>
  <c r="I1348" i="20"/>
  <c r="I1284" i="20"/>
  <c r="I1132" i="20"/>
  <c r="I1200" i="20"/>
  <c r="I892" i="20"/>
  <c r="G48" i="20"/>
  <c r="I1560" i="20"/>
  <c r="I1432" i="20"/>
  <c r="I1304" i="20"/>
  <c r="I908" i="20"/>
  <c r="I1180" i="20"/>
  <c r="K1136" i="20"/>
  <c r="I1048" i="20"/>
  <c r="I880" i="20"/>
  <c r="I696" i="20"/>
  <c r="I660" i="20"/>
  <c r="I492" i="20"/>
  <c r="I308" i="20"/>
  <c r="I148" i="20"/>
  <c r="K1400" i="20"/>
  <c r="I664" i="20"/>
  <c r="I408" i="20"/>
  <c r="K1560" i="20"/>
  <c r="I60" i="20"/>
  <c r="K668" i="20"/>
  <c r="K592" i="20"/>
  <c r="K80" i="20"/>
  <c r="K196" i="20"/>
  <c r="H240" i="52"/>
  <c r="H896" i="52"/>
  <c r="J468" i="52"/>
  <c r="G880" i="20"/>
  <c r="G892" i="20"/>
  <c r="G1536" i="20"/>
  <c r="G1472" i="20"/>
  <c r="G1408" i="20"/>
  <c r="G1344" i="20"/>
  <c r="G1280" i="20"/>
  <c r="G1216" i="20"/>
  <c r="G1152" i="20"/>
  <c r="G1088" i="20"/>
  <c r="G1024" i="20"/>
  <c r="G960" i="20"/>
  <c r="G836" i="20"/>
  <c r="G896" i="20"/>
  <c r="G1532" i="20"/>
  <c r="G1468" i="20"/>
  <c r="G1404" i="20"/>
  <c r="G1340" i="20"/>
  <c r="G1276" i="20"/>
  <c r="G1212" i="20"/>
  <c r="G1148" i="20"/>
  <c r="G1084" i="20"/>
  <c r="G1020" i="20"/>
  <c r="G956" i="20"/>
  <c r="G68" i="20"/>
  <c r="G776" i="20"/>
  <c r="G712" i="20"/>
  <c r="G648" i="20"/>
  <c r="G584" i="20"/>
  <c r="G520" i="20"/>
  <c r="G456" i="20"/>
  <c r="G392" i="20"/>
  <c r="G328" i="20"/>
  <c r="G264" i="20"/>
  <c r="G188" i="20"/>
  <c r="I964" i="20"/>
  <c r="I900" i="20"/>
  <c r="G804" i="20"/>
  <c r="G740" i="20"/>
  <c r="G676" i="20"/>
  <c r="G612" i="20"/>
  <c r="G548" i="20"/>
  <c r="G484" i="20"/>
  <c r="G420" i="20"/>
  <c r="G356" i="20"/>
  <c r="G292" i="20"/>
  <c r="G228" i="20"/>
  <c r="I772" i="20"/>
  <c r="G92" i="20"/>
  <c r="I1532" i="20"/>
  <c r="I1468" i="20"/>
  <c r="I1404" i="20"/>
  <c r="I1340" i="20"/>
  <c r="I1276" i="20"/>
  <c r="I1068" i="20"/>
  <c r="I1172" i="20"/>
  <c r="I828" i="20"/>
  <c r="G40" i="20"/>
  <c r="I1552" i="20"/>
  <c r="I1424" i="20"/>
  <c r="I1296" i="20"/>
  <c r="I844" i="20"/>
  <c r="I1116" i="20"/>
  <c r="I688" i="20"/>
  <c r="I1016" i="20"/>
  <c r="I856" i="20"/>
  <c r="I8" i="20"/>
  <c r="I628" i="20"/>
  <c r="I468" i="20"/>
  <c r="I300" i="20"/>
  <c r="K1528" i="20"/>
  <c r="K1352" i="20"/>
  <c r="I640" i="20"/>
  <c r="I384" i="20"/>
  <c r="K1520" i="20"/>
  <c r="I20" i="20"/>
  <c r="K1092" i="20"/>
  <c r="K552" i="20"/>
  <c r="K40" i="20"/>
  <c r="K148" i="20"/>
  <c r="H1216" i="52"/>
  <c r="H1520" i="52"/>
  <c r="H380" i="52"/>
  <c r="H200" i="54"/>
  <c r="L924" i="52"/>
  <c r="L1492" i="52"/>
  <c r="J440" i="52"/>
  <c r="J1376" i="52"/>
  <c r="J1296" i="52"/>
  <c r="J1324" i="52"/>
  <c r="H392" i="52"/>
  <c r="H156" i="52"/>
  <c r="H760" i="52"/>
  <c r="I244" i="51"/>
  <c r="H1264" i="52"/>
  <c r="H1280" i="52"/>
  <c r="I60" i="51"/>
  <c r="H1036" i="52"/>
  <c r="K60" i="20"/>
  <c r="K228" i="20"/>
  <c r="K380" i="20"/>
  <c r="K508" i="20"/>
  <c r="K636" i="20"/>
  <c r="K104" i="20"/>
  <c r="K232" i="20"/>
  <c r="K360" i="20"/>
  <c r="K488" i="20"/>
  <c r="K616" i="20"/>
  <c r="K772" i="20"/>
  <c r="K900" i="20"/>
  <c r="K1028" i="20"/>
  <c r="K696" i="20"/>
  <c r="K824" i="20"/>
  <c r="K952" i="20"/>
  <c r="K1080" i="20"/>
  <c r="I84" i="20"/>
  <c r="K1204" i="20"/>
  <c r="K1332" i="20"/>
  <c r="K1460" i="20"/>
  <c r="I144" i="20"/>
  <c r="I224" i="20"/>
  <c r="I288" i="20"/>
  <c r="I352" i="20"/>
  <c r="I416" i="20"/>
  <c r="I480" i="20"/>
  <c r="I544" i="20"/>
  <c r="I608" i="20"/>
  <c r="I672" i="20"/>
  <c r="L8" i="52"/>
  <c r="L496" i="52"/>
  <c r="L1504" i="52"/>
  <c r="L1124" i="52"/>
  <c r="H52" i="52"/>
  <c r="J1332" i="52"/>
  <c r="J1456" i="52"/>
  <c r="H536" i="52"/>
  <c r="H192" i="52"/>
  <c r="H868" i="52"/>
  <c r="H588" i="52"/>
  <c r="H1304" i="52"/>
  <c r="H1344" i="52"/>
  <c r="I156" i="51"/>
  <c r="H1108" i="52"/>
  <c r="K68" i="20"/>
  <c r="K236" i="20"/>
  <c r="K388" i="20"/>
  <c r="K516" i="20"/>
  <c r="K644" i="20"/>
  <c r="K112" i="20"/>
  <c r="K240" i="20"/>
  <c r="K368" i="20"/>
  <c r="K496" i="20"/>
  <c r="K624" i="20"/>
  <c r="K780" i="20"/>
  <c r="K908" i="20"/>
  <c r="K1036" i="20"/>
  <c r="K704" i="20"/>
  <c r="K832" i="20"/>
  <c r="K960" i="20"/>
  <c r="K1088" i="20"/>
  <c r="I92" i="20"/>
  <c r="K1212" i="20"/>
  <c r="K1340" i="20"/>
  <c r="K1468" i="20"/>
  <c r="I152" i="20"/>
  <c r="I232" i="20"/>
  <c r="I296" i="20"/>
  <c r="I360" i="20"/>
  <c r="I424" i="20"/>
  <c r="I488" i="20"/>
  <c r="I552" i="20"/>
  <c r="I616" i="20"/>
  <c r="K1524" i="20"/>
  <c r="K1176" i="20"/>
  <c r="K1304" i="20"/>
  <c r="K1432" i="20"/>
  <c r="I16" i="20"/>
  <c r="I32" i="20"/>
  <c r="I188" i="20"/>
  <c r="I252" i="20"/>
  <c r="I316" i="20"/>
  <c r="I380" i="20"/>
  <c r="I444" i="20"/>
  <c r="I508" i="20"/>
  <c r="I572" i="20"/>
  <c r="I636" i="20"/>
  <c r="K1232" i="20"/>
  <c r="K1152" i="20"/>
  <c r="I704" i="20"/>
  <c r="I768" i="20"/>
  <c r="I832" i="20"/>
  <c r="I896" i="20"/>
  <c r="I960" i="20"/>
  <c r="I1024" i="20"/>
  <c r="I1088" i="20"/>
  <c r="I1152" i="20"/>
  <c r="K1200" i="20"/>
  <c r="L200" i="52"/>
  <c r="L1236" i="52"/>
  <c r="L400" i="52"/>
  <c r="L1196" i="52"/>
  <c r="J840" i="52"/>
  <c r="J1008" i="52"/>
  <c r="J1516" i="52"/>
  <c r="H692" i="52"/>
  <c r="H164" i="52"/>
  <c r="H880" i="52"/>
  <c r="H912" i="52"/>
  <c r="I92" i="51"/>
  <c r="H1368" i="52"/>
  <c r="I204" i="51"/>
  <c r="H1348" i="52"/>
  <c r="K100" i="20"/>
  <c r="K276" i="20"/>
  <c r="K412" i="20"/>
  <c r="K540" i="20"/>
  <c r="K8" i="20"/>
  <c r="K136" i="20"/>
  <c r="K264" i="20"/>
  <c r="K392" i="20"/>
  <c r="K520" i="20"/>
  <c r="K648" i="20"/>
  <c r="K804" i="20"/>
  <c r="K932" i="20"/>
  <c r="K1060" i="20"/>
  <c r="K728" i="20"/>
  <c r="K856" i="20"/>
  <c r="K984" i="20"/>
  <c r="K1112" i="20"/>
  <c r="I116" i="20"/>
  <c r="K1236" i="20"/>
  <c r="K1364" i="20"/>
  <c r="K1492" i="20"/>
  <c r="I176" i="20"/>
  <c r="I240" i="20"/>
  <c r="I304" i="20"/>
  <c r="I368" i="20"/>
  <c r="I432" i="20"/>
  <c r="I496" i="20"/>
  <c r="I560" i="20"/>
  <c r="I624" i="20"/>
  <c r="K1536" i="20"/>
  <c r="K1192" i="20"/>
  <c r="K1320" i="20"/>
  <c r="K1448" i="20"/>
  <c r="I80" i="20"/>
  <c r="I96" i="20"/>
  <c r="I196" i="20"/>
  <c r="I260" i="20"/>
  <c r="I324" i="20"/>
  <c r="I388" i="20"/>
  <c r="I452" i="20"/>
  <c r="I516" i="20"/>
  <c r="I580" i="20"/>
  <c r="I644" i="20"/>
  <c r="K1296" i="20"/>
  <c r="K1216" i="20"/>
  <c r="I712" i="20"/>
  <c r="I776" i="20"/>
  <c r="I840" i="20"/>
  <c r="I904" i="20"/>
  <c r="I968" i="20"/>
  <c r="I1032" i="20"/>
  <c r="I1096" i="20"/>
  <c r="I1160" i="20"/>
  <c r="K1264" i="20"/>
  <c r="I732" i="20"/>
  <c r="I1212" i="20"/>
  <c r="I1140" i="20"/>
  <c r="I972" i="20"/>
  <c r="I1248" i="20"/>
  <c r="I1312" i="20"/>
  <c r="I1376" i="20"/>
  <c r="I1440" i="20"/>
  <c r="I1504" i="20"/>
  <c r="I1568" i="20"/>
  <c r="I1124" i="20"/>
  <c r="G56" i="20"/>
  <c r="G120" i="20"/>
  <c r="I956" i="20"/>
  <c r="I788" i="20"/>
  <c r="K1248" i="20"/>
  <c r="L620" i="52"/>
  <c r="L1248" i="52"/>
  <c r="J412" i="52"/>
  <c r="J216" i="52"/>
  <c r="J888" i="52"/>
  <c r="J740" i="52"/>
  <c r="J868" i="52"/>
  <c r="H728" i="52"/>
  <c r="H340" i="52"/>
  <c r="J1452" i="52"/>
  <c r="H948" i="52"/>
  <c r="I236" i="51"/>
  <c r="H1476" i="52"/>
  <c r="I252" i="51"/>
  <c r="H1408" i="52"/>
  <c r="K108" i="20"/>
  <c r="K284" i="20"/>
  <c r="K420" i="20"/>
  <c r="K548" i="20"/>
  <c r="K16" i="20"/>
  <c r="K144" i="20"/>
  <c r="K272" i="20"/>
  <c r="K400" i="20"/>
  <c r="K528" i="20"/>
  <c r="K684" i="20"/>
  <c r="K812" i="20"/>
  <c r="K940" i="20"/>
  <c r="K1068" i="20"/>
  <c r="K736" i="20"/>
  <c r="K864" i="20"/>
  <c r="K992" i="20"/>
  <c r="K680" i="20"/>
  <c r="K1116" i="20"/>
  <c r="K1244" i="20"/>
  <c r="K1372" i="20"/>
  <c r="K1500" i="20"/>
  <c r="I184" i="20"/>
  <c r="I248" i="20"/>
  <c r="I312" i="20"/>
  <c r="I376" i="20"/>
  <c r="I440" i="20"/>
  <c r="I504" i="20"/>
  <c r="I568" i="20"/>
  <c r="I632" i="20"/>
  <c r="I40" i="20"/>
  <c r="K1208" i="20"/>
  <c r="K1336" i="20"/>
  <c r="K1464" i="20"/>
  <c r="K1540" i="20"/>
  <c r="I140" i="20"/>
  <c r="I204" i="20"/>
  <c r="I268" i="20"/>
  <c r="I332" i="20"/>
  <c r="I396" i="20"/>
  <c r="I460" i="20"/>
  <c r="I524" i="20"/>
  <c r="I588" i="20"/>
  <c r="I652" i="20"/>
  <c r="K1360" i="20"/>
  <c r="K1280" i="20"/>
  <c r="I720" i="20"/>
  <c r="I784" i="20"/>
  <c r="I848" i="20"/>
  <c r="I912" i="20"/>
  <c r="I976" i="20"/>
  <c r="I1040" i="20"/>
  <c r="I1104" i="20"/>
  <c r="I1168" i="20"/>
  <c r="K1328" i="20"/>
  <c r="I796" i="20"/>
  <c r="I692" i="20"/>
  <c r="I1204" i="20"/>
  <c r="I1036" i="20"/>
  <c r="I1256" i="20"/>
  <c r="I1320" i="20"/>
  <c r="I1384" i="20"/>
  <c r="I1448" i="20"/>
  <c r="I1512" i="20"/>
  <c r="I1576" i="20"/>
  <c r="I1216" i="20"/>
  <c r="G64" i="20"/>
  <c r="G128" i="20"/>
  <c r="I1020" i="20"/>
  <c r="I852" i="20"/>
  <c r="K1504" i="20"/>
  <c r="L60" i="52"/>
  <c r="L172" i="52"/>
  <c r="J772" i="52"/>
  <c r="J492" i="52"/>
  <c r="J788" i="52"/>
  <c r="J816" i="52"/>
  <c r="J40" i="52"/>
  <c r="H1052" i="52"/>
  <c r="H496" i="52"/>
  <c r="I4" i="51"/>
  <c r="H1364" i="52"/>
  <c r="H564" i="52"/>
  <c r="H1000" i="52"/>
  <c r="H576" i="52"/>
  <c r="H1516" i="52"/>
  <c r="K156" i="20"/>
  <c r="K324" i="20"/>
  <c r="K452" i="20"/>
  <c r="K580" i="20"/>
  <c r="K48" i="20"/>
  <c r="K176" i="20"/>
  <c r="K304" i="20"/>
  <c r="K432" i="20"/>
  <c r="K560" i="20"/>
  <c r="K716" i="20"/>
  <c r="K844" i="20"/>
  <c r="K972" i="20"/>
  <c r="K1100" i="20"/>
  <c r="K768" i="20"/>
  <c r="K896" i="20"/>
  <c r="K1024" i="20"/>
  <c r="I28" i="20"/>
  <c r="K1148" i="20"/>
  <c r="K1276" i="20"/>
  <c r="K1404" i="20"/>
  <c r="K1572" i="20"/>
  <c r="I200" i="20"/>
  <c r="I264" i="20"/>
  <c r="I328" i="20"/>
  <c r="I392" i="20"/>
  <c r="I456" i="20"/>
  <c r="I520" i="20"/>
  <c r="I584" i="20"/>
  <c r="I648" i="20"/>
  <c r="I128" i="20"/>
  <c r="K1240" i="20"/>
  <c r="K1368" i="20"/>
  <c r="K1496" i="20"/>
  <c r="I56" i="20"/>
  <c r="I156" i="20"/>
  <c r="I220" i="20"/>
  <c r="I284" i="20"/>
  <c r="I348" i="20"/>
  <c r="I412" i="20"/>
  <c r="I476" i="20"/>
  <c r="I540" i="20"/>
  <c r="I604" i="20"/>
  <c r="I668" i="20"/>
  <c r="K1488" i="20"/>
  <c r="K1408" i="20"/>
  <c r="I736" i="20"/>
  <c r="I800" i="20"/>
  <c r="I864" i="20"/>
  <c r="I928" i="20"/>
  <c r="I992" i="20"/>
  <c r="I1056" i="20"/>
  <c r="I1120" i="20"/>
  <c r="I1184" i="20"/>
  <c r="K1456" i="20"/>
  <c r="I924" i="20"/>
  <c r="I820" i="20"/>
  <c r="K1376" i="20"/>
  <c r="I1164" i="20"/>
  <c r="I1272" i="20"/>
  <c r="I1336" i="20"/>
  <c r="I1400" i="20"/>
  <c r="I1464" i="20"/>
  <c r="I1528" i="20"/>
  <c r="I804" i="20"/>
  <c r="G16" i="20"/>
  <c r="G80" i="20"/>
  <c r="K1440" i="20"/>
  <c r="I1148" i="20"/>
  <c r="I980" i="20"/>
  <c r="I132" i="20"/>
  <c r="L588" i="52"/>
  <c r="L352" i="52"/>
  <c r="L688" i="52"/>
  <c r="J1052" i="52"/>
  <c r="J828" i="52"/>
  <c r="J1144" i="52"/>
  <c r="H188" i="52"/>
  <c r="H1064" i="52"/>
  <c r="H604" i="52"/>
  <c r="I124" i="51"/>
  <c r="H1400" i="52"/>
  <c r="H852" i="52"/>
  <c r="H1228" i="52"/>
  <c r="H648" i="52"/>
  <c r="H1068" i="52"/>
  <c r="K20" i="20"/>
  <c r="K188" i="20"/>
  <c r="K348" i="20"/>
  <c r="K476" i="20"/>
  <c r="K604" i="20"/>
  <c r="K72" i="20"/>
  <c r="K200" i="20"/>
  <c r="K328" i="20"/>
  <c r="K456" i="20"/>
  <c r="K584" i="20"/>
  <c r="K740" i="20"/>
  <c r="K868" i="20"/>
  <c r="K996" i="20"/>
  <c r="K676" i="20"/>
  <c r="K792" i="20"/>
  <c r="K920" i="20"/>
  <c r="K1048" i="20"/>
  <c r="I52" i="20"/>
  <c r="K1172" i="20"/>
  <c r="K1300" i="20"/>
  <c r="K1428" i="20"/>
  <c r="K1548" i="20"/>
  <c r="I208" i="20"/>
  <c r="I272" i="20"/>
  <c r="I336" i="20"/>
  <c r="I400" i="20"/>
  <c r="I464" i="20"/>
  <c r="I528" i="20"/>
  <c r="I592" i="20"/>
  <c r="I656" i="20"/>
  <c r="K1128" i="20"/>
  <c r="K1256" i="20"/>
  <c r="K1384" i="20"/>
  <c r="K1512" i="20"/>
  <c r="I120" i="20"/>
  <c r="I164" i="20"/>
  <c r="I228" i="20"/>
  <c r="I292" i="20"/>
  <c r="I356" i="20"/>
  <c r="I420" i="20"/>
  <c r="I484" i="20"/>
  <c r="I548" i="20"/>
  <c r="I612" i="20"/>
  <c r="I676" i="20"/>
  <c r="K1556" i="20"/>
  <c r="K1472" i="20"/>
  <c r="I744" i="20"/>
  <c r="I808" i="20"/>
  <c r="I872" i="20"/>
  <c r="I936" i="20"/>
  <c r="I1000" i="20"/>
  <c r="I1064" i="20"/>
  <c r="I1128" i="20"/>
  <c r="I124" i="20"/>
  <c r="K1544" i="20"/>
  <c r="I988" i="20"/>
  <c r="I884" i="20"/>
  <c r="I716" i="20"/>
  <c r="I1196" i="20"/>
  <c r="I1280" i="20"/>
  <c r="I1344" i="20"/>
  <c r="I1408" i="20"/>
  <c r="I1472" i="20"/>
  <c r="I1536" i="20"/>
  <c r="I868" i="20"/>
  <c r="G24" i="20"/>
  <c r="G88" i="20"/>
  <c r="I700" i="20"/>
  <c r="I1188" i="20"/>
  <c r="I1044" i="20"/>
  <c r="O24" i="27"/>
  <c r="G144" i="20"/>
  <c r="G200" i="20"/>
  <c r="G1520" i="20"/>
  <c r="G1456" i="20"/>
  <c r="G1392" i="20"/>
  <c r="G1328" i="20"/>
  <c r="G1264" i="20"/>
  <c r="G1200" i="20"/>
  <c r="G1136" i="20"/>
  <c r="G1072" i="20"/>
  <c r="G1008" i="20"/>
  <c r="G944" i="20"/>
  <c r="I1092" i="20"/>
  <c r="G132" i="20"/>
  <c r="G1516" i="20"/>
  <c r="G1452" i="20"/>
  <c r="G1388" i="20"/>
  <c r="G1324" i="20"/>
  <c r="G1260" i="20"/>
  <c r="G1196" i="20"/>
  <c r="G1132" i="20"/>
  <c r="G1068" i="20"/>
  <c r="G1004" i="20"/>
  <c r="G940" i="20"/>
  <c r="G824" i="20"/>
  <c r="G760" i="20"/>
  <c r="G696" i="20"/>
  <c r="G632" i="20"/>
  <c r="G568" i="20"/>
  <c r="G504" i="20"/>
  <c r="G440" i="20"/>
  <c r="G376" i="20"/>
  <c r="G312" i="20"/>
  <c r="G248" i="20"/>
  <c r="G108" i="20"/>
  <c r="G164" i="20"/>
  <c r="G184" i="20"/>
  <c r="G788" i="20"/>
  <c r="G724" i="20"/>
  <c r="G660" i="20"/>
  <c r="G596" i="20"/>
  <c r="G532" i="20"/>
  <c r="G468" i="20"/>
  <c r="G404" i="20"/>
  <c r="G340" i="20"/>
  <c r="G276" i="20"/>
  <c r="G212" i="20"/>
  <c r="G160" i="20"/>
  <c r="I1156" i="20"/>
  <c r="I1516" i="20"/>
  <c r="I1452" i="20"/>
  <c r="I1388" i="20"/>
  <c r="I1324" i="20"/>
  <c r="I1260" i="20"/>
  <c r="I940" i="20"/>
  <c r="I916" i="20"/>
  <c r="K1184" i="20"/>
  <c r="G8" i="20"/>
  <c r="I1520" i="20"/>
  <c r="I1392" i="20"/>
  <c r="I1264" i="20"/>
  <c r="K1120" i="20"/>
  <c r="I860" i="20"/>
  <c r="I1144" i="20"/>
  <c r="I984" i="20"/>
  <c r="I816" i="20"/>
  <c r="I72" i="20"/>
  <c r="I596" i="20"/>
  <c r="I428" i="20"/>
  <c r="I244" i="20"/>
  <c r="K1552" i="20"/>
  <c r="K1272" i="20"/>
  <c r="I576" i="20"/>
  <c r="I320" i="20"/>
  <c r="K1396" i="20"/>
  <c r="K1016" i="20"/>
  <c r="K964" i="20"/>
  <c r="K424" i="20"/>
  <c r="K572" i="20"/>
  <c r="H900" i="52"/>
  <c r="I232" i="51"/>
  <c r="J1156" i="52"/>
  <c r="L1216" i="52"/>
  <c r="O23" i="27"/>
  <c r="G904" i="20"/>
  <c r="G1576" i="20"/>
  <c r="G1512" i="20"/>
  <c r="G1448" i="20"/>
  <c r="G1384" i="20"/>
  <c r="G1320" i="20"/>
  <c r="G1256" i="20"/>
  <c r="G1192" i="20"/>
  <c r="G1128" i="20"/>
  <c r="G1064" i="20"/>
  <c r="G1000" i="20"/>
  <c r="G936" i="20"/>
  <c r="G888" i="20"/>
  <c r="G1572" i="20"/>
  <c r="G1508" i="20"/>
  <c r="G1444" i="20"/>
  <c r="G1380" i="20"/>
  <c r="G1316" i="20"/>
  <c r="G1252" i="20"/>
  <c r="G1188" i="20"/>
  <c r="G1124" i="20"/>
  <c r="G1060" i="20"/>
  <c r="G996" i="20"/>
  <c r="G932" i="20"/>
  <c r="G816" i="20"/>
  <c r="G752" i="20"/>
  <c r="G688" i="20"/>
  <c r="G624" i="20"/>
  <c r="G560" i="20"/>
  <c r="G496" i="20"/>
  <c r="G432" i="20"/>
  <c r="G368" i="20"/>
  <c r="G304" i="20"/>
  <c r="G240" i="20"/>
  <c r="G44" i="20"/>
  <c r="G152" i="20"/>
  <c r="G100" i="20"/>
  <c r="G780" i="20"/>
  <c r="G716" i="20"/>
  <c r="G652" i="20"/>
  <c r="G588" i="20"/>
  <c r="G524" i="20"/>
  <c r="G460" i="20"/>
  <c r="G396" i="20"/>
  <c r="G332" i="20"/>
  <c r="G268" i="20"/>
  <c r="G172" i="20"/>
  <c r="G148" i="20"/>
  <c r="I1572" i="20"/>
  <c r="I1508" i="20"/>
  <c r="I1444" i="20"/>
  <c r="I1380" i="20"/>
  <c r="I1316" i="20"/>
  <c r="I1252" i="20"/>
  <c r="I876" i="20"/>
  <c r="I724" i="20"/>
  <c r="G112" i="20"/>
  <c r="I1060" i="20"/>
  <c r="I1496" i="20"/>
  <c r="I1368" i="20"/>
  <c r="I1240" i="20"/>
  <c r="I1076" i="20"/>
  <c r="I112" i="20"/>
  <c r="I1136" i="20"/>
  <c r="I952" i="20"/>
  <c r="I792" i="20"/>
  <c r="I48" i="20"/>
  <c r="I564" i="20"/>
  <c r="I404" i="20"/>
  <c r="I236" i="20"/>
  <c r="K1576" i="20"/>
  <c r="K1224" i="20"/>
  <c r="I536" i="20"/>
  <c r="I280" i="20"/>
  <c r="K1308" i="20"/>
  <c r="K928" i="20"/>
  <c r="K876" i="20"/>
  <c r="K336" i="20"/>
  <c r="K484" i="20"/>
  <c r="H360" i="52"/>
  <c r="H1092" i="52"/>
  <c r="J768" i="52"/>
  <c r="J8" i="52"/>
  <c r="O22" i="27"/>
  <c r="G872" i="20"/>
  <c r="G1568" i="20"/>
  <c r="G1504" i="20"/>
  <c r="G1440" i="20"/>
  <c r="G1376" i="20"/>
  <c r="G1312" i="20"/>
  <c r="G1248" i="20"/>
  <c r="G1184" i="20"/>
  <c r="G1120" i="20"/>
  <c r="G1056" i="20"/>
  <c r="G992" i="20"/>
  <c r="G928" i="20"/>
  <c r="G856" i="20"/>
  <c r="G1564" i="20"/>
  <c r="G1500" i="20"/>
  <c r="G1436" i="20"/>
  <c r="G1372" i="20"/>
  <c r="G1308" i="20"/>
  <c r="G1244" i="20"/>
  <c r="G1180" i="20"/>
  <c r="G1116" i="20"/>
  <c r="G1052" i="20"/>
  <c r="G988" i="20"/>
  <c r="G924" i="20"/>
  <c r="G808" i="20"/>
  <c r="G744" i="20"/>
  <c r="G680" i="20"/>
  <c r="G616" i="20"/>
  <c r="G552" i="20"/>
  <c r="G488" i="20"/>
  <c r="G424" i="20"/>
  <c r="G360" i="20"/>
  <c r="G296" i="20"/>
  <c r="G232" i="20"/>
  <c r="I1028" i="20"/>
  <c r="G140" i="20"/>
  <c r="G36" i="20"/>
  <c r="G772" i="20"/>
  <c r="G708" i="20"/>
  <c r="G644" i="20"/>
  <c r="G580" i="20"/>
  <c r="G516" i="20"/>
  <c r="G452" i="20"/>
  <c r="G388" i="20"/>
  <c r="G324" i="20"/>
  <c r="G260" i="20"/>
  <c r="G136" i="20"/>
  <c r="G116" i="20"/>
  <c r="I1564" i="20"/>
  <c r="I1500" i="20"/>
  <c r="I1436" i="20"/>
  <c r="I1372" i="20"/>
  <c r="I1308" i="20"/>
  <c r="I1244" i="20"/>
  <c r="I812" i="20"/>
  <c r="I680" i="20"/>
  <c r="G104" i="20"/>
  <c r="I996" i="20"/>
  <c r="I1488" i="20"/>
  <c r="I1360" i="20"/>
  <c r="I1232" i="20"/>
  <c r="I1012" i="20"/>
  <c r="K1312" i="20"/>
  <c r="I1112" i="20"/>
  <c r="I944" i="20"/>
  <c r="I760" i="20"/>
  <c r="K1424" i="20"/>
  <c r="I556" i="20"/>
  <c r="I372" i="20"/>
  <c r="I212" i="20"/>
  <c r="K1564" i="20"/>
  <c r="K1160" i="20"/>
  <c r="I512" i="20"/>
  <c r="I256" i="20"/>
  <c r="K1268" i="20"/>
  <c r="K888" i="20"/>
  <c r="K836" i="20"/>
  <c r="K296" i="20"/>
  <c r="K444" i="20"/>
  <c r="I48" i="51"/>
  <c r="H616" i="52"/>
  <c r="J1140" i="52"/>
  <c r="L912" i="52"/>
  <c r="O21" i="27"/>
  <c r="G840" i="20"/>
  <c r="G1560" i="20"/>
  <c r="G1496" i="20"/>
  <c r="G1432" i="20"/>
  <c r="G1368" i="20"/>
  <c r="G1304" i="20"/>
  <c r="G1240" i="20"/>
  <c r="G1176" i="20"/>
  <c r="G1112" i="20"/>
  <c r="G1048" i="20"/>
  <c r="G984" i="20"/>
  <c r="G920" i="20"/>
  <c r="G908" i="20"/>
  <c r="G1556" i="20"/>
  <c r="G1492" i="20"/>
  <c r="G1428" i="20"/>
  <c r="G1364" i="20"/>
  <c r="G1300" i="20"/>
  <c r="G1236" i="20"/>
  <c r="G1172" i="20"/>
  <c r="G1108" i="20"/>
  <c r="G1044" i="20"/>
  <c r="G980" i="20"/>
  <c r="G916" i="20"/>
  <c r="G800" i="20"/>
  <c r="G736" i="20"/>
  <c r="G672" i="20"/>
  <c r="G608" i="20"/>
  <c r="G544" i="20"/>
  <c r="G480" i="20"/>
  <c r="G416" i="20"/>
  <c r="G352" i="20"/>
  <c r="G288" i="20"/>
  <c r="G224" i="20"/>
  <c r="G176" i="20"/>
  <c r="G124" i="20"/>
  <c r="I836" i="20"/>
  <c r="G764" i="20"/>
  <c r="G700" i="20"/>
  <c r="G636" i="20"/>
  <c r="G572" i="20"/>
  <c r="G508" i="20"/>
  <c r="G444" i="20"/>
  <c r="G380" i="20"/>
  <c r="G316" i="20"/>
  <c r="G252" i="20"/>
  <c r="G76" i="20"/>
  <c r="G52" i="20"/>
  <c r="I1556" i="20"/>
  <c r="I1492" i="20"/>
  <c r="I1428" i="20"/>
  <c r="I1364" i="20"/>
  <c r="I1300" i="20"/>
  <c r="I1236" i="20"/>
  <c r="I748" i="20"/>
  <c r="I1208" i="20"/>
  <c r="G96" i="20"/>
  <c r="I932" i="20"/>
  <c r="I1480" i="20"/>
  <c r="I1352" i="20"/>
  <c r="I1224" i="20"/>
  <c r="I948" i="20"/>
  <c r="K1568" i="20"/>
  <c r="I1080" i="20"/>
  <c r="I920" i="20"/>
  <c r="I752" i="20"/>
  <c r="K1168" i="20"/>
  <c r="I532" i="20"/>
  <c r="I364" i="20"/>
  <c r="I180" i="20"/>
  <c r="K1480" i="20"/>
  <c r="K1144" i="20"/>
  <c r="I472" i="20"/>
  <c r="I216" i="20"/>
  <c r="K1180" i="20"/>
  <c r="K800" i="20"/>
  <c r="K748" i="20"/>
  <c r="K208" i="20"/>
  <c r="K356" i="20"/>
  <c r="H1572" i="52"/>
  <c r="H376" i="52"/>
  <c r="J920" i="52"/>
  <c r="L48" i="52"/>
  <c r="H1310" i="52"/>
  <c r="H1010" i="52"/>
  <c r="J870" i="52"/>
  <c r="J1218" i="52"/>
  <c r="I118" i="51"/>
  <c r="H898" i="52"/>
  <c r="J1466" i="52"/>
  <c r="H1498" i="52"/>
  <c r="H778" i="52"/>
  <c r="H174" i="52"/>
  <c r="H626" i="52"/>
  <c r="J1482" i="52"/>
  <c r="H86" i="54"/>
  <c r="J662" i="52"/>
  <c r="J310" i="52"/>
  <c r="H6" i="52"/>
  <c r="J1274" i="52"/>
  <c r="J1038" i="52"/>
  <c r="H462" i="52"/>
  <c r="H990" i="52"/>
  <c r="H298" i="52"/>
  <c r="H682" i="52"/>
  <c r="H1066" i="52"/>
  <c r="H410" i="52"/>
  <c r="H794" i="52"/>
  <c r="H1178" i="52"/>
  <c r="H1554" i="52"/>
  <c r="H1174" i="52"/>
  <c r="I22" i="51"/>
  <c r="H1394" i="52"/>
  <c r="I146" i="51"/>
  <c r="K50" i="20"/>
  <c r="K114" i="20"/>
  <c r="K178" i="20"/>
  <c r="K242" i="20"/>
  <c r="K306" i="20"/>
  <c r="K370" i="20"/>
  <c r="K434" i="20"/>
  <c r="K498" i="20"/>
  <c r="K562" i="20"/>
  <c r="K626" i="20"/>
  <c r="K6" i="20"/>
  <c r="K70" i="20"/>
  <c r="K134" i="20"/>
  <c r="K238" i="20"/>
  <c r="K366" i="20"/>
  <c r="K494" i="20"/>
  <c r="K622" i="20"/>
  <c r="K726" i="20"/>
  <c r="K790" i="20"/>
  <c r="K854" i="20"/>
  <c r="K918" i="20"/>
  <c r="K982" i="20"/>
  <c r="K1046" i="20"/>
  <c r="K342" i="20"/>
  <c r="K1082" i="20"/>
  <c r="K1170" i="20"/>
  <c r="K1234" i="20"/>
  <c r="K1298" i="20"/>
  <c r="K1362" i="20"/>
  <c r="K1426" i="20"/>
  <c r="K1490" i="20"/>
  <c r="K1554" i="20"/>
  <c r="K518" i="20"/>
  <c r="K754" i="20"/>
  <c r="K882" i="20"/>
  <c r="K1010" i="20"/>
  <c r="K310" i="20"/>
  <c r="K1118" i="20"/>
  <c r="K1182" i="20"/>
  <c r="K1246" i="20"/>
  <c r="K1310" i="20"/>
  <c r="K1374" i="20"/>
  <c r="K1438" i="20"/>
  <c r="K1502" i="20"/>
  <c r="K1566" i="20"/>
  <c r="I74" i="20"/>
  <c r="I114" i="20"/>
  <c r="I14" i="20"/>
  <c r="I54" i="20"/>
  <c r="I178" i="20"/>
  <c r="I242" i="20"/>
  <c r="I306" i="20"/>
  <c r="I370" i="20"/>
  <c r="I434" i="20"/>
  <c r="I498" i="20"/>
  <c r="K842" i="20"/>
  <c r="K922" i="20"/>
  <c r="I222" i="20"/>
  <c r="I710" i="20"/>
  <c r="I774" i="20"/>
  <c r="I838" i="20"/>
  <c r="I902" i="20"/>
  <c r="I966" i="20"/>
  <c r="I1030" i="20"/>
  <c r="I1094" i="20"/>
  <c r="I1158" i="20"/>
  <c r="I1222" i="20"/>
  <c r="J842" i="52"/>
  <c r="J394" i="52"/>
  <c r="H54" i="52"/>
  <c r="J1334" i="52"/>
  <c r="J1074" i="52"/>
  <c r="H498" i="52"/>
  <c r="H1026" i="52"/>
  <c r="H322" i="52"/>
  <c r="H706" i="52"/>
  <c r="H1090" i="52"/>
  <c r="H434" i="52"/>
  <c r="H818" i="52"/>
  <c r="J1422" i="52"/>
  <c r="H2" i="52"/>
  <c r="H1278" i="52"/>
  <c r="I46" i="51"/>
  <c r="H1418" i="52"/>
  <c r="I170" i="51"/>
  <c r="J174" i="52"/>
  <c r="J730" i="52"/>
  <c r="H210" i="52"/>
  <c r="J1514" i="52"/>
  <c r="J1242" i="52"/>
  <c r="H642" i="52"/>
  <c r="H1146" i="52"/>
  <c r="H418" i="52"/>
  <c r="H802" i="52"/>
  <c r="J1470" i="52"/>
  <c r="H530" i="52"/>
  <c r="H914" i="52"/>
  <c r="H1202" i="52"/>
  <c r="I138" i="51"/>
  <c r="H1402" i="52"/>
  <c r="I142" i="51"/>
  <c r="H1514" i="52"/>
  <c r="I2" i="51"/>
  <c r="J450" i="52"/>
  <c r="J990" i="52"/>
  <c r="J846" i="52"/>
  <c r="H70" i="52"/>
  <c r="J1374" i="52"/>
  <c r="H738" i="52"/>
  <c r="H1242" i="52"/>
  <c r="H490" i="52"/>
  <c r="H874" i="52"/>
  <c r="H38" i="52"/>
  <c r="H602" i="52"/>
  <c r="H986" i="52"/>
  <c r="H1362" i="52"/>
  <c r="H1302" i="52"/>
  <c r="H1474" i="52"/>
  <c r="I214" i="51"/>
  <c r="H1214" i="52"/>
  <c r="L1214" i="52"/>
  <c r="L1538" i="52"/>
  <c r="J1354" i="52"/>
  <c r="J1118" i="52"/>
  <c r="J26" i="52"/>
  <c r="H306" i="52"/>
  <c r="H858" i="52"/>
  <c r="H170" i="52"/>
  <c r="H586" i="52"/>
  <c r="H970" i="52"/>
  <c r="H314" i="52"/>
  <c r="H698" i="52"/>
  <c r="H1082" i="52"/>
  <c r="H1458" i="52"/>
  <c r="I90" i="51"/>
  <c r="H1570" i="52"/>
  <c r="H1198" i="52"/>
  <c r="I50" i="51"/>
  <c r="L1110" i="52"/>
  <c r="L982" i="52"/>
  <c r="J1450" i="52"/>
  <c r="J1166" i="52"/>
  <c r="J142" i="52"/>
  <c r="H354" i="52"/>
  <c r="H894" i="52"/>
  <c r="H134" i="52"/>
  <c r="H610" i="52"/>
  <c r="H994" i="52"/>
  <c r="H338" i="52"/>
  <c r="H722" i="52"/>
  <c r="H1106" i="52"/>
  <c r="H1482" i="52"/>
  <c r="I126" i="51"/>
  <c r="H1266" i="52"/>
  <c r="H1322" i="52"/>
  <c r="I74" i="51"/>
  <c r="I18" i="51"/>
  <c r="H242" i="52"/>
  <c r="H762" i="52"/>
  <c r="J1102" i="52"/>
  <c r="I242" i="51"/>
  <c r="H1262" i="52"/>
  <c r="H194" i="52"/>
  <c r="H606" i="52"/>
  <c r="J670" i="52"/>
  <c r="L494" i="52"/>
  <c r="L618" i="52"/>
  <c r="H166" i="54"/>
  <c r="I254" i="51"/>
  <c r="I158" i="51"/>
  <c r="I62" i="51"/>
  <c r="H1258" i="52"/>
  <c r="H1502" i="52"/>
  <c r="H1406" i="52"/>
  <c r="H1270" i="52"/>
  <c r="I226" i="51"/>
  <c r="I130" i="51"/>
  <c r="I34" i="51"/>
  <c r="H1210" i="52"/>
  <c r="H1486" i="52"/>
  <c r="H1390" i="52"/>
  <c r="H1238" i="52"/>
  <c r="I102" i="51"/>
  <c r="I6" i="51"/>
  <c r="H1314" i="52"/>
  <c r="H1566" i="52"/>
  <c r="H1470" i="52"/>
  <c r="H1374" i="52"/>
  <c r="H1186" i="52"/>
  <c r="H1190" i="52"/>
  <c r="H1094" i="52"/>
  <c r="H998" i="52"/>
  <c r="H902" i="52"/>
  <c r="H806" i="52"/>
  <c r="H710" i="52"/>
  <c r="H614" i="52"/>
  <c r="H518" i="52"/>
  <c r="H422" i="52"/>
  <c r="H326" i="52"/>
  <c r="H230" i="52"/>
  <c r="J1446" i="52"/>
  <c r="H1078" i="52"/>
  <c r="H982" i="52"/>
  <c r="H886" i="52"/>
  <c r="H790" i="52"/>
  <c r="H694" i="52"/>
  <c r="H598" i="52"/>
  <c r="H502" i="52"/>
  <c r="H406" i="52"/>
  <c r="H310" i="52"/>
  <c r="H206" i="52"/>
  <c r="J1458" i="52"/>
  <c r="H1134" i="52"/>
  <c r="H1002" i="52"/>
  <c r="H882" i="52"/>
  <c r="H750" i="52"/>
  <c r="H618" i="52"/>
  <c r="H474" i="52"/>
  <c r="H330" i="52"/>
  <c r="J1410" i="52"/>
  <c r="J1230" i="52"/>
  <c r="J1050" i="52"/>
  <c r="J982" i="52"/>
  <c r="H82" i="52"/>
  <c r="J1502" i="52"/>
  <c r="J1322" i="52"/>
  <c r="J1130" i="52"/>
  <c r="J862" i="52"/>
  <c r="H198" i="52"/>
  <c r="H18" i="52"/>
  <c r="J1438" i="52"/>
  <c r="J1078" i="52"/>
  <c r="J718" i="52"/>
  <c r="J382" i="52"/>
  <c r="J134" i="52"/>
  <c r="J498" i="52"/>
  <c r="J146" i="52"/>
  <c r="J818" i="52"/>
  <c r="L946" i="52"/>
  <c r="L398" i="52"/>
  <c r="L138" i="52"/>
  <c r="I230" i="51"/>
  <c r="I134" i="51"/>
  <c r="I38" i="51"/>
  <c r="H1574" i="52"/>
  <c r="H1478" i="52"/>
  <c r="H1382" i="52"/>
  <c r="H1162" i="52"/>
  <c r="I202" i="51"/>
  <c r="I106" i="51"/>
  <c r="I10" i="51"/>
  <c r="H1558" i="52"/>
  <c r="H1462" i="52"/>
  <c r="H1366" i="52"/>
  <c r="H1138" i="52"/>
  <c r="I78" i="51"/>
  <c r="H1250" i="52"/>
  <c r="I258" i="51"/>
  <c r="H1542" i="52"/>
  <c r="H1446" i="52"/>
  <c r="H1350" i="52"/>
  <c r="H218" i="52"/>
  <c r="H1166" i="52"/>
  <c r="H1070" i="52"/>
  <c r="H974" i="52"/>
  <c r="H878" i="52"/>
  <c r="H782" i="52"/>
  <c r="H686" i="52"/>
  <c r="H590" i="52"/>
  <c r="H494" i="52"/>
  <c r="H398" i="52"/>
  <c r="H302" i="52"/>
  <c r="H14" i="52"/>
  <c r="H158" i="52"/>
  <c r="H1054" i="52"/>
  <c r="H958" i="52"/>
  <c r="H862" i="52"/>
  <c r="H766" i="52"/>
  <c r="H670" i="52"/>
  <c r="H574" i="52"/>
  <c r="H478" i="52"/>
  <c r="H382" i="52"/>
  <c r="H286" i="52"/>
  <c r="H50" i="52"/>
  <c r="H1230" i="52"/>
  <c r="H1098" i="52"/>
  <c r="H978" i="52"/>
  <c r="H846" i="52"/>
  <c r="H714" i="52"/>
  <c r="H594" i="52"/>
  <c r="H426" i="52"/>
  <c r="H282" i="52"/>
  <c r="J1362" i="52"/>
  <c r="J1182" i="52"/>
  <c r="J1026" i="52"/>
  <c r="H226" i="52"/>
  <c r="H46" i="52"/>
  <c r="J1430" i="52"/>
  <c r="J1262" i="52"/>
  <c r="J1082" i="52"/>
  <c r="J810" i="52"/>
  <c r="H162" i="52"/>
  <c r="J1558" i="52"/>
  <c r="J1294" i="52"/>
  <c r="J946" i="52"/>
  <c r="J586" i="52"/>
  <c r="J238" i="52"/>
  <c r="J738" i="52"/>
  <c r="J378" i="52"/>
  <c r="J114" i="52"/>
  <c r="J530" i="52"/>
  <c r="L926" i="52"/>
  <c r="L646" i="52"/>
  <c r="H138" i="54"/>
  <c r="I218" i="51"/>
  <c r="I122" i="51"/>
  <c r="I26" i="51"/>
  <c r="H1562" i="52"/>
  <c r="H1466" i="52"/>
  <c r="H1370" i="52"/>
  <c r="H1126" i="52"/>
  <c r="I190" i="51"/>
  <c r="I94" i="51"/>
  <c r="H1294" i="52"/>
  <c r="H1546" i="52"/>
  <c r="H1450" i="52"/>
  <c r="H1354" i="52"/>
  <c r="H1290" i="52"/>
  <c r="I66" i="51"/>
  <c r="H1222" i="52"/>
  <c r="I222" i="51"/>
  <c r="H1530" i="52"/>
  <c r="H1434" i="52"/>
  <c r="H1338" i="52"/>
  <c r="H182" i="52"/>
  <c r="H1154" i="52"/>
  <c r="H1058" i="52"/>
  <c r="H962" i="52"/>
  <c r="H866" i="52"/>
  <c r="H770" i="52"/>
  <c r="H674" i="52"/>
  <c r="H578" i="52"/>
  <c r="H482" i="52"/>
  <c r="H386" i="52"/>
  <c r="H290" i="52"/>
  <c r="J1566" i="52"/>
  <c r="H98" i="52"/>
  <c r="H1042" i="52"/>
  <c r="H946" i="52"/>
  <c r="H850" i="52"/>
  <c r="H754" i="52"/>
  <c r="H658" i="52"/>
  <c r="H562" i="52"/>
  <c r="H466" i="52"/>
  <c r="H370" i="52"/>
  <c r="H274" i="52"/>
  <c r="H26" i="52"/>
  <c r="H1218" i="52"/>
  <c r="H1086" i="52"/>
  <c r="H954" i="52"/>
  <c r="H834" i="52"/>
  <c r="H702" i="52"/>
  <c r="H558" i="52"/>
  <c r="H414" i="52"/>
  <c r="H270" i="52"/>
  <c r="J1338" i="52"/>
  <c r="J1170" i="52"/>
  <c r="J798" i="52"/>
  <c r="H214" i="52"/>
  <c r="H22" i="52"/>
  <c r="J1418" i="52"/>
  <c r="J1238" i="52"/>
  <c r="J1070" i="52"/>
  <c r="J54" i="52"/>
  <c r="H150" i="52"/>
  <c r="J1546" i="52"/>
  <c r="J1270" i="52"/>
  <c r="J822" i="52"/>
  <c r="J574" i="52"/>
  <c r="J214" i="52"/>
  <c r="J702" i="52"/>
  <c r="J354" i="52"/>
  <c r="J58" i="52"/>
  <c r="J434" i="52"/>
  <c r="L1546" i="52"/>
  <c r="L550" i="52"/>
  <c r="H102" i="54"/>
  <c r="I206" i="51"/>
  <c r="I110" i="51"/>
  <c r="I14" i="51"/>
  <c r="H1550" i="52"/>
  <c r="H1454" i="52"/>
  <c r="H1358" i="52"/>
  <c r="H1282" i="52"/>
  <c r="I178" i="51"/>
  <c r="I82" i="51"/>
  <c r="H1254" i="52"/>
  <c r="H1534" i="52"/>
  <c r="H1438" i="52"/>
  <c r="H1342" i="52"/>
  <c r="I234" i="51"/>
  <c r="I54" i="51"/>
  <c r="I246" i="51"/>
  <c r="I186" i="51"/>
  <c r="H1518" i="52"/>
  <c r="H1422" i="52"/>
  <c r="H1326" i="52"/>
  <c r="H146" i="52"/>
  <c r="H1142" i="52"/>
  <c r="H1046" i="52"/>
  <c r="H950" i="52"/>
  <c r="H854" i="52"/>
  <c r="H758" i="52"/>
  <c r="H662" i="52"/>
  <c r="H566" i="52"/>
  <c r="H470" i="52"/>
  <c r="H374" i="52"/>
  <c r="H278" i="52"/>
  <c r="J1542" i="52"/>
  <c r="H74" i="52"/>
  <c r="H1030" i="52"/>
  <c r="H934" i="52"/>
  <c r="H838" i="52"/>
  <c r="H742" i="52"/>
  <c r="H646" i="52"/>
  <c r="H550" i="52"/>
  <c r="H454" i="52"/>
  <c r="H358" i="52"/>
  <c r="H262" i="52"/>
  <c r="J2" i="52"/>
  <c r="H1194" i="52"/>
  <c r="H1074" i="52"/>
  <c r="H942" i="52"/>
  <c r="H810" i="52"/>
  <c r="H690" i="52"/>
  <c r="H546" i="52"/>
  <c r="H402" i="52"/>
  <c r="H258" i="52"/>
  <c r="J1326" i="52"/>
  <c r="J1146" i="52"/>
  <c r="J970" i="52"/>
  <c r="H166" i="52"/>
  <c r="J1562" i="52"/>
  <c r="J1406" i="52"/>
  <c r="J1226" i="52"/>
  <c r="J1046" i="52"/>
  <c r="J1006" i="52"/>
  <c r="H114" i="52"/>
  <c r="J1498" i="52"/>
  <c r="J1258" i="52"/>
  <c r="J138" i="52"/>
  <c r="J538" i="52"/>
  <c r="J202" i="52"/>
  <c r="J690" i="52"/>
  <c r="J318" i="52"/>
  <c r="J42" i="52"/>
  <c r="J290" i="52"/>
  <c r="L1390" i="52"/>
  <c r="L418" i="52"/>
  <c r="H158" i="54"/>
  <c r="I194" i="51"/>
  <c r="I98" i="51"/>
  <c r="H1298" i="52"/>
  <c r="H1538" i="52"/>
  <c r="H1442" i="52"/>
  <c r="H1346" i="52"/>
  <c r="I262" i="51"/>
  <c r="I166" i="51"/>
  <c r="I70" i="51"/>
  <c r="H1226" i="52"/>
  <c r="H1522" i="52"/>
  <c r="H1426" i="52"/>
  <c r="H1330" i="52"/>
  <c r="I198" i="51"/>
  <c r="I42" i="51"/>
  <c r="I210" i="51"/>
  <c r="I150" i="51"/>
  <c r="H1506" i="52"/>
  <c r="H1410" i="52"/>
  <c r="H1274" i="52"/>
  <c r="H62" i="52"/>
  <c r="H1130" i="52"/>
  <c r="H1034" i="52"/>
  <c r="H938" i="52"/>
  <c r="H842" i="52"/>
  <c r="H746" i="52"/>
  <c r="H650" i="52"/>
  <c r="H554" i="52"/>
  <c r="H458" i="52"/>
  <c r="H362" i="52"/>
  <c r="H266" i="52"/>
  <c r="J1518" i="52"/>
  <c r="H1114" i="52"/>
  <c r="H1018" i="52"/>
  <c r="H922" i="52"/>
  <c r="H826" i="52"/>
  <c r="H730" i="52"/>
  <c r="H634" i="52"/>
  <c r="H538" i="52"/>
  <c r="H442" i="52"/>
  <c r="H346" i="52"/>
  <c r="H250" i="52"/>
  <c r="J1554" i="52"/>
  <c r="H1182" i="52"/>
  <c r="H1050" i="52"/>
  <c r="H930" i="52"/>
  <c r="H798" i="52"/>
  <c r="H666" i="52"/>
  <c r="H522" i="52"/>
  <c r="H378" i="52"/>
  <c r="H86" i="52"/>
  <c r="J1314" i="52"/>
  <c r="J1134" i="52"/>
  <c r="J954" i="52"/>
  <c r="H142" i="52"/>
  <c r="J1550" i="52"/>
  <c r="J1370" i="52"/>
  <c r="J1214" i="52"/>
  <c r="J1034" i="52"/>
  <c r="J826" i="52"/>
  <c r="H78" i="52"/>
  <c r="J1486" i="52"/>
  <c r="J1174" i="52"/>
  <c r="L1566" i="52"/>
  <c r="J490" i="52"/>
  <c r="J78" i="52"/>
  <c r="J606" i="52"/>
  <c r="J270" i="52"/>
  <c r="J962" i="52"/>
  <c r="L1446" i="52"/>
  <c r="L1114" i="52"/>
  <c r="L34" i="52"/>
  <c r="H1286" i="52"/>
  <c r="I182" i="51"/>
  <c r="I86" i="51"/>
  <c r="H1246" i="52"/>
  <c r="H1526" i="52"/>
  <c r="H1430" i="52"/>
  <c r="H1334" i="52"/>
  <c r="I250" i="51"/>
  <c r="I154" i="51"/>
  <c r="I58" i="51"/>
  <c r="H1306" i="52"/>
  <c r="H1510" i="52"/>
  <c r="H1414" i="52"/>
  <c r="H1318" i="52"/>
  <c r="I162" i="51"/>
  <c r="I30" i="51"/>
  <c r="I174" i="51"/>
  <c r="I114" i="51"/>
  <c r="H1494" i="52"/>
  <c r="H1398" i="52"/>
  <c r="H1234" i="52"/>
  <c r="H122" i="52"/>
  <c r="H1118" i="52"/>
  <c r="H1022" i="52"/>
  <c r="H926" i="52"/>
  <c r="H830" i="52"/>
  <c r="H734" i="52"/>
  <c r="H638" i="52"/>
  <c r="H542" i="52"/>
  <c r="H446" i="52"/>
  <c r="H350" i="52"/>
  <c r="H254" i="52"/>
  <c r="J1494" i="52"/>
  <c r="H1102" i="52"/>
  <c r="H1006" i="52"/>
  <c r="H910" i="52"/>
  <c r="H814" i="52"/>
  <c r="H718" i="52"/>
  <c r="H622" i="52"/>
  <c r="H526" i="52"/>
  <c r="H430" i="52"/>
  <c r="H334" i="52"/>
  <c r="H238" i="52"/>
  <c r="J1506" i="52"/>
  <c r="H1170" i="52"/>
  <c r="H1038" i="52"/>
  <c r="H906" i="52"/>
  <c r="H786" i="52"/>
  <c r="H654" i="52"/>
  <c r="H510" i="52"/>
  <c r="H366" i="52"/>
  <c r="J958" i="52"/>
  <c r="J1278" i="52"/>
  <c r="J1086" i="52"/>
  <c r="J882" i="52"/>
  <c r="H130" i="52"/>
  <c r="J1526" i="52"/>
  <c r="J1358" i="52"/>
  <c r="J1178" i="52"/>
  <c r="J1022" i="52"/>
  <c r="J126" i="52"/>
  <c r="H66" i="52"/>
  <c r="J1462" i="52"/>
  <c r="J1114" i="52"/>
  <c r="J778" i="52"/>
  <c r="J406" i="52"/>
  <c r="L1562" i="52"/>
  <c r="J558" i="52"/>
  <c r="J186" i="52"/>
  <c r="J854" i="52"/>
  <c r="L1206" i="52"/>
  <c r="L746" i="52"/>
  <c r="L798" i="52"/>
  <c r="L666" i="52"/>
  <c r="H135" i="54"/>
  <c r="H95" i="54"/>
  <c r="L55" i="52"/>
  <c r="L355" i="52"/>
  <c r="L655" i="52"/>
  <c r="L155" i="52"/>
  <c r="L455" i="52"/>
  <c r="L767" i="52"/>
  <c r="L63" i="52"/>
  <c r="L363" i="52"/>
  <c r="L1103" i="52"/>
  <c r="L1403" i="52"/>
  <c r="J139" i="52"/>
  <c r="L1035" i="52"/>
  <c r="L1335" i="52"/>
  <c r="L627" i="52"/>
  <c r="L1207" i="52"/>
  <c r="L1519" i="52"/>
  <c r="J339" i="52"/>
  <c r="J639" i="52"/>
  <c r="J131" i="52"/>
  <c r="J367" i="52"/>
  <c r="J679" i="52"/>
  <c r="J979" i="52"/>
  <c r="J203" i="52"/>
  <c r="J467" i="52"/>
  <c r="J719" i="52"/>
  <c r="J903" i="52"/>
  <c r="J1127" i="52"/>
  <c r="J1319" i="52"/>
  <c r="J1511" i="52"/>
  <c r="H127" i="52"/>
  <c r="J1011" i="52"/>
  <c r="J1155" i="52"/>
  <c r="J1311" i="52"/>
  <c r="J1455" i="52"/>
  <c r="H47" i="52"/>
  <c r="J999" i="52"/>
  <c r="J1099" i="52"/>
  <c r="J1255" i="52"/>
  <c r="H219" i="52"/>
  <c r="H355" i="52"/>
  <c r="H511" i="52"/>
  <c r="H655" i="52"/>
  <c r="H811" i="52"/>
  <c r="H931" i="52"/>
  <c r="H1027" i="52"/>
  <c r="H1123" i="52"/>
  <c r="H1219" i="52"/>
  <c r="H1315" i="52"/>
  <c r="H27" i="52"/>
  <c r="J1411" i="52"/>
  <c r="H299" i="52"/>
  <c r="H395" i="52"/>
  <c r="H491" i="52"/>
  <c r="H587" i="52"/>
  <c r="H683" i="52"/>
  <c r="H779" i="52"/>
  <c r="H875" i="52"/>
  <c r="H971" i="52"/>
  <c r="H1067" i="52"/>
  <c r="J1351" i="52"/>
  <c r="H15" i="52"/>
  <c r="H303" i="52"/>
  <c r="H399" i="52"/>
  <c r="H495" i="52"/>
  <c r="H591" i="52"/>
  <c r="H687" i="52"/>
  <c r="H783" i="52"/>
  <c r="H879" i="52"/>
  <c r="H975" i="52"/>
  <c r="J1423" i="52"/>
  <c r="I207" i="51"/>
  <c r="H1327" i="52"/>
  <c r="H1423" i="52"/>
  <c r="H1519" i="52"/>
  <c r="H1263" i="52"/>
  <c r="I19" i="51"/>
  <c r="I115" i="51"/>
  <c r="I247" i="51"/>
  <c r="H1139" i="52"/>
  <c r="H1379" i="52"/>
  <c r="H1475" i="52"/>
  <c r="H1571" i="52"/>
  <c r="H1083" i="52"/>
  <c r="H103" i="54"/>
  <c r="H179" i="54"/>
  <c r="L127" i="52"/>
  <c r="L439" i="52"/>
  <c r="L739" i="52"/>
  <c r="L215" i="52"/>
  <c r="L539" i="52"/>
  <c r="L839" i="52"/>
  <c r="L147" i="52"/>
  <c r="L435" i="52"/>
  <c r="L1163" i="52"/>
  <c r="L1487" i="52"/>
  <c r="L1007" i="52"/>
  <c r="L1119" i="52"/>
  <c r="L1419" i="52"/>
  <c r="L543" i="52"/>
  <c r="L1291" i="52"/>
  <c r="J27" i="52"/>
  <c r="J423" i="52"/>
  <c r="J723" i="52"/>
  <c r="J75" i="52"/>
  <c r="J451" i="52"/>
  <c r="J751" i="52"/>
  <c r="J63" i="52"/>
  <c r="J275" i="52"/>
  <c r="J527" i="52"/>
  <c r="J779" i="52"/>
  <c r="J875" i="52"/>
  <c r="J1175" i="52"/>
  <c r="J1367" i="52"/>
  <c r="J1559" i="52"/>
  <c r="H175" i="52"/>
  <c r="J1047" i="52"/>
  <c r="J1203" i="52"/>
  <c r="J1347" i="52"/>
  <c r="J1503" i="52"/>
  <c r="H71" i="52"/>
  <c r="J915" i="52"/>
  <c r="J1147" i="52"/>
  <c r="J1291" i="52"/>
  <c r="H235" i="52"/>
  <c r="H379" i="52"/>
  <c r="H547" i="52"/>
  <c r="H703" i="52"/>
  <c r="H847" i="52"/>
  <c r="H955" i="52"/>
  <c r="H1051" i="52"/>
  <c r="H1147" i="52"/>
  <c r="H1243" i="52"/>
  <c r="J1459" i="52"/>
  <c r="H51" i="52"/>
  <c r="H227" i="52"/>
  <c r="H323" i="52"/>
  <c r="H419" i="52"/>
  <c r="H515" i="52"/>
  <c r="H611" i="52"/>
  <c r="H707" i="52"/>
  <c r="H803" i="52"/>
  <c r="H899" i="52"/>
  <c r="H995" i="52"/>
  <c r="H75" i="52"/>
  <c r="J1447" i="52"/>
  <c r="H231" i="52"/>
  <c r="H327" i="52"/>
  <c r="H423" i="52"/>
  <c r="H519" i="52"/>
  <c r="H615" i="52"/>
  <c r="H711" i="52"/>
  <c r="H807" i="52"/>
  <c r="H903" i="52"/>
  <c r="H999" i="52"/>
  <c r="H63" i="52"/>
  <c r="H1115" i="52"/>
  <c r="H1351" i="52"/>
  <c r="H1447" i="52"/>
  <c r="H1543" i="52"/>
  <c r="I259" i="51"/>
  <c r="I43" i="51"/>
  <c r="I139" i="51"/>
  <c r="I255" i="51"/>
  <c r="H1239" i="52"/>
  <c r="H207" i="54"/>
  <c r="H19" i="54"/>
  <c r="H191" i="54"/>
  <c r="L151" i="52"/>
  <c r="L451" i="52"/>
  <c r="L751" i="52"/>
  <c r="L251" i="52"/>
  <c r="L551" i="52"/>
  <c r="L863" i="52"/>
  <c r="L159" i="52"/>
  <c r="L579" i="52"/>
  <c r="L1199" i="52"/>
  <c r="L1499" i="52"/>
  <c r="L615" i="52"/>
  <c r="L1131" i="52"/>
  <c r="L1431" i="52"/>
  <c r="L915" i="52"/>
  <c r="L1303" i="52"/>
  <c r="J99" i="52"/>
  <c r="J435" i="52"/>
  <c r="J735" i="52"/>
  <c r="L459" i="52"/>
  <c r="J463" i="52"/>
  <c r="J775" i="52"/>
  <c r="J135" i="52"/>
  <c r="J287" i="52"/>
  <c r="J539" i="52"/>
  <c r="J803" i="52"/>
  <c r="J891" i="52"/>
  <c r="J1187" i="52"/>
  <c r="J1379" i="52"/>
  <c r="J1571" i="52"/>
  <c r="H187" i="52"/>
  <c r="J1059" i="52"/>
  <c r="J1215" i="52"/>
  <c r="J1359" i="52"/>
  <c r="J1527" i="52"/>
  <c r="H107" i="52"/>
  <c r="J987" i="52"/>
  <c r="J1159" i="52"/>
  <c r="J1303" i="52"/>
  <c r="H259" i="52"/>
  <c r="H415" i="52"/>
  <c r="H559" i="52"/>
  <c r="H715" i="52"/>
  <c r="H859" i="52"/>
  <c r="H967" i="52"/>
  <c r="H1063" i="52"/>
  <c r="H1159" i="52"/>
  <c r="H1255" i="52"/>
  <c r="J1483" i="52"/>
  <c r="H155" i="52"/>
  <c r="H239" i="52"/>
  <c r="H335" i="52"/>
  <c r="H431" i="52"/>
  <c r="H527" i="52"/>
  <c r="H623" i="52"/>
  <c r="H719" i="52"/>
  <c r="H815" i="52"/>
  <c r="H911" i="52"/>
  <c r="H1007" i="52"/>
  <c r="H99" i="52"/>
  <c r="J1471" i="52"/>
  <c r="H243" i="52"/>
  <c r="H339" i="52"/>
  <c r="H435" i="52"/>
  <c r="H531" i="52"/>
  <c r="H627" i="52"/>
  <c r="H723" i="52"/>
  <c r="H819" i="52"/>
  <c r="H915" i="52"/>
  <c r="H1011" i="52"/>
  <c r="H1131" i="52"/>
  <c r="H1151" i="52"/>
  <c r="H1363" i="52"/>
  <c r="H1459" i="52"/>
  <c r="H1555" i="52"/>
  <c r="I75" i="51"/>
  <c r="I55" i="51"/>
  <c r="I151" i="51"/>
  <c r="H1119" i="52"/>
  <c r="H1319" i="52"/>
  <c r="H39" i="54"/>
  <c r="H43" i="54"/>
  <c r="H239" i="54"/>
  <c r="L211" i="52"/>
  <c r="L511" i="52"/>
  <c r="L823" i="52"/>
  <c r="L299" i="52"/>
  <c r="L599" i="52"/>
  <c r="L923" i="52"/>
  <c r="L219" i="52"/>
  <c r="L495" i="52"/>
  <c r="L1247" i="52"/>
  <c r="L1547" i="52"/>
  <c r="L531" i="52"/>
  <c r="L1191" i="52"/>
  <c r="L1503" i="52"/>
  <c r="L1051" i="52"/>
  <c r="L1351" i="52"/>
  <c r="J195" i="52"/>
  <c r="J495" i="52"/>
  <c r="J807" i="52"/>
  <c r="J211" i="52"/>
  <c r="J511" i="52"/>
  <c r="J835" i="52"/>
  <c r="L1563" i="52"/>
  <c r="J335" i="52"/>
  <c r="J587" i="52"/>
  <c r="L1567" i="52"/>
  <c r="J1031" i="52"/>
  <c r="J1223" i="52"/>
  <c r="J1415" i="52"/>
  <c r="H31" i="52"/>
  <c r="H223" i="52"/>
  <c r="J1071" i="52"/>
  <c r="J1239" i="52"/>
  <c r="J1395" i="52"/>
  <c r="J1539" i="52"/>
  <c r="H119" i="52"/>
  <c r="J1015" i="52"/>
  <c r="J1183" i="52"/>
  <c r="J1339" i="52"/>
  <c r="H271" i="52"/>
  <c r="H427" i="52"/>
  <c r="H571" i="52"/>
  <c r="H739" i="52"/>
  <c r="H883" i="52"/>
  <c r="H979" i="52"/>
  <c r="H1075" i="52"/>
  <c r="H1171" i="52"/>
  <c r="H1267" i="52"/>
  <c r="J1507" i="52"/>
  <c r="H171" i="52"/>
  <c r="H251" i="52"/>
  <c r="H347" i="52"/>
  <c r="H443" i="52"/>
  <c r="H539" i="52"/>
  <c r="H635" i="52"/>
  <c r="H731" i="52"/>
  <c r="H827" i="52"/>
  <c r="H923" i="52"/>
  <c r="H1019" i="52"/>
  <c r="H159" i="52"/>
  <c r="J1495" i="52"/>
  <c r="H255" i="52"/>
  <c r="H351" i="52"/>
  <c r="H447" i="52"/>
  <c r="H543" i="52"/>
  <c r="H639" i="52"/>
  <c r="H735" i="52"/>
  <c r="H831" i="52"/>
  <c r="H927" i="52"/>
  <c r="H1023" i="52"/>
  <c r="H1167" i="52"/>
  <c r="H1187" i="52"/>
  <c r="H1375" i="52"/>
  <c r="H1471" i="52"/>
  <c r="H1567" i="52"/>
  <c r="I219" i="51"/>
  <c r="I67" i="51"/>
  <c r="I163" i="51"/>
  <c r="H1155" i="52"/>
  <c r="H1331" i="52"/>
  <c r="H1427" i="52"/>
  <c r="H1523" i="52"/>
  <c r="H1211" i="52"/>
  <c r="H171" i="54"/>
  <c r="H23" i="54"/>
  <c r="H219" i="54"/>
  <c r="L271" i="52"/>
  <c r="L595" i="52"/>
  <c r="L71" i="52"/>
  <c r="L383" i="52"/>
  <c r="L683" i="52"/>
  <c r="L983" i="52"/>
  <c r="L303" i="52"/>
  <c r="L1019" i="52"/>
  <c r="L1331" i="52"/>
  <c r="J55" i="52"/>
  <c r="L979" i="52"/>
  <c r="L1275" i="52"/>
  <c r="L795" i="52"/>
  <c r="L1135" i="52"/>
  <c r="L1435" i="52"/>
  <c r="J255" i="52"/>
  <c r="J579" i="52"/>
  <c r="J879" i="52"/>
  <c r="J295" i="52"/>
  <c r="J595" i="52"/>
  <c r="J895" i="52"/>
  <c r="J123" i="52"/>
  <c r="J395" i="52"/>
  <c r="J659" i="52"/>
  <c r="J155" i="52"/>
  <c r="J1079" i="52"/>
  <c r="J1271" i="52"/>
  <c r="J1463" i="52"/>
  <c r="H79" i="52"/>
  <c r="J863" i="52"/>
  <c r="J1119" i="52"/>
  <c r="J1263" i="52"/>
  <c r="J1431" i="52"/>
  <c r="H11" i="52"/>
  <c r="J911" i="52"/>
  <c r="J1063" i="52"/>
  <c r="J1207" i="52"/>
  <c r="H183" i="52"/>
  <c r="H319" i="52"/>
  <c r="H463" i="52"/>
  <c r="H619" i="52"/>
  <c r="H763" i="52"/>
  <c r="H907" i="52"/>
  <c r="H1003" i="52"/>
  <c r="H1099" i="52"/>
  <c r="H1195" i="52"/>
  <c r="H1291" i="52"/>
  <c r="J1555" i="52"/>
  <c r="H207" i="52"/>
  <c r="H275" i="52"/>
  <c r="H371" i="52"/>
  <c r="H467" i="52"/>
  <c r="H563" i="52"/>
  <c r="H659" i="52"/>
  <c r="H755" i="52"/>
  <c r="H851" i="52"/>
  <c r="H947" i="52"/>
  <c r="H1043" i="52"/>
  <c r="H195" i="52"/>
  <c r="J1543" i="52"/>
  <c r="H279" i="52"/>
  <c r="H375" i="52"/>
  <c r="H471" i="52"/>
  <c r="H567" i="52"/>
  <c r="H663" i="52"/>
  <c r="H759" i="52"/>
  <c r="H855" i="52"/>
  <c r="H951" i="52"/>
  <c r="H1047" i="52"/>
  <c r="I235" i="51"/>
  <c r="H1235" i="52"/>
  <c r="H1399" i="52"/>
  <c r="H1495" i="52"/>
  <c r="I123" i="51"/>
  <c r="H1251" i="52"/>
  <c r="I91" i="51"/>
  <c r="I187" i="51"/>
  <c r="I99" i="51"/>
  <c r="H1355" i="52"/>
  <c r="H1451" i="52"/>
  <c r="H1547" i="52"/>
  <c r="I3" i="51"/>
  <c r="H7" i="54"/>
  <c r="H35" i="54"/>
  <c r="H55" i="54"/>
  <c r="L307" i="52"/>
  <c r="L607" i="52"/>
  <c r="L95" i="52"/>
  <c r="L395" i="52"/>
  <c r="L695" i="52"/>
  <c r="L15" i="52"/>
  <c r="L315" i="52"/>
  <c r="L1043" i="52"/>
  <c r="L1343" i="52"/>
  <c r="J67" i="52"/>
  <c r="L735" i="52"/>
  <c r="L1287" i="52"/>
  <c r="L1011" i="52"/>
  <c r="L1147" i="52"/>
  <c r="L1447" i="52"/>
  <c r="J291" i="52"/>
  <c r="J591" i="52"/>
  <c r="L895" i="52"/>
  <c r="J307" i="52"/>
  <c r="J607" i="52"/>
  <c r="J931" i="52"/>
  <c r="L747" i="52"/>
  <c r="J419" i="52"/>
  <c r="J671" i="52"/>
  <c r="J839" i="52"/>
  <c r="J1091" i="52"/>
  <c r="J1283" i="52"/>
  <c r="J1475" i="52"/>
  <c r="H91" i="52"/>
  <c r="J923" i="52"/>
  <c r="J1143" i="52"/>
  <c r="J1299" i="52"/>
  <c r="J1443" i="52"/>
  <c r="H23" i="52"/>
  <c r="J983" i="52"/>
  <c r="J1087" i="52"/>
  <c r="J1243" i="52"/>
  <c r="H203" i="52"/>
  <c r="H331" i="52"/>
  <c r="H475" i="52"/>
  <c r="H643" i="52"/>
  <c r="H799" i="52"/>
  <c r="H919" i="52"/>
  <c r="H1015" i="52"/>
  <c r="H1111" i="52"/>
  <c r="H1207" i="52"/>
  <c r="H1303" i="52"/>
  <c r="H3" i="52"/>
  <c r="J1375" i="52"/>
  <c r="H287" i="52"/>
  <c r="H383" i="52"/>
  <c r="H479" i="52"/>
  <c r="H575" i="52"/>
  <c r="H671" i="52"/>
  <c r="H767" i="52"/>
  <c r="H863" i="52"/>
  <c r="H959" i="52"/>
  <c r="H1055" i="52"/>
  <c r="H215" i="52"/>
  <c r="J1567" i="52"/>
  <c r="H291" i="52"/>
  <c r="H387" i="52"/>
  <c r="H483" i="52"/>
  <c r="H579" i="52"/>
  <c r="H675" i="52"/>
  <c r="H771" i="52"/>
  <c r="H867" i="52"/>
  <c r="H963" i="52"/>
  <c r="H1059" i="52"/>
  <c r="I87" i="51"/>
  <c r="H1275" i="52"/>
  <c r="H1411" i="52"/>
  <c r="H1507" i="52"/>
  <c r="H1095" i="52"/>
  <c r="I7" i="51"/>
  <c r="I103" i="51"/>
  <c r="I199" i="51"/>
  <c r="I243" i="51"/>
  <c r="H1367" i="52"/>
  <c r="H1463" i="52"/>
  <c r="H1559" i="52"/>
  <c r="I159" i="51"/>
  <c r="H8" i="54"/>
  <c r="L344" i="52"/>
  <c r="L372" i="52"/>
  <c r="L16" i="52"/>
  <c r="L1440" i="52"/>
  <c r="L1024" i="52"/>
  <c r="L4" i="52"/>
  <c r="J628" i="52"/>
  <c r="J296" i="52"/>
  <c r="J136" i="52"/>
  <c r="J916" i="52"/>
  <c r="J1484" i="52"/>
  <c r="J756" i="52"/>
  <c r="J1068" i="52"/>
  <c r="J1404" i="52"/>
  <c r="L1568" i="52"/>
  <c r="J1252" i="52"/>
  <c r="J1564" i="52"/>
  <c r="H128" i="52"/>
  <c r="H488" i="52"/>
  <c r="H800" i="52"/>
  <c r="H1160" i="52"/>
  <c r="H80" i="52"/>
  <c r="H424" i="52"/>
  <c r="H688" i="52"/>
  <c r="H952" i="52"/>
  <c r="I52" i="51"/>
  <c r="H372" i="52"/>
  <c r="I200" i="51"/>
  <c r="H1448" i="52"/>
  <c r="I20" i="51"/>
  <c r="H420" i="52"/>
  <c r="H1080" i="52"/>
  <c r="H1416" i="52"/>
  <c r="H1308" i="52"/>
  <c r="I96" i="51"/>
  <c r="H252" i="52"/>
  <c r="H828" i="52"/>
  <c r="H1232" i="52"/>
  <c r="H1480" i="52"/>
  <c r="O20" i="27"/>
  <c r="E26" i="8" s="1"/>
  <c r="K4" i="20"/>
  <c r="K92" i="20"/>
  <c r="K172" i="20"/>
  <c r="K260" i="20"/>
  <c r="K340" i="20"/>
  <c r="K404" i="20"/>
  <c r="K468" i="20"/>
  <c r="K532" i="20"/>
  <c r="K596" i="20"/>
  <c r="K660" i="20"/>
  <c r="K64" i="20"/>
  <c r="K128" i="20"/>
  <c r="K192" i="20"/>
  <c r="K256" i="20"/>
  <c r="K320" i="20"/>
  <c r="K384" i="20"/>
  <c r="K448" i="20"/>
  <c r="K512" i="20"/>
  <c r="K576" i="20"/>
  <c r="K640" i="20"/>
  <c r="K732" i="20"/>
  <c r="K796" i="20"/>
  <c r="K860" i="20"/>
  <c r="K924" i="20"/>
  <c r="K988" i="20"/>
  <c r="K1052" i="20"/>
  <c r="K664" i="20"/>
  <c r="K720" i="20"/>
  <c r="K784" i="20"/>
  <c r="K848" i="20"/>
  <c r="K912" i="20"/>
  <c r="K976" i="20"/>
  <c r="K1040" i="20"/>
  <c r="K1104" i="20"/>
  <c r="I44" i="20"/>
  <c r="I108" i="20"/>
  <c r="K1164" i="20"/>
  <c r="K1228" i="20"/>
  <c r="K1292" i="20"/>
  <c r="K1356" i="20"/>
  <c r="K1420" i="20"/>
  <c r="K1484" i="20"/>
  <c r="I88" i="20"/>
  <c r="I168" i="20"/>
  <c r="H128" i="54"/>
  <c r="L536" i="52"/>
  <c r="L396" i="52"/>
  <c r="L268" i="52"/>
  <c r="L1560" i="52"/>
  <c r="L1204" i="52"/>
  <c r="L364" i="52"/>
  <c r="J760" i="52"/>
  <c r="J428" i="52"/>
  <c r="J168" i="52"/>
  <c r="J1040" i="52"/>
  <c r="H40" i="52"/>
  <c r="J644" i="52"/>
  <c r="J1128" i="52"/>
  <c r="J980" i="52"/>
  <c r="J656" i="52"/>
  <c r="J1312" i="52"/>
  <c r="J836" i="52"/>
  <c r="H220" i="52"/>
  <c r="H524" i="52"/>
  <c r="H884" i="52"/>
  <c r="H1196" i="52"/>
  <c r="H104" i="52"/>
  <c r="H484" i="52"/>
  <c r="H724" i="52"/>
  <c r="H988" i="52"/>
  <c r="I112" i="51"/>
  <c r="H480" i="52"/>
  <c r="H1116" i="52"/>
  <c r="H1508" i="52"/>
  <c r="I56" i="51"/>
  <c r="H528" i="52"/>
  <c r="H1192" i="52"/>
  <c r="H1464" i="52"/>
  <c r="H1060" i="52"/>
  <c r="I144" i="51"/>
  <c r="H324" i="52"/>
  <c r="H864" i="52"/>
  <c r="H1272" i="52"/>
  <c r="H1492" i="52"/>
  <c r="H84" i="54"/>
  <c r="L728" i="52"/>
  <c r="L720" i="52"/>
  <c r="L1044" i="52"/>
  <c r="L412" i="52"/>
  <c r="L1300" i="52"/>
  <c r="J220" i="52"/>
  <c r="L1472" i="52"/>
  <c r="J536" i="52"/>
  <c r="J312" i="52"/>
  <c r="J1196" i="52"/>
  <c r="H148" i="52"/>
  <c r="L1208" i="52"/>
  <c r="J1224" i="52"/>
  <c r="J680" i="52"/>
  <c r="J1048" i="52"/>
  <c r="J1408" i="52"/>
  <c r="L1100" i="52"/>
  <c r="H284" i="52"/>
  <c r="H620" i="52"/>
  <c r="H956" i="52"/>
  <c r="J1488" i="52"/>
  <c r="H292" i="52"/>
  <c r="H532" i="52"/>
  <c r="H796" i="52"/>
  <c r="J1572" i="52"/>
  <c r="I160" i="51"/>
  <c r="H696" i="52"/>
  <c r="H1316" i="52"/>
  <c r="H1556" i="52"/>
  <c r="I128" i="51"/>
  <c r="H708" i="52"/>
  <c r="H1240" i="52"/>
  <c r="H1512" i="52"/>
  <c r="H1244" i="52"/>
  <c r="I168" i="51"/>
  <c r="H504" i="52"/>
  <c r="H1144" i="52"/>
  <c r="H1360" i="52"/>
  <c r="H1528" i="52"/>
  <c r="K36" i="20"/>
  <c r="K124" i="20"/>
  <c r="K212" i="20"/>
  <c r="K292" i="20"/>
  <c r="K364" i="20"/>
  <c r="K428" i="20"/>
  <c r="K492" i="20"/>
  <c r="K556" i="20"/>
  <c r="K620" i="20"/>
  <c r="K24" i="20"/>
  <c r="K88" i="20"/>
  <c r="K152" i="20"/>
  <c r="K216" i="20"/>
  <c r="K280" i="20"/>
  <c r="K344" i="20"/>
  <c r="K408" i="20"/>
  <c r="K472" i="20"/>
  <c r="K536" i="20"/>
  <c r="K600" i="20"/>
  <c r="K692" i="20"/>
  <c r="K756" i="20"/>
  <c r="K820" i="20"/>
  <c r="K884" i="20"/>
  <c r="K948" i="20"/>
  <c r="K1012" i="20"/>
  <c r="K1076" i="20"/>
  <c r="K656" i="20"/>
  <c r="K744" i="20"/>
  <c r="K808" i="20"/>
  <c r="K872" i="20"/>
  <c r="K936" i="20"/>
  <c r="K1000" i="20"/>
  <c r="K1064" i="20"/>
  <c r="I4" i="20"/>
  <c r="I68" i="20"/>
  <c r="K1124" i="20"/>
  <c r="K1188" i="20"/>
  <c r="K1252" i="20"/>
  <c r="K1316" i="20"/>
  <c r="K1380" i="20"/>
  <c r="K1444" i="20"/>
  <c r="K1508" i="20"/>
  <c r="I64" i="20"/>
  <c r="H252" i="54"/>
  <c r="L824" i="52"/>
  <c r="L780" i="52"/>
  <c r="L1056" i="52"/>
  <c r="L700" i="52"/>
  <c r="L1408" i="52"/>
  <c r="J244" i="52"/>
  <c r="L1556" i="52"/>
  <c r="J596" i="52"/>
  <c r="J324" i="52"/>
  <c r="J1220" i="52"/>
  <c r="J84" i="52"/>
  <c r="L1424" i="52"/>
  <c r="J1236" i="52"/>
  <c r="J848" i="52"/>
  <c r="J1060" i="52"/>
  <c r="J1420" i="52"/>
  <c r="J660" i="52"/>
  <c r="H296" i="52"/>
  <c r="H632" i="52"/>
  <c r="H992" i="52"/>
  <c r="J1512" i="52"/>
  <c r="H304" i="52"/>
  <c r="H568" i="52"/>
  <c r="H808" i="52"/>
  <c r="H20" i="52"/>
  <c r="I196" i="51"/>
  <c r="H732" i="52"/>
  <c r="H1328" i="52"/>
  <c r="H1020" i="52"/>
  <c r="I140" i="51"/>
  <c r="H744" i="52"/>
  <c r="H1268" i="52"/>
  <c r="H1524" i="52"/>
  <c r="I24" i="51"/>
  <c r="I192" i="51"/>
  <c r="H540" i="52"/>
  <c r="H1180" i="52"/>
  <c r="H1384" i="52"/>
  <c r="H1576" i="52"/>
  <c r="K44" i="20"/>
  <c r="K132" i="20"/>
  <c r="K220" i="20"/>
  <c r="K300" i="20"/>
  <c r="K372" i="20"/>
  <c r="K436" i="20"/>
  <c r="K500" i="20"/>
  <c r="K564" i="20"/>
  <c r="K628" i="20"/>
  <c r="K32" i="20"/>
  <c r="K96" i="20"/>
  <c r="K160" i="20"/>
  <c r="K224" i="20"/>
  <c r="K288" i="20"/>
  <c r="K352" i="20"/>
  <c r="K416" i="20"/>
  <c r="K480" i="20"/>
  <c r="K544" i="20"/>
  <c r="K608" i="20"/>
  <c r="K700" i="20"/>
  <c r="K764" i="20"/>
  <c r="K828" i="20"/>
  <c r="K892" i="20"/>
  <c r="K956" i="20"/>
  <c r="K1020" i="20"/>
  <c r="K1084" i="20"/>
  <c r="K688" i="20"/>
  <c r="K752" i="20"/>
  <c r="K816" i="20"/>
  <c r="K880" i="20"/>
  <c r="K944" i="20"/>
  <c r="K1008" i="20"/>
  <c r="K1072" i="20"/>
  <c r="I12" i="20"/>
  <c r="I76" i="20"/>
  <c r="K1132" i="20"/>
  <c r="K1196" i="20"/>
  <c r="K1260" i="20"/>
  <c r="K1324" i="20"/>
  <c r="K1388" i="20"/>
  <c r="K1452" i="20"/>
  <c r="K672" i="20"/>
  <c r="I136" i="20"/>
  <c r="H76" i="54"/>
  <c r="L332" i="52"/>
  <c r="L252" i="52"/>
  <c r="L808" i="52"/>
  <c r="L1368" i="52"/>
  <c r="L868" i="52"/>
  <c r="L1000" i="52"/>
  <c r="J568" i="52"/>
  <c r="J260" i="52"/>
  <c r="J36" i="52"/>
  <c r="J528" i="52"/>
  <c r="J1472" i="52"/>
  <c r="J728" i="52"/>
  <c r="J1032" i="52"/>
  <c r="J1392" i="52"/>
  <c r="L1352" i="52"/>
  <c r="J1216" i="52"/>
  <c r="J1552" i="52"/>
  <c r="H108" i="52"/>
  <c r="H428" i="52"/>
  <c r="H788" i="52"/>
  <c r="H1148" i="52"/>
  <c r="H120" i="52"/>
  <c r="H412" i="52"/>
  <c r="H676" i="52"/>
  <c r="H916" i="52"/>
  <c r="I40" i="51"/>
  <c r="H336" i="52"/>
  <c r="H1132" i="52"/>
  <c r="H1436" i="52"/>
  <c r="I8" i="51"/>
  <c r="H348" i="52"/>
  <c r="H1024" i="52"/>
  <c r="H1404" i="52"/>
  <c r="H1256" i="52"/>
  <c r="I84" i="51"/>
  <c r="I264" i="51"/>
  <c r="H720" i="52"/>
  <c r="H1128" i="52"/>
  <c r="H1456" i="52"/>
  <c r="H1312" i="52"/>
  <c r="O26" i="27"/>
  <c r="K84" i="20"/>
  <c r="K164" i="20"/>
  <c r="K252" i="20"/>
  <c r="K332" i="20"/>
  <c r="K396" i="20"/>
  <c r="K460" i="20"/>
  <c r="K524" i="20"/>
  <c r="K588" i="20"/>
  <c r="K652" i="20"/>
  <c r="K56" i="20"/>
  <c r="K120" i="20"/>
  <c r="K184" i="20"/>
  <c r="K248" i="20"/>
  <c r="K312" i="20"/>
  <c r="K376" i="20"/>
  <c r="K440" i="20"/>
  <c r="K504" i="20"/>
  <c r="K568" i="20"/>
  <c r="K632" i="20"/>
  <c r="K724" i="20"/>
  <c r="K788" i="20"/>
  <c r="K852" i="20"/>
  <c r="K916" i="20"/>
  <c r="K980" i="20"/>
  <c r="K1044" i="20"/>
  <c r="K1108" i="20"/>
  <c r="K712" i="20"/>
  <c r="K776" i="20"/>
  <c r="K840" i="20"/>
  <c r="K904" i="20"/>
  <c r="K968" i="20"/>
  <c r="K1032" i="20"/>
  <c r="K1096" i="20"/>
  <c r="I36" i="20"/>
  <c r="I100" i="20"/>
  <c r="K1156" i="20"/>
  <c r="K1220" i="20"/>
  <c r="K1284" i="20"/>
  <c r="K1348" i="20"/>
  <c r="K1412" i="20"/>
  <c r="K1476" i="20"/>
  <c r="I24" i="20"/>
  <c r="I160" i="20"/>
  <c r="J1402" i="52"/>
  <c r="J1246" i="52"/>
  <c r="J1054" i="52"/>
  <c r="J110" i="52"/>
  <c r="J694" i="52"/>
  <c r="J526" i="52"/>
  <c r="J346" i="52"/>
  <c r="J190" i="52"/>
  <c r="J106" i="52"/>
  <c r="J654" i="52"/>
  <c r="J474" i="52"/>
  <c r="J306" i="52"/>
  <c r="J74" i="52"/>
  <c r="J1010" i="52"/>
  <c r="J770" i="52"/>
  <c r="J278" i="52"/>
  <c r="L1394" i="52"/>
  <c r="L1294" i="52"/>
  <c r="L266" i="52"/>
  <c r="L370" i="52"/>
  <c r="L378" i="52"/>
  <c r="H6" i="54"/>
  <c r="J1390" i="52"/>
  <c r="J1198" i="52"/>
  <c r="J1018" i="52"/>
  <c r="J82" i="52"/>
  <c r="J682" i="52"/>
  <c r="J502" i="52"/>
  <c r="J334" i="52"/>
  <c r="J150" i="52"/>
  <c r="L2" i="52"/>
  <c r="J642" i="52"/>
  <c r="J462" i="52"/>
  <c r="J282" i="52"/>
  <c r="J46" i="52"/>
  <c r="J974" i="52"/>
  <c r="J758" i="52"/>
  <c r="L1494" i="52"/>
  <c r="L1262" i="52"/>
  <c r="L1162" i="52"/>
  <c r="L218" i="52"/>
  <c r="L274" i="52"/>
  <c r="L282" i="52"/>
  <c r="H170" i="54"/>
  <c r="J1342" i="52"/>
  <c r="J1162" i="52"/>
  <c r="J874" i="52"/>
  <c r="J814" i="52"/>
  <c r="J634" i="52"/>
  <c r="J478" i="52"/>
  <c r="J286" i="52"/>
  <c r="J50" i="52"/>
  <c r="J762" i="52"/>
  <c r="J594" i="52"/>
  <c r="J414" i="52"/>
  <c r="J258" i="52"/>
  <c r="L1574" i="52"/>
  <c r="J926" i="52"/>
  <c r="J578" i="52"/>
  <c r="L1350" i="52"/>
  <c r="L1118" i="52"/>
  <c r="L1018" i="52"/>
  <c r="L14" i="52"/>
  <c r="L906" i="52"/>
  <c r="L126" i="52"/>
  <c r="H62" i="54"/>
  <c r="J1306" i="52"/>
  <c r="J1150" i="52"/>
  <c r="J858" i="52"/>
  <c r="J790" i="52"/>
  <c r="J622" i="52"/>
  <c r="J430" i="52"/>
  <c r="J250" i="52"/>
  <c r="J22" i="52"/>
  <c r="J750" i="52"/>
  <c r="J570" i="52"/>
  <c r="J402" i="52"/>
  <c r="J222" i="52"/>
  <c r="J130" i="52"/>
  <c r="J914" i="52"/>
  <c r="J566" i="52"/>
  <c r="L1242" i="52"/>
  <c r="L994" i="52"/>
  <c r="L782" i="52"/>
  <c r="L658" i="52"/>
  <c r="L894" i="52"/>
  <c r="L30" i="52"/>
  <c r="H570" i="52"/>
  <c r="H450" i="52"/>
  <c r="H318" i="52"/>
  <c r="J838" i="52"/>
  <c r="J1266" i="52"/>
  <c r="J1122" i="52"/>
  <c r="J70" i="52"/>
  <c r="H178" i="52"/>
  <c r="H34" i="52"/>
  <c r="J1454" i="52"/>
  <c r="J1310" i="52"/>
  <c r="J1142" i="52"/>
  <c r="J98" i="52"/>
  <c r="J786" i="52"/>
  <c r="H102" i="52"/>
  <c r="J1534" i="52"/>
  <c r="J1366" i="52"/>
  <c r="J1210" i="52"/>
  <c r="J1066" i="52"/>
  <c r="J10" i="52"/>
  <c r="J766" i="52"/>
  <c r="J598" i="52"/>
  <c r="J442" i="52"/>
  <c r="J298" i="52"/>
  <c r="J122" i="52"/>
  <c r="J90" i="52"/>
  <c r="J666" i="52"/>
  <c r="J510" i="52"/>
  <c r="J366" i="52"/>
  <c r="J210" i="52"/>
  <c r="L1502" i="52"/>
  <c r="J938" i="52"/>
  <c r="J674" i="52"/>
  <c r="J182" i="52"/>
  <c r="L1490" i="52"/>
  <c r="L1402" i="52"/>
  <c r="L650" i="52"/>
  <c r="L898" i="52"/>
  <c r="L166" i="52"/>
  <c r="L522" i="52"/>
  <c r="H118" i="54"/>
  <c r="L506" i="52"/>
  <c r="L802" i="52"/>
  <c r="L130" i="52"/>
  <c r="L414" i="52"/>
  <c r="H22" i="54"/>
  <c r="H220" i="54"/>
  <c r="H36" i="54"/>
  <c r="L56" i="52"/>
  <c r="L440" i="52"/>
  <c r="L776" i="52"/>
  <c r="L156" i="52"/>
  <c r="L540" i="52"/>
  <c r="L828" i="52"/>
  <c r="L160" i="52"/>
  <c r="L1200" i="52"/>
  <c r="L1536" i="52"/>
  <c r="L616" i="52"/>
  <c r="L1120" i="52"/>
  <c r="L1456" i="52"/>
  <c r="L292" i="52"/>
  <c r="J388" i="52"/>
  <c r="J676" i="52"/>
  <c r="J160" i="52"/>
  <c r="J404" i="52"/>
  <c r="L1088" i="52"/>
  <c r="L1520" i="52"/>
  <c r="J408" i="52"/>
  <c r="J1028" i="52"/>
  <c r="J1292" i="52"/>
  <c r="H28" i="52"/>
  <c r="J696" i="52"/>
  <c r="J976" i="52"/>
  <c r="J732" i="52"/>
  <c r="J1116" i="52"/>
  <c r="J1260" i="52"/>
  <c r="J764" i="52"/>
  <c r="J952" i="52"/>
  <c r="J624" i="52"/>
  <c r="J1132" i="52"/>
  <c r="J1276" i="52"/>
  <c r="J1444" i="52"/>
  <c r="J744" i="52"/>
  <c r="J928" i="52"/>
  <c r="H68" i="52"/>
  <c r="H344" i="52"/>
  <c r="H512" i="52"/>
  <c r="H680" i="52"/>
  <c r="H872" i="52"/>
  <c r="H1016" i="52"/>
  <c r="H1184" i="52"/>
  <c r="H116" i="52"/>
  <c r="H84" i="52"/>
  <c r="H328" i="52"/>
  <c r="H472" i="52"/>
  <c r="H592" i="52"/>
  <c r="H712" i="52"/>
  <c r="H856" i="52"/>
  <c r="H976" i="52"/>
  <c r="H1012" i="52"/>
  <c r="I100" i="51"/>
  <c r="I220" i="51"/>
  <c r="H444" i="52"/>
  <c r="H876" i="52"/>
  <c r="H1072" i="52"/>
  <c r="H1352" i="52"/>
  <c r="H1496" i="52"/>
  <c r="H1096" i="52"/>
  <c r="I44" i="51"/>
  <c r="I188" i="51"/>
  <c r="H492" i="52"/>
  <c r="H816" i="52"/>
  <c r="H1156" i="52"/>
  <c r="H1332" i="52"/>
  <c r="H1440" i="52"/>
  <c r="H1560" i="52"/>
  <c r="H1084" i="52"/>
  <c r="I72" i="51"/>
  <c r="I180" i="51"/>
  <c r="H288" i="52"/>
  <c r="H612" i="52"/>
  <c r="H936" i="52"/>
  <c r="H1200" i="52"/>
  <c r="H1396" i="52"/>
  <c r="H1504" i="52"/>
  <c r="H1260" i="52"/>
  <c r="K52" i="20"/>
  <c r="K116" i="20"/>
  <c r="K180" i="20"/>
  <c r="K244" i="20"/>
  <c r="K308" i="20"/>
  <c r="H256" i="54"/>
  <c r="H60" i="54"/>
  <c r="L140" i="52"/>
  <c r="L524" i="52"/>
  <c r="L812" i="52"/>
  <c r="L180" i="52"/>
  <c r="L564" i="52"/>
  <c r="H4" i="54"/>
  <c r="H92" i="54"/>
  <c r="H120" i="54"/>
  <c r="L236" i="52"/>
  <c r="L560" i="52"/>
  <c r="L908" i="52"/>
  <c r="L336" i="52"/>
  <c r="L624" i="52"/>
  <c r="L948" i="52"/>
  <c r="L784" i="52"/>
  <c r="L1332" i="52"/>
  <c r="J44" i="52"/>
  <c r="L676" i="52"/>
  <c r="L1240" i="52"/>
  <c r="L508" i="52"/>
  <c r="J184" i="52"/>
  <c r="J472" i="52"/>
  <c r="L544" i="52"/>
  <c r="J236" i="52"/>
  <c r="J500" i="52"/>
  <c r="L1232" i="52"/>
  <c r="J228" i="52"/>
  <c r="L1064" i="52"/>
  <c r="J1124" i="52"/>
  <c r="J1424" i="52"/>
  <c r="H88" i="52"/>
  <c r="J932" i="52"/>
  <c r="J948" i="52"/>
  <c r="J964" i="52"/>
  <c r="J1152" i="52"/>
  <c r="J1344" i="52"/>
  <c r="L1172" i="52"/>
  <c r="J924" i="52"/>
  <c r="J1024" i="52"/>
  <c r="J1168" i="52"/>
  <c r="J1336" i="52"/>
  <c r="J1528" i="52"/>
  <c r="J956" i="52"/>
  <c r="J692" i="52"/>
  <c r="H236" i="52"/>
  <c r="H404" i="52"/>
  <c r="H572" i="52"/>
  <c r="H764" i="52"/>
  <c r="H908" i="52"/>
  <c r="H1076" i="52"/>
  <c r="J1440" i="52"/>
  <c r="H212" i="52"/>
  <c r="H200" i="52"/>
  <c r="H388" i="52"/>
  <c r="H508" i="52"/>
  <c r="H628" i="52"/>
  <c r="H772" i="52"/>
  <c r="H892" i="52"/>
  <c r="J1476" i="52"/>
  <c r="I16" i="51"/>
  <c r="I136" i="51"/>
  <c r="I256" i="51"/>
  <c r="H624" i="52"/>
  <c r="H984" i="52"/>
  <c r="H1188" i="52"/>
  <c r="H1412" i="52"/>
  <c r="H1532" i="52"/>
  <c r="I224" i="51"/>
  <c r="I104" i="51"/>
  <c r="H276" i="52"/>
  <c r="H600" i="52"/>
  <c r="H924" i="52"/>
  <c r="H1140" i="52"/>
  <c r="H1380" i="52"/>
  <c r="H1488" i="52"/>
  <c r="H1104" i="52"/>
  <c r="H1296" i="52"/>
  <c r="I108" i="51"/>
  <c r="I216" i="51"/>
  <c r="H432" i="52"/>
  <c r="H756" i="52"/>
  <c r="H1284" i="52"/>
  <c r="H1324" i="52"/>
  <c r="H1432" i="52"/>
  <c r="H1540" i="52"/>
  <c r="K12" i="20"/>
  <c r="K76" i="20"/>
  <c r="K140" i="20"/>
  <c r="K204" i="20"/>
  <c r="K268" i="20"/>
  <c r="H28" i="54"/>
  <c r="H104" i="54"/>
  <c r="H228" i="54"/>
  <c r="L248" i="52"/>
  <c r="L584" i="52"/>
  <c r="L12" i="52"/>
  <c r="L348" i="52"/>
  <c r="L636" i="52"/>
  <c r="L604" i="52"/>
  <c r="L992" i="52"/>
  <c r="L1344" i="52"/>
  <c r="J152" i="52"/>
  <c r="L820" i="52"/>
  <c r="L1264" i="52"/>
  <c r="L712" i="52"/>
  <c r="J196" i="52"/>
  <c r="J484" i="52"/>
  <c r="L1220" i="52"/>
  <c r="J248" i="52"/>
  <c r="J524" i="52"/>
  <c r="J4" i="52"/>
  <c r="J264" i="52"/>
  <c r="L1280" i="52"/>
  <c r="J1184" i="52"/>
  <c r="J1436" i="52"/>
  <c r="H100" i="52"/>
  <c r="L1028" i="52"/>
  <c r="J992" i="52"/>
  <c r="J1020" i="52"/>
  <c r="J1212" i="52"/>
  <c r="J1356" i="52"/>
  <c r="L1388" i="52"/>
  <c r="L1136" i="52"/>
  <c r="J1036" i="52"/>
  <c r="J1180" i="52"/>
  <c r="J1372" i="52"/>
  <c r="J1540" i="52"/>
  <c r="J984" i="52"/>
  <c r="J972" i="52"/>
  <c r="H248" i="52"/>
  <c r="H416" i="52"/>
  <c r="H608" i="52"/>
  <c r="H776" i="52"/>
  <c r="H920" i="52"/>
  <c r="H1112" i="52"/>
  <c r="J1464" i="52"/>
  <c r="H228" i="52"/>
  <c r="H280" i="52"/>
  <c r="H400" i="52"/>
  <c r="H520" i="52"/>
  <c r="H664" i="52"/>
  <c r="H784" i="52"/>
  <c r="H904" i="52"/>
  <c r="J1548" i="52"/>
  <c r="I28" i="51"/>
  <c r="I148" i="51"/>
  <c r="H300" i="52"/>
  <c r="H660" i="52"/>
  <c r="H1044" i="52"/>
  <c r="H1276" i="52"/>
  <c r="H1424" i="52"/>
  <c r="H1544" i="52"/>
  <c r="H1292" i="52"/>
  <c r="I116" i="51"/>
  <c r="H312" i="52"/>
  <c r="H636" i="52"/>
  <c r="H996" i="52"/>
  <c r="H1176" i="52"/>
  <c r="H1392" i="52"/>
  <c r="H1500" i="52"/>
  <c r="H1212" i="52"/>
  <c r="I12" i="51"/>
  <c r="I120" i="51"/>
  <c r="I240" i="51"/>
  <c r="H468" i="52"/>
  <c r="H792" i="52"/>
  <c r="H1008" i="52"/>
  <c r="H1336" i="52"/>
  <c r="H1444" i="52"/>
  <c r="H1552" i="52"/>
  <c r="H160" i="54"/>
  <c r="H24" i="54"/>
  <c r="L44" i="52"/>
  <c r="L368" i="52"/>
  <c r="L752" i="52"/>
  <c r="L144" i="52"/>
  <c r="L432" i="52"/>
  <c r="L816" i="52"/>
  <c r="L88" i="52"/>
  <c r="L1140" i="52"/>
  <c r="L1524" i="52"/>
  <c r="L472" i="52"/>
  <c r="L1048" i="52"/>
  <c r="L1432" i="52"/>
  <c r="L256" i="52"/>
  <c r="J280" i="52"/>
  <c r="J664" i="52"/>
  <c r="J88" i="52"/>
  <c r="J344" i="52"/>
  <c r="L832" i="52"/>
  <c r="L916" i="52"/>
  <c r="J360" i="52"/>
  <c r="J988" i="52"/>
  <c r="J1280" i="52"/>
  <c r="J1508" i="52"/>
  <c r="J668" i="52"/>
  <c r="J904" i="52"/>
  <c r="J576" i="52"/>
  <c r="J1104" i="52"/>
  <c r="J1248" i="52"/>
  <c r="J1416" i="52"/>
  <c r="J880" i="52"/>
  <c r="J588" i="52"/>
  <c r="J1072" i="52"/>
  <c r="J1264" i="52"/>
  <c r="J1432" i="52"/>
  <c r="H24" i="52"/>
  <c r="J852" i="52"/>
  <c r="H48" i="52"/>
  <c r="H308" i="52"/>
  <c r="H500" i="52"/>
  <c r="H668" i="52"/>
  <c r="H812" i="52"/>
  <c r="H1004" i="52"/>
  <c r="H1172" i="52"/>
  <c r="H8" i="52"/>
  <c r="H216" i="52"/>
  <c r="H316" i="52"/>
  <c r="H436" i="52"/>
  <c r="H580" i="52"/>
  <c r="H700" i="52"/>
  <c r="H820" i="52"/>
  <c r="H964" i="52"/>
  <c r="H44" i="52"/>
  <c r="I64" i="51"/>
  <c r="I208" i="51"/>
  <c r="H408" i="52"/>
  <c r="H768" i="52"/>
  <c r="I260" i="51"/>
  <c r="H1340" i="52"/>
  <c r="H1460" i="52"/>
  <c r="H1048" i="52"/>
  <c r="I32" i="51"/>
  <c r="I152" i="51"/>
  <c r="H456" i="52"/>
  <c r="H780" i="52"/>
  <c r="H1120" i="52"/>
  <c r="H1320" i="52"/>
  <c r="H1428" i="52"/>
  <c r="H1536" i="52"/>
  <c r="O28" i="27"/>
  <c r="H100" i="54"/>
  <c r="H32" i="54"/>
  <c r="H224" i="54"/>
  <c r="H156" i="54"/>
  <c r="L80" i="52"/>
  <c r="L272" i="52"/>
  <c r="L464" i="52"/>
  <c r="L656" i="52"/>
  <c r="L848" i="52"/>
  <c r="L84" i="52"/>
  <c r="L276" i="52"/>
  <c r="L468" i="52"/>
  <c r="L660" i="52"/>
  <c r="L852" i="52"/>
  <c r="L856" i="52"/>
  <c r="L376" i="52"/>
  <c r="L1080" i="52"/>
  <c r="L1272" i="52"/>
  <c r="L1464" i="52"/>
  <c r="J80" i="52"/>
  <c r="L844" i="52"/>
  <c r="L964" i="52"/>
  <c r="L1144" i="52"/>
  <c r="L1336" i="52"/>
  <c r="L1528" i="52"/>
  <c r="L76" i="52"/>
  <c r="J72" i="52"/>
  <c r="J316" i="52"/>
  <c r="J508" i="52"/>
  <c r="J700" i="52"/>
  <c r="L1292" i="52"/>
  <c r="J76" i="52"/>
  <c r="J308" i="52"/>
  <c r="J452" i="52"/>
  <c r="J620" i="52"/>
  <c r="L1376" i="52"/>
  <c r="J24" i="52"/>
  <c r="J276" i="52"/>
  <c r="J420" i="52"/>
  <c r="J636" i="52"/>
  <c r="J1088" i="52"/>
  <c r="J1232" i="52"/>
  <c r="J1388" i="52"/>
  <c r="J1532" i="52"/>
  <c r="H124" i="52"/>
  <c r="J804" i="52"/>
  <c r="L1244" i="52"/>
  <c r="J808" i="52"/>
  <c r="J504" i="52"/>
  <c r="J876" i="52"/>
  <c r="J1080" i="52"/>
  <c r="J1176" i="52"/>
  <c r="J1272" i="52"/>
  <c r="J1368" i="52"/>
  <c r="J908" i="52"/>
  <c r="J792" i="52"/>
  <c r="J864" i="52"/>
  <c r="J516" i="52"/>
  <c r="J940" i="52"/>
  <c r="J1096" i="52"/>
  <c r="J1192" i="52"/>
  <c r="J1288" i="52"/>
  <c r="J1384" i="52"/>
  <c r="J1480" i="52"/>
  <c r="J1576" i="52"/>
  <c r="J884" i="52"/>
  <c r="J776" i="52"/>
  <c r="J800" i="52"/>
  <c r="H168" i="52"/>
  <c r="H260" i="52"/>
  <c r="H356" i="52"/>
  <c r="H452" i="52"/>
  <c r="H548" i="52"/>
  <c r="H644" i="52"/>
  <c r="H740" i="52"/>
  <c r="H836" i="52"/>
  <c r="H932" i="52"/>
  <c r="H1028" i="52"/>
  <c r="H1124" i="52"/>
  <c r="H1220" i="52"/>
  <c r="J1536" i="52"/>
  <c r="H56" i="52"/>
  <c r="H144" i="52"/>
  <c r="H244" i="52"/>
  <c r="H124" i="54"/>
  <c r="H56" i="54"/>
  <c r="H248" i="54"/>
  <c r="H180" i="54"/>
  <c r="L104" i="52"/>
  <c r="L296" i="52"/>
  <c r="L488" i="52"/>
  <c r="L680" i="52"/>
  <c r="L872" i="52"/>
  <c r="L108" i="52"/>
  <c r="L300" i="52"/>
  <c r="L492" i="52"/>
  <c r="L684" i="52"/>
  <c r="L876" i="52"/>
  <c r="L1004" i="52"/>
  <c r="L580" i="52"/>
  <c r="L1104" i="52"/>
  <c r="L1296" i="52"/>
  <c r="L1488" i="52"/>
  <c r="J104" i="52"/>
  <c r="L64" i="52"/>
  <c r="L448" i="52"/>
  <c r="L1168" i="52"/>
  <c r="L1360" i="52"/>
  <c r="L1552" i="52"/>
  <c r="L148" i="52"/>
  <c r="J144" i="52"/>
  <c r="J340" i="52"/>
  <c r="J532" i="52"/>
  <c r="J724" i="52"/>
  <c r="L1364" i="52"/>
  <c r="J148" i="52"/>
  <c r="J332" i="52"/>
  <c r="J488" i="52"/>
  <c r="J632" i="52"/>
  <c r="L1412" i="52"/>
  <c r="J52" i="52"/>
  <c r="J300" i="52"/>
  <c r="J456" i="52"/>
  <c r="J752" i="52"/>
  <c r="J1100" i="52"/>
  <c r="J1244" i="52"/>
  <c r="J1412" i="52"/>
  <c r="J1568" i="52"/>
  <c r="H136" i="52"/>
  <c r="J824" i="52"/>
  <c r="L1460" i="52"/>
  <c r="J844" i="52"/>
  <c r="J540" i="52"/>
  <c r="J892" i="52"/>
  <c r="J1092" i="52"/>
  <c r="J1188" i="52"/>
  <c r="J1284" i="52"/>
  <c r="J1380" i="52"/>
  <c r="J936" i="52"/>
  <c r="J812" i="52"/>
  <c r="J896" i="52"/>
  <c r="J552" i="52"/>
  <c r="J1012" i="52"/>
  <c r="J1108" i="52"/>
  <c r="J1204" i="52"/>
  <c r="J1300" i="52"/>
  <c r="J1396" i="52"/>
  <c r="J1492" i="52"/>
  <c r="H12" i="52"/>
  <c r="J912" i="52"/>
  <c r="J820" i="52"/>
  <c r="J900" i="52"/>
  <c r="H204" i="52"/>
  <c r="H272" i="52"/>
  <c r="H368" i="52"/>
  <c r="H464" i="52"/>
  <c r="H560" i="52"/>
  <c r="H656" i="52"/>
  <c r="H752" i="52"/>
  <c r="H848" i="52"/>
  <c r="H944" i="52"/>
  <c r="H1040" i="52"/>
  <c r="H1136" i="52"/>
  <c r="H72" i="52"/>
  <c r="J1560" i="52"/>
  <c r="H176" i="52"/>
  <c r="H180" i="52"/>
  <c r="H256" i="52"/>
  <c r="H172" i="54"/>
  <c r="H152" i="54"/>
  <c r="H132" i="54"/>
  <c r="L152" i="52"/>
  <c r="L392" i="52"/>
  <c r="L632" i="52"/>
  <c r="L920" i="52"/>
  <c r="L204" i="52"/>
  <c r="L444" i="52"/>
  <c r="L732" i="52"/>
  <c r="L972" i="52"/>
  <c r="L304" i="52"/>
  <c r="L1152" i="52"/>
  <c r="L1392" i="52"/>
  <c r="J56" i="52"/>
  <c r="L208" i="52"/>
  <c r="L1072" i="52"/>
  <c r="L1312" i="52"/>
  <c r="L652" i="52"/>
  <c r="L628" i="52"/>
  <c r="J292" i="52"/>
  <c r="J580" i="52"/>
  <c r="L1076" i="52"/>
  <c r="L1012" i="52"/>
  <c r="J356" i="52"/>
  <c r="J548" i="52"/>
  <c r="L1268" i="52"/>
  <c r="J180" i="52"/>
  <c r="J372" i="52"/>
  <c r="J564" i="52"/>
  <c r="J1136" i="52"/>
  <c r="J1328" i="52"/>
  <c r="J1520" i="52"/>
  <c r="H184" i="52"/>
  <c r="J960" i="52"/>
  <c r="J672" i="52"/>
  <c r="J612" i="52"/>
  <c r="J1044" i="52"/>
  <c r="J1164" i="52"/>
  <c r="J1308" i="52"/>
  <c r="J1428" i="52"/>
  <c r="J708" i="52"/>
  <c r="J968" i="52"/>
  <c r="J684" i="52"/>
  <c r="J1084" i="52"/>
  <c r="J1228" i="52"/>
  <c r="J1348" i="52"/>
  <c r="J1468" i="52"/>
  <c r="H36" i="52"/>
  <c r="L1316" i="52"/>
  <c r="J720" i="52"/>
  <c r="H132" i="52"/>
  <c r="H320" i="52"/>
  <c r="H440" i="52"/>
  <c r="H584" i="52"/>
  <c r="H704" i="52"/>
  <c r="H824" i="52"/>
  <c r="H968" i="52"/>
  <c r="H1088" i="52"/>
  <c r="H1208" i="52"/>
  <c r="H32" i="52"/>
  <c r="H140" i="52"/>
  <c r="H232" i="52"/>
  <c r="H352" i="52"/>
  <c r="H448" i="52"/>
  <c r="H544" i="52"/>
  <c r="H640" i="52"/>
  <c r="H736" i="52"/>
  <c r="H832" i="52"/>
  <c r="H928" i="52"/>
  <c r="J1500" i="52"/>
  <c r="H1248" i="52"/>
  <c r="I76" i="51"/>
  <c r="I172" i="51"/>
  <c r="I212" i="51"/>
  <c r="H516" i="52"/>
  <c r="H804" i="52"/>
  <c r="H1168" i="52"/>
  <c r="H1204" i="52"/>
  <c r="H1376" i="52"/>
  <c r="H1472" i="52"/>
  <c r="H1568" i="52"/>
  <c r="H1224" i="52"/>
  <c r="I68" i="51"/>
  <c r="I164" i="51"/>
  <c r="H384" i="52"/>
  <c r="H672" i="52"/>
  <c r="H960" i="52"/>
  <c r="H1056" i="52"/>
  <c r="H1356" i="52"/>
  <c r="H1452" i="52"/>
  <c r="H1548" i="52"/>
  <c r="H1032" i="52"/>
  <c r="I36" i="51"/>
  <c r="I132" i="51"/>
  <c r="I228" i="51"/>
  <c r="H396" i="52"/>
  <c r="H684" i="52"/>
  <c r="H972" i="52"/>
  <c r="H1164" i="52"/>
  <c r="H1372" i="52"/>
  <c r="H1468" i="52"/>
  <c r="H1564" i="52"/>
  <c r="H196" i="54"/>
  <c r="H188" i="54"/>
  <c r="H216" i="54"/>
  <c r="L176" i="52"/>
  <c r="L428" i="52"/>
  <c r="L716" i="52"/>
  <c r="L944" i="52"/>
  <c r="L240" i="52"/>
  <c r="L528" i="52"/>
  <c r="L756" i="52"/>
  <c r="L460" i="52"/>
  <c r="L940" i="52"/>
  <c r="L1176" i="52"/>
  <c r="L1428" i="52"/>
  <c r="J140" i="52"/>
  <c r="L280" i="52"/>
  <c r="L1108" i="52"/>
  <c r="L1396" i="52"/>
  <c r="L424" i="52"/>
  <c r="J12" i="52"/>
  <c r="J376" i="52"/>
  <c r="J604" i="52"/>
  <c r="L1184" i="52"/>
  <c r="J200" i="52"/>
  <c r="J392" i="52"/>
  <c r="J584" i="52"/>
  <c r="L1484" i="52"/>
  <c r="J204" i="52"/>
  <c r="J396" i="52"/>
  <c r="J780" i="52"/>
  <c r="J1148" i="52"/>
  <c r="J1340" i="52"/>
  <c r="H4" i="52"/>
  <c r="H196" i="52"/>
  <c r="J1004" i="52"/>
  <c r="J860" i="52"/>
  <c r="J704" i="52"/>
  <c r="J1056" i="52"/>
  <c r="J1200" i="52"/>
  <c r="J1320" i="52"/>
  <c r="J648" i="52"/>
  <c r="J832" i="52"/>
  <c r="J996" i="52"/>
  <c r="J796" i="52"/>
  <c r="J1120" i="52"/>
  <c r="J1240" i="52"/>
  <c r="J1360" i="52"/>
  <c r="J1504" i="52"/>
  <c r="J716" i="52"/>
  <c r="J112" i="52"/>
  <c r="J944" i="52"/>
  <c r="H152" i="52"/>
  <c r="H332" i="52"/>
  <c r="H476" i="52"/>
  <c r="H596" i="52"/>
  <c r="H716" i="52"/>
  <c r="H860" i="52"/>
  <c r="H980" i="52"/>
  <c r="H1100" i="52"/>
  <c r="H92" i="52"/>
  <c r="H96" i="52"/>
  <c r="H60" i="52"/>
  <c r="H268" i="52"/>
  <c r="H364" i="52"/>
  <c r="H460" i="52"/>
  <c r="H556" i="52"/>
  <c r="H652" i="52"/>
  <c r="H748" i="52"/>
  <c r="H844" i="52"/>
  <c r="H940" i="52"/>
  <c r="J1524" i="52"/>
  <c r="H1300" i="52"/>
  <c r="I88" i="51"/>
  <c r="I184" i="51"/>
  <c r="H264" i="52"/>
  <c r="H552" i="52"/>
  <c r="H840" i="52"/>
  <c r="H1288" i="52"/>
  <c r="H1236" i="52"/>
  <c r="H1388" i="52"/>
  <c r="H1484" i="52"/>
  <c r="I248" i="51"/>
  <c r="H1252" i="52"/>
  <c r="I80" i="51"/>
  <c r="I176" i="51"/>
  <c r="J1530" i="52"/>
  <c r="H1206" i="52"/>
  <c r="H1110" i="52"/>
  <c r="H1014" i="52"/>
  <c r="H918" i="52"/>
  <c r="H822" i="52"/>
  <c r="H726" i="52"/>
  <c r="H630" i="52"/>
  <c r="H534" i="52"/>
  <c r="H438" i="52"/>
  <c r="H342" i="52"/>
  <c r="H246" i="52"/>
  <c r="J1398" i="52"/>
  <c r="J1302" i="52"/>
  <c r="J1206" i="52"/>
  <c r="J1110" i="52"/>
  <c r="J1014" i="52"/>
  <c r="J850" i="52"/>
  <c r="H202" i="52"/>
  <c r="H106" i="52"/>
  <c r="H10" i="52"/>
  <c r="J1490" i="52"/>
  <c r="J1394" i="52"/>
  <c r="J1298" i="52"/>
  <c r="J1202" i="52"/>
  <c r="J1106" i="52"/>
  <c r="J966" i="52"/>
  <c r="J978" i="52"/>
  <c r="L1550" i="52"/>
  <c r="H138" i="52"/>
  <c r="H42" i="52"/>
  <c r="J1522" i="52"/>
  <c r="J1426" i="52"/>
  <c r="J1330" i="52"/>
  <c r="J1234" i="52"/>
  <c r="J1138" i="52"/>
  <c r="J1042" i="52"/>
  <c r="J1002" i="52"/>
  <c r="J66" i="52"/>
  <c r="J754" i="52"/>
  <c r="J658" i="52"/>
  <c r="J562" i="52"/>
  <c r="J466" i="52"/>
  <c r="J370" i="52"/>
  <c r="J274" i="52"/>
  <c r="J178" i="52"/>
  <c r="L1514" i="52"/>
  <c r="J62" i="52"/>
  <c r="J726" i="52"/>
  <c r="J630" i="52"/>
  <c r="J534" i="52"/>
  <c r="J438" i="52"/>
  <c r="J342" i="52"/>
  <c r="J246" i="52"/>
  <c r="J118" i="52"/>
  <c r="L970" i="52"/>
  <c r="J998" i="52"/>
  <c r="J890" i="52"/>
  <c r="J746" i="52"/>
  <c r="J482" i="52"/>
  <c r="J242" i="52"/>
  <c r="L1434" i="52"/>
  <c r="L1158" i="52"/>
  <c r="L1454" i="52"/>
  <c r="L1202" i="52"/>
  <c r="J18" i="52"/>
  <c r="L1354" i="52"/>
  <c r="L1102" i="52"/>
  <c r="L698" i="52"/>
  <c r="L458" i="52"/>
  <c r="L206" i="52"/>
  <c r="L850" i="52"/>
  <c r="L610" i="52"/>
  <c r="L358" i="52"/>
  <c r="L82" i="52"/>
  <c r="L858" i="52"/>
  <c r="L606" i="52"/>
  <c r="L330" i="52"/>
  <c r="L90" i="52"/>
  <c r="H106" i="54"/>
  <c r="H54" i="54"/>
  <c r="H122" i="54"/>
  <c r="H234" i="52"/>
  <c r="J1386" i="52"/>
  <c r="J1290" i="52"/>
  <c r="J1194" i="52"/>
  <c r="J1098" i="52"/>
  <c r="J942" i="52"/>
  <c r="J834" i="52"/>
  <c r="H190" i="52"/>
  <c r="H94" i="52"/>
  <c r="J1574" i="52"/>
  <c r="J1478" i="52"/>
  <c r="J1382" i="52"/>
  <c r="J1286" i="52"/>
  <c r="J1190" i="52"/>
  <c r="J1094" i="52"/>
  <c r="J894" i="52"/>
  <c r="J906" i="52"/>
  <c r="H222" i="52"/>
  <c r="H126" i="52"/>
  <c r="H30" i="52"/>
  <c r="J1510" i="52"/>
  <c r="J1414" i="52"/>
  <c r="J1318" i="52"/>
  <c r="J1222" i="52"/>
  <c r="J1126" i="52"/>
  <c r="J1030" i="52"/>
  <c r="J930" i="52"/>
  <c r="J38" i="52"/>
  <c r="J742" i="52"/>
  <c r="J646" i="52"/>
  <c r="J550" i="52"/>
  <c r="J454" i="52"/>
  <c r="J358" i="52"/>
  <c r="J262" i="52"/>
  <c r="J166" i="52"/>
  <c r="L950" i="52"/>
  <c r="J34" i="52"/>
  <c r="J714" i="52"/>
  <c r="J618" i="52"/>
  <c r="J522" i="52"/>
  <c r="J426" i="52"/>
  <c r="J330" i="52"/>
  <c r="J234" i="52"/>
  <c r="J102" i="52"/>
  <c r="J158" i="52"/>
  <c r="J986" i="52"/>
  <c r="J866" i="52"/>
  <c r="J722" i="52"/>
  <c r="J470" i="52"/>
  <c r="J194" i="52"/>
  <c r="L1398" i="52"/>
  <c r="L1146" i="52"/>
  <c r="L1406" i="52"/>
  <c r="L1166" i="52"/>
  <c r="J6" i="52"/>
  <c r="L1306" i="52"/>
  <c r="L1066" i="52"/>
  <c r="L686" i="52"/>
  <c r="L410" i="52"/>
  <c r="L170" i="52"/>
  <c r="L838" i="52"/>
  <c r="L562" i="52"/>
  <c r="L322" i="52"/>
  <c r="L70" i="52"/>
  <c r="L810" i="52"/>
  <c r="L570" i="52"/>
  <c r="L318" i="52"/>
  <c r="L42" i="52"/>
  <c r="H70" i="54"/>
  <c r="H42" i="54"/>
  <c r="H74" i="54"/>
  <c r="J386" i="52"/>
  <c r="L986" i="52"/>
  <c r="L1338" i="52"/>
  <c r="L1062" i="52"/>
  <c r="L1358" i="52"/>
  <c r="L1106" i="52"/>
  <c r="L1498" i="52"/>
  <c r="L1258" i="52"/>
  <c r="L974" i="52"/>
  <c r="L602" i="52"/>
  <c r="L362" i="52"/>
  <c r="L110" i="52"/>
  <c r="L754" i="52"/>
  <c r="L514" i="52"/>
  <c r="L262" i="52"/>
  <c r="L1002" i="52"/>
  <c r="L762" i="52"/>
  <c r="L510" i="52"/>
  <c r="L234" i="52"/>
  <c r="H262" i="54"/>
  <c r="H10" i="54"/>
  <c r="H2" i="54"/>
  <c r="H26" i="54"/>
  <c r="H110" i="52"/>
  <c r="J1434" i="52"/>
  <c r="H1158" i="52"/>
  <c r="H1062" i="52"/>
  <c r="H966" i="52"/>
  <c r="H870" i="52"/>
  <c r="H774" i="52"/>
  <c r="H678" i="52"/>
  <c r="H582" i="52"/>
  <c r="H486" i="52"/>
  <c r="H390" i="52"/>
  <c r="H294" i="52"/>
  <c r="J886" i="52"/>
  <c r="J1350" i="52"/>
  <c r="J1254" i="52"/>
  <c r="J1158" i="52"/>
  <c r="J1062" i="52"/>
  <c r="J898" i="52"/>
  <c r="J910" i="52"/>
  <c r="H154" i="52"/>
  <c r="H58" i="52"/>
  <c r="J1538" i="52"/>
  <c r="J1442" i="52"/>
  <c r="J1346" i="52"/>
  <c r="J1250" i="52"/>
  <c r="J1154" i="52"/>
  <c r="J1058" i="52"/>
  <c r="J922" i="52"/>
  <c r="J934" i="52"/>
  <c r="H186" i="52"/>
  <c r="H90" i="52"/>
  <c r="J1570" i="52"/>
  <c r="J1474" i="52"/>
  <c r="J1378" i="52"/>
  <c r="J1282" i="52"/>
  <c r="J1186" i="52"/>
  <c r="J1090" i="52"/>
  <c r="J918" i="52"/>
  <c r="J154" i="52"/>
  <c r="J802" i="52"/>
  <c r="J706" i="52"/>
  <c r="J610" i="52"/>
  <c r="J514" i="52"/>
  <c r="J418" i="52"/>
  <c r="J322" i="52"/>
  <c r="J226" i="52"/>
  <c r="J94" i="52"/>
  <c r="J162" i="52"/>
  <c r="J774" i="52"/>
  <c r="J678" i="52"/>
  <c r="J582" i="52"/>
  <c r="J486" i="52"/>
  <c r="J390" i="52"/>
  <c r="J294" i="52"/>
  <c r="J198" i="52"/>
  <c r="J30" i="52"/>
  <c r="J86" i="52"/>
  <c r="J950" i="52"/>
  <c r="J830" i="52"/>
  <c r="J626" i="52"/>
  <c r="J374" i="52"/>
  <c r="L1542" i="52"/>
  <c r="L1302" i="52"/>
  <c r="L1050" i="52"/>
  <c r="L1310" i="52"/>
  <c r="L1070" i="52"/>
  <c r="L1486" i="52"/>
  <c r="L1210" i="52"/>
  <c r="L842" i="52"/>
  <c r="L590" i="52"/>
  <c r="L314" i="52"/>
  <c r="L74" i="52"/>
  <c r="L742" i="52"/>
  <c r="L466" i="52"/>
  <c r="L226" i="52"/>
  <c r="L990" i="52"/>
  <c r="L714" i="52"/>
  <c r="L474" i="52"/>
  <c r="L222" i="52"/>
  <c r="H214" i="54"/>
  <c r="H222" i="54"/>
  <c r="H254" i="54"/>
  <c r="J338" i="52"/>
  <c r="L1530" i="52"/>
  <c r="L1254" i="52"/>
  <c r="L914" i="52"/>
  <c r="L1298" i="52"/>
  <c r="L1022" i="52"/>
  <c r="L1450" i="52"/>
  <c r="L1198" i="52"/>
  <c r="L794" i="52"/>
  <c r="L554" i="52"/>
  <c r="L302" i="52"/>
  <c r="L26" i="52"/>
  <c r="L706" i="52"/>
  <c r="L454" i="52"/>
  <c r="L178" i="52"/>
  <c r="L954" i="52"/>
  <c r="L702" i="52"/>
  <c r="L426" i="52"/>
  <c r="L186" i="52"/>
  <c r="H202" i="54"/>
  <c r="H150" i="54"/>
  <c r="H218" i="54"/>
  <c r="J650" i="52"/>
  <c r="J554" i="52"/>
  <c r="J458" i="52"/>
  <c r="J362" i="52"/>
  <c r="J266" i="52"/>
  <c r="J170" i="52"/>
  <c r="L1518" i="52"/>
  <c r="L1422" i="52"/>
  <c r="L1326" i="52"/>
  <c r="L1230" i="52"/>
  <c r="L1134" i="52"/>
  <c r="L1038" i="52"/>
  <c r="L1478" i="52"/>
  <c r="L1382" i="52"/>
  <c r="L1286" i="52"/>
  <c r="L1190" i="52"/>
  <c r="L1094" i="52"/>
  <c r="L866" i="52"/>
  <c r="L1570" i="52"/>
  <c r="L1474" i="52"/>
  <c r="L1378" i="52"/>
  <c r="L1282" i="52"/>
  <c r="L1186" i="52"/>
  <c r="L1090" i="52"/>
  <c r="L938" i="52"/>
  <c r="L770" i="52"/>
  <c r="L674" i="52"/>
  <c r="L578" i="52"/>
  <c r="L482" i="52"/>
  <c r="L386" i="52"/>
  <c r="L290" i="52"/>
  <c r="L194" i="52"/>
  <c r="L98" i="52"/>
  <c r="L922" i="52"/>
  <c r="L826" i="52"/>
  <c r="L730" i="52"/>
  <c r="L634" i="52"/>
  <c r="L538" i="52"/>
  <c r="L442" i="52"/>
  <c r="L346" i="52"/>
  <c r="L250" i="52"/>
  <c r="L154" i="52"/>
  <c r="L58" i="52"/>
  <c r="L978" i="52"/>
  <c r="L882" i="52"/>
  <c r="L786" i="52"/>
  <c r="L690" i="52"/>
  <c r="L594" i="52"/>
  <c r="L498" i="52"/>
  <c r="L402" i="52"/>
  <c r="L306" i="52"/>
  <c r="L210" i="52"/>
  <c r="L114" i="52"/>
  <c r="L18" i="52"/>
  <c r="H190" i="54"/>
  <c r="H94" i="54"/>
  <c r="H258" i="54"/>
  <c r="H126" i="54"/>
  <c r="H30" i="54"/>
  <c r="H242" i="54"/>
  <c r="H146" i="54"/>
  <c r="H50" i="54"/>
  <c r="J734" i="52"/>
  <c r="J638" i="52"/>
  <c r="J542" i="52"/>
  <c r="J446" i="52"/>
  <c r="J350" i="52"/>
  <c r="J254" i="52"/>
  <c r="L1526" i="52"/>
  <c r="L1506" i="52"/>
  <c r="L1410" i="52"/>
  <c r="L1314" i="52"/>
  <c r="L1218" i="52"/>
  <c r="L1122" i="52"/>
  <c r="L1026" i="52"/>
  <c r="L1466" i="52"/>
  <c r="L1370" i="52"/>
  <c r="L1274" i="52"/>
  <c r="L1178" i="52"/>
  <c r="L1082" i="52"/>
  <c r="L962" i="52"/>
  <c r="L1558" i="52"/>
  <c r="L1462" i="52"/>
  <c r="L1366" i="52"/>
  <c r="L1270" i="52"/>
  <c r="L1174" i="52"/>
  <c r="L1078" i="52"/>
  <c r="L878" i="52"/>
  <c r="L758" i="52"/>
  <c r="L662" i="52"/>
  <c r="L566" i="52"/>
  <c r="L470" i="52"/>
  <c r="L374" i="52"/>
  <c r="L278" i="52"/>
  <c r="L182" i="52"/>
  <c r="L86" i="52"/>
  <c r="L910" i="52"/>
  <c r="L814" i="52"/>
  <c r="L718" i="52"/>
  <c r="L622" i="52"/>
  <c r="L526" i="52"/>
  <c r="L430" i="52"/>
  <c r="L334" i="52"/>
  <c r="L238" i="52"/>
  <c r="L142" i="52"/>
  <c r="L46" i="52"/>
  <c r="L966" i="52"/>
  <c r="L870" i="52"/>
  <c r="L774" i="52"/>
  <c r="L678" i="52"/>
  <c r="L582" i="52"/>
  <c r="L486" i="52"/>
  <c r="L390" i="52"/>
  <c r="L294" i="52"/>
  <c r="L198" i="52"/>
  <c r="L102" i="52"/>
  <c r="L6" i="52"/>
  <c r="H178" i="54"/>
  <c r="H82" i="54"/>
  <c r="H234" i="54"/>
  <c r="H114" i="54"/>
  <c r="H18" i="54"/>
  <c r="H230" i="54"/>
  <c r="H134" i="54"/>
  <c r="H38" i="54"/>
  <c r="J902" i="52"/>
  <c r="J806" i="52"/>
  <c r="J710" i="52"/>
  <c r="J614" i="52"/>
  <c r="J518" i="52"/>
  <c r="J422" i="52"/>
  <c r="J326" i="52"/>
  <c r="J230" i="52"/>
  <c r="L934" i="52"/>
  <c r="L1482" i="52"/>
  <c r="L1386" i="52"/>
  <c r="L1290" i="52"/>
  <c r="L1194" i="52"/>
  <c r="L1098" i="52"/>
  <c r="L998" i="52"/>
  <c r="L1442" i="52"/>
  <c r="L1346" i="52"/>
  <c r="L1250" i="52"/>
  <c r="L1154" i="52"/>
  <c r="L1058" i="52"/>
  <c r="L1006" i="52"/>
  <c r="L1534" i="52"/>
  <c r="L1438" i="52"/>
  <c r="L1342" i="52"/>
  <c r="L1246" i="52"/>
  <c r="L1150" i="52"/>
  <c r="L1054" i="52"/>
  <c r="L830" i="52"/>
  <c r="L734" i="52"/>
  <c r="L638" i="52"/>
  <c r="L542" i="52"/>
  <c r="L446" i="52"/>
  <c r="L350" i="52"/>
  <c r="L254" i="52"/>
  <c r="L158" i="52"/>
  <c r="L62" i="52"/>
  <c r="L886" i="52"/>
  <c r="L790" i="52"/>
  <c r="L694" i="52"/>
  <c r="L598" i="52"/>
  <c r="L502" i="52"/>
  <c r="L406" i="52"/>
  <c r="L310" i="52"/>
  <c r="L214" i="52"/>
  <c r="L118" i="52"/>
  <c r="L22" i="52"/>
  <c r="L942" i="52"/>
  <c r="L846" i="52"/>
  <c r="L750" i="52"/>
  <c r="L654" i="52"/>
  <c r="L558" i="52"/>
  <c r="L462" i="52"/>
  <c r="L366" i="52"/>
  <c r="L270" i="52"/>
  <c r="L174" i="52"/>
  <c r="L78" i="52"/>
  <c r="H250" i="54"/>
  <c r="H154" i="54"/>
  <c r="H58" i="54"/>
  <c r="H186" i="54"/>
  <c r="H90" i="54"/>
  <c r="H210" i="54"/>
  <c r="H206" i="54"/>
  <c r="H110" i="54"/>
  <c r="H14" i="54"/>
  <c r="J794" i="52"/>
  <c r="J698" i="52"/>
  <c r="J602" i="52"/>
  <c r="J506" i="52"/>
  <c r="J410" i="52"/>
  <c r="J314" i="52"/>
  <c r="J218" i="52"/>
  <c r="L854" i="52"/>
  <c r="L1470" i="52"/>
  <c r="L1374" i="52"/>
  <c r="L1278" i="52"/>
  <c r="L1182" i="52"/>
  <c r="L1086" i="52"/>
  <c r="L890" i="52"/>
  <c r="L1430" i="52"/>
  <c r="L1334" i="52"/>
  <c r="L1238" i="52"/>
  <c r="L1142" i="52"/>
  <c r="L1046" i="52"/>
  <c r="L958" i="52"/>
  <c r="L1522" i="52"/>
  <c r="L1426" i="52"/>
  <c r="L1330" i="52"/>
  <c r="L1234" i="52"/>
  <c r="L1138" i="52"/>
  <c r="L1042" i="52"/>
  <c r="L818" i="52"/>
  <c r="L722" i="52"/>
  <c r="L626" i="52"/>
  <c r="L530" i="52"/>
  <c r="L434" i="52"/>
  <c r="L338" i="52"/>
  <c r="L242" i="52"/>
  <c r="L146" i="52"/>
  <c r="L50" i="52"/>
  <c r="L874" i="52"/>
  <c r="L778" i="52"/>
  <c r="L682" i="52"/>
  <c r="L586" i="52"/>
  <c r="L490" i="52"/>
  <c r="L394" i="52"/>
  <c r="L298" i="52"/>
  <c r="L202" i="52"/>
  <c r="L106" i="52"/>
  <c r="L10" i="52"/>
  <c r="L930" i="52"/>
  <c r="L834" i="52"/>
  <c r="L738" i="52"/>
  <c r="L642" i="52"/>
  <c r="L546" i="52"/>
  <c r="L450" i="52"/>
  <c r="L354" i="52"/>
  <c r="L258" i="52"/>
  <c r="L162" i="52"/>
  <c r="L66" i="52"/>
  <c r="H238" i="54"/>
  <c r="H142" i="54"/>
  <c r="H46" i="54"/>
  <c r="H174" i="54"/>
  <c r="H78" i="54"/>
  <c r="H246" i="54"/>
  <c r="H194" i="54"/>
  <c r="H98" i="54"/>
  <c r="J878" i="52"/>
  <c r="J782" i="52"/>
  <c r="J686" i="52"/>
  <c r="J590" i="52"/>
  <c r="J494" i="52"/>
  <c r="J398" i="52"/>
  <c r="J302" i="52"/>
  <c r="J206" i="52"/>
  <c r="L1554" i="52"/>
  <c r="L1458" i="52"/>
  <c r="L1362" i="52"/>
  <c r="L1266" i="52"/>
  <c r="L1170" i="52"/>
  <c r="L1074" i="52"/>
  <c r="L1010" i="52"/>
  <c r="L1418" i="52"/>
  <c r="L1322" i="52"/>
  <c r="L1226" i="52"/>
  <c r="L1130" i="52"/>
  <c r="L1034" i="52"/>
  <c r="L902" i="52"/>
  <c r="L1510" i="52"/>
  <c r="L1414" i="52"/>
  <c r="L1318" i="52"/>
  <c r="L1222" i="52"/>
  <c r="L1126" i="52"/>
  <c r="L1030" i="52"/>
  <c r="L806" i="52"/>
  <c r="L710" i="52"/>
  <c r="L614" i="52"/>
  <c r="L518" i="52"/>
  <c r="L422" i="52"/>
  <c r="L326" i="52"/>
  <c r="L230" i="52"/>
  <c r="L134" i="52"/>
  <c r="L38" i="52"/>
  <c r="L862" i="52"/>
  <c r="L766" i="52"/>
  <c r="L670" i="52"/>
  <c r="L574" i="52"/>
  <c r="L478" i="52"/>
  <c r="L382" i="52"/>
  <c r="L286" i="52"/>
  <c r="L190" i="52"/>
  <c r="L94" i="52"/>
  <c r="L1014" i="52"/>
  <c r="L918" i="52"/>
  <c r="L822" i="52"/>
  <c r="L726" i="52"/>
  <c r="L630" i="52"/>
  <c r="L534" i="52"/>
  <c r="L438" i="52"/>
  <c r="L342" i="52"/>
  <c r="L246" i="52"/>
  <c r="L150" i="52"/>
  <c r="L54" i="52"/>
  <c r="H226" i="54"/>
  <c r="H130" i="54"/>
  <c r="H34" i="54"/>
  <c r="H162" i="54"/>
  <c r="H66" i="54"/>
  <c r="H198" i="54"/>
  <c r="H182" i="54"/>
  <c r="H199" i="54"/>
  <c r="H99" i="54"/>
  <c r="H111" i="54"/>
  <c r="H159" i="54"/>
  <c r="H67" i="54"/>
  <c r="H71" i="54"/>
  <c r="H167" i="54"/>
  <c r="H263" i="54"/>
  <c r="L7" i="52"/>
  <c r="L103" i="52"/>
  <c r="L199" i="52"/>
  <c r="L295" i="52"/>
  <c r="L391" i="52"/>
  <c r="L487" i="52"/>
  <c r="L583" i="52"/>
  <c r="L679" i="52"/>
  <c r="L775" i="52"/>
  <c r="L47" i="52"/>
  <c r="L143" i="52"/>
  <c r="L239" i="52"/>
  <c r="L335" i="52"/>
  <c r="L431" i="52"/>
  <c r="L527" i="52"/>
  <c r="L623" i="52"/>
  <c r="L719" i="52"/>
  <c r="L815" i="52"/>
  <c r="L911" i="52"/>
  <c r="L3" i="52"/>
  <c r="L99" i="52"/>
  <c r="L195" i="52"/>
  <c r="L291" i="52"/>
  <c r="L387" i="52"/>
  <c r="L835" i="52"/>
  <c r="L975" i="52"/>
  <c r="L1091" i="52"/>
  <c r="L1187" i="52"/>
  <c r="L1283" i="52"/>
  <c r="L1379" i="52"/>
  <c r="L1475" i="52"/>
  <c r="L1571" i="52"/>
  <c r="J91" i="52"/>
  <c r="L699" i="52"/>
  <c r="L943" i="52"/>
  <c r="L591" i="52"/>
  <c r="L1071" i="52"/>
  <c r="L1167" i="52"/>
  <c r="L1263" i="52"/>
  <c r="L1359" i="52"/>
  <c r="L1455" i="52"/>
  <c r="L507" i="52"/>
  <c r="L483" i="52"/>
  <c r="L831" i="52"/>
  <c r="L1087" i="52"/>
  <c r="L1183" i="52"/>
  <c r="L1279" i="52"/>
  <c r="L1375" i="52"/>
  <c r="L1471" i="52"/>
  <c r="L999" i="52"/>
  <c r="J183" i="52"/>
  <c r="J279" i="52"/>
  <c r="J375" i="52"/>
  <c r="J471" i="52"/>
  <c r="J567" i="52"/>
  <c r="J663" i="52"/>
  <c r="J759" i="52"/>
  <c r="J855" i="52"/>
  <c r="J87" i="52"/>
  <c r="J147" i="52"/>
  <c r="J247" i="52"/>
  <c r="J343" i="52"/>
  <c r="J439" i="52"/>
  <c r="J535" i="52"/>
  <c r="J631" i="52"/>
  <c r="J727" i="52"/>
  <c r="J823" i="52"/>
  <c r="J919" i="52"/>
  <c r="H27" i="54"/>
  <c r="H243" i="54"/>
  <c r="H255" i="54"/>
  <c r="H259" i="54"/>
  <c r="H11" i="54"/>
  <c r="H107" i="54"/>
  <c r="H203" i="54"/>
  <c r="H139" i="54"/>
  <c r="L43" i="52"/>
  <c r="L139" i="52"/>
  <c r="L235" i="52"/>
  <c r="L331" i="52"/>
  <c r="L427" i="52"/>
  <c r="L523" i="52"/>
  <c r="L619" i="52"/>
  <c r="L715" i="52"/>
  <c r="L811" i="52"/>
  <c r="L83" i="52"/>
  <c r="L179" i="52"/>
  <c r="L275" i="52"/>
  <c r="L371" i="52"/>
  <c r="L467" i="52"/>
  <c r="L563" i="52"/>
  <c r="L659" i="52"/>
  <c r="L755" i="52"/>
  <c r="L851" i="52"/>
  <c r="L947" i="52"/>
  <c r="L39" i="52"/>
  <c r="L135" i="52"/>
  <c r="L231" i="52"/>
  <c r="L327" i="52"/>
  <c r="L807" i="52"/>
  <c r="L939" i="52"/>
  <c r="L1031" i="52"/>
  <c r="L1127" i="52"/>
  <c r="L1223" i="52"/>
  <c r="L1319" i="52"/>
  <c r="L1415" i="52"/>
  <c r="L1511" i="52"/>
  <c r="J31" i="52"/>
  <c r="J127" i="52"/>
  <c r="L471" i="52"/>
  <c r="L819" i="52"/>
  <c r="L907" i="52"/>
  <c r="L1107" i="52"/>
  <c r="L1203" i="52"/>
  <c r="L1299" i="52"/>
  <c r="L1395" i="52"/>
  <c r="L1491" i="52"/>
  <c r="L847" i="52"/>
  <c r="L871" i="52"/>
  <c r="L1027" i="52"/>
  <c r="L1123" i="52"/>
  <c r="L1219" i="52"/>
  <c r="L1315" i="52"/>
  <c r="L1411" i="52"/>
  <c r="L1507" i="52"/>
  <c r="J71" i="52"/>
  <c r="J219" i="52"/>
  <c r="J315" i="52"/>
  <c r="J411" i="52"/>
  <c r="J507" i="52"/>
  <c r="J603" i="52"/>
  <c r="J699" i="52"/>
  <c r="J795" i="52"/>
  <c r="L855" i="52"/>
  <c r="L1575" i="52"/>
  <c r="J187" i="52"/>
  <c r="J283" i="52"/>
  <c r="J379" i="52"/>
  <c r="J475" i="52"/>
  <c r="J571" i="52"/>
  <c r="J667" i="52"/>
  <c r="J763" i="52"/>
  <c r="J859" i="52"/>
  <c r="J955" i="52"/>
  <c r="J107" i="52"/>
  <c r="J51" i="52"/>
  <c r="J215" i="52"/>
  <c r="J311" i="52"/>
  <c r="J407" i="52"/>
  <c r="J503" i="52"/>
  <c r="J599" i="52"/>
  <c r="J695" i="52"/>
  <c r="J791" i="52"/>
  <c r="H79" i="54"/>
  <c r="H87" i="54"/>
  <c r="H75" i="54"/>
  <c r="H211" i="54"/>
  <c r="H183" i="54"/>
  <c r="H59" i="54"/>
  <c r="H155" i="54"/>
  <c r="H251" i="54"/>
  <c r="H175" i="54"/>
  <c r="L91" i="52"/>
  <c r="L187" i="52"/>
  <c r="L283" i="52"/>
  <c r="L379" i="52"/>
  <c r="L475" i="52"/>
  <c r="L571" i="52"/>
  <c r="L667" i="52"/>
  <c r="L763" i="52"/>
  <c r="L35" i="52"/>
  <c r="L131" i="52"/>
  <c r="L227" i="52"/>
  <c r="L323" i="52"/>
  <c r="L419" i="52"/>
  <c r="L515" i="52"/>
  <c r="L611" i="52"/>
  <c r="L707" i="52"/>
  <c r="L803" i="52"/>
  <c r="L899" i="52"/>
  <c r="L995" i="52"/>
  <c r="L87" i="52"/>
  <c r="L183" i="52"/>
  <c r="L279" i="52"/>
  <c r="L375" i="52"/>
  <c r="L723" i="52"/>
  <c r="L859" i="52"/>
  <c r="L1079" i="52"/>
  <c r="L1175" i="52"/>
  <c r="L1271" i="52"/>
  <c r="L1367" i="52"/>
  <c r="L1463" i="52"/>
  <c r="L1559" i="52"/>
  <c r="J79" i="52"/>
  <c r="L555" i="52"/>
  <c r="L883" i="52"/>
  <c r="L447" i="52"/>
  <c r="L1059" i="52"/>
  <c r="L1155" i="52"/>
  <c r="L1251" i="52"/>
  <c r="L1347" i="52"/>
  <c r="L1443" i="52"/>
  <c r="L1539" i="52"/>
  <c r="L711" i="52"/>
  <c r="L687" i="52"/>
  <c r="L1075" i="52"/>
  <c r="L1171" i="52"/>
  <c r="L1267" i="52"/>
  <c r="L1363" i="52"/>
  <c r="L1459" i="52"/>
  <c r="L967" i="52"/>
  <c r="J171" i="52"/>
  <c r="J267" i="52"/>
  <c r="J363" i="52"/>
  <c r="J459" i="52"/>
  <c r="J555" i="52"/>
  <c r="J651" i="52"/>
  <c r="J747" i="52"/>
  <c r="J843" i="52"/>
  <c r="J59" i="52"/>
  <c r="J119" i="52"/>
  <c r="J235" i="52"/>
  <c r="J331" i="52"/>
  <c r="J427" i="52"/>
  <c r="J523" i="52"/>
  <c r="J619" i="52"/>
  <c r="J715" i="52"/>
  <c r="J811" i="52"/>
  <c r="J907" i="52"/>
  <c r="J1003" i="52"/>
  <c r="L1543" i="52"/>
  <c r="J167" i="52"/>
  <c r="J263" i="52"/>
  <c r="J359" i="52"/>
  <c r="J455" i="52"/>
  <c r="J551" i="52"/>
  <c r="J647" i="52"/>
  <c r="J743" i="52"/>
  <c r="H15" i="54"/>
  <c r="H235" i="54"/>
  <c r="H147" i="54"/>
  <c r="H83" i="54"/>
  <c r="H227" i="54"/>
  <c r="L31" i="52"/>
  <c r="L175" i="52"/>
  <c r="L343" i="52"/>
  <c r="L499" i="52"/>
  <c r="L643" i="52"/>
  <c r="L799" i="52"/>
  <c r="L119" i="52"/>
  <c r="L287" i="52"/>
  <c r="L443" i="52"/>
  <c r="L587" i="52"/>
  <c r="L743" i="52"/>
  <c r="L887" i="52"/>
  <c r="L51" i="52"/>
  <c r="L207" i="52"/>
  <c r="L351" i="52"/>
  <c r="L919" i="52"/>
  <c r="L1067" i="52"/>
  <c r="L1235" i="52"/>
  <c r="L1391" i="52"/>
  <c r="L1535" i="52"/>
  <c r="J115" i="52"/>
  <c r="L843" i="52"/>
  <c r="L1023" i="52"/>
  <c r="L1179" i="52"/>
  <c r="L1323" i="52"/>
  <c r="L1479" i="52"/>
  <c r="L567" i="52"/>
  <c r="L1039" i="52"/>
  <c r="L1195" i="52"/>
  <c r="L1339" i="52"/>
  <c r="L1495" i="52"/>
  <c r="L931" i="52"/>
  <c r="J327" i="52"/>
  <c r="J483" i="52"/>
  <c r="J627" i="52"/>
  <c r="J783" i="52"/>
  <c r="L1555" i="52"/>
  <c r="J199" i="52"/>
  <c r="J355" i="52"/>
  <c r="J499" i="52"/>
  <c r="J655" i="52"/>
  <c r="J799" i="52"/>
  <c r="J967" i="52"/>
  <c r="L603" i="52"/>
  <c r="J191" i="52"/>
  <c r="J323" i="52"/>
  <c r="J443" i="52"/>
  <c r="J575" i="52"/>
  <c r="J707" i="52"/>
  <c r="J827" i="52"/>
  <c r="J959" i="52"/>
  <c r="J1019" i="52"/>
  <c r="J1115" i="52"/>
  <c r="J1211" i="52"/>
  <c r="J1307" i="52"/>
  <c r="J1403" i="52"/>
  <c r="J1499" i="52"/>
  <c r="H19" i="52"/>
  <c r="H115" i="52"/>
  <c r="H211" i="52"/>
  <c r="J939" i="52"/>
  <c r="J1095" i="52"/>
  <c r="J1191" i="52"/>
  <c r="J1287" i="52"/>
  <c r="J1383" i="52"/>
  <c r="J1479" i="52"/>
  <c r="J1575" i="52"/>
  <c r="H95" i="52"/>
  <c r="J927" i="52"/>
  <c r="J1039" i="52"/>
  <c r="J1135" i="52"/>
  <c r="J1231" i="52"/>
  <c r="J1327" i="52"/>
  <c r="J1399" i="52"/>
  <c r="H307" i="52"/>
  <c r="H403" i="52"/>
  <c r="H499" i="52"/>
  <c r="H595" i="52"/>
  <c r="H691" i="52"/>
  <c r="H787" i="52"/>
  <c r="H63" i="54"/>
  <c r="H91" i="54"/>
  <c r="H151" i="54"/>
  <c r="H131" i="54"/>
  <c r="H31" i="54"/>
  <c r="L79" i="52"/>
  <c r="L247" i="52"/>
  <c r="L403" i="52"/>
  <c r="L547" i="52"/>
  <c r="L703" i="52"/>
  <c r="L23" i="52"/>
  <c r="L191" i="52"/>
  <c r="L347" i="52"/>
  <c r="L491" i="52"/>
  <c r="L647" i="52"/>
  <c r="L791" i="52"/>
  <c r="L959" i="52"/>
  <c r="L111" i="52"/>
  <c r="L255" i="52"/>
  <c r="L663" i="52"/>
  <c r="L783" i="52"/>
  <c r="L1139" i="52"/>
  <c r="L1295" i="52"/>
  <c r="L1439" i="52"/>
  <c r="J19" i="52"/>
  <c r="L411" i="52"/>
  <c r="L927" i="52"/>
  <c r="L1083" i="52"/>
  <c r="L1227" i="52"/>
  <c r="L1383" i="52"/>
  <c r="L1527" i="52"/>
  <c r="L951" i="52"/>
  <c r="L1099" i="52"/>
  <c r="L1243" i="52"/>
  <c r="L1399" i="52"/>
  <c r="L891" i="52"/>
  <c r="J231" i="52"/>
  <c r="J387" i="52"/>
  <c r="J531" i="52"/>
  <c r="J687" i="52"/>
  <c r="J831" i="52"/>
  <c r="J15" i="52"/>
  <c r="J259" i="52"/>
  <c r="J403" i="52"/>
  <c r="J559" i="52"/>
  <c r="J703" i="52"/>
  <c r="J871" i="52"/>
  <c r="J3" i="52"/>
  <c r="J23" i="52"/>
  <c r="J239" i="52"/>
  <c r="J371" i="52"/>
  <c r="J491" i="52"/>
  <c r="J623" i="52"/>
  <c r="J755" i="52"/>
  <c r="J83" i="52"/>
  <c r="J11" i="52"/>
  <c r="J1055" i="52"/>
  <c r="J1151" i="52"/>
  <c r="J1247" i="52"/>
  <c r="J1343" i="52"/>
  <c r="J1439" i="52"/>
  <c r="J1535" i="52"/>
  <c r="H55" i="52"/>
  <c r="H151" i="52"/>
  <c r="J1007" i="52"/>
  <c r="J1035" i="52"/>
  <c r="J1131" i="52"/>
  <c r="J1227" i="52"/>
  <c r="J1323" i="52"/>
  <c r="J1419" i="52"/>
  <c r="J1515" i="52"/>
  <c r="H35" i="52"/>
  <c r="H131" i="52"/>
  <c r="J971" i="52"/>
  <c r="J1075" i="52"/>
  <c r="J1171" i="52"/>
  <c r="J1267" i="52"/>
  <c r="H167" i="52"/>
  <c r="H247" i="52"/>
  <c r="H343" i="52"/>
  <c r="H439" i="52"/>
  <c r="H535" i="52"/>
  <c r="H631" i="52"/>
  <c r="H727" i="52"/>
  <c r="H823" i="52"/>
  <c r="H123" i="54"/>
  <c r="H187" i="54"/>
  <c r="H223" i="54"/>
  <c r="H143" i="54"/>
  <c r="H247" i="54"/>
  <c r="L115" i="52"/>
  <c r="L259" i="52"/>
  <c r="L415" i="52"/>
  <c r="L559" i="52"/>
  <c r="L727" i="52"/>
  <c r="L59" i="52"/>
  <c r="L203" i="52"/>
  <c r="L359" i="52"/>
  <c r="L503" i="52"/>
  <c r="L671" i="52"/>
  <c r="L827" i="52"/>
  <c r="L971" i="52"/>
  <c r="L123" i="52"/>
  <c r="L267" i="52"/>
  <c r="L955" i="52"/>
  <c r="L991" i="52"/>
  <c r="L1151" i="52"/>
  <c r="L1307" i="52"/>
  <c r="L1451" i="52"/>
  <c r="J43" i="52"/>
  <c r="L903" i="52"/>
  <c r="L963" i="52"/>
  <c r="L1095" i="52"/>
  <c r="L1239" i="52"/>
  <c r="L1407" i="52"/>
  <c r="L651" i="52"/>
  <c r="L399" i="52"/>
  <c r="L1111" i="52"/>
  <c r="L1255" i="52"/>
  <c r="L1423" i="52"/>
  <c r="L1551" i="52"/>
  <c r="J243" i="52"/>
  <c r="J399" i="52"/>
  <c r="J543" i="52"/>
  <c r="J711" i="52"/>
  <c r="J867" i="52"/>
  <c r="J47" i="52"/>
  <c r="J271" i="52"/>
  <c r="J415" i="52"/>
  <c r="J583" i="52"/>
  <c r="J739" i="52"/>
  <c r="J883" i="52"/>
  <c r="J35" i="52"/>
  <c r="J95" i="52"/>
  <c r="J251" i="52"/>
  <c r="J383" i="52"/>
  <c r="J515" i="52"/>
  <c r="J635" i="52"/>
  <c r="J767" i="52"/>
  <c r="J111" i="52"/>
  <c r="J947" i="52"/>
  <c r="J1067" i="52"/>
  <c r="J1163" i="52"/>
  <c r="J1259" i="52"/>
  <c r="J1355" i="52"/>
  <c r="J1451" i="52"/>
  <c r="J1547" i="52"/>
  <c r="H67" i="52"/>
  <c r="H163" i="52"/>
  <c r="J951" i="52"/>
  <c r="H3" i="54"/>
  <c r="H115" i="54"/>
  <c r="H127" i="54"/>
  <c r="H47" i="54"/>
  <c r="H215" i="54"/>
  <c r="L19" i="52"/>
  <c r="L163" i="52"/>
  <c r="L319" i="52"/>
  <c r="L463" i="52"/>
  <c r="L631" i="52"/>
  <c r="L787" i="52"/>
  <c r="L107" i="52"/>
  <c r="L263" i="52"/>
  <c r="L407" i="52"/>
  <c r="L575" i="52"/>
  <c r="L731" i="52"/>
  <c r="L875" i="52"/>
  <c r="L27" i="52"/>
  <c r="L171" i="52"/>
  <c r="L339" i="52"/>
  <c r="L879" i="52"/>
  <c r="L1055" i="52"/>
  <c r="L1211" i="52"/>
  <c r="L1355" i="52"/>
  <c r="L1523" i="52"/>
  <c r="J103" i="52"/>
  <c r="L759" i="52"/>
  <c r="L867" i="52"/>
  <c r="L1143" i="52"/>
  <c r="L1311" i="52"/>
  <c r="L1467" i="52"/>
  <c r="L423" i="52"/>
  <c r="L1015" i="52"/>
  <c r="L1159" i="52"/>
  <c r="L1327" i="52"/>
  <c r="L1483" i="52"/>
  <c r="J143" i="52"/>
  <c r="J303" i="52"/>
  <c r="J447" i="52"/>
  <c r="J615" i="52"/>
  <c r="J771" i="52"/>
  <c r="L1003" i="52"/>
  <c r="J175" i="52"/>
  <c r="J319" i="52"/>
  <c r="J487" i="52"/>
  <c r="J643" i="52"/>
  <c r="J787" i="52"/>
  <c r="J943" i="52"/>
  <c r="J163" i="52"/>
  <c r="J179" i="52"/>
  <c r="J299" i="52"/>
  <c r="J431" i="52"/>
  <c r="J563" i="52"/>
  <c r="J683" i="52"/>
  <c r="J815" i="52"/>
  <c r="J887" i="52"/>
  <c r="J963" i="52"/>
  <c r="J1103" i="52"/>
  <c r="J1199" i="52"/>
  <c r="J1295" i="52"/>
  <c r="J1391" i="52"/>
  <c r="J1487" i="52"/>
  <c r="H7" i="52"/>
  <c r="H103" i="52"/>
  <c r="H199" i="52"/>
  <c r="J995" i="52"/>
  <c r="J1083" i="52"/>
  <c r="J1179" i="52"/>
  <c r="J1275" i="52"/>
  <c r="J1371" i="52"/>
  <c r="J1467" i="52"/>
  <c r="J1563" i="52"/>
  <c r="H83" i="52"/>
  <c r="J851" i="52"/>
  <c r="J1027" i="52"/>
  <c r="J1123" i="52"/>
  <c r="J1219" i="52"/>
  <c r="J1315" i="52"/>
  <c r="J1363" i="52"/>
  <c r="H295" i="52"/>
  <c r="H391" i="52"/>
  <c r="H487" i="52"/>
  <c r="H583" i="52"/>
  <c r="H679" i="52"/>
  <c r="H775" i="52"/>
  <c r="H871" i="52"/>
  <c r="H16" i="54"/>
  <c r="H112" i="54"/>
  <c r="H208" i="54"/>
  <c r="H44" i="54"/>
  <c r="H140" i="54"/>
  <c r="H236" i="54"/>
  <c r="H72" i="54"/>
  <c r="H168" i="54"/>
  <c r="H264" i="54"/>
  <c r="L92" i="52"/>
  <c r="L188" i="52"/>
  <c r="L284" i="52"/>
  <c r="L380" i="52"/>
  <c r="L476" i="52"/>
  <c r="L572" i="52"/>
  <c r="L668" i="52"/>
  <c r="L764" i="52"/>
  <c r="L860" i="52"/>
  <c r="L956" i="52"/>
  <c r="L96" i="52"/>
  <c r="L192" i="52"/>
  <c r="L288" i="52"/>
  <c r="L384" i="52"/>
  <c r="L480" i="52"/>
  <c r="L576" i="52"/>
  <c r="L672" i="52"/>
  <c r="L768" i="52"/>
  <c r="L864" i="52"/>
  <c r="L960" i="52"/>
  <c r="L988" i="52"/>
  <c r="L124" i="52"/>
  <c r="L436" i="52"/>
  <c r="L976" i="52"/>
  <c r="L1092" i="52"/>
  <c r="L1188" i="52"/>
  <c r="L1284" i="52"/>
  <c r="L1380" i="52"/>
  <c r="L1476" i="52"/>
  <c r="L1572" i="52"/>
  <c r="J92" i="52"/>
  <c r="L556" i="52"/>
  <c r="L28" i="52"/>
  <c r="L316" i="52"/>
  <c r="L980" i="52"/>
  <c r="L1060" i="52"/>
  <c r="L1156" i="52"/>
  <c r="L1252" i="52"/>
  <c r="L1348" i="52"/>
  <c r="L1444" i="52"/>
  <c r="L1540" i="52"/>
  <c r="L568" i="52"/>
  <c r="L112" i="52"/>
  <c r="L484" i="52"/>
  <c r="J100" i="52"/>
  <c r="J232" i="52"/>
  <c r="J328" i="52"/>
  <c r="J424" i="52"/>
  <c r="J520" i="52"/>
  <c r="J616" i="52"/>
  <c r="J712" i="52"/>
  <c r="L1040" i="52"/>
  <c r="L1328" i="52"/>
  <c r="J132" i="52"/>
  <c r="J120" i="52"/>
  <c r="H40" i="54"/>
  <c r="H136" i="54"/>
  <c r="H232" i="54"/>
  <c r="H68" i="54"/>
  <c r="H164" i="54"/>
  <c r="H260" i="54"/>
  <c r="H96" i="54"/>
  <c r="H192" i="54"/>
  <c r="L20" i="52"/>
  <c r="L116" i="52"/>
  <c r="L212" i="52"/>
  <c r="L308" i="52"/>
  <c r="L404" i="52"/>
  <c r="L500" i="52"/>
  <c r="L596" i="52"/>
  <c r="L692" i="52"/>
  <c r="L788" i="52"/>
  <c r="L884" i="52"/>
  <c r="L24" i="52"/>
  <c r="L120" i="52"/>
  <c r="L216" i="52"/>
  <c r="L312" i="52"/>
  <c r="L408" i="52"/>
  <c r="L504" i="52"/>
  <c r="L600" i="52"/>
  <c r="L696" i="52"/>
  <c r="L792" i="52"/>
  <c r="L888" i="52"/>
  <c r="L984" i="52"/>
  <c r="L520" i="52"/>
  <c r="L196" i="52"/>
  <c r="L724" i="52"/>
  <c r="L1020" i="52"/>
  <c r="L1116" i="52"/>
  <c r="L1212" i="52"/>
  <c r="L1308" i="52"/>
  <c r="L1404" i="52"/>
  <c r="L1500" i="52"/>
  <c r="J20" i="52"/>
  <c r="J116" i="52"/>
  <c r="L904" i="52"/>
  <c r="L100" i="52"/>
  <c r="L388" i="52"/>
  <c r="L592" i="52"/>
  <c r="L1084" i="52"/>
  <c r="L1180" i="52"/>
  <c r="L1276" i="52"/>
  <c r="L1372" i="52"/>
  <c r="L1468" i="52"/>
  <c r="L1564" i="52"/>
  <c r="L892" i="52"/>
  <c r="L184" i="52"/>
  <c r="L772" i="52"/>
  <c r="L1532" i="52"/>
  <c r="J256" i="52"/>
  <c r="J352" i="52"/>
  <c r="J448" i="52"/>
  <c r="J544" i="52"/>
  <c r="J640" i="52"/>
  <c r="J736" i="52"/>
  <c r="L1112" i="52"/>
  <c r="L1400" i="52"/>
  <c r="L1508" i="52"/>
  <c r="J176" i="52"/>
  <c r="J272" i="52"/>
  <c r="J368" i="52"/>
  <c r="J464" i="52"/>
  <c r="J560" i="52"/>
  <c r="L1016" i="52"/>
  <c r="L1304" i="52"/>
  <c r="J64" i="52"/>
  <c r="J96" i="52"/>
  <c r="J240" i="52"/>
  <c r="J336" i="52"/>
  <c r="J432" i="52"/>
  <c r="L1496" i="52"/>
  <c r="J856" i="52"/>
  <c r="J1064" i="52"/>
  <c r="J1160" i="52"/>
  <c r="J1256" i="52"/>
  <c r="J1352" i="52"/>
  <c r="J1448" i="52"/>
  <c r="J1544" i="52"/>
  <c r="H64" i="52"/>
  <c r="H160" i="52"/>
  <c r="H52" i="54"/>
  <c r="H148" i="54"/>
  <c r="H244" i="54"/>
  <c r="H80" i="54"/>
  <c r="H176" i="54"/>
  <c r="H12" i="54"/>
  <c r="H108" i="54"/>
  <c r="H204" i="54"/>
  <c r="L32" i="52"/>
  <c r="L128" i="52"/>
  <c r="L224" i="52"/>
  <c r="L320" i="52"/>
  <c r="L416" i="52"/>
  <c r="L512" i="52"/>
  <c r="L608" i="52"/>
  <c r="L704" i="52"/>
  <c r="L800" i="52"/>
  <c r="L896" i="52"/>
  <c r="L36" i="52"/>
  <c r="L132" i="52"/>
  <c r="L228" i="52"/>
  <c r="L324" i="52"/>
  <c r="L420" i="52"/>
  <c r="L516" i="52"/>
  <c r="L612" i="52"/>
  <c r="L708" i="52"/>
  <c r="L804" i="52"/>
  <c r="L900" i="52"/>
  <c r="L996" i="52"/>
  <c r="L664" i="52"/>
  <c r="L232" i="52"/>
  <c r="L880" i="52"/>
  <c r="L1032" i="52"/>
  <c r="L1128" i="52"/>
  <c r="L1224" i="52"/>
  <c r="L1320" i="52"/>
  <c r="L1416" i="52"/>
  <c r="L1512" i="52"/>
  <c r="J32" i="52"/>
  <c r="J128" i="52"/>
  <c r="L1008" i="52"/>
  <c r="L136" i="52"/>
  <c r="L532" i="52"/>
  <c r="L736" i="52"/>
  <c r="L1096" i="52"/>
  <c r="L1192" i="52"/>
  <c r="L1288" i="52"/>
  <c r="L1384" i="52"/>
  <c r="L1480" i="52"/>
  <c r="L1576" i="52"/>
  <c r="L968" i="52"/>
  <c r="L220" i="52"/>
  <c r="L952" i="52"/>
  <c r="J172" i="52"/>
  <c r="J268" i="52"/>
  <c r="J364" i="52"/>
  <c r="J460" i="52"/>
  <c r="J556" i="52"/>
  <c r="J652" i="52"/>
  <c r="J748" i="52"/>
  <c r="L1148" i="52"/>
  <c r="L1436" i="52"/>
  <c r="J16" i="52"/>
  <c r="J188" i="52"/>
  <c r="J284" i="52"/>
  <c r="J380" i="52"/>
  <c r="J476" i="52"/>
  <c r="J572" i="52"/>
  <c r="L1052" i="52"/>
  <c r="L1340" i="52"/>
  <c r="J108" i="52"/>
  <c r="J124" i="52"/>
  <c r="J252" i="52"/>
  <c r="J348" i="52"/>
  <c r="J444" i="52"/>
  <c r="J156" i="52"/>
  <c r="J872" i="52"/>
  <c r="J1076" i="52"/>
  <c r="J1172" i="52"/>
  <c r="J1268" i="52"/>
  <c r="J1364" i="52"/>
  <c r="J1460" i="52"/>
  <c r="J1556" i="52"/>
  <c r="H76" i="52"/>
  <c r="H172" i="52"/>
  <c r="H88" i="54"/>
  <c r="H184" i="54"/>
  <c r="H20" i="54"/>
  <c r="H116" i="54"/>
  <c r="H212" i="54"/>
  <c r="H48" i="54"/>
  <c r="H144" i="54"/>
  <c r="H240" i="54"/>
  <c r="L68" i="52"/>
  <c r="L164" i="52"/>
  <c r="L260" i="52"/>
  <c r="L356" i="52"/>
  <c r="L452" i="52"/>
  <c r="L548" i="52"/>
  <c r="L644" i="52"/>
  <c r="L740" i="52"/>
  <c r="L836" i="52"/>
  <c r="L932" i="52"/>
  <c r="L72" i="52"/>
  <c r="L168" i="52"/>
  <c r="L264" i="52"/>
  <c r="L360" i="52"/>
  <c r="L456" i="52"/>
  <c r="L552" i="52"/>
  <c r="L648" i="52"/>
  <c r="L744" i="52"/>
  <c r="L840" i="52"/>
  <c r="L936" i="52"/>
  <c r="L748" i="52"/>
  <c r="L52" i="52"/>
  <c r="L340" i="52"/>
  <c r="L640" i="52"/>
  <c r="L1068" i="52"/>
  <c r="L1164" i="52"/>
  <c r="L1260" i="52"/>
  <c r="L1356" i="52"/>
  <c r="L1452" i="52"/>
  <c r="L1548" i="52"/>
  <c r="J68" i="52"/>
  <c r="J164" i="52"/>
  <c r="L760" i="52"/>
  <c r="L244" i="52"/>
  <c r="L928" i="52"/>
  <c r="L1036" i="52"/>
  <c r="L1132" i="52"/>
  <c r="L1228" i="52"/>
  <c r="L1324" i="52"/>
  <c r="L1420" i="52"/>
  <c r="L1516" i="52"/>
  <c r="L796" i="52"/>
  <c r="L40" i="52"/>
  <c r="L328" i="52"/>
  <c r="J28" i="52"/>
  <c r="J208" i="52"/>
  <c r="J304" i="52"/>
  <c r="J400" i="52"/>
  <c r="J496" i="52"/>
  <c r="J592" i="52"/>
  <c r="J688" i="52"/>
  <c r="J784" i="52"/>
  <c r="L1256" i="52"/>
  <c r="J60" i="52"/>
  <c r="J48" i="52"/>
  <c r="J224" i="52"/>
  <c r="J320" i="52"/>
  <c r="J416" i="52"/>
  <c r="J512" i="52"/>
  <c r="J608" i="52"/>
  <c r="L1160" i="52"/>
  <c r="L1448" i="52"/>
  <c r="L1544" i="52"/>
  <c r="J192" i="52"/>
  <c r="J288" i="52"/>
  <c r="J384" i="52"/>
  <c r="J480" i="52"/>
  <c r="J600" i="52"/>
  <c r="J1016" i="52"/>
  <c r="J1112" i="52"/>
  <c r="J1208" i="52"/>
  <c r="J1304" i="52"/>
  <c r="J1400" i="52"/>
  <c r="J1496" i="52"/>
  <c r="H16" i="52"/>
  <c r="H112" i="52"/>
  <c r="H208" i="52"/>
  <c r="Q34" i="54" l="1"/>
  <c r="Q42" i="51"/>
  <c r="Q59" i="54"/>
  <c r="Q9" i="51"/>
  <c r="D5" i="6" s="1"/>
  <c r="F36" i="46" s="1"/>
  <c r="G36" i="46" s="1"/>
  <c r="Q21" i="51"/>
  <c r="Q48" i="54"/>
  <c r="Q25" i="54"/>
  <c r="Q14" i="54"/>
  <c r="Q46" i="51"/>
  <c r="D16" i="6" s="1"/>
  <c r="F119" i="46" s="1"/>
  <c r="G119" i="46" s="1"/>
  <c r="Q29" i="54"/>
  <c r="Q39" i="51"/>
  <c r="D14" i="6" s="1"/>
  <c r="F110" i="46" s="1"/>
  <c r="G110" i="46" s="1"/>
  <c r="Q11" i="51"/>
  <c r="D7" i="6" s="1"/>
  <c r="F60" i="46" s="1"/>
  <c r="G60" i="46" s="1"/>
  <c r="Q19" i="51"/>
  <c r="D10" i="6" s="1"/>
  <c r="F73" i="46" s="1"/>
  <c r="G73" i="46" s="1"/>
  <c r="Q23" i="51"/>
  <c r="Q26" i="51"/>
  <c r="Q22" i="54"/>
  <c r="Q35" i="51"/>
  <c r="Q67" i="51"/>
  <c r="Q2" i="51"/>
  <c r="Q5" i="51"/>
  <c r="D3" i="6" s="1"/>
  <c r="F25" i="46" s="1"/>
  <c r="G25" i="46" s="1"/>
  <c r="Q17" i="51"/>
  <c r="Q28" i="51"/>
  <c r="Q34" i="51"/>
  <c r="D13" i="6" s="1"/>
  <c r="F105" i="46" s="1"/>
  <c r="G105" i="46" s="1"/>
  <c r="Q24" i="51"/>
  <c r="D11" i="6" s="1"/>
  <c r="F94" i="46" s="1"/>
  <c r="G94" i="46" s="1"/>
  <c r="Q48" i="51"/>
  <c r="Q27" i="51"/>
  <c r="Q52" i="51"/>
  <c r="Q13" i="54"/>
  <c r="Q29" i="51"/>
  <c r="Q57" i="51"/>
  <c r="Q36" i="51"/>
  <c r="Q12" i="51"/>
  <c r="D8" i="6" s="1"/>
  <c r="F65" i="46" s="1"/>
  <c r="G65" i="46" s="1"/>
  <c r="Q6" i="51"/>
  <c r="Q49" i="51"/>
  <c r="Q31" i="51"/>
  <c r="Q4" i="51"/>
  <c r="Q30" i="51"/>
  <c r="Q7" i="51"/>
  <c r="D4" i="6" s="1"/>
  <c r="F33" i="46" s="1"/>
  <c r="G33" i="46" s="1"/>
  <c r="Q22" i="51"/>
  <c r="Q50" i="54"/>
  <c r="Q14" i="51"/>
  <c r="Q61" i="51"/>
  <c r="Q50" i="51"/>
  <c r="Q37" i="51"/>
  <c r="Q60" i="51"/>
  <c r="L9" i="27"/>
  <c r="D156" i="27" s="1"/>
  <c r="Q60" i="54"/>
  <c r="Q51" i="51"/>
  <c r="Q43" i="51"/>
  <c r="D15" i="6" s="1"/>
  <c r="F114" i="46" s="1"/>
  <c r="G114" i="46" s="1"/>
  <c r="Q58" i="51"/>
  <c r="Q13" i="51"/>
  <c r="D9" i="6" s="1"/>
  <c r="F68" i="46" s="1"/>
  <c r="G68" i="46" s="1"/>
  <c r="Q8" i="51"/>
  <c r="Q10" i="51"/>
  <c r="D6" i="6" s="1"/>
  <c r="F49" i="46" s="1"/>
  <c r="G49" i="46" s="1"/>
  <c r="Q16" i="51"/>
  <c r="Q44" i="51"/>
  <c r="Q41" i="51"/>
  <c r="Q56" i="51"/>
  <c r="Q45" i="51"/>
  <c r="Q40" i="51"/>
  <c r="Q64" i="51"/>
  <c r="Q55" i="51"/>
  <c r="Q66" i="51"/>
  <c r="D20" i="6" s="1"/>
  <c r="Q59" i="51"/>
  <c r="D18" i="6" s="1"/>
  <c r="F127" i="46" s="1"/>
  <c r="G127" i="46" s="1"/>
  <c r="Q62" i="51"/>
  <c r="Q25" i="51"/>
  <c r="Q18" i="51"/>
  <c r="Q63" i="51"/>
  <c r="Q65" i="51"/>
  <c r="Q54" i="51"/>
  <c r="E22" i="8"/>
  <c r="L6" i="27"/>
  <c r="D146" i="27" s="1"/>
  <c r="Q47" i="51"/>
  <c r="E54" i="8"/>
  <c r="E48" i="8"/>
  <c r="E58" i="8"/>
  <c r="E51" i="8"/>
  <c r="E21" i="8"/>
  <c r="L10" i="27"/>
  <c r="D178" i="27" s="1"/>
  <c r="E24" i="8"/>
  <c r="E29" i="8"/>
  <c r="E25" i="8"/>
  <c r="E27" i="8"/>
  <c r="E31" i="8"/>
  <c r="E59" i="8"/>
  <c r="E32" i="8"/>
  <c r="E23" i="8"/>
  <c r="E57" i="8"/>
  <c r="E60" i="8"/>
  <c r="E52" i="8"/>
  <c r="E36" i="8"/>
  <c r="E20" i="8"/>
  <c r="Q15" i="54"/>
  <c r="Q32" i="51"/>
  <c r="E49" i="8"/>
  <c r="E64" i="8"/>
  <c r="E55" i="8"/>
  <c r="E46" i="8"/>
  <c r="E50" i="8"/>
  <c r="E34" i="8"/>
  <c r="E56" i="8"/>
  <c r="E47" i="8"/>
  <c r="E62" i="8"/>
  <c r="E53" i="8"/>
  <c r="E38" i="8"/>
  <c r="E19" i="8"/>
  <c r="E30" i="8"/>
  <c r="E63" i="8"/>
  <c r="E65" i="8"/>
  <c r="E37" i="8"/>
  <c r="Q20" i="51"/>
  <c r="E28" i="8"/>
  <c r="E61" i="8"/>
  <c r="E33" i="8"/>
  <c r="E35" i="8"/>
  <c r="Q33" i="54"/>
  <c r="Q8" i="54"/>
  <c r="I17" i="25" s="1"/>
  <c r="J17" i="25" s="1"/>
  <c r="Q53" i="51"/>
  <c r="D17" i="6" s="1"/>
  <c r="F124" i="46" s="1"/>
  <c r="G124" i="46" s="1"/>
  <c r="Q38" i="51"/>
  <c r="Q3" i="51"/>
  <c r="Q53" i="54"/>
  <c r="G135" i="46"/>
  <c r="D21" i="12" s="1"/>
  <c r="E25" i="60" s="1"/>
  <c r="Q26" i="54"/>
  <c r="Q47" i="54"/>
  <c r="Q32" i="54"/>
  <c r="Q21" i="54"/>
  <c r="Q56" i="54"/>
  <c r="Q52" i="54"/>
  <c r="Q11" i="54"/>
  <c r="Q40" i="54"/>
  <c r="I18" i="25" s="1"/>
  <c r="J18" i="25" s="1"/>
  <c r="Q24" i="54"/>
  <c r="Q7" i="54"/>
  <c r="Q41" i="54"/>
  <c r="Q31" i="54"/>
  <c r="Q61" i="54"/>
  <c r="Q62" i="54"/>
  <c r="Q2" i="54"/>
  <c r="Q3" i="54"/>
  <c r="Q39" i="54"/>
  <c r="Q30" i="54"/>
  <c r="Q37" i="54"/>
  <c r="Q58" i="54"/>
  <c r="Q43" i="54"/>
  <c r="Q4" i="54"/>
  <c r="Q35" i="54"/>
  <c r="Q23" i="54"/>
  <c r="Q20" i="54"/>
  <c r="Q5" i="54"/>
  <c r="Q15" i="51"/>
  <c r="Q33" i="51"/>
  <c r="D12" i="6" s="1"/>
  <c r="F100" i="46" s="1"/>
  <c r="G100" i="46" s="1"/>
  <c r="Q36" i="54"/>
  <c r="Q18" i="54"/>
  <c r="Q16" i="54"/>
  <c r="Q54" i="54"/>
  <c r="Q27" i="54"/>
  <c r="I19" i="25" s="1"/>
  <c r="J19" i="25" s="1"/>
  <c r="Q38" i="54"/>
  <c r="Q19" i="54"/>
  <c r="Q28" i="54"/>
  <c r="Q6" i="54"/>
  <c r="Q9" i="54"/>
  <c r="Q57" i="54"/>
  <c r="Q45" i="54"/>
  <c r="Q64" i="54"/>
  <c r="Q12" i="54"/>
  <c r="Q65" i="54"/>
  <c r="Q49" i="54"/>
  <c r="Q42" i="54"/>
  <c r="Q10" i="54"/>
  <c r="Q63" i="54"/>
  <c r="Q17" i="54"/>
  <c r="Q51" i="54"/>
  <c r="Q44" i="54"/>
  <c r="Q55" i="54"/>
  <c r="Q66" i="54"/>
  <c r="Q67" i="54"/>
  <c r="Q46" i="54"/>
  <c r="S20" i="6"/>
  <c r="S19" i="6"/>
  <c r="S18" i="6"/>
  <c r="S17" i="6"/>
  <c r="S16" i="6"/>
  <c r="S15" i="6"/>
  <c r="F19" i="11" s="1"/>
  <c r="H19" i="11" s="1"/>
  <c r="S14" i="6"/>
  <c r="S13" i="6"/>
  <c r="F17" i="11"/>
  <c r="F40" i="10"/>
  <c r="D135" i="27" l="1"/>
  <c r="D331" i="27"/>
  <c r="D345" i="27"/>
  <c r="D289" i="27"/>
  <c r="D128" i="27"/>
  <c r="D86" i="27"/>
  <c r="D72" i="27"/>
  <c r="D149" i="27"/>
  <c r="D107" i="27"/>
  <c r="D9" i="27"/>
  <c r="D282" i="27"/>
  <c r="D268" i="27"/>
  <c r="D226" i="27"/>
  <c r="D163" i="27"/>
  <c r="D254" i="27"/>
  <c r="D317" i="27"/>
  <c r="D219" i="27"/>
  <c r="D100" i="27"/>
  <c r="D51" i="27"/>
  <c r="D261" i="27"/>
  <c r="D170" i="27"/>
  <c r="D352" i="27"/>
  <c r="D142" i="27"/>
  <c r="D205" i="27"/>
  <c r="D324" i="27"/>
  <c r="D198" i="27"/>
  <c r="D247" i="27"/>
  <c r="D44" i="27"/>
  <c r="D23" i="27"/>
  <c r="D233" i="27"/>
  <c r="D16" i="27"/>
  <c r="D303" i="27"/>
  <c r="D191" i="27"/>
  <c r="D114" i="27"/>
  <c r="D177" i="27"/>
  <c r="D296" i="27"/>
  <c r="D79" i="27"/>
  <c r="D58" i="27"/>
  <c r="D121" i="27"/>
  <c r="D240" i="27"/>
  <c r="D366" i="27"/>
  <c r="D30" i="27"/>
  <c r="D93" i="27"/>
  <c r="D212" i="27"/>
  <c r="D338" i="27"/>
  <c r="D275" i="27"/>
  <c r="D65" i="27"/>
  <c r="D184" i="27"/>
  <c r="D310" i="27"/>
  <c r="D359" i="27"/>
  <c r="D37" i="27"/>
  <c r="G134" i="46"/>
  <c r="D20" i="12" s="1"/>
  <c r="E24" i="60" s="1"/>
  <c r="D160" i="27"/>
  <c r="D27" i="27"/>
  <c r="D300" i="27"/>
  <c r="D139" i="27"/>
  <c r="D76" i="27"/>
  <c r="D286" i="27"/>
  <c r="D181" i="27"/>
  <c r="D48" i="27"/>
  <c r="D41" i="27"/>
  <c r="D363" i="27"/>
  <c r="D174" i="27"/>
  <c r="D202" i="27"/>
  <c r="D265" i="27"/>
  <c r="D279" i="27"/>
  <c r="D62" i="27"/>
  <c r="D13" i="27"/>
  <c r="D251" i="27"/>
  <c r="D272" i="27"/>
  <c r="D55" i="27"/>
  <c r="D153" i="27"/>
  <c r="D216" i="27"/>
  <c r="D293" i="27"/>
  <c r="D195" i="27"/>
  <c r="D342" i="27"/>
  <c r="D118" i="27"/>
  <c r="D321" i="27"/>
  <c r="D97" i="27"/>
  <c r="D188" i="27"/>
  <c r="D237" i="27"/>
  <c r="D167" i="27"/>
  <c r="D314" i="27"/>
  <c r="D90" i="27"/>
  <c r="D125" i="27"/>
  <c r="D356" i="27"/>
  <c r="D132" i="27"/>
  <c r="D335" i="27"/>
  <c r="D111" i="27"/>
  <c r="D258" i="27"/>
  <c r="D34" i="27"/>
  <c r="L7" i="27"/>
  <c r="D84" i="27" s="1"/>
  <c r="D69" i="27"/>
  <c r="D328" i="27"/>
  <c r="D104" i="27"/>
  <c r="D307" i="27"/>
  <c r="D83" i="27"/>
  <c r="D230" i="27"/>
  <c r="D6" i="27"/>
  <c r="D209" i="27"/>
  <c r="D244" i="27"/>
  <c r="D20" i="27"/>
  <c r="D223" i="27"/>
  <c r="D349" i="27"/>
  <c r="D108" i="27"/>
  <c r="D255" i="27"/>
  <c r="D10" i="27"/>
  <c r="D213" i="27"/>
  <c r="D80" i="27"/>
  <c r="D325" i="27"/>
  <c r="D367" i="27"/>
  <c r="D297" i="27"/>
  <c r="D206" i="27"/>
  <c r="D227" i="27"/>
  <c r="D101" i="27"/>
  <c r="D332" i="27"/>
  <c r="D143" i="27"/>
  <c r="D73" i="27"/>
  <c r="D304" i="27"/>
  <c r="D31" i="27"/>
  <c r="D346" i="27"/>
  <c r="D220" i="27"/>
  <c r="D318" i="27"/>
  <c r="D360" i="27"/>
  <c r="D136" i="27"/>
  <c r="D283" i="27"/>
  <c r="D59" i="27"/>
  <c r="D353" i="27"/>
  <c r="D129" i="27"/>
  <c r="D276" i="27"/>
  <c r="D52" i="27"/>
  <c r="D199" i="27"/>
  <c r="D234" i="27"/>
  <c r="D269" i="27"/>
  <c r="D45" i="27"/>
  <c r="D290" i="27"/>
  <c r="D248" i="27"/>
  <c r="D24" i="27"/>
  <c r="D171" i="27"/>
  <c r="D122" i="27"/>
  <c r="D241" i="27"/>
  <c r="D17" i="27"/>
  <c r="D94" i="27"/>
  <c r="D192" i="27"/>
  <c r="D339" i="27"/>
  <c r="D115" i="27"/>
  <c r="D150" i="27"/>
  <c r="D185" i="27"/>
  <c r="D262" i="27"/>
  <c r="D38" i="27"/>
  <c r="D164" i="27"/>
  <c r="D311" i="27"/>
  <c r="D87" i="27"/>
  <c r="D66" i="27"/>
  <c r="D157" i="27"/>
  <c r="E66" i="8"/>
  <c r="E39" i="8"/>
  <c r="J67" i="25"/>
  <c r="D34" i="12" s="1"/>
  <c r="E38" i="60" s="1"/>
  <c r="H17" i="11"/>
  <c r="H18" i="11"/>
  <c r="H37" i="11" s="1"/>
  <c r="D22" i="12" s="1"/>
  <c r="E26" i="60" s="1"/>
  <c r="F44" i="16"/>
  <c r="D27" i="12" s="1"/>
  <c r="E31" i="60" s="1"/>
  <c r="D70" i="27" l="1"/>
  <c r="D14" i="27"/>
  <c r="I6" i="27" s="1"/>
  <c r="D196" i="27"/>
  <c r="I31" i="27" s="1"/>
  <c r="D287" i="27"/>
  <c r="D238" i="27"/>
  <c r="I37" i="27" s="1"/>
  <c r="D280" i="27"/>
  <c r="D42" i="27"/>
  <c r="D315" i="27"/>
  <c r="D217" i="27"/>
  <c r="D259" i="27"/>
  <c r="I40" i="27" s="1"/>
  <c r="G18" i="29" s="1"/>
  <c r="D189" i="27"/>
  <c r="I30" i="27" s="1"/>
  <c r="D91" i="27"/>
  <c r="I16" i="27" s="1"/>
  <c r="D294" i="27"/>
  <c r="D161" i="27"/>
  <c r="I26" i="27" s="1"/>
  <c r="D63" i="27"/>
  <c r="I13" i="27" s="1"/>
  <c r="D266" i="27"/>
  <c r="D252" i="27"/>
  <c r="I39" i="27" s="1"/>
  <c r="D35" i="27"/>
  <c r="D322" i="27"/>
  <c r="I49" i="27" s="1"/>
  <c r="D98" i="27"/>
  <c r="I17" i="27" s="1"/>
  <c r="D245" i="27"/>
  <c r="I38" i="27" s="1"/>
  <c r="D21" i="27"/>
  <c r="I7" i="27" s="1"/>
  <c r="D343" i="27"/>
  <c r="I52" i="27" s="1"/>
  <c r="D119" i="27"/>
  <c r="I20" i="27" s="1"/>
  <c r="D364" i="27"/>
  <c r="D210" i="27"/>
  <c r="I33" i="27" s="1"/>
  <c r="D357" i="27"/>
  <c r="I54" i="27" s="1"/>
  <c r="D133" i="27"/>
  <c r="D336" i="27"/>
  <c r="I51" i="27" s="1"/>
  <c r="D231" i="27"/>
  <c r="I36" i="27" s="1"/>
  <c r="D7" i="27"/>
  <c r="I56" i="27" s="1"/>
  <c r="D168" i="27"/>
  <c r="I27" i="27" s="1"/>
  <c r="D182" i="27"/>
  <c r="D329" i="27"/>
  <c r="I50" i="27" s="1"/>
  <c r="D105" i="27"/>
  <c r="I18" i="27" s="1"/>
  <c r="D308" i="27"/>
  <c r="I47" i="27" s="1"/>
  <c r="D203" i="27"/>
  <c r="I32" i="27" s="1"/>
  <c r="D140" i="27"/>
  <c r="I23" i="27" s="1"/>
  <c r="D56" i="27"/>
  <c r="I12" i="27" s="1"/>
  <c r="D154" i="27"/>
  <c r="I25" i="27" s="1"/>
  <c r="D301" i="27"/>
  <c r="D77" i="27"/>
  <c r="I14" i="27" s="1"/>
  <c r="G43" i="29" s="1"/>
  <c r="D224" i="27"/>
  <c r="I35" i="27" s="1"/>
  <c r="D175" i="27"/>
  <c r="I28" i="27" s="1"/>
  <c r="D112" i="27"/>
  <c r="I19" i="27" s="1"/>
  <c r="D350" i="27"/>
  <c r="I53" i="27" s="1"/>
  <c r="D126" i="27"/>
  <c r="I21" i="27" s="1"/>
  <c r="D273" i="27"/>
  <c r="I42" i="27" s="1"/>
  <c r="D49" i="27"/>
  <c r="I11" i="27" s="1"/>
  <c r="D28" i="27"/>
  <c r="D147" i="27"/>
  <c r="I24" i="27" s="1"/>
  <c r="D28" i="12"/>
  <c r="E32" i="60" s="1"/>
  <c r="I48" i="27"/>
  <c r="I55" i="27"/>
  <c r="I46" i="27"/>
  <c r="I29" i="27"/>
  <c r="I34" i="27"/>
  <c r="I45" i="27"/>
  <c r="I10" i="27"/>
  <c r="I9" i="27"/>
  <c r="I43" i="27"/>
  <c r="I22" i="27"/>
  <c r="I15" i="27"/>
  <c r="I44" i="27"/>
  <c r="I41" i="27"/>
  <c r="E42" i="11"/>
  <c r="G44" i="29" l="1"/>
  <c r="G63" i="29" s="1"/>
  <c r="G19" i="29"/>
  <c r="G38" i="29" s="1"/>
  <c r="I8" i="27"/>
  <c r="F27" i="10"/>
  <c r="F46" i="10" s="1"/>
  <c r="D25" i="12" s="1"/>
  <c r="E29" i="60" s="1"/>
  <c r="F21" i="22"/>
  <c r="C12" i="3"/>
  <c r="C11" i="3"/>
  <c r="C10" i="3"/>
  <c r="C9" i="3"/>
  <c r="C8" i="3"/>
  <c r="C7" i="3"/>
  <c r="C5" i="3"/>
  <c r="C4" i="3"/>
  <c r="C3" i="3"/>
  <c r="C2" i="3"/>
  <c r="D26" i="12" l="1"/>
  <c r="E30" i="60" s="1"/>
  <c r="E23" i="60" s="1"/>
  <c r="M36" i="60" s="1"/>
  <c r="F26" i="10"/>
  <c r="E6" i="60" l="1"/>
  <c r="F23" i="60" s="1"/>
  <c r="E39" i="60"/>
  <c r="E58" i="60"/>
  <c r="E55" i="60"/>
  <c r="E60" i="60"/>
  <c r="D35" i="12"/>
  <c r="B15" i="12" s="1"/>
  <c r="B16" i="12" s="1"/>
  <c r="F20" i="60" l="1"/>
  <c r="F12" i="60"/>
  <c r="F9" i="60"/>
  <c r="F8" i="60"/>
  <c r="F11" i="60"/>
  <c r="F22" i="60"/>
  <c r="F21" i="60"/>
  <c r="E63" i="60"/>
  <c r="F10" i="60"/>
  <c r="F7" i="60"/>
  <c r="F6"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tc={89312FD4-8164-4C01-8E76-512CF642D24F}</author>
  </authors>
  <commentList>
    <comment ref="C1" authorId="0" shapeId="0" xr:uid="{00000000-0006-0000-1500-000001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Note: Some commodities (names or actual products) appear to have changed. Review with Brian.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tc={A71DB63B-F2B4-48B3-8C0E-2353C5ECD143}</author>
    <author>tc={6525F34A-5DFA-4FCD-AFC2-6AAC1554E3A2}</author>
    <author>tc={A31A36E3-EDF6-4685-92D8-0B475421C47E}</author>
    <author>tc={4470C546-4A1D-49D2-80F7-B141F1838B24}</author>
    <author>tc={51ACDBC7-347D-4D79-BB73-63BB862C4975}</author>
    <author>tc={7AD8380D-5A56-4629-B67D-262CE5DD47DC}</author>
    <author>tc={74D2BF9E-2CC7-458E-94A4-FFD6D69D1C06}</author>
  </authors>
  <commentList>
    <comment ref="F2" authorId="0" shapeId="0" xr:uid="{00000000-0006-0000-1900-000001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This information is now retained in "2016_Detail_Commodity_v1.0".</t>
        </r>
      </text>
    </comment>
    <comment ref="M22" authorId="1" shapeId="0" xr:uid="{00000000-0006-0000-1900-000002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Defra no longer supplying WTT electricity generation factors. Consider replacing with IEA or more granular eGrid?</t>
        </r>
      </text>
    </comment>
    <comment ref="O23" authorId="2" shapeId="0" xr:uid="{00000000-0006-0000-1900-000003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WTT - UK &amp; overseas elec</t>
        </r>
      </text>
    </comment>
    <comment ref="M26" authorId="3" shapeId="0" xr:uid="{00000000-0006-0000-1900-000004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Defra no longer supplying WTT electricity generation and T&amp;D factors. Consider replacing with IEA or more granular eGrid?</t>
        </r>
      </text>
    </comment>
    <comment ref="O27" authorId="4" shapeId="0" xr:uid="{00000000-0006-0000-1900-000005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WTT - UK &amp; overseas elec</t>
        </r>
      </text>
    </comment>
    <comment ref="F383" authorId="5" shapeId="0" xr:uid="{00000000-0006-0000-1900-000006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rename "pharmaceutical wholesaler" and regroup with Chemical Products above; EF should include pharma AND drugs &amp; druggists' sundries</t>
        </r>
      </text>
    </comment>
    <comment ref="F388" authorId="6" shapeId="0" xr:uid="{00000000-0006-0000-1900-000007000000}">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rename to "wholesale surgical appliance and supplies" and include with miscellanous manufacturing above (EFs to be combined)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Brian SOLOMON</author>
  </authors>
  <commentList>
    <comment ref="H16" authorId="0" shapeId="0" xr:uid="{00000000-0006-0000-2600-000001000000}">
      <text>
        <r>
          <rPr>
            <sz val="9"/>
            <color indexed="81"/>
            <rFont val="Tahoma"/>
            <family val="2"/>
          </rPr>
          <t xml:space="preserve">
The investor’s proportional share of equity in the investee. This should equal the value of owned investments with investee divided by the total market value of the investee, and is calculated here based on Column G divided by Column F.
A company's worth—or its total market value—is called its market capitalization, or "market cap." A company's market cap can be determined by multiplying the company's stock price by the number of shares outstanding. </t>
        </r>
      </text>
    </comment>
  </commentList>
</comments>
</file>

<file path=xl/sharedStrings.xml><?xml version="1.0" encoding="utf-8"?>
<sst xmlns="http://schemas.openxmlformats.org/spreadsheetml/2006/main" count="33878" uniqueCount="5798">
  <si>
    <t>Industry Code</t>
  </si>
  <si>
    <t>Substance</t>
  </si>
  <si>
    <t>Unit</t>
  </si>
  <si>
    <t>Supply Chain Emission Factors without Margins</t>
  </si>
  <si>
    <t>Margins of Supply Chain Emission Factors</t>
  </si>
  <si>
    <t>Supply Chain Emission Factors with Margins</t>
  </si>
  <si>
    <t>DQ ReliabilityScore of Factors without Margins</t>
  </si>
  <si>
    <t>DQ TemporalCorrelation of Factors without Margins</t>
  </si>
  <si>
    <t>DQ GeographicalCorrelation of Factors without Margins</t>
  </si>
  <si>
    <t>DQ TechnologicalCorrelation of Factors without Margins</t>
  </si>
  <si>
    <t>DQ DataCollection of Factors without Margins</t>
  </si>
  <si>
    <t>carbon dioxide</t>
  </si>
  <si>
    <t>kg/2018 USD, purchaser price</t>
  </si>
  <si>
    <t>methane</t>
  </si>
  <si>
    <t>nitrous oxide</t>
  </si>
  <si>
    <t>other GHGs</t>
  </si>
  <si>
    <t>kg CO2e/2018 USD, purchaser price</t>
  </si>
  <si>
    <t>Aircraft</t>
  </si>
  <si>
    <t>Other transportation equipment</t>
  </si>
  <si>
    <t>Food and beverage stores</t>
  </si>
  <si>
    <t>General merchandise stores</t>
  </si>
  <si>
    <t>Other real estate</t>
  </si>
  <si>
    <t>Legal services</t>
  </si>
  <si>
    <t>Hospitals</t>
  </si>
  <si>
    <t>Year</t>
  </si>
  <si>
    <t xml:space="preserve">Cumulative rate of inflation </t>
  </si>
  <si>
    <t>A $1.00 purchase in year (column A) would cost this amount in 2018</t>
  </si>
  <si>
    <t>Source: U.S. Department of Labor Bureau of Labor Statistic. Consumer Price Index. https://www.bls.gov/cpi/</t>
  </si>
  <si>
    <t>Industry Name</t>
  </si>
  <si>
    <t>111CA</t>
  </si>
  <si>
    <t>Farms</t>
  </si>
  <si>
    <t>113FF</t>
  </si>
  <si>
    <t>Forestry, fishing, and related activities</t>
  </si>
  <si>
    <t>211</t>
  </si>
  <si>
    <t>Oil and gas extraction</t>
  </si>
  <si>
    <t>212</t>
  </si>
  <si>
    <t>Mining, except oil and gas</t>
  </si>
  <si>
    <t>213</t>
  </si>
  <si>
    <t>Support activities for mining</t>
  </si>
  <si>
    <t>22</t>
  </si>
  <si>
    <t>Utilities</t>
  </si>
  <si>
    <t>23</t>
  </si>
  <si>
    <t>Construction</t>
  </si>
  <si>
    <t>311FT</t>
  </si>
  <si>
    <t>Food and beverage and tobacco products</t>
  </si>
  <si>
    <t>313TT</t>
  </si>
  <si>
    <t>Textile mills and textile product mills</t>
  </si>
  <si>
    <t>315AL</t>
  </si>
  <si>
    <t>Apparel and leather and allied products</t>
  </si>
  <si>
    <t>321</t>
  </si>
  <si>
    <t>Wood products</t>
  </si>
  <si>
    <t>322</t>
  </si>
  <si>
    <t>Paper products</t>
  </si>
  <si>
    <t>323</t>
  </si>
  <si>
    <t>Printing and related support activities</t>
  </si>
  <si>
    <t>324</t>
  </si>
  <si>
    <t>Petroleum and coal products</t>
  </si>
  <si>
    <t>325</t>
  </si>
  <si>
    <t>Chemical products</t>
  </si>
  <si>
    <t>326</t>
  </si>
  <si>
    <t>Plastics and rubber products</t>
  </si>
  <si>
    <t>327</t>
  </si>
  <si>
    <t>Nonmetallic mineral products</t>
  </si>
  <si>
    <t>331</t>
  </si>
  <si>
    <t>Primary metals</t>
  </si>
  <si>
    <t>332</t>
  </si>
  <si>
    <t>Fabricated metal products</t>
  </si>
  <si>
    <t>333</t>
  </si>
  <si>
    <t>Machinery</t>
  </si>
  <si>
    <t>334</t>
  </si>
  <si>
    <t>Computer and electronic products</t>
  </si>
  <si>
    <t>335</t>
  </si>
  <si>
    <t>Electrical equipment, appliances, and components</t>
  </si>
  <si>
    <t>3361MV</t>
  </si>
  <si>
    <t>Motor vehicles, bodies and trailers, and parts</t>
  </si>
  <si>
    <t>3364OT</t>
  </si>
  <si>
    <t>337</t>
  </si>
  <si>
    <t>Furniture and related products</t>
  </si>
  <si>
    <t>339</t>
  </si>
  <si>
    <t>Miscellaneous manufacturing</t>
  </si>
  <si>
    <t>42</t>
  </si>
  <si>
    <t>Wholesale trade</t>
  </si>
  <si>
    <t>441</t>
  </si>
  <si>
    <t>Motor vehicle and parts dealers</t>
  </si>
  <si>
    <t>445</t>
  </si>
  <si>
    <t>452</t>
  </si>
  <si>
    <t>481</t>
  </si>
  <si>
    <t>Air transportation</t>
  </si>
  <si>
    <t>482</t>
  </si>
  <si>
    <t>Rail transportation</t>
  </si>
  <si>
    <t>483</t>
  </si>
  <si>
    <t>Water transportation</t>
  </si>
  <si>
    <t>484</t>
  </si>
  <si>
    <t>Truck transportation</t>
  </si>
  <si>
    <t>485</t>
  </si>
  <si>
    <t>Transit and ground passenger transportation</t>
  </si>
  <si>
    <t>486</t>
  </si>
  <si>
    <t>Pipeline transportation</t>
  </si>
  <si>
    <t>487OS</t>
  </si>
  <si>
    <t>Other transportation and support activities</t>
  </si>
  <si>
    <t>493</t>
  </si>
  <si>
    <t>Warehousing and storage</t>
  </si>
  <si>
    <t>4A0</t>
  </si>
  <si>
    <t>Other retail</t>
  </si>
  <si>
    <t>511</t>
  </si>
  <si>
    <t>Publishing industries, except internet (includes software)</t>
  </si>
  <si>
    <t>512</t>
  </si>
  <si>
    <t>Motion picture and sound recording industries</t>
  </si>
  <si>
    <t>513</t>
  </si>
  <si>
    <t>Broadcasting and telecommunications</t>
  </si>
  <si>
    <t>514</t>
  </si>
  <si>
    <t>Data processing, internet publishing, and other information services</t>
  </si>
  <si>
    <t>521CI</t>
  </si>
  <si>
    <t>Federal Reserve banks, credit intermediation, and related activities</t>
  </si>
  <si>
    <t>523</t>
  </si>
  <si>
    <t>Securities, commodity contracts, and investments</t>
  </si>
  <si>
    <t>524</t>
  </si>
  <si>
    <t>Insurance carriers and related activities</t>
  </si>
  <si>
    <t>525</t>
  </si>
  <si>
    <t>Funds, trusts, and other financial vehicles</t>
  </si>
  <si>
    <t>532RL</t>
  </si>
  <si>
    <t>Rental and leasing services and lessors of intangible assets</t>
  </si>
  <si>
    <t>5411</t>
  </si>
  <si>
    <t>5412OP</t>
  </si>
  <si>
    <t>Miscellaneous professional, scientific, and technical services</t>
  </si>
  <si>
    <t>5415</t>
  </si>
  <si>
    <t>Computer systems design and related services</t>
  </si>
  <si>
    <t>55</t>
  </si>
  <si>
    <t>Management of companies and enterprises</t>
  </si>
  <si>
    <t>561</t>
  </si>
  <si>
    <t>Administrative and support services</t>
  </si>
  <si>
    <t>562</t>
  </si>
  <si>
    <t>Waste management and remediation services</t>
  </si>
  <si>
    <t>61</t>
  </si>
  <si>
    <t>Educational services</t>
  </si>
  <si>
    <t>621</t>
  </si>
  <si>
    <t>Ambulatory health care services</t>
  </si>
  <si>
    <t>622</t>
  </si>
  <si>
    <t>623</t>
  </si>
  <si>
    <t>Nursing and residential care facilities</t>
  </si>
  <si>
    <t>624</t>
  </si>
  <si>
    <t>Social assistance</t>
  </si>
  <si>
    <t>711AS</t>
  </si>
  <si>
    <t>Performing arts, spectator sports, museums, and related activities</t>
  </si>
  <si>
    <t>713</t>
  </si>
  <si>
    <t>Amusements, gambling, and recreation industries</t>
  </si>
  <si>
    <t>721</t>
  </si>
  <si>
    <t>Accommodation</t>
  </si>
  <si>
    <t>722</t>
  </si>
  <si>
    <t>Food services and drinking places</t>
  </si>
  <si>
    <t>81</t>
  </si>
  <si>
    <t>Other services, except government</t>
  </si>
  <si>
    <t>HS</t>
  </si>
  <si>
    <t>Housing</t>
  </si>
  <si>
    <t>ORE</t>
  </si>
  <si>
    <t>Item #</t>
  </si>
  <si>
    <t>Category</t>
  </si>
  <si>
    <t>Annual spend ($)</t>
  </si>
  <si>
    <t>Emission Factor</t>
  </si>
  <si>
    <t>Emission Factor UoM</t>
  </si>
  <si>
    <t>Emissions (MTCO2e)</t>
  </si>
  <si>
    <t>Years</t>
  </si>
  <si>
    <t>Row Labels</t>
  </si>
  <si>
    <t>Scope 3 Category</t>
  </si>
  <si>
    <t>Purchased Goods &amp; Services</t>
  </si>
  <si>
    <t>Capital Goods</t>
  </si>
  <si>
    <t>Processing of sold products</t>
  </si>
  <si>
    <t>Use of sold products</t>
  </si>
  <si>
    <t>End-of-life treatment of sold products</t>
  </si>
  <si>
    <t>Downstream leased assets</t>
  </si>
  <si>
    <t>Franchises</t>
  </si>
  <si>
    <t>Investments</t>
  </si>
  <si>
    <t>Industry-wide average</t>
  </si>
  <si>
    <t>$</t>
  </si>
  <si>
    <t>?</t>
  </si>
  <si>
    <t>CCCL: vehicle-mile OR ton-mile</t>
  </si>
  <si>
    <t>$ or ton</t>
  </si>
  <si>
    <t>EF</t>
  </si>
  <si>
    <t>GHG</t>
  </si>
  <si>
    <t>GWP (AR5)</t>
  </si>
  <si>
    <t>UoM</t>
  </si>
  <si>
    <t>Supply Chain Emission Factors with Margins (kg CO2e/$)</t>
  </si>
  <si>
    <t>Economic Sector Description</t>
  </si>
  <si>
    <t>Purchases</t>
  </si>
  <si>
    <t>Created</t>
  </si>
  <si>
    <t>Distance-based Method</t>
  </si>
  <si>
    <t>mile</t>
  </si>
  <si>
    <t>ton-mile</t>
  </si>
  <si>
    <t>*user input</t>
  </si>
  <si>
    <t xml:space="preserve">Air Travel </t>
  </si>
  <si>
    <t xml:space="preserve">Passenger Ground Travel </t>
  </si>
  <si>
    <t xml:space="preserve">Rental Car </t>
  </si>
  <si>
    <t>Rail Travel</t>
  </si>
  <si>
    <t xml:space="preserve">Marine Travel </t>
  </si>
  <si>
    <t>Hotel</t>
  </si>
  <si>
    <t>Business Travel Mode</t>
  </si>
  <si>
    <t>Category 1</t>
  </si>
  <si>
    <t>Category 2</t>
  </si>
  <si>
    <t>Category 3</t>
  </si>
  <si>
    <t>Category 4</t>
  </si>
  <si>
    <t>Category 9</t>
  </si>
  <si>
    <t>Category 6</t>
  </si>
  <si>
    <t>Category 5</t>
  </si>
  <si>
    <t>Material</t>
  </si>
  <si>
    <t>Waste generated in operations</t>
  </si>
  <si>
    <t>Upstream &amp; Downstream T&amp;D</t>
  </si>
  <si>
    <t>Country</t>
  </si>
  <si>
    <t>Consumption (kWh)</t>
  </si>
  <si>
    <t>United States</t>
  </si>
  <si>
    <t>kg CO2e/kWh</t>
  </si>
  <si>
    <t>EF (upstream)</t>
  </si>
  <si>
    <t>Source</t>
  </si>
  <si>
    <t>Georgia</t>
  </si>
  <si>
    <t>Fuel</t>
  </si>
  <si>
    <t>Upstream</t>
  </si>
  <si>
    <t>Downstream</t>
  </si>
  <si>
    <t>Scope 1</t>
  </si>
  <si>
    <t>Scope 2</t>
  </si>
  <si>
    <t>Scope 3</t>
  </si>
  <si>
    <t>Category 7</t>
  </si>
  <si>
    <t>Category 8</t>
  </si>
  <si>
    <t>Category 10</t>
  </si>
  <si>
    <t>Category 11</t>
  </si>
  <si>
    <t>Category 12</t>
  </si>
  <si>
    <t>Category 13</t>
  </si>
  <si>
    <t>Category 14</t>
  </si>
  <si>
    <t>Category 15</t>
  </si>
  <si>
    <t>Scope</t>
  </si>
  <si>
    <t>Total</t>
  </si>
  <si>
    <t>Consumption</t>
  </si>
  <si>
    <t>Downstream transportation &amp; distribution</t>
  </si>
  <si>
    <t>Upstream transportation &amp; distribution</t>
  </si>
  <si>
    <t>Purchased goods &amp; services</t>
  </si>
  <si>
    <t>Capital goods</t>
  </si>
  <si>
    <t>Fuel- &amp; energy-related emissions</t>
  </si>
  <si>
    <t>Business travel</t>
  </si>
  <si>
    <t>Employee commuting</t>
  </si>
  <si>
    <t>Upstream leased assets</t>
  </si>
  <si>
    <t>Bus</t>
  </si>
  <si>
    <t>Fuel Type</t>
  </si>
  <si>
    <t>Unit1</t>
  </si>
  <si>
    <t>kg CO2e (1)</t>
  </si>
  <si>
    <t>Fuel (ENGIE)</t>
  </si>
  <si>
    <t>Unit2</t>
  </si>
  <si>
    <t>kg CO2e (2)</t>
  </si>
  <si>
    <t>Gaseous fuel</t>
  </si>
  <si>
    <t>CNG</t>
  </si>
  <si>
    <t>litres</t>
  </si>
  <si>
    <t>LPG</t>
  </si>
  <si>
    <t>Natural gas</t>
  </si>
  <si>
    <t>kWh (Gross CV)</t>
  </si>
  <si>
    <t>Liquid fuel</t>
  </si>
  <si>
    <t>Aviation spirit</t>
  </si>
  <si>
    <t>Aviation turbine fuel</t>
  </si>
  <si>
    <t>Diesel (average biofuel blend)</t>
  </si>
  <si>
    <t>Diesel (100% mineral diesel)</t>
  </si>
  <si>
    <t>Fuel oil</t>
  </si>
  <si>
    <t>Petrol (100% mineral petrol)</t>
  </si>
  <si>
    <t>Raw Values</t>
  </si>
  <si>
    <t>Converted Values</t>
  </si>
  <si>
    <t>Aviation gasoline</t>
  </si>
  <si>
    <t>Jet fuel</t>
  </si>
  <si>
    <t>therms</t>
  </si>
  <si>
    <t>Conversion Factors</t>
  </si>
  <si>
    <t>kg</t>
  </si>
  <si>
    <t>tonne</t>
  </si>
  <si>
    <t>ton (UK)</t>
  </si>
  <si>
    <t>ton (US)</t>
  </si>
  <si>
    <t>lb</t>
  </si>
  <si>
    <t>Kilogram, kg</t>
  </si>
  <si>
    <t>tonne, t (metric ton)</t>
  </si>
  <si>
    <t>ton (UK, long ton)</t>
  </si>
  <si>
    <t>ton (US, short ton)</t>
  </si>
  <si>
    <t>Pound, lb</t>
  </si>
  <si>
    <t>L</t>
  </si>
  <si>
    <r>
      <t>m</t>
    </r>
    <r>
      <rPr>
        <b/>
        <vertAlign val="superscript"/>
        <sz val="11"/>
        <color indexed="56"/>
        <rFont val="Calibri"/>
        <family val="2"/>
      </rPr>
      <t>3</t>
    </r>
  </si>
  <si>
    <t>cu ft</t>
  </si>
  <si>
    <t>Imp. gallon</t>
  </si>
  <si>
    <t>US gallon</t>
  </si>
  <si>
    <t>Bbl (US,P)</t>
  </si>
  <si>
    <t>Litres, L</t>
  </si>
  <si>
    <r>
      <t>Cubic metres, m</t>
    </r>
    <r>
      <rPr>
        <b/>
        <vertAlign val="superscript"/>
        <sz val="11"/>
        <color indexed="56"/>
        <rFont val="Calibri"/>
        <family val="2"/>
      </rPr>
      <t>3</t>
    </r>
  </si>
  <si>
    <t>Cubic feet, cu ft</t>
  </si>
  <si>
    <t>Imperial gallon</t>
  </si>
  <si>
    <t>Barrel (US, petroleum), bbl</t>
  </si>
  <si>
    <t>GJ</t>
  </si>
  <si>
    <t>kWh</t>
  </si>
  <si>
    <t>therm</t>
  </si>
  <si>
    <t>toe</t>
  </si>
  <si>
    <t>kcal</t>
  </si>
  <si>
    <t>Gigajoule, GJ</t>
  </si>
  <si>
    <t>Kilowatt-hour, kWh</t>
  </si>
  <si>
    <t>Therm</t>
  </si>
  <si>
    <t>Tonne oil equivalent, toe</t>
  </si>
  <si>
    <t>Kilocalorie, kcal</t>
  </si>
  <si>
    <t>gallons</t>
  </si>
  <si>
    <t>Diesel</t>
  </si>
  <si>
    <t>Gasoline</t>
  </si>
  <si>
    <t>Biodiesel</t>
  </si>
  <si>
    <t>kg CO2e/therms</t>
  </si>
  <si>
    <t>kg CO2e/gallons</t>
  </si>
  <si>
    <t>Category 1: Purchased Goods &amp; Services and Category 2: Capital Goods</t>
  </si>
  <si>
    <t>Category 3: Fuel- and Energy-Related Activities</t>
  </si>
  <si>
    <t>Category 5: Waste Generated in Operations</t>
  </si>
  <si>
    <t>Category 6: Business Travel</t>
  </si>
  <si>
    <t>Category 7: Employee Commuting</t>
  </si>
  <si>
    <t>Category 8: Upstream Leased Assets &amp; Category 13: Downstream Leased Assets</t>
  </si>
  <si>
    <t>Category 11: Use of Sold Products</t>
  </si>
  <si>
    <t>Commodity Code</t>
  </si>
  <si>
    <t>Commodity Name</t>
  </si>
  <si>
    <t>1111A0</t>
  </si>
  <si>
    <t>Fresh soybeans, canola, flaxseeds, and other oilseeds</t>
  </si>
  <si>
    <t>1111B0</t>
  </si>
  <si>
    <t>Fresh wheat, corn, rice, and other grains</t>
  </si>
  <si>
    <t>111200</t>
  </si>
  <si>
    <t>Fresh vegetables, melons, and potatoes</t>
  </si>
  <si>
    <t>111300</t>
  </si>
  <si>
    <t>Fresh fruits and tree nuts</t>
  </si>
  <si>
    <t>111400</t>
  </si>
  <si>
    <t>Greenhouse crops, mushrooms, nurseries, and flowers</t>
  </si>
  <si>
    <t>111900</t>
  </si>
  <si>
    <t>Tobacco, cotton, sugarcane, peanuts, sugar beets, herbs and spices, and other crops</t>
  </si>
  <si>
    <t>112120</t>
  </si>
  <si>
    <t>Dairies</t>
  </si>
  <si>
    <t>1121A0</t>
  </si>
  <si>
    <t>Cattle ranches and feedlots</t>
  </si>
  <si>
    <t>112300</t>
  </si>
  <si>
    <t>Poultry farms</t>
  </si>
  <si>
    <t>112A00</t>
  </si>
  <si>
    <t>Animal farms and aquaculture ponds (except cattle and poultry)</t>
  </si>
  <si>
    <t>113000</t>
  </si>
  <si>
    <t>Timber and raw forest products</t>
  </si>
  <si>
    <t>114000</t>
  </si>
  <si>
    <t>Wild-caught fish and game</t>
  </si>
  <si>
    <t>115000</t>
  </si>
  <si>
    <t>Agriculture and forestry support</t>
  </si>
  <si>
    <t>211000</t>
  </si>
  <si>
    <t>Unrefined oil and gas</t>
  </si>
  <si>
    <t>212100</t>
  </si>
  <si>
    <t>Coal</t>
  </si>
  <si>
    <t>212230</t>
  </si>
  <si>
    <t>Copper, nickel, lead, and zinc</t>
  </si>
  <si>
    <t>2122A0</t>
  </si>
  <si>
    <t>Iron, gold, silver, and other metal ores</t>
  </si>
  <si>
    <t>212310</t>
  </si>
  <si>
    <t>Dimensional stone</t>
  </si>
  <si>
    <t>2123A0</t>
  </si>
  <si>
    <t>Sand, gravel, clay, phosphate, other nonmetallic minerals</t>
  </si>
  <si>
    <t>213111</t>
  </si>
  <si>
    <t>Well drilling</t>
  </si>
  <si>
    <t>21311A</t>
  </si>
  <si>
    <t>Other support activities for mining</t>
  </si>
  <si>
    <t>221100</t>
  </si>
  <si>
    <t>Electricity</t>
  </si>
  <si>
    <t>221200</t>
  </si>
  <si>
    <t>221300</t>
  </si>
  <si>
    <t>Drinking water and wastewater treatment</t>
  </si>
  <si>
    <t>230301</t>
  </si>
  <si>
    <t>Nonresidential maintenance and repair</t>
  </si>
  <si>
    <t>230302</t>
  </si>
  <si>
    <t>Residential maintenance and repair</t>
  </si>
  <si>
    <t>233210</t>
  </si>
  <si>
    <t>Health care structures</t>
  </si>
  <si>
    <t>233230</t>
  </si>
  <si>
    <t>Manufacturing structures</t>
  </si>
  <si>
    <t>233240</t>
  </si>
  <si>
    <t>Power and communication structures</t>
  </si>
  <si>
    <t>233262</t>
  </si>
  <si>
    <t>Educational and vocational structures</t>
  </si>
  <si>
    <t>2332A0</t>
  </si>
  <si>
    <t>Commercial structures, including farm structures</t>
  </si>
  <si>
    <t>2332C0</t>
  </si>
  <si>
    <t>Transportation structures and highways and streets</t>
  </si>
  <si>
    <t>2332D0</t>
  </si>
  <si>
    <t>Other nonresidential structures</t>
  </si>
  <si>
    <t>233411</t>
  </si>
  <si>
    <t>Single-family residential structures</t>
  </si>
  <si>
    <t>233412</t>
  </si>
  <si>
    <t>Multifamily residential structures</t>
  </si>
  <si>
    <t>2334A0</t>
  </si>
  <si>
    <t>Other residential structures</t>
  </si>
  <si>
    <t>311111</t>
  </si>
  <si>
    <t>Dog and cat food</t>
  </si>
  <si>
    <t>311119</t>
  </si>
  <si>
    <t>Other animal food</t>
  </si>
  <si>
    <t>311210</t>
  </si>
  <si>
    <t>Flours and malts</t>
  </si>
  <si>
    <t>311221</t>
  </si>
  <si>
    <t>Corn products</t>
  </si>
  <si>
    <t>311224</t>
  </si>
  <si>
    <t>Soybean and other oilseed processing</t>
  </si>
  <si>
    <t>311225</t>
  </si>
  <si>
    <t>Refined vegetable, olive, and seed oils</t>
  </si>
  <si>
    <t>311230</t>
  </si>
  <si>
    <t>Breakfast cereals</t>
  </si>
  <si>
    <t>311300</t>
  </si>
  <si>
    <t>Sugar, candy, and chocolate</t>
  </si>
  <si>
    <t>311410</t>
  </si>
  <si>
    <t>Frozen food</t>
  </si>
  <si>
    <t>311420</t>
  </si>
  <si>
    <t>Fruit and vegetable preservation</t>
  </si>
  <si>
    <t>311513</t>
  </si>
  <si>
    <t>Cheese</t>
  </si>
  <si>
    <t>311514</t>
  </si>
  <si>
    <t>Dry, condensed, and evaporated dairy</t>
  </si>
  <si>
    <t>31151A</t>
  </si>
  <si>
    <t>Fluid milk and butter</t>
  </si>
  <si>
    <t>311520</t>
  </si>
  <si>
    <t>Ice cream and frozen desserts</t>
  </si>
  <si>
    <t>311615</t>
  </si>
  <si>
    <t>Packaged poultry</t>
  </si>
  <si>
    <t>31161A</t>
  </si>
  <si>
    <t>Packaged meat (except poultry)</t>
  </si>
  <si>
    <t>311700</t>
  </si>
  <si>
    <t>Seafood</t>
  </si>
  <si>
    <t>311810</t>
  </si>
  <si>
    <t>Bread and other baked goods</t>
  </si>
  <si>
    <t>3118A0</t>
  </si>
  <si>
    <t>Cookies, crackers, pastas, and tortillas</t>
  </si>
  <si>
    <t>311910</t>
  </si>
  <si>
    <t>Snack foods</t>
  </si>
  <si>
    <t>311920</t>
  </si>
  <si>
    <t>Coffee and tea</t>
  </si>
  <si>
    <t>311930</t>
  </si>
  <si>
    <t>Flavored drink concentrates</t>
  </si>
  <si>
    <t>311940</t>
  </si>
  <si>
    <t>Seasonings and dressings</t>
  </si>
  <si>
    <t>311990</t>
  </si>
  <si>
    <t>All other foods</t>
  </si>
  <si>
    <t>312110</t>
  </si>
  <si>
    <t>Soft drinks, bottled water, and ice</t>
  </si>
  <si>
    <t>312120</t>
  </si>
  <si>
    <t>Breweries and beer</t>
  </si>
  <si>
    <t>312130</t>
  </si>
  <si>
    <t>Wineries and wine</t>
  </si>
  <si>
    <t>312140</t>
  </si>
  <si>
    <t>Distilleries and spirits</t>
  </si>
  <si>
    <t>312200</t>
  </si>
  <si>
    <t>Tobacco products</t>
  </si>
  <si>
    <t>313100</t>
  </si>
  <si>
    <t>Fiber, yarn, and thread</t>
  </si>
  <si>
    <t>313200</t>
  </si>
  <si>
    <t>Fabric</t>
  </si>
  <si>
    <t>313300</t>
  </si>
  <si>
    <t>Finished and coated fabric</t>
  </si>
  <si>
    <t>314110</t>
  </si>
  <si>
    <t>Carpets and rugs</t>
  </si>
  <si>
    <t>314120</t>
  </si>
  <si>
    <t>Curtains and linens</t>
  </si>
  <si>
    <t>314900</t>
  </si>
  <si>
    <t>Other textiles</t>
  </si>
  <si>
    <t>315000</t>
  </si>
  <si>
    <t>Clothing</t>
  </si>
  <si>
    <t>316000</t>
  </si>
  <si>
    <t>Leather</t>
  </si>
  <si>
    <t>321100</t>
  </si>
  <si>
    <t>Lumber and treated lumber</t>
  </si>
  <si>
    <t>321200</t>
  </si>
  <si>
    <t>Plywood and veneer</t>
  </si>
  <si>
    <t>321910</t>
  </si>
  <si>
    <t>Wooden windows, door, and flooring</t>
  </si>
  <si>
    <t>3219A0</t>
  </si>
  <si>
    <t>Veneer, plywood, and engineered wood</t>
  </si>
  <si>
    <t>322110</t>
  </si>
  <si>
    <t>Wood pulp</t>
  </si>
  <si>
    <t>322120</t>
  </si>
  <si>
    <t>Paper</t>
  </si>
  <si>
    <t>322130</t>
  </si>
  <si>
    <t>Cardboard</t>
  </si>
  <si>
    <t>322210</t>
  </si>
  <si>
    <t>Cardboard containers</t>
  </si>
  <si>
    <t>322220</t>
  </si>
  <si>
    <t>Paper bags and coated paper</t>
  </si>
  <si>
    <t>322230</t>
  </si>
  <si>
    <t>Stationery</t>
  </si>
  <si>
    <t>322291</t>
  </si>
  <si>
    <t>Sanitary paper (tissues, napkins, diapers, etc.)</t>
  </si>
  <si>
    <t>322299</t>
  </si>
  <si>
    <t>All other converted paper products</t>
  </si>
  <si>
    <t>323110</t>
  </si>
  <si>
    <t>Books, newspapers, magazines, and other print media</t>
  </si>
  <si>
    <t>323120</t>
  </si>
  <si>
    <t>Printing support</t>
  </si>
  <si>
    <t>324110</t>
  </si>
  <si>
    <t>Gasoline, fuels, and by-products of petroleum refining</t>
  </si>
  <si>
    <t>324121</t>
  </si>
  <si>
    <t>Asphalt pavement</t>
  </si>
  <si>
    <t>324122</t>
  </si>
  <si>
    <t>Asphalt shingles</t>
  </si>
  <si>
    <t>324190</t>
  </si>
  <si>
    <t>Other petroleum and coal products</t>
  </si>
  <si>
    <t>325110</t>
  </si>
  <si>
    <t>Petrochemicals</t>
  </si>
  <si>
    <t>325120</t>
  </si>
  <si>
    <t>Compressed Gases</t>
  </si>
  <si>
    <t>325130</t>
  </si>
  <si>
    <t>Synthetic dyes and pigments</t>
  </si>
  <si>
    <t>325180</t>
  </si>
  <si>
    <t>Other basic inorganic chemicals</t>
  </si>
  <si>
    <t>325190</t>
  </si>
  <si>
    <t>Other basic organic chemicals</t>
  </si>
  <si>
    <t>325211</t>
  </si>
  <si>
    <t>Plastics</t>
  </si>
  <si>
    <t>3252A0</t>
  </si>
  <si>
    <t>Synthetic rubber and artificial and synthetic fibers</t>
  </si>
  <si>
    <t>325310</t>
  </si>
  <si>
    <t>Fertilizers</t>
  </si>
  <si>
    <t>325320</t>
  </si>
  <si>
    <t>Pesticides</t>
  </si>
  <si>
    <t>325411</t>
  </si>
  <si>
    <t>Medicinal and botanical ingredients</t>
  </si>
  <si>
    <t>325412</t>
  </si>
  <si>
    <t>Pharmaceutical products (pills, powders, solutions, etc.)</t>
  </si>
  <si>
    <t>325413</t>
  </si>
  <si>
    <t>Blood sugar, pregnancy, and other diagnostic test kits</t>
  </si>
  <si>
    <t>325414</t>
  </si>
  <si>
    <t>Vaccines and other biological medical products</t>
  </si>
  <si>
    <t>325510</t>
  </si>
  <si>
    <t>Paints and coatings</t>
  </si>
  <si>
    <t>325520</t>
  </si>
  <si>
    <t>Adhesives</t>
  </si>
  <si>
    <t>325610</t>
  </si>
  <si>
    <t>Soap and cleaning compounds</t>
  </si>
  <si>
    <t>325620</t>
  </si>
  <si>
    <t>Toiletries</t>
  </si>
  <si>
    <t>325910</t>
  </si>
  <si>
    <t>Ink and ink cartridges</t>
  </si>
  <si>
    <t>3259A0</t>
  </si>
  <si>
    <t>Chemicals (except basic chemicals, agrichemicals, polymers, paints, pharmaceuticals,soaps, cleaning compounds)</t>
  </si>
  <si>
    <t>326110</t>
  </si>
  <si>
    <t>Plastic bags, films, and sheets</t>
  </si>
  <si>
    <t>326120</t>
  </si>
  <si>
    <t>Plastic pipe, fittings, and sausage casings</t>
  </si>
  <si>
    <t>326130</t>
  </si>
  <si>
    <t>Laminated plastic plates and shapes</t>
  </si>
  <si>
    <t>326140</t>
  </si>
  <si>
    <t>Polystyrene foam products</t>
  </si>
  <si>
    <t>326150</t>
  </si>
  <si>
    <t>Urethane and other foam products</t>
  </si>
  <si>
    <t>326160</t>
  </si>
  <si>
    <t>Plastic bottles</t>
  </si>
  <si>
    <t>326190</t>
  </si>
  <si>
    <t>Other plastic products</t>
  </si>
  <si>
    <t>326210</t>
  </si>
  <si>
    <t>Rubber tires</t>
  </si>
  <si>
    <t>326220</t>
  </si>
  <si>
    <t>Rubber and plastic belts and hoses</t>
  </si>
  <si>
    <t>326290</t>
  </si>
  <si>
    <t>Other rubber products</t>
  </si>
  <si>
    <t>327100</t>
  </si>
  <si>
    <t>Clay and ceramic products</t>
  </si>
  <si>
    <t>327200</t>
  </si>
  <si>
    <t>Glass and glass products</t>
  </si>
  <si>
    <t>327310</t>
  </si>
  <si>
    <t>Cement</t>
  </si>
  <si>
    <t>327320</t>
  </si>
  <si>
    <t>Ready-mix concrete</t>
  </si>
  <si>
    <t>327330</t>
  </si>
  <si>
    <t>Concrete pipe, bricks, and blocks</t>
  </si>
  <si>
    <t>327390</t>
  </si>
  <si>
    <t>Other concrete products</t>
  </si>
  <si>
    <t>327400</t>
  </si>
  <si>
    <t>Lime and gypsum products</t>
  </si>
  <si>
    <t>327910</t>
  </si>
  <si>
    <t>Abrasive products</t>
  </si>
  <si>
    <t>327991</t>
  </si>
  <si>
    <t>Cut stone and stone products</t>
  </si>
  <si>
    <t>327992</t>
  </si>
  <si>
    <t>Ground or treated minerals and earth</t>
  </si>
  <si>
    <t>327993</t>
  </si>
  <si>
    <t>Mineral wool</t>
  </si>
  <si>
    <t>327999</t>
  </si>
  <si>
    <t>Other nonmetallic mineral products</t>
  </si>
  <si>
    <t>331110</t>
  </si>
  <si>
    <t>Primary iron, steel, and ferroalloy products</t>
  </si>
  <si>
    <t>331200</t>
  </si>
  <si>
    <t>Secondary steel products</t>
  </si>
  <si>
    <t>331313</t>
  </si>
  <si>
    <t>Alumina refining and primary aluminum production</t>
  </si>
  <si>
    <t>33131B</t>
  </si>
  <si>
    <t>Aluminum products</t>
  </si>
  <si>
    <t>331410</t>
  </si>
  <si>
    <t>Nonferrous Metal (except Aluminum) Smelting and Refining</t>
  </si>
  <si>
    <t>331420</t>
  </si>
  <si>
    <t>Secondary copper products</t>
  </si>
  <si>
    <t>331490</t>
  </si>
  <si>
    <t>Other secondary nonferrous metal products</t>
  </si>
  <si>
    <t>331510</t>
  </si>
  <si>
    <t>Cast iron and steel</t>
  </si>
  <si>
    <t>331520</t>
  </si>
  <si>
    <t>Nonferrous metal casts</t>
  </si>
  <si>
    <t>332114</t>
  </si>
  <si>
    <t>Custom metal rolls</t>
  </si>
  <si>
    <t>332119</t>
  </si>
  <si>
    <t>Metal crown, closure, and other metal stamping (except automotive)</t>
  </si>
  <si>
    <t>33211A</t>
  </si>
  <si>
    <t>All other forging, stamping, and sintering</t>
  </si>
  <si>
    <t>332200</t>
  </si>
  <si>
    <t>Cutlery and handtools</t>
  </si>
  <si>
    <t>332310</t>
  </si>
  <si>
    <t>Metal structural products</t>
  </si>
  <si>
    <t>332320</t>
  </si>
  <si>
    <t>Metal windows, doors, and architectural products</t>
  </si>
  <si>
    <t>332410</t>
  </si>
  <si>
    <t>Power boilers and heat exchangers</t>
  </si>
  <si>
    <t>332420</t>
  </si>
  <si>
    <t>Heavy gauge metal tanks</t>
  </si>
  <si>
    <t>332430</t>
  </si>
  <si>
    <t>Light gauge metal cans, boxes, and containers</t>
  </si>
  <si>
    <t>332500</t>
  </si>
  <si>
    <t>Metal hinges, keys, lock, and other hardware</t>
  </si>
  <si>
    <t>332600</t>
  </si>
  <si>
    <t>Springs and wires</t>
  </si>
  <si>
    <t>332710</t>
  </si>
  <si>
    <t>Machine shops</t>
  </si>
  <si>
    <t>332720</t>
  </si>
  <si>
    <t>Screws, nuts, and bolts</t>
  </si>
  <si>
    <t>332800</t>
  </si>
  <si>
    <t>Metal coatings, engravings, and heat treatments</t>
  </si>
  <si>
    <t>332913</t>
  </si>
  <si>
    <t>Metal plumbing drains, faucets, valves, and other fittings</t>
  </si>
  <si>
    <t>33291A</t>
  </si>
  <si>
    <t>Valve and fittings (except for plumbing)</t>
  </si>
  <si>
    <t>332991</t>
  </si>
  <si>
    <t>Ball and roller bearings</t>
  </si>
  <si>
    <t>332996</t>
  </si>
  <si>
    <t>Fabricated pipe and pipe fittings</t>
  </si>
  <si>
    <t>332999</t>
  </si>
  <si>
    <t>Other fabricated metal manufacturing</t>
  </si>
  <si>
    <t>33299A</t>
  </si>
  <si>
    <t>Ammunition, arms, ordnance, and related accessories</t>
  </si>
  <si>
    <t>333111</t>
  </si>
  <si>
    <t>Farm machinery and equipment</t>
  </si>
  <si>
    <t>333112</t>
  </si>
  <si>
    <t>Lawn and garden equipment</t>
  </si>
  <si>
    <t>333120</t>
  </si>
  <si>
    <t>Construction machinery</t>
  </si>
  <si>
    <t>333130</t>
  </si>
  <si>
    <t>Mining and oil/gas field machinery</t>
  </si>
  <si>
    <t>333242</t>
  </si>
  <si>
    <t>Semiconductor machinery</t>
  </si>
  <si>
    <t>33329A</t>
  </si>
  <si>
    <t>Machinery for the paper, textile, food or other industries (except semiconductor machinery)</t>
  </si>
  <si>
    <t>333314</t>
  </si>
  <si>
    <t>Optical instruments and lenses</t>
  </si>
  <si>
    <t>333316</t>
  </si>
  <si>
    <t>Photography and photocopying equipment</t>
  </si>
  <si>
    <t>333318</t>
  </si>
  <si>
    <t>Other commercial and service industry machinery</t>
  </si>
  <si>
    <t>333413</t>
  </si>
  <si>
    <t>Industrial and commercial fan and blower and air purification equipment</t>
  </si>
  <si>
    <t>333414</t>
  </si>
  <si>
    <t>Heating equipment other than warm air furnaces</t>
  </si>
  <si>
    <t>333415</t>
  </si>
  <si>
    <t>Air conditioning, refrigeration, and warm air heating equipment</t>
  </si>
  <si>
    <t>333511</t>
  </si>
  <si>
    <t>Industrial molds</t>
  </si>
  <si>
    <t>333514</t>
  </si>
  <si>
    <t>Special tools, dies, jigs, and fixtures</t>
  </si>
  <si>
    <t>333517</t>
  </si>
  <si>
    <t>Machine tool manufacturing</t>
  </si>
  <si>
    <t>33351B</t>
  </si>
  <si>
    <t>Cutting and machine tool accessory, rolling mill, and other metalworking machines</t>
  </si>
  <si>
    <t>333611</t>
  </si>
  <si>
    <t>Turbines and turbine generator sets</t>
  </si>
  <si>
    <t>333612</t>
  </si>
  <si>
    <t>Speed changers, industrial high-speed drives, and gears</t>
  </si>
  <si>
    <t>333613</t>
  </si>
  <si>
    <t>Mechanical power transmission equipment</t>
  </si>
  <si>
    <t>333618</t>
  </si>
  <si>
    <t>Other engine equipment</t>
  </si>
  <si>
    <t>333912</t>
  </si>
  <si>
    <t>Air and gas compressors</t>
  </si>
  <si>
    <t>33391A</t>
  </si>
  <si>
    <t>Pumps and pumping equipment</t>
  </si>
  <si>
    <t>333920</t>
  </si>
  <si>
    <t>Material handling equipment</t>
  </si>
  <si>
    <t>333991</t>
  </si>
  <si>
    <t>Power tools</t>
  </si>
  <si>
    <t>333993</t>
  </si>
  <si>
    <t>Packaging machinery</t>
  </si>
  <si>
    <t>333994</t>
  </si>
  <si>
    <t>Industrial process furnaces and ovens</t>
  </si>
  <si>
    <t>33399A</t>
  </si>
  <si>
    <t>Welding and Soldering Equipment, Scales and Balances, and other general purpose machinery</t>
  </si>
  <si>
    <t>33399B</t>
  </si>
  <si>
    <t>Hydraulic pumps, motors, cylinders and actuators</t>
  </si>
  <si>
    <t>334111</t>
  </si>
  <si>
    <t>Computers</t>
  </si>
  <si>
    <t>334112</t>
  </si>
  <si>
    <t>Computer storage device readers</t>
  </si>
  <si>
    <t>334118</t>
  </si>
  <si>
    <t>Computer terminals and other computer peripheral equipment</t>
  </si>
  <si>
    <t>334210</t>
  </si>
  <si>
    <t>Telephones</t>
  </si>
  <si>
    <t>334220</t>
  </si>
  <si>
    <t>Wireless communications</t>
  </si>
  <si>
    <t>334290</t>
  </si>
  <si>
    <t>Communications equipment</t>
  </si>
  <si>
    <t>334300</t>
  </si>
  <si>
    <t>Audio and video equipment</t>
  </si>
  <si>
    <t>334413</t>
  </si>
  <si>
    <t>Semiconductors</t>
  </si>
  <si>
    <t>334418</t>
  </si>
  <si>
    <t>Printed circuit and electronic assembly</t>
  </si>
  <si>
    <t>33441A</t>
  </si>
  <si>
    <t>Electronic capacitors, resistors, coils, transformers, connectors and other components (except  semiconductors and printed circuit assemblies)</t>
  </si>
  <si>
    <t>334510</t>
  </si>
  <si>
    <t>Electromedical appartuses</t>
  </si>
  <si>
    <t>334511</t>
  </si>
  <si>
    <t>Navigation instruments</t>
  </si>
  <si>
    <t>334512</t>
  </si>
  <si>
    <t>Automatic controls for HVAC and refrigeration equipment</t>
  </si>
  <si>
    <t>334513</t>
  </si>
  <si>
    <t>Industrial process variable instruments</t>
  </si>
  <si>
    <t>334514</t>
  </si>
  <si>
    <t>Fluid meters and counting devices</t>
  </si>
  <si>
    <t>334515</t>
  </si>
  <si>
    <t>Signal testing instruments</t>
  </si>
  <si>
    <t>334516</t>
  </si>
  <si>
    <t>Analytical laboratory instruments</t>
  </si>
  <si>
    <t>334517</t>
  </si>
  <si>
    <t>Irradiation apparatuses</t>
  </si>
  <si>
    <t>33451A</t>
  </si>
  <si>
    <t>Watches, clocks, and other measuring and controlling devices</t>
  </si>
  <si>
    <t>334610</t>
  </si>
  <si>
    <t>External hard drives, CDs, other storage media</t>
  </si>
  <si>
    <t>335110</t>
  </si>
  <si>
    <t>Light bulbs</t>
  </si>
  <si>
    <t>335120</t>
  </si>
  <si>
    <t>Light fixtures</t>
  </si>
  <si>
    <t>335210</t>
  </si>
  <si>
    <t>Small electrical appliances</t>
  </si>
  <si>
    <t>335221</t>
  </si>
  <si>
    <t>Home cooking appliances</t>
  </si>
  <si>
    <t>335222</t>
  </si>
  <si>
    <t>Home refrigerators and freezers</t>
  </si>
  <si>
    <t>335224</t>
  </si>
  <si>
    <t>Home laundry machines</t>
  </si>
  <si>
    <t>335228</t>
  </si>
  <si>
    <t>Major home appliances (except ovens, stoves, refrigerators and laundry machines)</t>
  </si>
  <si>
    <t>335311</t>
  </si>
  <si>
    <t>Specialty transformers</t>
  </si>
  <si>
    <t>335312</t>
  </si>
  <si>
    <t>Motors and generators</t>
  </si>
  <si>
    <t>335313</t>
  </si>
  <si>
    <t>Switchgear and switchboards</t>
  </si>
  <si>
    <t>335314</t>
  </si>
  <si>
    <t>Relay and industrial controls</t>
  </si>
  <si>
    <t>335911</t>
  </si>
  <si>
    <t>Storage batteries</t>
  </si>
  <si>
    <t>335912</t>
  </si>
  <si>
    <t>Primary batteries</t>
  </si>
  <si>
    <t>335920</t>
  </si>
  <si>
    <t>Communication and energy wire and cable</t>
  </si>
  <si>
    <t>335930</t>
  </si>
  <si>
    <t>Wiring devices</t>
  </si>
  <si>
    <t>335991</t>
  </si>
  <si>
    <t>Carbon and graphite products</t>
  </si>
  <si>
    <t>335999</t>
  </si>
  <si>
    <t>other miscellaneous electrical equipment and components</t>
  </si>
  <si>
    <t>336111</t>
  </si>
  <si>
    <t>Automobiles</t>
  </si>
  <si>
    <t>336112</t>
  </si>
  <si>
    <t>Pickup trucks, vans, and SUVs</t>
  </si>
  <si>
    <t>336120</t>
  </si>
  <si>
    <t>Heavy duty trucks</t>
  </si>
  <si>
    <t>336211</t>
  </si>
  <si>
    <t>Vehicle bodies</t>
  </si>
  <si>
    <t>336212</t>
  </si>
  <si>
    <t>Truck trailers</t>
  </si>
  <si>
    <t>336213</t>
  </si>
  <si>
    <t>Motor homes</t>
  </si>
  <si>
    <t>336214</t>
  </si>
  <si>
    <t>Travel trailer and campers</t>
  </si>
  <si>
    <t>336310</t>
  </si>
  <si>
    <t>Vehicle engines and engine parts</t>
  </si>
  <si>
    <t>336320</t>
  </si>
  <si>
    <t>Vehicle electrical and electronic equipment</t>
  </si>
  <si>
    <t>336350</t>
  </si>
  <si>
    <t>Transmission and power train parts</t>
  </si>
  <si>
    <t>336360</t>
  </si>
  <si>
    <t>Vehicle seating and interior trim (upholstery)</t>
  </si>
  <si>
    <t>336370</t>
  </si>
  <si>
    <t>Vehicle metal stamping</t>
  </si>
  <si>
    <t>336390</t>
  </si>
  <si>
    <t>Other vehicle parts</t>
  </si>
  <si>
    <t>3363A0</t>
  </si>
  <si>
    <t>Motor vehicle steering, suspension components (except spring), and brake systems</t>
  </si>
  <si>
    <t>336411</t>
  </si>
  <si>
    <t>336412</t>
  </si>
  <si>
    <t>Aircraft engines and parts</t>
  </si>
  <si>
    <t>336413</t>
  </si>
  <si>
    <t>Other aircraft parts</t>
  </si>
  <si>
    <t>336414</t>
  </si>
  <si>
    <t>Guided missiles and space vehicles</t>
  </si>
  <si>
    <t>33641A</t>
  </si>
  <si>
    <t>Propulsion units and parts for space vehicles and guided missiles</t>
  </si>
  <si>
    <t>336500</t>
  </si>
  <si>
    <t>Railroad rolling stock</t>
  </si>
  <si>
    <t>336611</t>
  </si>
  <si>
    <t>Ships and ship repair</t>
  </si>
  <si>
    <t>336612</t>
  </si>
  <si>
    <t>Boats</t>
  </si>
  <si>
    <t>336991</t>
  </si>
  <si>
    <t>Motorcycle, bicycle, and parts</t>
  </si>
  <si>
    <t>336992</t>
  </si>
  <si>
    <t>Military armored vehicles and tanks</t>
  </si>
  <si>
    <t>336999</t>
  </si>
  <si>
    <t>337110</t>
  </si>
  <si>
    <t>Wood kitchen cabinets and countertops</t>
  </si>
  <si>
    <t>337121</t>
  </si>
  <si>
    <t>Home furniture - upholstered</t>
  </si>
  <si>
    <t>337122</t>
  </si>
  <si>
    <t>Home furniture - wood, nonupholstered</t>
  </si>
  <si>
    <t>337127</t>
  </si>
  <si>
    <t>Institutional furniture</t>
  </si>
  <si>
    <t>33712N</t>
  </si>
  <si>
    <t>Other household nonupholstered furniture</t>
  </si>
  <si>
    <t>337215</t>
  </si>
  <si>
    <t>Shelving and lockers</t>
  </si>
  <si>
    <t>33721A</t>
  </si>
  <si>
    <t>Office furniture and custom architectural woodwork and millwork</t>
  </si>
  <si>
    <t>337900</t>
  </si>
  <si>
    <t>Mattresses, blinds and shades</t>
  </si>
  <si>
    <t>339112</t>
  </si>
  <si>
    <t>Surgical and medical instruments</t>
  </si>
  <si>
    <t>339113</t>
  </si>
  <si>
    <t>Surgical appliance and supplies</t>
  </si>
  <si>
    <t>339114</t>
  </si>
  <si>
    <t>Dental equipment and supplies</t>
  </si>
  <si>
    <t>339115</t>
  </si>
  <si>
    <t>Ophthalmic goods</t>
  </si>
  <si>
    <t>339116</t>
  </si>
  <si>
    <t>Dental laboratories</t>
  </si>
  <si>
    <t>339910</t>
  </si>
  <si>
    <t>Jewelry and silverware</t>
  </si>
  <si>
    <t>339920</t>
  </si>
  <si>
    <t>Sporting and athletic goods</t>
  </si>
  <si>
    <t>339930</t>
  </si>
  <si>
    <t>Dolls, toys, and games</t>
  </si>
  <si>
    <t>339940</t>
  </si>
  <si>
    <t>Office supplies (not paper)</t>
  </si>
  <si>
    <t>339950</t>
  </si>
  <si>
    <t>Signs</t>
  </si>
  <si>
    <t>339990</t>
  </si>
  <si>
    <t>Gaskets, seals, musical instruments, fasteners, brooms, brushes, mop and other misc. goods</t>
  </si>
  <si>
    <t>4200ID</t>
  </si>
  <si>
    <t>Customs duties</t>
  </si>
  <si>
    <t>423100</t>
  </si>
  <si>
    <t>Motor vehicle and motor vehicle parts and supplies</t>
  </si>
  <si>
    <t>423400</t>
  </si>
  <si>
    <t>Professional and commercial equipment and supplies</t>
  </si>
  <si>
    <t>423600</t>
  </si>
  <si>
    <t>Household appliances and electrical and electronic goods</t>
  </si>
  <si>
    <t>423800</t>
  </si>
  <si>
    <t>Machinery, equipment, and supplies</t>
  </si>
  <si>
    <t>423A00</t>
  </si>
  <si>
    <t>Other durable goods merchant wholesalers</t>
  </si>
  <si>
    <t>424200</t>
  </si>
  <si>
    <t>Drugs and druggists’ sundries</t>
  </si>
  <si>
    <t>424400</t>
  </si>
  <si>
    <t>Grocery and related product wholesalers</t>
  </si>
  <si>
    <t>424700</t>
  </si>
  <si>
    <t>Petroleum and petroleum products</t>
  </si>
  <si>
    <t>424A00</t>
  </si>
  <si>
    <t>Other nondurable goods merchant wholesalers</t>
  </si>
  <si>
    <t>425000</t>
  </si>
  <si>
    <t>Wholesale electronic markets and agents and brokers</t>
  </si>
  <si>
    <t>441000</t>
  </si>
  <si>
    <t>Vehicles and parts sales</t>
  </si>
  <si>
    <t>444000</t>
  </si>
  <si>
    <t>Building material and garden equipment and supplies dealers</t>
  </si>
  <si>
    <t>445000</t>
  </si>
  <si>
    <t>446000</t>
  </si>
  <si>
    <t>Health and personal care stores</t>
  </si>
  <si>
    <t>447000</t>
  </si>
  <si>
    <t>Gasoline stations</t>
  </si>
  <si>
    <t>448000</t>
  </si>
  <si>
    <t>Clothing and clothing accessories stores</t>
  </si>
  <si>
    <t>452000</t>
  </si>
  <si>
    <t>454000</t>
  </si>
  <si>
    <t>Nonstore retailers</t>
  </si>
  <si>
    <t>481000</t>
  </si>
  <si>
    <t>Air transport</t>
  </si>
  <si>
    <t>482000</t>
  </si>
  <si>
    <t>Rail transport</t>
  </si>
  <si>
    <t>483000</t>
  </si>
  <si>
    <t>Water transport (boats, ships, ferries)</t>
  </si>
  <si>
    <t>484000</t>
  </si>
  <si>
    <t>Truck transport</t>
  </si>
  <si>
    <t>485000</t>
  </si>
  <si>
    <t>Passenger ground transport</t>
  </si>
  <si>
    <t>486000</t>
  </si>
  <si>
    <t>Pipeline transport</t>
  </si>
  <si>
    <t>48A000</t>
  </si>
  <si>
    <t>Scenic and sightseeing transportation and support activities for transportation</t>
  </si>
  <si>
    <t>491000</t>
  </si>
  <si>
    <t>Postal service</t>
  </si>
  <si>
    <t>492000</t>
  </si>
  <si>
    <t>Couriers and messengers</t>
  </si>
  <si>
    <t>493000</t>
  </si>
  <si>
    <t>Warehousing</t>
  </si>
  <si>
    <t>4B0000</t>
  </si>
  <si>
    <t>All other retail</t>
  </si>
  <si>
    <t>511110</t>
  </si>
  <si>
    <t>Newspapers</t>
  </si>
  <si>
    <t>511120</t>
  </si>
  <si>
    <t>Magazines and journals</t>
  </si>
  <si>
    <t>511130</t>
  </si>
  <si>
    <t>Books</t>
  </si>
  <si>
    <t>5111A0</t>
  </si>
  <si>
    <t>Directory, mailing list, and other publishers</t>
  </si>
  <si>
    <t>511200</t>
  </si>
  <si>
    <t>Software</t>
  </si>
  <si>
    <t>512100</t>
  </si>
  <si>
    <t>Movies and film</t>
  </si>
  <si>
    <t>512200</t>
  </si>
  <si>
    <t>Sound recording</t>
  </si>
  <si>
    <t>515100</t>
  </si>
  <si>
    <t>Radio and television</t>
  </si>
  <si>
    <t>515200</t>
  </si>
  <si>
    <t>Cable and subscription programming</t>
  </si>
  <si>
    <t>517110</t>
  </si>
  <si>
    <t>Telecommunications</t>
  </si>
  <si>
    <t>517210</t>
  </si>
  <si>
    <t>Wireless telecommunications</t>
  </si>
  <si>
    <t>517A00</t>
  </si>
  <si>
    <t>Satellite, telecommunications resellers, and all other telecommunications</t>
  </si>
  <si>
    <t>518200</t>
  </si>
  <si>
    <t>Data processing and hosting</t>
  </si>
  <si>
    <t>519130</t>
  </si>
  <si>
    <t>Internet publishing and broadcasting</t>
  </si>
  <si>
    <t>5191A0</t>
  </si>
  <si>
    <t>News syndicates, libraries, archives, Internet publishing and all other information services</t>
  </si>
  <si>
    <t>522A00</t>
  </si>
  <si>
    <t>Nondepository credit intermediation and related activities</t>
  </si>
  <si>
    <t>523900</t>
  </si>
  <si>
    <t>Investment advice, portfolio management, and other financial advising services</t>
  </si>
  <si>
    <t>523A00</t>
  </si>
  <si>
    <t>Securities and commodities brokerage and exchanges</t>
  </si>
  <si>
    <t>524113</t>
  </si>
  <si>
    <t>Direct life insurance carriers</t>
  </si>
  <si>
    <t>5241XX</t>
  </si>
  <si>
    <t>Insurance carriers, except direct life</t>
  </si>
  <si>
    <t>524200</t>
  </si>
  <si>
    <t>Insurance agencies and brokerages</t>
  </si>
  <si>
    <t>525000</t>
  </si>
  <si>
    <t>Funds, trusts, and financial vehicles</t>
  </si>
  <si>
    <t>52A000</t>
  </si>
  <si>
    <t>Monetary authorities and depository credit intermediation</t>
  </si>
  <si>
    <t>531HSO</t>
  </si>
  <si>
    <t>Owner-occupied housing</t>
  </si>
  <si>
    <t>531HST</t>
  </si>
  <si>
    <t>Tenant-occupied housing</t>
  </si>
  <si>
    <t>531ORE</t>
  </si>
  <si>
    <t>532100</t>
  </si>
  <si>
    <t>Vehicle rental and leasing</t>
  </si>
  <si>
    <t>532400</t>
  </si>
  <si>
    <t>Commercial equipment rental</t>
  </si>
  <si>
    <t>532A00</t>
  </si>
  <si>
    <t>Consumer goods and general rental centers</t>
  </si>
  <si>
    <t>533000</t>
  </si>
  <si>
    <t>Lessors of nonfinancial intangible assets</t>
  </si>
  <si>
    <t>541100</t>
  </si>
  <si>
    <t>541200</t>
  </si>
  <si>
    <t>Accounting, tax preparation, bookkeeping, and payroll</t>
  </si>
  <si>
    <t>541300</t>
  </si>
  <si>
    <t>Architectural, engineering, and related services</t>
  </si>
  <si>
    <t>541400</t>
  </si>
  <si>
    <t>Specialized design</t>
  </si>
  <si>
    <t>541511</t>
  </si>
  <si>
    <t>Custom computer programming</t>
  </si>
  <si>
    <t>541512</t>
  </si>
  <si>
    <t>Computer systems design</t>
  </si>
  <si>
    <t>54151A</t>
  </si>
  <si>
    <t>Other computer related services, including facilities management</t>
  </si>
  <si>
    <t>541610</t>
  </si>
  <si>
    <t>Management consulting</t>
  </si>
  <si>
    <t>5416A0</t>
  </si>
  <si>
    <t>Environmental and other technical consulting services</t>
  </si>
  <si>
    <t>541700</t>
  </si>
  <si>
    <t>Scientific research and development</t>
  </si>
  <si>
    <t>541800</t>
  </si>
  <si>
    <t>Advertising and public relations</t>
  </si>
  <si>
    <t>541920</t>
  </si>
  <si>
    <t>Photographers</t>
  </si>
  <si>
    <t>541940</t>
  </si>
  <si>
    <t>Veterinarians</t>
  </si>
  <si>
    <t>5419A0</t>
  </si>
  <si>
    <t>Marketing research and all other miscellaneous professional, scientific, and technical services</t>
  </si>
  <si>
    <t>550000</t>
  </si>
  <si>
    <t>Company and enterprise management</t>
  </si>
  <si>
    <t>561100</t>
  </si>
  <si>
    <t>Office administration</t>
  </si>
  <si>
    <t>561200</t>
  </si>
  <si>
    <t>Facilities support</t>
  </si>
  <si>
    <t>561300</t>
  </si>
  <si>
    <t>Employment services</t>
  </si>
  <si>
    <t>561400</t>
  </si>
  <si>
    <t>Business support</t>
  </si>
  <si>
    <t>561500</t>
  </si>
  <si>
    <t>Travel arrangement and reservation</t>
  </si>
  <si>
    <t>561600</t>
  </si>
  <si>
    <t>Investigation and security</t>
  </si>
  <si>
    <t>561700</t>
  </si>
  <si>
    <t>Buildings and dwellings services</t>
  </si>
  <si>
    <t>561900</t>
  </si>
  <si>
    <t>Other support services</t>
  </si>
  <si>
    <t>562000</t>
  </si>
  <si>
    <t>Waste management and remediation</t>
  </si>
  <si>
    <t>611100</t>
  </si>
  <si>
    <t>Elementary and secondary schools</t>
  </si>
  <si>
    <t>611A00</t>
  </si>
  <si>
    <t>Colleges, universities, junior colleges, and professional schools</t>
  </si>
  <si>
    <t>611B00</t>
  </si>
  <si>
    <t>Other educational services</t>
  </si>
  <si>
    <t>621100</t>
  </si>
  <si>
    <t>Physicians</t>
  </si>
  <si>
    <t>621200</t>
  </si>
  <si>
    <t>Dentists</t>
  </si>
  <si>
    <t>621300</t>
  </si>
  <si>
    <t>Healthcare practitioners (except physicians and dentists)</t>
  </si>
  <si>
    <t>621400</t>
  </si>
  <si>
    <t>Outpatient healthcare</t>
  </si>
  <si>
    <t>621500</t>
  </si>
  <si>
    <t>Medical laboratories</t>
  </si>
  <si>
    <t>621600</t>
  </si>
  <si>
    <t>Home healthcare</t>
  </si>
  <si>
    <t>621900</t>
  </si>
  <si>
    <t>Ambulances</t>
  </si>
  <si>
    <t>622000</t>
  </si>
  <si>
    <t>623A00</t>
  </si>
  <si>
    <t>Nursing and community care facilities</t>
  </si>
  <si>
    <t>623B00</t>
  </si>
  <si>
    <t>Residential mental retardation, mental health, substance abuse and other facilities</t>
  </si>
  <si>
    <t>624100</t>
  </si>
  <si>
    <t>Individual and family services</t>
  </si>
  <si>
    <t>624400</t>
  </si>
  <si>
    <t>Child day care</t>
  </si>
  <si>
    <t>624A00</t>
  </si>
  <si>
    <t>Community food, housing, and other relief services, including rehabilitation services</t>
  </si>
  <si>
    <t>711100</t>
  </si>
  <si>
    <t>Performances</t>
  </si>
  <si>
    <t>711200</t>
  </si>
  <si>
    <t>Sports</t>
  </si>
  <si>
    <t>711500</t>
  </si>
  <si>
    <t>Independent artists, writers, and performers</t>
  </si>
  <si>
    <t>711A00</t>
  </si>
  <si>
    <t>Promoters and agents</t>
  </si>
  <si>
    <t>712000</t>
  </si>
  <si>
    <t>Museums, historical sites, zoos, and parks</t>
  </si>
  <si>
    <t>713100</t>
  </si>
  <si>
    <t>Amusement parks and arcades</t>
  </si>
  <si>
    <t>713200</t>
  </si>
  <si>
    <t>Gambling establishments (except casino hotels)</t>
  </si>
  <si>
    <t>713900</t>
  </si>
  <si>
    <t>Golf courses, marinas, ski resorts, fitness and other rec centers and industries</t>
  </si>
  <si>
    <t>721000</t>
  </si>
  <si>
    <t>Hotels and campgrounds</t>
  </si>
  <si>
    <t>722110</t>
  </si>
  <si>
    <t>Full-service restaurants</t>
  </si>
  <si>
    <t>722211</t>
  </si>
  <si>
    <t>Limited-service restaurants</t>
  </si>
  <si>
    <t>722A00</t>
  </si>
  <si>
    <t>All other food and drinking places</t>
  </si>
  <si>
    <t>811100</t>
  </si>
  <si>
    <t>Vehicle repair</t>
  </si>
  <si>
    <t>811200</t>
  </si>
  <si>
    <t>Electronic  equipment repair and maintenance</t>
  </si>
  <si>
    <t>811300</t>
  </si>
  <si>
    <t>Commercial machinery repair</t>
  </si>
  <si>
    <t>811400</t>
  </si>
  <si>
    <t>Household goods repair</t>
  </si>
  <si>
    <t>812100</t>
  </si>
  <si>
    <t>Salons and barber shops</t>
  </si>
  <si>
    <t>812200</t>
  </si>
  <si>
    <t>Funerary services</t>
  </si>
  <si>
    <t>812300</t>
  </si>
  <si>
    <t>Dry-cleaning and laundry</t>
  </si>
  <si>
    <t>812900</t>
  </si>
  <si>
    <t>Pet care, photofinishing, parking and other sundry services</t>
  </si>
  <si>
    <t>813100</t>
  </si>
  <si>
    <t>Religious organizations</t>
  </si>
  <si>
    <t>813A00</t>
  </si>
  <si>
    <t>Grantmaking, giving, and social advocacy organizations</t>
  </si>
  <si>
    <t>813B00</t>
  </si>
  <si>
    <t>Civic, social, professional, and similar organizations</t>
  </si>
  <si>
    <t>814000</t>
  </si>
  <si>
    <t>Household employees</t>
  </si>
  <si>
    <t>Summary Commodity</t>
  </si>
  <si>
    <t>Detail Commodity</t>
  </si>
  <si>
    <t>Sum of Supply Chain Emission Factors with Margins (kg CO2e/$)</t>
  </si>
  <si>
    <t>Summary Commodity Name</t>
  </si>
  <si>
    <t>Introduction</t>
  </si>
  <si>
    <t>Category 10: Processing of Sold Products</t>
  </si>
  <si>
    <t>Category 12: End-life treatment of sold products</t>
  </si>
  <si>
    <t>Category 14: Franchises</t>
  </si>
  <si>
    <t>Category 15: Investments</t>
  </si>
  <si>
    <t>https://www.bls.gov/data/inflation_calculator.htm</t>
  </si>
  <si>
    <t>enter value from CPI Inflation Calculator here ---&gt;</t>
  </si>
  <si>
    <t>Workbook sheet name</t>
  </si>
  <si>
    <t>Cat 3 Fuel &amp; Energy</t>
  </si>
  <si>
    <t>Cat 4 Upstream T&amp;D</t>
  </si>
  <si>
    <t>Cat 5 Waste</t>
  </si>
  <si>
    <t>Cat 7 Employee Commuting</t>
  </si>
  <si>
    <t>Cat 8 &amp; Cat 13 Leased Assets</t>
  </si>
  <si>
    <t>Cat 9 Downstream T&amp;D</t>
  </si>
  <si>
    <t>Cat 11 Use of Sold Products</t>
  </si>
  <si>
    <t>Additional Notes/Details</t>
  </si>
  <si>
    <t>Category Description(s)*</t>
  </si>
  <si>
    <t>Cat 6 Business Travel</t>
  </si>
  <si>
    <t>• Transportation and distribution of products purchased by the reporting company  between a company’s tier 1 suppliers and its own operations (in vehicles and facilities not owned or controlled by the reporting company)
• Transportation and distribution services purchased by the reporting company , including inbound logistics, outbound logistics (e.g., of sold products), and transportation and distribution between a company’s own facilities (in vehicles and facilities not owned or controlled by the reporting company)</t>
  </si>
  <si>
    <t>Disposal and treatment of waste generated in the reporting company’s operations  (in facilities not owned or controlled by the reporting company)</t>
  </si>
  <si>
    <t>Transportation and distribution of products sold by the reporting company  between the reporting company’s operations and the end consumer (if not paid for by the reporting company), including retail and storage (in vehicles and facilities not owned or controlled by the reporting company)</t>
  </si>
  <si>
    <t>Processing of intermediate products sold  by downstream companies (e.g., manufacturers)</t>
  </si>
  <si>
    <t xml:space="preserve">End use of goods and services sold by the reporting company </t>
  </si>
  <si>
    <t>Operation of franchises , not included in scope 1 and scope
2 – reported by franchisor</t>
  </si>
  <si>
    <t>Extraction, production, and transportation of fuels and energy purchased or acquired by the reporting company, not already accounted for in scope 1 or scope 2</t>
  </si>
  <si>
    <t>Transportation of employees for business-related activities  (in vehicles not owned or operated by the reporting company)</t>
  </si>
  <si>
    <t>Transportation of employees between their homes and their worksites  (in vehicles not owned or operated by the reporting company)</t>
  </si>
  <si>
    <t>Waste disposal and treatment of products sold by the reporting company at the end of their life</t>
  </si>
  <si>
    <t>Operation of investments (including equity and debt investments and
project finance), not included in scope 1 or scope 2</t>
  </si>
  <si>
    <t>Category 4: Upstream Transportation &amp; Distribution</t>
  </si>
  <si>
    <t xml:space="preserve">Category 9: Downstream Transportation &amp; Distribution </t>
  </si>
  <si>
    <t>Guidance</t>
  </si>
  <si>
    <t>Table 3. Transmission and distribution losses</t>
  </si>
  <si>
    <t>DEFRA 2021</t>
  </si>
  <si>
    <t>Instructions:</t>
  </si>
  <si>
    <t>TOTAL</t>
  </si>
  <si>
    <t>Emission Factor (kg CO2e/$)</t>
  </si>
  <si>
    <t>enter inventory year here ---&gt;</t>
  </si>
  <si>
    <t>Item Description</t>
  </si>
  <si>
    <t>note, this is only an example image of the CPI Inflation Calculator, users must visit website linked above</t>
  </si>
  <si>
    <t>Item Description (optional)</t>
  </si>
  <si>
    <t>Spend-based Method</t>
  </si>
  <si>
    <t>Scope 3 Estimation Methodology</t>
  </si>
  <si>
    <t>Average-data Method</t>
  </si>
  <si>
    <t>Healthcare specific (inhalers)</t>
  </si>
  <si>
    <t>Cat 15 Investments</t>
  </si>
  <si>
    <t>Product Name or Group (optional)</t>
  </si>
  <si>
    <t>Number of Units with GHG propellant</t>
  </si>
  <si>
    <t>ALBUTEROL SULF HFA 90 MCG INH 18 GM</t>
  </si>
  <si>
    <t>ADVAIR HFA 45/ 21MCG INH 12 GM</t>
  </si>
  <si>
    <t>Commutes Across America (Streetlightdata)</t>
  </si>
  <si>
    <t>https://www.streetlightdata.com/wp-content/uploads/2018/03/Commutes-Across-America_180201.pdf</t>
  </si>
  <si>
    <t>State</t>
  </si>
  <si>
    <t>Mode</t>
  </si>
  <si>
    <t>Commute mode share (percent)</t>
  </si>
  <si>
    <t>State Name</t>
  </si>
  <si>
    <t>Median 1-way Commute (mi)</t>
  </si>
  <si>
    <t>Commute Mode</t>
  </si>
  <si>
    <t>Emission Factor (kg CO2e/passenger-mile)</t>
  </si>
  <si>
    <t xml:space="preserve">Notes </t>
  </si>
  <si>
    <t>Alabama</t>
  </si>
  <si>
    <t>Bicycle</t>
  </si>
  <si>
    <t>Carpool</t>
  </si>
  <si>
    <t>Arizona</t>
  </si>
  <si>
    <t>Drove alone</t>
  </si>
  <si>
    <t>Arkansas</t>
  </si>
  <si>
    <t>Public transportation</t>
  </si>
  <si>
    <t>California</t>
  </si>
  <si>
    <t>Taxi, motorcycle, or other</t>
  </si>
  <si>
    <t>Colorado</t>
  </si>
  <si>
    <t>Walked</t>
  </si>
  <si>
    <t>Connecticut</t>
  </si>
  <si>
    <t>Worked at home</t>
  </si>
  <si>
    <t>Delaware</t>
  </si>
  <si>
    <t>Alaska</t>
  </si>
  <si>
    <t>Florida</t>
  </si>
  <si>
    <t>Idaho</t>
  </si>
  <si>
    <t>Scope 3 Category 6: Business Travel and Category 7: Employee Commuting</t>
  </si>
  <si>
    <t>Illinois</t>
  </si>
  <si>
    <t>Indiana</t>
  </si>
  <si>
    <t>Iowa</t>
  </si>
  <si>
    <t>Vehicle Type</t>
  </si>
  <si>
    <t>CO2 Factor</t>
  </si>
  <si>
    <t>CH4 Factor</t>
  </si>
  <si>
    <t>N2O Factor</t>
  </si>
  <si>
    <t>CO2e</t>
  </si>
  <si>
    <t>Units</t>
  </si>
  <si>
    <t>Kansas</t>
  </si>
  <si>
    <t>(kg / unit)</t>
  </si>
  <si>
    <t>(g / unit)</t>
  </si>
  <si>
    <t>(kg/unit)</t>
  </si>
  <si>
    <t>Kentucky</t>
  </si>
  <si>
    <t>Passenger CarA</t>
  </si>
  <si>
    <t>vehicle-mile</t>
  </si>
  <si>
    <t>Louisiana</t>
  </si>
  <si>
    <t>Light-Duty TruckB</t>
  </si>
  <si>
    <t>Maine</t>
  </si>
  <si>
    <t>Motorcycle</t>
  </si>
  <si>
    <t>Maryland</t>
  </si>
  <si>
    <t>Intercity Rail - Northeast CorridorC</t>
  </si>
  <si>
    <t>passenger-mile</t>
  </si>
  <si>
    <t>Massachusetts</t>
  </si>
  <si>
    <t>Intercity Rail - Other RoutesC</t>
  </si>
  <si>
    <t>Michigan</t>
  </si>
  <si>
    <t>Intercity Rail - National AverageC</t>
  </si>
  <si>
    <t>Minnesota</t>
  </si>
  <si>
    <t>Commuter Rail D</t>
  </si>
  <si>
    <t>Mississippi</t>
  </si>
  <si>
    <t>Transit Rail (i.e. Subway, Tram) E</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</si>
  <si>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</si>
  <si>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</si>
  <si>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</si>
  <si>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</si>
  <si>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</si>
  <si>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</si>
  <si>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</si>
  <si>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</si>
  <si>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</si>
  <si>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</si>
  <si>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</si>
  <si>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</si>
  <si>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</si>
  <si>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</si>
  <si>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</si>
  <si>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</si>
  <si>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</si>
  <si>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</si>
  <si>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</si>
  <si>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</si>
  <si>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</si>
  <si>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</si>
  <si>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</si>
  <si>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</si>
  <si>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</si>
  <si>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</si>
  <si>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US Average</t>
  </si>
  <si>
    <t>District of Columbia</t>
  </si>
  <si>
    <t>Hawaii</t>
  </si>
  <si>
    <t>Select --&gt;</t>
  </si>
  <si>
    <t>AR5</t>
  </si>
  <si>
    <t>GWP</t>
  </si>
  <si>
    <t>SAR</t>
  </si>
  <si>
    <t>AR4</t>
  </si>
  <si>
    <t>Notes &amp; Sources</t>
  </si>
  <si>
    <t>These are GWP values for 100-year time horizon</t>
  </si>
  <si>
    <t xml:space="preserve">Other GHGs include a wide variety of other HFCs, perflourinated compounds, refrigerants, and other substances combined and translated into CO2e using AR4 GWPs. This step is completed by the EPA </t>
  </si>
  <si>
    <t>Source: GHG Protocol, Global Warming Potential Values. https://ghgprotocol.org/sites/default/files/ghgp/Global-Warming-Potential-Values%20%28Feb%2016%202016%29_1.pdf</t>
  </si>
  <si>
    <r>
      <rPr>
        <b/>
        <sz val="9"/>
        <rFont val="Arial"/>
        <family val="2"/>
      </rPr>
      <t>Notes:</t>
    </r>
    <r>
      <rPr>
        <sz val="9"/>
        <rFont val="Arial"/>
        <family val="2"/>
      </rPr>
      <t xml:space="preserve"> 
</t>
    </r>
    <r>
      <rPr>
        <vertAlign val="superscript"/>
        <sz val="9"/>
        <rFont val="Arial"/>
        <family val="2"/>
      </rPr>
      <t xml:space="preserve">A </t>
    </r>
    <r>
      <rPr>
        <sz val="9"/>
        <rFont val="Arial"/>
        <family val="2"/>
      </rPr>
      <t xml:space="preserve">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C</t>
    </r>
    <r>
      <rPr>
        <sz val="9"/>
        <rFont val="Arial"/>
        <family val="2"/>
      </rPr>
      <t xml:space="preserve"> Intercity rail: Amtrak long-distance rail between major cities. Northeast Corridor extends from Boston to Washington D.C. Other Routes are all routes outside the Northeast Corridor.
</t>
    </r>
    <r>
      <rPr>
        <vertAlign val="superscript"/>
        <sz val="9"/>
        <rFont val="Arial"/>
        <family val="2"/>
      </rPr>
      <t>D</t>
    </r>
    <r>
      <rPr>
        <sz val="9"/>
        <rFont val="Arial"/>
        <family val="2"/>
      </rPr>
      <t xml:space="preserve"> Commuter rail: rail service between a central city and adjacent suburbs (also called regional rail or suburban rail).  
</t>
    </r>
    <r>
      <rPr>
        <vertAlign val="superscript"/>
        <sz val="9"/>
        <rFont val="Arial"/>
        <family val="2"/>
      </rPr>
      <t>E</t>
    </r>
    <r>
      <rPr>
        <sz val="9"/>
        <rFont val="Arial"/>
        <family val="2"/>
      </rPr>
      <t xml:space="preserve"> Transit rail: rail typically within an urban center, such as subways, elevated railways, metropolitan railways (metro), streetcars, trolley cars, and tramways. </t>
    </r>
  </si>
  <si>
    <t>https://www.bts.gov/browse-statistical-products-and-data/state-transportation-statistics/commute-mode</t>
  </si>
  <si>
    <t>Total Patient Visits</t>
  </si>
  <si>
    <t>outpatient visits</t>
  </si>
  <si>
    <t>State (or select "US Average")</t>
  </si>
  <si>
    <t>Ohio full-time staff</t>
  </si>
  <si>
    <t>Florida part-time staff</t>
  </si>
  <si>
    <t>Number of full-time staff</t>
  </si>
  <si>
    <t>Number of part-time staff</t>
  </si>
  <si>
    <t>Average number of days per week for full-time staff</t>
  </si>
  <si>
    <t>Average number of days per week for part-time staff</t>
  </si>
  <si>
    <r>
      <rPr>
        <b/>
        <i/>
        <sz val="10"/>
        <rFont val="Arial"/>
        <family val="2"/>
      </rPr>
      <t>Total Revenue of Investee for year of inventory</t>
    </r>
    <r>
      <rPr>
        <sz val="10"/>
        <rFont val="Arial"/>
        <family val="2"/>
      </rPr>
      <t xml:space="preserve"> - data likely available from equity manager or from individual investee 10-K financial document</t>
    </r>
  </si>
  <si>
    <t>Other Description (optional)</t>
  </si>
  <si>
    <r>
      <t xml:space="preserve">Use of USEPA's </t>
    </r>
    <r>
      <rPr>
        <b/>
        <i/>
        <sz val="16"/>
        <color theme="1"/>
        <rFont val="Arial"/>
        <family val="2"/>
        <scheme val="minor"/>
      </rPr>
      <t>Supply Chain Greenhouse Gas Emission Factors for US Industries and Commodities</t>
    </r>
    <r>
      <rPr>
        <b/>
        <sz val="16"/>
        <color theme="1"/>
        <rFont val="Arial"/>
        <family val="2"/>
        <scheme val="minor"/>
      </rPr>
      <t xml:space="preserve"> - Inventory Year and Adjusting for Inflation</t>
    </r>
  </si>
  <si>
    <r>
      <t xml:space="preserve">Emissions for a number of categories relevant to the healthcare industry employ the "spend-based method" (as detailed in The GHG Protocol's </t>
    </r>
    <r>
      <rPr>
        <i/>
        <sz val="11"/>
        <color theme="1"/>
        <rFont val="Arial"/>
        <family val="2"/>
        <scheme val="minor"/>
      </rPr>
      <t xml:space="preserve">Technical Guidance for Calculating Scope 3 Emissions </t>
    </r>
    <r>
      <rPr>
        <sz val="11"/>
        <color theme="1"/>
        <rFont val="Arial"/>
        <family val="2"/>
        <scheme val="minor"/>
      </rPr>
      <t xml:space="preserve">(https://ghgprotocol.org/scope-3-technical-calculation-guidance). The spend-based method relies on the USEPA's </t>
    </r>
    <r>
      <rPr>
        <i/>
        <sz val="11"/>
        <color theme="1"/>
        <rFont val="Arial"/>
        <family val="2"/>
        <scheme val="minor"/>
      </rPr>
      <t>Supply Chain Greenhouse Gas Emission Factors for US Industries and Commodities</t>
    </r>
    <r>
      <rPr>
        <sz val="11"/>
        <color theme="1"/>
        <rFont val="Arial"/>
        <family val="2"/>
        <scheme val="minor"/>
      </rPr>
      <t xml:space="preserve"> database, based on year 2018 purchaser price data (https://cfpub.epa.gov/si/si_public_record_Report.cfm?dirEntryId=349324&amp;Lab=CESER). 
</t>
    </r>
    <r>
      <rPr>
        <b/>
        <sz val="11"/>
        <color theme="1"/>
        <rFont val="Arial"/>
        <family val="2"/>
        <scheme val="minor"/>
      </rPr>
      <t>This tab can be used to adjust for inflation as compared to 2018.</t>
    </r>
  </si>
  <si>
    <t xml:space="preserve">Users can adjust for inflation (compared to 2018) by using the U.S. Bureau of Labor Statistics Consumer Price Index (CPI) Inflation Calculator found at </t>
  </si>
  <si>
    <t>Emission Factor
(kg CO2e/$)</t>
  </si>
  <si>
    <t>Not relevant</t>
  </si>
  <si>
    <t>Average-data Method
(using EEIO database)</t>
  </si>
  <si>
    <t>Emission Factor (MTCO2e/short ton)</t>
  </si>
  <si>
    <t>Upstream Emission Factor (kg CO2e/kWh)</t>
  </si>
  <si>
    <t>TOTALS</t>
  </si>
  <si>
    <t>Calculation Guidance:</t>
  </si>
  <si>
    <r>
      <rPr>
        <b/>
        <i/>
        <sz val="10"/>
        <rFont val="Arial"/>
        <family val="2"/>
      </rPr>
      <t>Item Description (optional)</t>
    </r>
    <r>
      <rPr>
        <sz val="10"/>
        <rFont val="Arial"/>
        <family val="2"/>
      </rPr>
      <t xml:space="preserve"> is available for a user-specific identifier</t>
    </r>
  </si>
  <si>
    <r>
      <rPr>
        <b/>
        <sz val="10"/>
        <rFont val="Arial"/>
        <family val="2"/>
      </rPr>
      <t xml:space="preserve">Tables 2 and 3 - </t>
    </r>
    <r>
      <rPr>
        <sz val="10"/>
        <rFont val="Arial"/>
        <family val="2"/>
      </rPr>
      <t xml:space="preserve">Enter the Country and electricity </t>
    </r>
    <r>
      <rPr>
        <b/>
        <i/>
        <sz val="10"/>
        <rFont val="Arial"/>
        <family val="2"/>
      </rPr>
      <t>Consumption (kWh)</t>
    </r>
    <r>
      <rPr>
        <sz val="10"/>
        <rFont val="Arial"/>
        <family val="2"/>
      </rPr>
      <t xml:space="preserve"> totals and ensure the units are accurate</t>
    </r>
  </si>
  <si>
    <t>Cat 1 and 2 (Goods &amp; Services)</t>
  </si>
  <si>
    <t>not relevant</t>
  </si>
  <si>
    <t>Total invested with investee during year of inventory ($)</t>
  </si>
  <si>
    <t>Share of equity (percent)</t>
  </si>
  <si>
    <t>Investee organization</t>
  </si>
  <si>
    <t>Investee organization’s sector(s) of operation</t>
  </si>
  <si>
    <r>
      <rPr>
        <b/>
        <i/>
        <sz val="10"/>
        <rFont val="Arial"/>
        <family val="2"/>
      </rPr>
      <t>Investee organization</t>
    </r>
    <r>
      <rPr>
        <sz val="10"/>
        <rFont val="Arial"/>
        <family val="2"/>
      </rPr>
      <t xml:space="preserve"> - for the user to track various investments</t>
    </r>
  </si>
  <si>
    <r>
      <rPr>
        <b/>
        <i/>
        <sz val="10"/>
        <rFont val="Arial"/>
        <family val="2"/>
      </rPr>
      <t>Product Name or Group (optional)</t>
    </r>
    <r>
      <rPr>
        <sz val="10"/>
        <rFont val="Arial"/>
        <family val="2"/>
      </rPr>
      <t xml:space="preserve"> - for the user to track various products</t>
    </r>
  </si>
  <si>
    <r>
      <rPr>
        <b/>
        <i/>
        <sz val="10"/>
        <rFont val="Arial"/>
        <family val="2"/>
      </rPr>
      <t>Number of Units with GHG propellant</t>
    </r>
    <r>
      <rPr>
        <sz val="10"/>
        <rFont val="Arial"/>
        <family val="2"/>
      </rPr>
      <t xml:space="preserve"> - enter the overall number of units for each specific product</t>
    </r>
  </si>
  <si>
    <t>Mass of GHG propellant per unit (grams)</t>
  </si>
  <si>
    <r>
      <rPr>
        <b/>
        <i/>
        <sz val="10"/>
        <rFont val="Arial"/>
        <family val="2"/>
      </rPr>
      <t xml:space="preserve">Mass of GHG propellant per unit (grams) </t>
    </r>
    <r>
      <rPr>
        <i/>
        <sz val="10"/>
        <rFont val="Arial"/>
        <family val="2"/>
      </rPr>
      <t>- enter the mass of propellant (in grams) in each unit</t>
    </r>
  </si>
  <si>
    <r>
      <rPr>
        <b/>
        <i/>
        <sz val="10"/>
        <rFont val="Arial"/>
        <family val="2"/>
      </rPr>
      <t>Investee company’s sector(s) of operation</t>
    </r>
    <r>
      <rPr>
        <sz val="10"/>
        <rFont val="Arial"/>
        <family val="2"/>
      </rPr>
      <t xml:space="preserve"> - select from nearly ≈70 different sectors of the economy in which the investee is engaged</t>
    </r>
  </si>
  <si>
    <r>
      <rPr>
        <b/>
        <i/>
        <sz val="10"/>
        <rFont val="Arial"/>
        <family val="2"/>
      </rPr>
      <t>Total invested with investee during year of inventory ($)</t>
    </r>
    <r>
      <rPr>
        <b/>
        <sz val="10"/>
        <rFont val="Arial"/>
        <family val="2"/>
      </rPr>
      <t xml:space="preserve"> </t>
    </r>
    <r>
      <rPr>
        <sz val="10"/>
        <rFont val="Arial"/>
        <family val="2"/>
      </rPr>
      <t>- identify the funds invested in the reporting year</t>
    </r>
  </si>
  <si>
    <t>SCOPE 3 EMISSIONS SUMMARY</t>
  </si>
  <si>
    <t>Emissions
(MT CO2e)</t>
  </si>
  <si>
    <t>GHG Emissions (MTCO2e)</t>
  </si>
  <si>
    <t>Weight (short ton)</t>
  </si>
  <si>
    <r>
      <t>Metric Tons CO</t>
    </r>
    <r>
      <rPr>
        <b/>
        <vertAlign val="subscript"/>
        <sz val="10"/>
        <rFont val="Arial"/>
        <family val="2"/>
      </rPr>
      <t>2</t>
    </r>
    <r>
      <rPr>
        <b/>
        <sz val="10"/>
        <rFont val="Arial"/>
        <family val="2"/>
      </rPr>
      <t>e / Short Ton Material</t>
    </r>
  </si>
  <si>
    <t>NA</t>
  </si>
  <si>
    <t>Mixed Metals</t>
  </si>
  <si>
    <t>Mixed Plastics</t>
  </si>
  <si>
    <t>Mixed Recyclables</t>
  </si>
  <si>
    <t>Mixed Organics</t>
  </si>
  <si>
    <t>Mixed MSW</t>
  </si>
  <si>
    <t>Mixed Electronics</t>
  </si>
  <si>
    <r>
      <rPr>
        <b/>
        <i/>
        <sz val="10"/>
        <rFont val="Arial"/>
        <family val="2"/>
      </rPr>
      <t>Waste material</t>
    </r>
    <r>
      <rPr>
        <sz val="10"/>
        <rFont val="Arial"/>
        <family val="2"/>
      </rPr>
      <t xml:space="preserve"> - select from one of several mixed material types (e.g., "mixed MSW")</t>
    </r>
  </si>
  <si>
    <t>Waste material</t>
  </si>
  <si>
    <t>Recycled</t>
  </si>
  <si>
    <t>Landfilled</t>
  </si>
  <si>
    <t>Composted</t>
  </si>
  <si>
    <t>Mixed_Paper</t>
  </si>
  <si>
    <t>Mixed_Metals</t>
  </si>
  <si>
    <t>Mixed_Plastics</t>
  </si>
  <si>
    <t>Mixed_Recyclables</t>
  </si>
  <si>
    <t>Mixed_Organics</t>
  </si>
  <si>
    <t>Mixed_MSW</t>
  </si>
  <si>
    <t>Mixed_Electronics</t>
  </si>
  <si>
    <t>Combusted (incineration)</t>
  </si>
  <si>
    <r>
      <rPr>
        <b/>
        <i/>
        <sz val="10"/>
        <rFont val="Arial"/>
        <family val="2"/>
      </rPr>
      <t xml:space="preserve">Weight (short tons) </t>
    </r>
    <r>
      <rPr>
        <sz val="10"/>
        <rFont val="Arial"/>
        <family val="2"/>
      </rPr>
      <t>- enter the mass of material disposed/treated in short tons</t>
    </r>
  </si>
  <si>
    <t xml:space="preserve">Health care </t>
  </si>
  <si>
    <t xml:space="preserve">Inpatient </t>
  </si>
  <si>
    <t xml:space="preserve">Outpatient </t>
  </si>
  <si>
    <r>
      <t>Electricity energy intensity</t>
    </r>
    <r>
      <rPr>
        <b/>
        <vertAlign val="superscript"/>
        <sz val="10"/>
        <color theme="1"/>
        <rFont val="Arial"/>
        <family val="2"/>
        <scheme val="minor"/>
      </rPr>
      <t>1</t>
    </r>
    <r>
      <rPr>
        <b/>
        <sz val="10"/>
        <color theme="1"/>
        <rFont val="Arial"/>
        <family val="2"/>
        <scheme val="minor"/>
      </rPr>
      <t xml:space="preserve"> (kWh/square foot in buildings using electricity for the end use)</t>
    </r>
  </si>
  <si>
    <t>therms/ sq ft</t>
  </si>
  <si>
    <t>Total Output Emission Factors</t>
  </si>
  <si>
    <t>eGRID Subregion</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</si>
  <si>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</si>
  <si>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</si>
  <si>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</si>
  <si>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(lb / MWh)</t>
  </si>
  <si>
    <t>AKGD (ASCC Alaska Grid)</t>
  </si>
  <si>
    <t>AKMS (ASCC Miscellaneous)</t>
  </si>
  <si>
    <t>AZNM (WECC Southwest)</t>
  </si>
  <si>
    <t>CAMX (WECC California)</t>
  </si>
  <si>
    <t>ERCT (ERCOT All)</t>
  </si>
  <si>
    <t>FRCC (FRCC All)</t>
  </si>
  <si>
    <t>HIMS (HICC Miscellaneous)</t>
  </si>
  <si>
    <t>HIOA (HICC Oahu)</t>
  </si>
  <si>
    <t>MROE (MRO East)</t>
  </si>
  <si>
    <t>MROW (MRO West)</t>
  </si>
  <si>
    <t>NEWE (NPCC New England)</t>
  </si>
  <si>
    <t>NWPP (WECC Northwest)</t>
  </si>
  <si>
    <t>NYCW (NPCC NYC/Westchester)</t>
  </si>
  <si>
    <t>NYLI (NPCC Long Island)</t>
  </si>
  <si>
    <t>NYUP (NPCC Upstate NY)</t>
  </si>
  <si>
    <t>PRMS (Puerto Rico Miscellaneous)</t>
  </si>
  <si>
    <t>RFCE (RFC East)</t>
  </si>
  <si>
    <t>RFCM (RFC Michigan)</t>
  </si>
  <si>
    <t>RFCW (RFC West)</t>
  </si>
  <si>
    <t>RMPA (WECC Rockies)</t>
  </si>
  <si>
    <t>SPNO (SPP North)</t>
  </si>
  <si>
    <t>SPSO (SPP South)</t>
  </si>
  <si>
    <t>SRMV (SERC Mississippi Valley)</t>
  </si>
  <si>
    <t>SRMW (SERC Midwest)</t>
  </si>
  <si>
    <t>SRSO (SERC South)</t>
  </si>
  <si>
    <t>SRTV (SERC Tennessee Valley)</t>
  </si>
  <si>
    <t>SRVC (SERC Virginia/Carolina)</t>
  </si>
  <si>
    <t>GWPs (AR5)</t>
  </si>
  <si>
    <r>
      <t>CH</t>
    </r>
    <r>
      <rPr>
        <vertAlign val="subscript"/>
        <sz val="10"/>
        <rFont val="Arial"/>
        <family val="2"/>
      </rPr>
      <t>4</t>
    </r>
  </si>
  <si>
    <r>
      <t>N</t>
    </r>
    <r>
      <rPr>
        <vertAlign val="subscript"/>
        <sz val="10"/>
        <rFont val="Arial"/>
        <family val="2"/>
      </rPr>
      <t>2</t>
    </r>
    <r>
      <rPr>
        <sz val="10"/>
        <rFont val="Arial"/>
        <family val="2"/>
      </rPr>
      <t>O</t>
    </r>
  </si>
  <si>
    <r>
      <t>CO</t>
    </r>
    <r>
      <rPr>
        <b/>
        <vertAlign val="subscript"/>
        <sz val="10"/>
        <rFont val="Arial"/>
        <family val="2"/>
      </rPr>
      <t>2</t>
    </r>
    <r>
      <rPr>
        <b/>
        <sz val="10"/>
        <rFont val="Arial"/>
        <family val="2"/>
      </rPr>
      <t>e Factor</t>
    </r>
  </si>
  <si>
    <t>Electricity Usage (kWh)</t>
  </si>
  <si>
    <t>Natural Gas Usage (therms)</t>
  </si>
  <si>
    <t>Square Footage of Leased Asset</t>
  </si>
  <si>
    <t>Building A</t>
  </si>
  <si>
    <t>Building C</t>
  </si>
  <si>
    <r>
      <rPr>
        <b/>
        <i/>
        <sz val="10"/>
        <rFont val="Arial"/>
        <family val="2"/>
      </rPr>
      <t>Transportation Mode</t>
    </r>
    <r>
      <rPr>
        <sz val="10"/>
        <rFont val="Arial"/>
        <family val="2"/>
      </rPr>
      <t xml:space="preserve"> - select from one of several modes of transportation</t>
    </r>
  </si>
  <si>
    <r>
      <rPr>
        <b/>
        <i/>
        <sz val="10"/>
        <rFont val="Arial"/>
        <family val="2"/>
      </rPr>
      <t>Transportation Mode</t>
    </r>
    <r>
      <rPr>
        <sz val="10"/>
        <rFont val="Arial"/>
        <family val="2"/>
      </rPr>
      <t xml:space="preserve"> - select from one of several modes of transportation (e.g., truck transportation)</t>
    </r>
  </si>
  <si>
    <t>Category 1: Purchased Goods and Services</t>
  </si>
  <si>
    <t>Category 2: Capital Goods</t>
  </si>
  <si>
    <t>Category 3: Fuel- and energy related activities</t>
  </si>
  <si>
    <t>Category 4: Upstream transportation and distribution</t>
  </si>
  <si>
    <t>Category 7: Employee commuting</t>
  </si>
  <si>
    <t>Category 8: Upstream Leased Assets</t>
  </si>
  <si>
    <t>Category 9: Downstream Transportation and Distribution</t>
  </si>
  <si>
    <t>Category 13: Downstream leased assets</t>
  </si>
  <si>
    <t>Extraction, production, and transportation of goods and services purchased or acquired by the reporting company, not otherwise included in Categories 2 - 8</t>
  </si>
  <si>
    <t xml:space="preserve">Extraction, production, and transportation of capital goods purchased or acquired by the reporting company </t>
  </si>
  <si>
    <t xml:space="preserve">Operation of assets leased by the reporting company (lessee) </t>
  </si>
  <si>
    <t>Operation of assets owned by the reporting company (lessor) and leased to other entities</t>
  </si>
  <si>
    <t>Waste disposal/
treatment method</t>
  </si>
  <si>
    <t>Annual procurement spend ($)</t>
  </si>
  <si>
    <t>Scope 3 Emissions - Summary of Results</t>
  </si>
  <si>
    <r>
      <rPr>
        <b/>
        <sz val="10"/>
        <rFont val="Arial"/>
        <family val="2"/>
      </rPr>
      <t xml:space="preserve">Table 1 - </t>
    </r>
    <r>
      <rPr>
        <sz val="10"/>
        <rFont val="Arial"/>
        <family val="2"/>
      </rPr>
      <t xml:space="preserve">Enter the </t>
    </r>
    <r>
      <rPr>
        <b/>
        <i/>
        <sz val="10"/>
        <rFont val="Arial"/>
        <family val="2"/>
      </rPr>
      <t>Fuel Type</t>
    </r>
    <r>
      <rPr>
        <sz val="10"/>
        <rFont val="Arial"/>
        <family val="2"/>
      </rPr>
      <t xml:space="preserve"> and </t>
    </r>
    <r>
      <rPr>
        <b/>
        <i/>
        <sz val="10"/>
        <rFont val="Arial"/>
        <family val="2"/>
      </rPr>
      <t>Consumption</t>
    </r>
    <r>
      <rPr>
        <sz val="10"/>
        <rFont val="Arial"/>
        <family val="2"/>
      </rPr>
      <t xml:space="preserve"> totals and ensure the units are consistent with </t>
    </r>
    <r>
      <rPr>
        <b/>
        <i/>
        <sz val="10"/>
        <rFont val="Arial"/>
        <family val="2"/>
      </rPr>
      <t>Unit of Measure</t>
    </r>
    <r>
      <rPr>
        <sz val="10"/>
        <rFont val="Arial"/>
        <family val="2"/>
      </rPr>
      <t xml:space="preserve"> (UoM; column E)</t>
    </r>
  </si>
  <si>
    <t>Unit of Measure (UoM)</t>
  </si>
  <si>
    <t>Note: The activity data provided in the first row below is illustrative only and is not included in totals.</t>
  </si>
  <si>
    <t>Example</t>
  </si>
  <si>
    <t>Note, totals will populate once worksheets are populated with data and emissions are auto-calculated</t>
  </si>
  <si>
    <t>Table 2. Inhalers using HFC-134a as propellant</t>
  </si>
  <si>
    <t>Table 1. Inhalers using HFC-227ea as propellant</t>
  </si>
  <si>
    <t>Based on ENGIE Impact's evaluation of Healthcare System Scope 3 operations, this category primarily applies to use of inhalers and other products with refrigerant-based propellants</t>
  </si>
  <si>
    <r>
      <t xml:space="preserve">U.S. EPA (2021). United States Environmental Protection Agency, Center for Corporate Climate Leadership. </t>
    </r>
    <r>
      <rPr>
        <i/>
        <sz val="10"/>
        <color theme="1"/>
        <rFont val="Arial"/>
        <family val="2"/>
        <scheme val="minor"/>
      </rPr>
      <t>Emission Factors for Greenhouse Gas Inventories</t>
    </r>
    <r>
      <rPr>
        <sz val="10"/>
        <color theme="1"/>
        <rFont val="Arial"/>
        <family val="2"/>
        <scheme val="minor"/>
      </rPr>
      <t>. Retrieved August 2021 from https://www.epa.gov/climateleadership/ghg-emission-factors-hub.</t>
    </r>
  </si>
  <si>
    <r>
      <t xml:space="preserve">WRI/WBCSD (2013). </t>
    </r>
    <r>
      <rPr>
        <i/>
        <sz val="10"/>
        <color theme="1"/>
        <rFont val="Arial"/>
        <family val="2"/>
        <scheme val="minor"/>
      </rPr>
      <t xml:space="preserve">Technical Guidance for Calculating Scope 3 Emissions. </t>
    </r>
    <r>
      <rPr>
        <sz val="10"/>
        <color theme="1"/>
        <rFont val="Arial"/>
        <family val="2"/>
        <scheme val="minor"/>
      </rPr>
      <t>Retrieved August 2021</t>
    </r>
    <r>
      <rPr>
        <i/>
        <sz val="10"/>
        <color theme="1"/>
        <rFont val="Arial"/>
        <family val="2"/>
        <scheme val="minor"/>
      </rPr>
      <t xml:space="preserve">. </t>
    </r>
    <r>
      <rPr>
        <sz val="10"/>
        <color theme="1"/>
        <rFont val="Arial"/>
        <family val="2"/>
        <scheme val="minor"/>
      </rPr>
      <t>https://ghgprotocol.org/sites/default/files/standards/Scope3_Calculation_Guidance_0.pdf</t>
    </r>
  </si>
  <si>
    <r>
      <t xml:space="preserve">WRI/WBCSD (2011). </t>
    </r>
    <r>
      <rPr>
        <i/>
        <sz val="10"/>
        <color theme="1"/>
        <rFont val="Arial"/>
        <family val="2"/>
        <scheme val="minor"/>
      </rPr>
      <t>Corporate Value Chain (Scope 3) Accounting and Reporting Standard.</t>
    </r>
    <r>
      <rPr>
        <sz val="10"/>
        <color theme="1"/>
        <rFont val="Arial"/>
        <family val="2"/>
        <scheme val="minor"/>
      </rPr>
      <t xml:space="preserve"> Retrieved August 2021.  http://ghgprotocol.org/sites/default/files/standards/Corporate-Value-Chain-Accounting-Reporing-Standard_041613_2.pdf</t>
    </r>
  </si>
  <si>
    <t>References</t>
  </si>
  <si>
    <t>Enter annual data in GRAY cells in the below tables as follows:</t>
  </si>
  <si>
    <r>
      <rPr>
        <b/>
        <sz val="10"/>
        <rFont val="Arial"/>
        <family val="2"/>
      </rPr>
      <t xml:space="preserve">Tables 1 and 2 - </t>
    </r>
    <r>
      <rPr>
        <sz val="10"/>
        <rFont val="Arial"/>
        <family val="2"/>
      </rPr>
      <t xml:space="preserve">These tables are for tracking inhalers with HFC-227ea and with HFC-134a, respectively. </t>
    </r>
  </si>
  <si>
    <r>
      <t xml:space="preserve">U.S. EPA (2020). Ingwersen, W. AND M. Li. </t>
    </r>
    <r>
      <rPr>
        <i/>
        <sz val="10"/>
        <color theme="1"/>
        <rFont val="Arial"/>
        <family val="2"/>
        <scheme val="minor"/>
      </rPr>
      <t>Supply Chain Greenhouse Gas Emission Factors for US Industries and Commodities</t>
    </r>
    <r>
      <rPr>
        <sz val="10"/>
        <color theme="1"/>
        <rFont val="Arial"/>
        <family val="2"/>
        <scheme val="minor"/>
      </rPr>
      <t>. U.S. Environmental Protection Agency, Washington, DC, EPA/600/R-20/001, 2020.</t>
    </r>
  </si>
  <si>
    <t>Bureau of Transportation Statistics Commute Mode data by percent by state (2019). Retrieved August 2021. https://www.bts.gov/browse-statistical-products-and-data/state-transportation-statistics/commute-mode</t>
  </si>
  <si>
    <t>Commutes Across America (Streetlightdata). Retrieved August 2021. https://www.streetlightdata.com/wp-content/uploads/2018/03/Commutes-Across-America_180201.pdf</t>
  </si>
  <si>
    <t>Enter annual data in GRAY cells in the below table as follows:</t>
  </si>
  <si>
    <t>Enter annual energy consumption data  (fuels and electricity) in GRAY cells in the below table as follows:</t>
  </si>
  <si>
    <t>Other General References (Scope 3 Emissions)</t>
  </si>
  <si>
    <t>Nonresidential building repair and maintanence</t>
  </si>
  <si>
    <t>Residential building repair and maintanence</t>
  </si>
  <si>
    <t>Health care buildings</t>
  </si>
  <si>
    <t>Manufacturing buildings</t>
  </si>
  <si>
    <t>Utilities buildings and infrastructure</t>
  </si>
  <si>
    <t>Schools and vocational buildings</t>
  </si>
  <si>
    <t>Highways, streets, and bridges</t>
  </si>
  <si>
    <t>Single-family homes</t>
  </si>
  <si>
    <t>Multifamily homes</t>
  </si>
  <si>
    <t>Vegetable oils and by-products</t>
  </si>
  <si>
    <t>Lids, jars, bottle caps, other metal closures and crowns</t>
  </si>
  <si>
    <t>Air purification and ventilation equipment</t>
  </si>
  <si>
    <t>Metal cutting and forming machine tools</t>
  </si>
  <si>
    <t>Home furniture - Cabinets and non-wood, nonupholstered</t>
  </si>
  <si>
    <t>Other federal government enterprises</t>
  </si>
  <si>
    <t>Federal government enterprises</t>
  </si>
  <si>
    <t>Other state and local government enterprises</t>
  </si>
  <si>
    <t>Noncomparable imports</t>
  </si>
  <si>
    <t>Used and secondhand goods</t>
  </si>
  <si>
    <t>Federal general government (defense)</t>
  </si>
  <si>
    <t>Federal general government (nondefense)</t>
  </si>
  <si>
    <t>Rest of the world adjustment</t>
  </si>
  <si>
    <t xml:space="preserve">Air transportation  </t>
  </si>
  <si>
    <t xml:space="preserve">Rail transportation </t>
  </si>
  <si>
    <t xml:space="preserve">Transit and ground passenger transportation </t>
  </si>
  <si>
    <t>S00500</t>
  </si>
  <si>
    <t>S00600</t>
  </si>
  <si>
    <t>S00102</t>
  </si>
  <si>
    <t>GSLGE</t>
  </si>
  <si>
    <t>GSLGH</t>
  </si>
  <si>
    <t>GSLGO</t>
  </si>
  <si>
    <t>S00203</t>
  </si>
  <si>
    <t>S00401</t>
  </si>
  <si>
    <t>Scrap</t>
  </si>
  <si>
    <t>S00402</t>
  </si>
  <si>
    <t>S00300</t>
  </si>
  <si>
    <t>S00900</t>
  </si>
  <si>
    <t>Detail Commodity Name</t>
  </si>
  <si>
    <t>rename to "pharmaceutical wholesaler" and regroup with Chemical Products above</t>
  </si>
  <si>
    <t>Include/Exclude</t>
  </si>
  <si>
    <t>Exclude</t>
  </si>
  <si>
    <t>Include</t>
  </si>
  <si>
    <t>Exclude (this is captured in Cat 4 Upstream T&amp;D)</t>
  </si>
  <si>
    <t>Detailed Commodity Name</t>
  </si>
  <si>
    <t>Chemical Products - Pharmaceutical wholesaler</t>
  </si>
  <si>
    <t>Ambulatory health care services - General</t>
  </si>
  <si>
    <t>Apparel and leather and allied products - General</t>
  </si>
  <si>
    <t>Chemical products - General</t>
  </si>
  <si>
    <t>Computer and electronic products - General</t>
  </si>
  <si>
    <t>Computer systems design and related services - General</t>
  </si>
  <si>
    <t>Construction - General</t>
  </si>
  <si>
    <t>Data processing, internet publishing, and other information services - General</t>
  </si>
  <si>
    <t>Food and beverage and tobacco products - General</t>
  </si>
  <si>
    <t>Furniture and related products - General</t>
  </si>
  <si>
    <t>Miscellaneous manufacturing - General</t>
  </si>
  <si>
    <t>Miscellaneous professional, scientific, and technical services - General</t>
  </si>
  <si>
    <t>Nursing and residential care facilities - General</t>
  </si>
  <si>
    <t>Other services, except government - General</t>
  </si>
  <si>
    <t>Paper products - General</t>
  </si>
  <si>
    <t>Publishing industries, except internet (includes software) - General</t>
  </si>
  <si>
    <t>Textile mills and textile product mills - General</t>
  </si>
  <si>
    <t>Wholesale trade - General</t>
  </si>
  <si>
    <t>Ambulatory health care services - Ambulances</t>
  </si>
  <si>
    <t>Ambulatory health care services - Healthcare practitioners (except physicians and dentists)</t>
  </si>
  <si>
    <t>Ambulatory health care services - Home healthcare</t>
  </si>
  <si>
    <t>Ambulatory health care services - Medical laboratories</t>
  </si>
  <si>
    <t>Ambulatory health care services - Outpatient healthcare</t>
  </si>
  <si>
    <t>Ambulatory health care services - Physicians</t>
  </si>
  <si>
    <t>Apparel and leather and allied products - Clothing</t>
  </si>
  <si>
    <t>Chemical products - Adhesives</t>
  </si>
  <si>
    <t>Chemical products - Blood sugar, pregnancy, and other diagnostic test kits</t>
  </si>
  <si>
    <t>Chemical products - Chemicals (except basic chemicals, agrichemicals, polymers, paints, pharmaceuticals,soaps, cleaning compounds)</t>
  </si>
  <si>
    <t>Chemical products - Compressed Gases</t>
  </si>
  <si>
    <t>Chemical products - Medicinal and botanical ingredients</t>
  </si>
  <si>
    <t>Chemical products - Other basic inorganic chemicals</t>
  </si>
  <si>
    <t>Chemical products - Other basic organic chemicals</t>
  </si>
  <si>
    <t>Chemical products - Pharmaceutical products (pills, powders, solutions, etc.)</t>
  </si>
  <si>
    <t>Chemical products - Soap and cleaning compounds</t>
  </si>
  <si>
    <t>Chemical products - Toiletries</t>
  </si>
  <si>
    <t>Chemical products - Vaccines and other biological medical products</t>
  </si>
  <si>
    <t>Computer and electronic products - Analytical laboratory instruments</t>
  </si>
  <si>
    <t>Computer and electronic products - Audio and video equipment</t>
  </si>
  <si>
    <t>Computer and electronic products - Computer storage device readers</t>
  </si>
  <si>
    <t>Computer and electronic products - Computer terminals and other computer peripheral equipment</t>
  </si>
  <si>
    <t>Computer and electronic products - Computers</t>
  </si>
  <si>
    <t>Computer and electronic products - Electromedical appartuses</t>
  </si>
  <si>
    <t>Computer and electronic products - Electronic capacitors, resistors, coils, transformers, connectors and other components (except  semiconductors and printed circuit assemblies)</t>
  </si>
  <si>
    <t>Computer and electronic products - Irradiation apparatuses</t>
  </si>
  <si>
    <t>Computer and electronic products - Telephones</t>
  </si>
  <si>
    <t>Computer systems design and related services - Computer systems design</t>
  </si>
  <si>
    <t>Computer systems design and related services - Custom computer programming</t>
  </si>
  <si>
    <t>Computer systems design and related services - Other computer related services, including facilities management</t>
  </si>
  <si>
    <t>Construction - Health care structures</t>
  </si>
  <si>
    <t>Data processing, internet publishing, and other information services - Data processing and hosting</t>
  </si>
  <si>
    <t>Food and beverage and tobacco products - All other foods</t>
  </si>
  <si>
    <t>Furniture and related products - Institutional furniture</t>
  </si>
  <si>
    <t>Furniture and related products - Office furniture and custom architectural woodwork and millwork</t>
  </si>
  <si>
    <t>Miscellaneous manufacturing - Office supplies (not paper)</t>
  </si>
  <si>
    <t>Miscellaneous manufacturing - Surgical and medical instruments</t>
  </si>
  <si>
    <t>Miscellaneous manufacturing - Surgical appliance and supplies</t>
  </si>
  <si>
    <t>Miscellaneous professional, scientific, and technical services - Architectural, engineering, and related services</t>
  </si>
  <si>
    <t>Miscellaneous professional, scientific, and technical services - Environmental and other technical consulting services</t>
  </si>
  <si>
    <t>Miscellaneous professional, scientific, and technical services - Scientific research and development</t>
  </si>
  <si>
    <t>Nursing and residential care facilities - Nursing and community care facilities</t>
  </si>
  <si>
    <t>Nursing and residential care facilities - Residential mental retardation, mental health, substance abuse and other facilities</t>
  </si>
  <si>
    <t>Other services, except government - Commercial machinery repair</t>
  </si>
  <si>
    <t>Other services, except government - Dry-cleaning and laundry</t>
  </si>
  <si>
    <t>Other services, except government - Electronic  equipment repair and maintenance</t>
  </si>
  <si>
    <t>Paper products - All other converted paper products</t>
  </si>
  <si>
    <t>Paper products - Paper</t>
  </si>
  <si>
    <t>Paper products - Sanitary paper (tissues, napkins, diapers, etc.)</t>
  </si>
  <si>
    <t>Publishing industries, except internet (includes software) - Magazines and journals</t>
  </si>
  <si>
    <t>Textile mills and textile product mills - Carpets and rugs</t>
  </si>
  <si>
    <t>Textile mills and textile product mills - Curtains and linens</t>
  </si>
  <si>
    <t>Textile mills and textile product mills - Fabric</t>
  </si>
  <si>
    <t>Textile mills and textile product mills - Other textiles</t>
  </si>
  <si>
    <t>Category 1 and 2 - Purchased Goods &amp; Services / Capital Goods</t>
  </si>
  <si>
    <r>
      <t xml:space="preserve">Based on ENGIE Impact's evaluation of Healthcare System Scope 3 operations, this category is likely to represent a </t>
    </r>
    <r>
      <rPr>
        <i/>
        <sz val="10"/>
        <color rgb="FFFF0000"/>
        <rFont val="Arial"/>
        <family val="2"/>
        <scheme val="minor"/>
      </rPr>
      <t>de minimis</t>
    </r>
    <r>
      <rPr>
        <sz val="10"/>
        <color rgb="FFFF0000"/>
        <rFont val="Arial"/>
        <family val="2"/>
        <scheme val="minor"/>
      </rPr>
      <t xml:space="preserve"> contribution to overall Scope 3 emissions and is therefore excluded from this tool</t>
    </r>
  </si>
  <si>
    <t>* The Wholesale Trade (Summary Name) and Drugs and druggists’ sundries (Detailed Name) was renamed to "Pharmaceutical wholesaler" and grouped with “Chemical Products”. The EF was modified by adding the EF for Drugs &amp; druggists' sundries to the cradle-to-shelf EF for Pharmaceutical products (pills, powders, solutions, etc.); this should more accurately represent emissions from ‘middle man’ wholesaler like AmerisourceBergen, in which we need to capture emissions from both the pharmaceutical production as well as the wholesale trade components.</t>
  </si>
  <si>
    <t xml:space="preserve">** the Wholesale Trade (Summary Name) and Other durable goods merchant wholesalers (Detailed Name) was renamed as “wholesale surgical appliance and supplies” and grouped with “Miscellaneous manufacturing”. The EF was modified by adding the EF for Other durable goods merchant wholesalers to the cradle-to-shelf EF for Surgical appliance and supplies (under Miscellaneous manufacturing). This should more accurately represent emissions from ‘middle man’ wholesaler like Cardinal Health, in which we should capture emissions from both surgical supply production as well as the wholesale trade components. </t>
  </si>
  <si>
    <r>
      <t xml:space="preserve">Detailed Commodity </t>
    </r>
    <r>
      <rPr>
        <b/>
        <sz val="11"/>
        <color rgb="FFFFFF00"/>
        <rFont val="Arial"/>
        <family val="2"/>
        <scheme val="minor"/>
      </rPr>
      <t>NEW</t>
    </r>
    <r>
      <rPr>
        <b/>
        <sz val="11"/>
        <color theme="1"/>
        <rFont val="Arial"/>
        <family val="2"/>
        <scheme val="minor"/>
      </rPr>
      <t xml:space="preserve"> Name</t>
    </r>
  </si>
  <si>
    <r>
      <t xml:space="preserve">Summary Commodity </t>
    </r>
    <r>
      <rPr>
        <b/>
        <sz val="11"/>
        <color rgb="FFFFFF00"/>
        <rFont val="Arial"/>
        <family val="2"/>
        <scheme val="minor"/>
      </rPr>
      <t>NEW</t>
    </r>
    <r>
      <rPr>
        <b/>
        <sz val="11"/>
        <color theme="1"/>
        <rFont val="Arial"/>
        <family val="2"/>
        <scheme val="minor"/>
      </rPr>
      <t xml:space="preserve"> Name</t>
    </r>
  </si>
  <si>
    <r>
      <rPr>
        <b/>
        <i/>
        <sz val="10"/>
        <rFont val="Arial"/>
        <family val="2"/>
      </rPr>
      <t>Annual procurement spend ($)</t>
    </r>
    <r>
      <rPr>
        <sz val="10"/>
        <rFont val="Arial"/>
        <family val="2"/>
      </rPr>
      <t xml:space="preserve"> - identify the funds allocated to the purchase of items within the selected sector/commodity in the reporting year</t>
    </r>
  </si>
  <si>
    <t>Economic Sector (Commodity Name)</t>
  </si>
  <si>
    <t>Enter the resulting value ("has the same buying power as") in cell J17 where shown</t>
  </si>
  <si>
    <t>Miscellaneous manufacturing - Surgical appliance and supplies wholesaler</t>
  </si>
  <si>
    <r>
      <rPr>
        <b/>
        <i/>
        <sz val="10"/>
        <rFont val="Arial"/>
        <family val="2"/>
      </rPr>
      <t>Other Description (optional)</t>
    </r>
    <r>
      <rPr>
        <b/>
        <sz val="10"/>
        <rFont val="Arial"/>
        <family val="2"/>
      </rPr>
      <t xml:space="preserve"> </t>
    </r>
    <r>
      <rPr>
        <sz val="10"/>
        <rFont val="Arial"/>
        <family val="2"/>
      </rPr>
      <t xml:space="preserve">- this column is available for any user-specific identifier </t>
    </r>
  </si>
  <si>
    <r>
      <t>Other Description (optional)</t>
    </r>
    <r>
      <rPr>
        <b/>
        <sz val="10"/>
        <rFont val="Arial"/>
        <family val="2"/>
      </rPr>
      <t xml:space="preserve"> </t>
    </r>
    <r>
      <rPr>
        <sz val="10"/>
        <rFont val="Arial"/>
        <family val="2"/>
      </rPr>
      <t xml:space="preserve">- this column is available for any user-specific identifier </t>
    </r>
  </si>
  <si>
    <r>
      <rPr>
        <b/>
        <i/>
        <sz val="10"/>
        <rFont val="Arial"/>
        <family val="2"/>
      </rPr>
      <t>Item Description</t>
    </r>
    <r>
      <rPr>
        <sz val="10"/>
        <rFont val="Arial"/>
        <family val="2"/>
      </rPr>
      <t xml:space="preserve"> - this column is available for any user-specific identifier</t>
    </r>
  </si>
  <si>
    <r>
      <rPr>
        <b/>
        <i/>
        <sz val="10"/>
        <rFont val="Arial"/>
        <family val="2"/>
      </rPr>
      <t xml:space="preserve">Item Description (optional) </t>
    </r>
    <r>
      <rPr>
        <sz val="10"/>
        <rFont val="Arial"/>
        <family val="2"/>
      </rPr>
      <t>- this column is available for any user-specific identifier</t>
    </r>
  </si>
  <si>
    <t>Waste generated from facility A</t>
  </si>
  <si>
    <r>
      <t xml:space="preserve">This spreadsheet tool is designed to estimate annual emissions for Scope 3 categories relevant to the healthcare industry. The buttons below in the leftmost column will take the user to a calculation spreadsheet for each category, where users can input data and estimate emissions. Emissions estimates are based on either the "spend-based method" or the "average-data method", as detailed in The GHG Protocol's Technical Guidance for Calculating Scope 3 Emissions (https://ghgprotocol.org/scope-3-technical-calculation-guidance). An overview of each category is provided below, with additional details provided in each calculation tab (clicking on the category "button" in column B will navigate to it's respective calculation tab).  </t>
    </r>
    <r>
      <rPr>
        <b/>
        <i/>
        <sz val="11"/>
        <color theme="1"/>
        <rFont val="Arial"/>
        <family val="2"/>
        <scheme val="minor"/>
      </rPr>
      <t>On each calculation tab, example activity data is provided in the first row for illustrative purposes only, and is not included in totals.</t>
    </r>
    <r>
      <rPr>
        <sz val="11"/>
        <color theme="1"/>
        <rFont val="Arial"/>
        <family val="2"/>
        <scheme val="minor"/>
      </rPr>
      <t xml:space="preserve">
Note, based on ENGIE Impact's evaluation of Scope 3 operations for several healthcare systems, the following categories are likely to represent only de minimis contribution to overall Scope 3 emissions and are therefore excluded from this tool: Category 10 (processing of sold products), 12 (end-life treatment of sold products), and 14 (franchises).</t>
    </r>
  </si>
  <si>
    <t>Description</t>
  </si>
  <si>
    <t>Index</t>
  </si>
  <si>
    <t>ID</t>
  </si>
  <si>
    <t>Name</t>
  </si>
  <si>
    <t>Code</t>
  </si>
  <si>
    <t>Location</t>
  </si>
  <si>
    <t>1111A0/US</t>
  </si>
  <si>
    <t>US</t>
  </si>
  <si>
    <t>11: Agriculture, Forestry, Fishing and Hunting/1111: Oilseed and Grain Farming</t>
  </si>
  <si>
    <t>1111B0/US</t>
  </si>
  <si>
    <t>111200/US</t>
  </si>
  <si>
    <t>11: Agriculture, Forestry, Fishing and Hunting/1112: Vegetable and Melon Farming</t>
  </si>
  <si>
    <t>111300/US</t>
  </si>
  <si>
    <t>11: Agriculture, Forestry, Fishing and Hunting/1113: Fruit and Tree Nut Farming</t>
  </si>
  <si>
    <t>111400/US</t>
  </si>
  <si>
    <t>11: Agriculture, Forestry, Fishing and Hunting/1114: Greenhouse, Nursery, and Floriculture Production</t>
  </si>
  <si>
    <t>111900/US</t>
  </si>
  <si>
    <t>11: Agriculture, Forestry, Fishing and Hunting/1119: Other Crop Farming</t>
  </si>
  <si>
    <t>112120/US</t>
  </si>
  <si>
    <t>11: Agriculture, Forestry, Fishing and Hunting/1121: Cattle Ranching and Farming</t>
  </si>
  <si>
    <t>1121A0/US</t>
  </si>
  <si>
    <t>112300/US</t>
  </si>
  <si>
    <t>11: Agriculture, Forestry, Fishing and Hunting/1123: Poultry and Egg Production</t>
  </si>
  <si>
    <t>112A00/US</t>
  </si>
  <si>
    <t>11: Agriculture, Forestry, Fishing and Hunting/1129: Other Animal Production</t>
  </si>
  <si>
    <t>113000/US</t>
  </si>
  <si>
    <t>11: Agriculture, Forestry, Fishing and Hunting/1131: Timber Tract Operations</t>
  </si>
  <si>
    <t>114000/US</t>
  </si>
  <si>
    <t>11: Agriculture, Forestry, Fishing and Hunting/1141: Fishing</t>
  </si>
  <si>
    <t>115000/US</t>
  </si>
  <si>
    <t>11: Agriculture, Forestry, Fishing and Hunting/1151: Support Activities for Crop Production</t>
  </si>
  <si>
    <t>211000/US</t>
  </si>
  <si>
    <t>21: Mining, Quarrying, and Oil and Gas Extraction/2111: Oil and Gas Extraction</t>
  </si>
  <si>
    <t>212100/US</t>
  </si>
  <si>
    <t>21: Mining, Quarrying, and Oil and Gas Extraction/2121: Coal Mining</t>
  </si>
  <si>
    <t>212230/US</t>
  </si>
  <si>
    <t>21: Mining, Quarrying, and Oil and Gas Extraction/2122: Metal Ore Mining</t>
  </si>
  <si>
    <t>2122A0/US</t>
  </si>
  <si>
    <t>212310/US</t>
  </si>
  <si>
    <t>21: Mining, Quarrying, and Oil and Gas Extraction/2123: Nonmetallic Mineral Mining and Quarrying</t>
  </si>
  <si>
    <t>2123A0/US</t>
  </si>
  <si>
    <t>213111/US</t>
  </si>
  <si>
    <t>21: Mining, Quarrying, and Oil and Gas Extraction/2131: Support Activities for Mining</t>
  </si>
  <si>
    <t>21311A/US</t>
  </si>
  <si>
    <t>221100/US</t>
  </si>
  <si>
    <t>22: Utilities/2211: Electric Power Generation, Transmission and Distribution</t>
  </si>
  <si>
    <t>221200/US</t>
  </si>
  <si>
    <t>22: Utilities/2212: Natural Gas Distribution</t>
  </si>
  <si>
    <t>221300/US</t>
  </si>
  <si>
    <t>22: Utilities/2213: Water, Sewage and Other Systems</t>
  </si>
  <si>
    <t>233210/US</t>
  </si>
  <si>
    <t>23: Construction/2362: Nonresidential Building Construction</t>
  </si>
  <si>
    <t>233262/US</t>
  </si>
  <si>
    <t>230301/US</t>
  </si>
  <si>
    <t>230302/US</t>
  </si>
  <si>
    <t>23: Construction/2361: Residential Building Construction</t>
  </si>
  <si>
    <t>2332A0/US</t>
  </si>
  <si>
    <t>233412/US</t>
  </si>
  <si>
    <t>2334A0/US</t>
  </si>
  <si>
    <t>233230/US</t>
  </si>
  <si>
    <t>2332D0/US</t>
  </si>
  <si>
    <t>233240/US</t>
  </si>
  <si>
    <t>23: Construction/2371: Utility System Construction</t>
  </si>
  <si>
    <t>233411/US</t>
  </si>
  <si>
    <t>2332C0/US</t>
  </si>
  <si>
    <t>23: Construction/2373: Highway, Street, and Bridge Construction</t>
  </si>
  <si>
    <t>321100/US</t>
  </si>
  <si>
    <t>31-33: Manufacturing/3211: Sawmills and Wood Preservation</t>
  </si>
  <si>
    <t>321200/US</t>
  </si>
  <si>
    <t>31-33: Manufacturing/3212: Veneer, Plywood, and Engineered Wood Product Manufacturing</t>
  </si>
  <si>
    <t>321910/US</t>
  </si>
  <si>
    <t>31-33: Manufacturing/3219: Other Wood Product Manufacturing</t>
  </si>
  <si>
    <t>3219A0/US</t>
  </si>
  <si>
    <t>327100/US</t>
  </si>
  <si>
    <t>31-33: Manufacturing/3271: Clay Product and Refractory Manufacturing</t>
  </si>
  <si>
    <t>327200/US</t>
  </si>
  <si>
    <t>31-33: Manufacturing/3272: Glass and Glass Product Manufacturing</t>
  </si>
  <si>
    <t>327310/US</t>
  </si>
  <si>
    <t>31-33: Manufacturing/3273: Cement and Concrete Product Manufacturing</t>
  </si>
  <si>
    <t>327320/US</t>
  </si>
  <si>
    <t>327330/US</t>
  </si>
  <si>
    <t>327390/US</t>
  </si>
  <si>
    <t>327400/US</t>
  </si>
  <si>
    <t>31-33: Manufacturing/3274: Lime and Gypsum Product Manufacturing</t>
  </si>
  <si>
    <t>327910/US</t>
  </si>
  <si>
    <t>31-33: Manufacturing/3279: Other Nonmetallic Mineral Product Manufacturing</t>
  </si>
  <si>
    <t>327991/US</t>
  </si>
  <si>
    <t>327992/US</t>
  </si>
  <si>
    <t>327993/US</t>
  </si>
  <si>
    <t>327999/US</t>
  </si>
  <si>
    <t>331110/US</t>
  </si>
  <si>
    <t>31-33: Manufacturing/3311: Iron and Steel Mills and Ferroalloy Manufacturing</t>
  </si>
  <si>
    <t>331200/US</t>
  </si>
  <si>
    <t>31-33: Manufacturing/3312: Steel Product Manufacturing from Purchased Steel</t>
  </si>
  <si>
    <t>331313/US</t>
  </si>
  <si>
    <t>Primary aluminum</t>
  </si>
  <si>
    <t>31-33: Manufacturing/3313: Alumina and Aluminum Production and Processing</t>
  </si>
  <si>
    <t>33131B/US</t>
  </si>
  <si>
    <t>Secondary aluminum</t>
  </si>
  <si>
    <t>331410/US</t>
  </si>
  <si>
    <t>Copper, gold and silver concentrates</t>
  </si>
  <si>
    <t>31-33: Manufacturing/3314: Nonferrous Metal (except Aluminum) Production and Processing</t>
  </si>
  <si>
    <t>331420/US</t>
  </si>
  <si>
    <t>331490/US</t>
  </si>
  <si>
    <t>331510/US</t>
  </si>
  <si>
    <t>31-33: Manufacturing/3315: Foundries</t>
  </si>
  <si>
    <t>331520/US</t>
  </si>
  <si>
    <t>332114/US</t>
  </si>
  <si>
    <t>31-33: Manufacturing/3321: Forging and Stamping</t>
  </si>
  <si>
    <t>33211A/US</t>
  </si>
  <si>
    <t>332119/US</t>
  </si>
  <si>
    <t>332200/US</t>
  </si>
  <si>
    <t>31-33: Manufacturing/3322: Cutlery and Handtool Manufacturing</t>
  </si>
  <si>
    <t>332310/US</t>
  </si>
  <si>
    <t>31-33: Manufacturing/3323: Architectural and Structural Metals Manufacturing</t>
  </si>
  <si>
    <t>332320/US</t>
  </si>
  <si>
    <t>332410/US</t>
  </si>
  <si>
    <t>31-33: Manufacturing/3324: Boiler, Tank, and Shipping Container Manufacturing</t>
  </si>
  <si>
    <t>332420/US</t>
  </si>
  <si>
    <t>332430/US</t>
  </si>
  <si>
    <t>332500/US</t>
  </si>
  <si>
    <t>31-33: Manufacturing/3325: Hardware Manufacturing</t>
  </si>
  <si>
    <t>332600/US</t>
  </si>
  <si>
    <t>31-33: Manufacturing/3326: Spring and Wire Product Manufacturing</t>
  </si>
  <si>
    <t>332710/US</t>
  </si>
  <si>
    <t>31-33: Manufacturing/3327: Machine Shops; Turned Product; and Screw, Nut, and Bolt Manufacturing</t>
  </si>
  <si>
    <t>332720/US</t>
  </si>
  <si>
    <t>332800/US</t>
  </si>
  <si>
    <t>31-33: Manufacturing/3328: Coating, Engraving, Heat Treating, and Allied Activities</t>
  </si>
  <si>
    <t>332913/US</t>
  </si>
  <si>
    <t>31-33: Manufacturing/3329: Other Fabricated Metal Product Manufacturing</t>
  </si>
  <si>
    <t>33291A/US</t>
  </si>
  <si>
    <t>332991/US</t>
  </si>
  <si>
    <t>332996/US</t>
  </si>
  <si>
    <t>33299A/US</t>
  </si>
  <si>
    <t>332999/US</t>
  </si>
  <si>
    <t>Misc. fabricated metal products</t>
  </si>
  <si>
    <t>333111/US</t>
  </si>
  <si>
    <t>31-33: Manufacturing/3331: Agriculture, Construction, and Mining Machinery Manufacturing</t>
  </si>
  <si>
    <t>333112/US</t>
  </si>
  <si>
    <t>333120/US</t>
  </si>
  <si>
    <t>333130/US</t>
  </si>
  <si>
    <t>333242/US</t>
  </si>
  <si>
    <t>31-33: Manufacturing/3332: Industrial Machinery Manufacturing</t>
  </si>
  <si>
    <t>33329A/US</t>
  </si>
  <si>
    <t>333314/US</t>
  </si>
  <si>
    <t>31-33: Manufacturing/3333: Commercial and Service Industry Machinery Manufacturing</t>
  </si>
  <si>
    <t>333316/US</t>
  </si>
  <si>
    <t>333318/US</t>
  </si>
  <si>
    <t>333414/US</t>
  </si>
  <si>
    <t>31-33: Manufacturing/3334: Ventilation, Heating, Air-Conditioning, and Commercial Refrigeration Equipment Manufacturing</t>
  </si>
  <si>
    <t>333415/US</t>
  </si>
  <si>
    <t>333413/US</t>
  </si>
  <si>
    <t>333511/US</t>
  </si>
  <si>
    <t>31-33: Manufacturing/3335: Metalworking Machinery Manufacturing</t>
  </si>
  <si>
    <t>333514/US</t>
  </si>
  <si>
    <t>333517/US</t>
  </si>
  <si>
    <t>33351B/US</t>
  </si>
  <si>
    <t>333611/US</t>
  </si>
  <si>
    <t>31-33: Manufacturing/3336: Engine, Turbine, and Power Transmission Equipment Manufacturing</t>
  </si>
  <si>
    <t>333612/US</t>
  </si>
  <si>
    <t>333613/US</t>
  </si>
  <si>
    <t>333618/US</t>
  </si>
  <si>
    <t>333912/US</t>
  </si>
  <si>
    <t>31-33: Manufacturing/3339: Other General Purpose Machinery Manufacturing</t>
  </si>
  <si>
    <t>33391A/US</t>
  </si>
  <si>
    <t>333920/US</t>
  </si>
  <si>
    <t>333991/US</t>
  </si>
  <si>
    <t>333993/US</t>
  </si>
  <si>
    <t>333994/US</t>
  </si>
  <si>
    <t>33399A/US</t>
  </si>
  <si>
    <t>33399B/US</t>
  </si>
  <si>
    <t>334111/US</t>
  </si>
  <si>
    <t>31-33: Manufacturing/3341: Computer and Peripheral Equipment Manufacturing</t>
  </si>
  <si>
    <t>334112/US</t>
  </si>
  <si>
    <t>334118/US</t>
  </si>
  <si>
    <t>334210/US</t>
  </si>
  <si>
    <t>31-33: Manufacturing/3342: Communications Equipment Manufacturing</t>
  </si>
  <si>
    <t>334220/US</t>
  </si>
  <si>
    <t>334290/US</t>
  </si>
  <si>
    <t>334413/US</t>
  </si>
  <si>
    <t>31-33: Manufacturing/3344: Semiconductor and Other Electronic Component Manufacturing</t>
  </si>
  <si>
    <t>334418/US</t>
  </si>
  <si>
    <t>33441A/US</t>
  </si>
  <si>
    <t>334510/US</t>
  </si>
  <si>
    <t>31-33: Manufacturing/3345: Navigational, Measuring, Electromedical, and Control Instruments Manufacturing</t>
  </si>
  <si>
    <t>334511/US</t>
  </si>
  <si>
    <t>334512/US</t>
  </si>
  <si>
    <t>334513/US</t>
  </si>
  <si>
    <t>334514/US</t>
  </si>
  <si>
    <t>334515/US</t>
  </si>
  <si>
    <t>334516/US</t>
  </si>
  <si>
    <t>334517/US</t>
  </si>
  <si>
    <t>33451A/US</t>
  </si>
  <si>
    <t>334300/US</t>
  </si>
  <si>
    <t>31-33: Manufacturing/3343: Audio and Video Equipment Manufacturing</t>
  </si>
  <si>
    <t>334610/US</t>
  </si>
  <si>
    <t>31-33: Manufacturing/3346: Manufacturing and Reproducing Magnetic and Optical Media</t>
  </si>
  <si>
    <t>335110/US</t>
  </si>
  <si>
    <t>31-33: Manufacturing/3351: Electric Lighting Equipment Manufacturing</t>
  </si>
  <si>
    <t>335120/US</t>
  </si>
  <si>
    <t>335210/US</t>
  </si>
  <si>
    <t>31-33: Manufacturing/3352: Household Appliance Manufacturing</t>
  </si>
  <si>
    <t>335221/US</t>
  </si>
  <si>
    <t>335222/US</t>
  </si>
  <si>
    <t>335224/US</t>
  </si>
  <si>
    <t>335228/US</t>
  </si>
  <si>
    <t>335311/US</t>
  </si>
  <si>
    <t>31-33: Manufacturing/3353: Electrical Equipment Manufacturing</t>
  </si>
  <si>
    <t>335312/US</t>
  </si>
  <si>
    <t>335313/US</t>
  </si>
  <si>
    <t>335314/US</t>
  </si>
  <si>
    <t>335911/US</t>
  </si>
  <si>
    <t>31-33: Manufacturing/3359: Other Electrical Equipment and Component Manufacturing</t>
  </si>
  <si>
    <t>335912/US</t>
  </si>
  <si>
    <t>335920/US</t>
  </si>
  <si>
    <t>335930/US</t>
  </si>
  <si>
    <t>335991/US</t>
  </si>
  <si>
    <t>335999/US</t>
  </si>
  <si>
    <t>336111/US</t>
  </si>
  <si>
    <t>31-33: Manufacturing/3361: Motor Vehicle Manufacturing</t>
  </si>
  <si>
    <t>336112/US</t>
  </si>
  <si>
    <t>336120/US</t>
  </si>
  <si>
    <t>336211/US</t>
  </si>
  <si>
    <t>31-33: Manufacturing/3362: Motor Vehicle Body and Trailer Manufacturing</t>
  </si>
  <si>
    <t>336212/US</t>
  </si>
  <si>
    <t>336213/US</t>
  </si>
  <si>
    <t>336214/US</t>
  </si>
  <si>
    <t>336310/US</t>
  </si>
  <si>
    <t>31-33: Manufacturing/3363: Motor Vehicle Parts Manufacturing</t>
  </si>
  <si>
    <t>336320/US</t>
  </si>
  <si>
    <t>336350/US</t>
  </si>
  <si>
    <t>336360/US</t>
  </si>
  <si>
    <t>336370/US</t>
  </si>
  <si>
    <t>336390/US</t>
  </si>
  <si>
    <t>3363A0/US</t>
  </si>
  <si>
    <t>336411/US</t>
  </si>
  <si>
    <t>31-33: Manufacturing/3364: Aerospace Product and Parts Manufacturing</t>
  </si>
  <si>
    <t>336412/US</t>
  </si>
  <si>
    <t>336413/US</t>
  </si>
  <si>
    <t>336414/US</t>
  </si>
  <si>
    <t>33641A/US</t>
  </si>
  <si>
    <t>336500/US</t>
  </si>
  <si>
    <t>31-33: Manufacturing/3365: Railroad Rolling Stock Manufacturing</t>
  </si>
  <si>
    <t>336611/US</t>
  </si>
  <si>
    <t>31-33: Manufacturing/3366: Ship and Boat Building</t>
  </si>
  <si>
    <t>336612/US</t>
  </si>
  <si>
    <t>336991/US</t>
  </si>
  <si>
    <t>31-33: Manufacturing/3369: Other Transportation Equipment Manufacturing</t>
  </si>
  <si>
    <t>336992/US</t>
  </si>
  <si>
    <t>336999/US</t>
  </si>
  <si>
    <t>337110/US</t>
  </si>
  <si>
    <t>31-33: Manufacturing/3371: Household and Institutional Furniture and Kitchen Cabinet Manufacturing</t>
  </si>
  <si>
    <t>337121/US</t>
  </si>
  <si>
    <t>337122/US</t>
  </si>
  <si>
    <t>337127/US</t>
  </si>
  <si>
    <t>33712N/US</t>
  </si>
  <si>
    <t>337215/US</t>
  </si>
  <si>
    <t>31-33: Manufacturing/3372: Office Furniture (including Fixtures) Manufacturing</t>
  </si>
  <si>
    <t>33721A/US</t>
  </si>
  <si>
    <t>337900/US</t>
  </si>
  <si>
    <t>31-33: Manufacturing/3379: Other Furniture Related Product Manufacturing</t>
  </si>
  <si>
    <t>339112/US</t>
  </si>
  <si>
    <t>31-33: Manufacturing/3391: Medical Equipment and Supplies Manufacturing</t>
  </si>
  <si>
    <t>339113/US</t>
  </si>
  <si>
    <t>339114/US</t>
  </si>
  <si>
    <t>339115/US</t>
  </si>
  <si>
    <t>339116/US</t>
  </si>
  <si>
    <t>339910/US</t>
  </si>
  <si>
    <t>31-33: Manufacturing/3399: Other Miscellaneous Manufacturing</t>
  </si>
  <si>
    <t>339920/US</t>
  </si>
  <si>
    <t>339930/US</t>
  </si>
  <si>
    <t>339940/US</t>
  </si>
  <si>
    <t>339950/US</t>
  </si>
  <si>
    <t>339990/US</t>
  </si>
  <si>
    <t>311111/US</t>
  </si>
  <si>
    <t>31-33: Manufacturing/3111: Animal Food Manufacturing</t>
  </si>
  <si>
    <t>311119/US</t>
  </si>
  <si>
    <t>311210/US</t>
  </si>
  <si>
    <t>31-33: Manufacturing/3112: Grain and Oilseed Milling</t>
  </si>
  <si>
    <t>311221/US</t>
  </si>
  <si>
    <t>311225/US</t>
  </si>
  <si>
    <t>311224/US</t>
  </si>
  <si>
    <t>311230/US</t>
  </si>
  <si>
    <t>311300/US</t>
  </si>
  <si>
    <t>31-33: Manufacturing/3113: Sugar and Confectionery Product Manufacturing</t>
  </si>
  <si>
    <t>311410/US</t>
  </si>
  <si>
    <t>31-33: Manufacturing/3114: Fruit and Vegetable Preserving and Specialty Food Manufacturing</t>
  </si>
  <si>
    <t>311420/US</t>
  </si>
  <si>
    <t>311513/US</t>
  </si>
  <si>
    <t>31-33: Manufacturing/3115: Dairy Product Manufacturing</t>
  </si>
  <si>
    <t>311514/US</t>
  </si>
  <si>
    <t>31151A/US</t>
  </si>
  <si>
    <t>311520/US</t>
  </si>
  <si>
    <t>311615/US</t>
  </si>
  <si>
    <t>31-33: Manufacturing/3116: Animal Slaughtering and Processing</t>
  </si>
  <si>
    <t>31161A/US</t>
  </si>
  <si>
    <t>311700/US</t>
  </si>
  <si>
    <t>31-33: Manufacturing/3117: Seafood Product Preparation and Packaging</t>
  </si>
  <si>
    <t>311810/US</t>
  </si>
  <si>
    <t>31-33: Manufacturing/3118: Bakeries and Tortilla Manufacturing</t>
  </si>
  <si>
    <t>3118A0/US</t>
  </si>
  <si>
    <t>311910/US</t>
  </si>
  <si>
    <t>31-33: Manufacturing/3119: Other Food Manufacturing</t>
  </si>
  <si>
    <t>311920/US</t>
  </si>
  <si>
    <t>311930/US</t>
  </si>
  <si>
    <t>311940/US</t>
  </si>
  <si>
    <t>311990/US</t>
  </si>
  <si>
    <t>312110/US</t>
  </si>
  <si>
    <t>31-33: Manufacturing/3121: Beverage Manufacturing</t>
  </si>
  <si>
    <t>312120/US</t>
  </si>
  <si>
    <t>312130/US</t>
  </si>
  <si>
    <t>312140/US</t>
  </si>
  <si>
    <t>312200/US</t>
  </si>
  <si>
    <t>31-33: Manufacturing/3122: Tobacco Manufacturing</t>
  </si>
  <si>
    <t>313100/US</t>
  </si>
  <si>
    <t>31-33: Manufacturing/3131: Fiber, Yarn, and Thread Mills</t>
  </si>
  <si>
    <t>313200/US</t>
  </si>
  <si>
    <t>31-33: Manufacturing/3132: Fabric Mills</t>
  </si>
  <si>
    <t>313300/US</t>
  </si>
  <si>
    <t>31-33: Manufacturing/3133: Textile and Fabric Finishing and Fabric Coating Mills</t>
  </si>
  <si>
    <t>314110/US</t>
  </si>
  <si>
    <t>31-33: Manufacturing/3141: Textile Furnishings Mills</t>
  </si>
  <si>
    <t>314120/US</t>
  </si>
  <si>
    <t>314900/US</t>
  </si>
  <si>
    <t>31-33: Manufacturing/3149: Other Textile Product Mills</t>
  </si>
  <si>
    <t>315000/US</t>
  </si>
  <si>
    <t>31-33: Manufacturing/3151: Apparel Knitting Mills</t>
  </si>
  <si>
    <t>316000/US</t>
  </si>
  <si>
    <t>31-33: Manufacturing/3161: Leather and Hide Tanning and Finishing</t>
  </si>
  <si>
    <t>322110/US</t>
  </si>
  <si>
    <t>31-33: Manufacturing/3221: Pulp, Paper, and Paperboard Mills</t>
  </si>
  <si>
    <t>322120/US</t>
  </si>
  <si>
    <t>322130/US</t>
  </si>
  <si>
    <t>322210/US</t>
  </si>
  <si>
    <t>31-33: Manufacturing/3222: Converted Paper Product Manufacturing</t>
  </si>
  <si>
    <t>322220/US</t>
  </si>
  <si>
    <t>322230/US</t>
  </si>
  <si>
    <t>322291/US</t>
  </si>
  <si>
    <t>322299/US</t>
  </si>
  <si>
    <t>323110/US</t>
  </si>
  <si>
    <t>31-33: Manufacturing/3231: Printing and Related Support Activities</t>
  </si>
  <si>
    <t>323120/US</t>
  </si>
  <si>
    <t>324110/US</t>
  </si>
  <si>
    <t>31-33: Manufacturing/3241: Petroleum and Coal Products Manufacturing</t>
  </si>
  <si>
    <t>324121/US</t>
  </si>
  <si>
    <t>324122/US</t>
  </si>
  <si>
    <t>324190/US</t>
  </si>
  <si>
    <t>325110/US</t>
  </si>
  <si>
    <t>31-33: Manufacturing/3251: Basic Chemical Manufacturing</t>
  </si>
  <si>
    <t>325120/US</t>
  </si>
  <si>
    <t>325130/US</t>
  </si>
  <si>
    <t>325180/US</t>
  </si>
  <si>
    <t>325190/US</t>
  </si>
  <si>
    <t>325211/US</t>
  </si>
  <si>
    <t>31-33: Manufacturing/3252: Resin, Synthetic Rubber, and Artificial and Synthetic Fibers and Filaments Manufacturing</t>
  </si>
  <si>
    <t>3252A0/US</t>
  </si>
  <si>
    <t>325411/US</t>
  </si>
  <si>
    <t>31-33: Manufacturing/3254: Pharmaceutical and Medicine Manufacturing</t>
  </si>
  <si>
    <t>325412/US</t>
  </si>
  <si>
    <t>325413/US</t>
  </si>
  <si>
    <t>325414/US</t>
  </si>
  <si>
    <t>325310/US</t>
  </si>
  <si>
    <t>31-33: Manufacturing/3253: Pesticide, Fertilizer, and Other Agricultural Chemical Manufacturing</t>
  </si>
  <si>
    <t>325320/US</t>
  </si>
  <si>
    <t>325510/US</t>
  </si>
  <si>
    <t>31-33: Manufacturing/3255: Paint, Coating, and Adhesive Manufacturing</t>
  </si>
  <si>
    <t>325520/US</t>
  </si>
  <si>
    <t>325610/US</t>
  </si>
  <si>
    <t>31-33: Manufacturing/3256: Soap, Cleaning Compound, and Toilet Preparation Manufacturing</t>
  </si>
  <si>
    <t>325620/US</t>
  </si>
  <si>
    <t>325910/US</t>
  </si>
  <si>
    <t>31-33: Manufacturing/3259: Other Chemical Product and Preparation Manufacturing</t>
  </si>
  <si>
    <t>3259A0/US</t>
  </si>
  <si>
    <t>326110/US</t>
  </si>
  <si>
    <t>31-33: Manufacturing/3261: Plastics Product Manufacturing</t>
  </si>
  <si>
    <t>326120/US</t>
  </si>
  <si>
    <t>326130/US</t>
  </si>
  <si>
    <t>326140/US</t>
  </si>
  <si>
    <t>326150/US</t>
  </si>
  <si>
    <t>326160/US</t>
  </si>
  <si>
    <t>326190/US</t>
  </si>
  <si>
    <t>326210/US</t>
  </si>
  <si>
    <t>31-33: Manufacturing/3262: Rubber Product Manufacturing</t>
  </si>
  <si>
    <t>326220/US</t>
  </si>
  <si>
    <t>326290/US</t>
  </si>
  <si>
    <t>423100/US</t>
  </si>
  <si>
    <t>42: Wholesale Trade/4231: Motor Vehicle and Motor Vehicle Parts and Supplies Merchant Wholesalers</t>
  </si>
  <si>
    <t>423400/US</t>
  </si>
  <si>
    <t>42: Wholesale Trade/4234: Professional and Commercial Equipment and Supplies Merchant Wholesalers</t>
  </si>
  <si>
    <t>423600/US</t>
  </si>
  <si>
    <t>42: Wholesale Trade/4236: Household Appliances and Electrical and Electronic Goods Merchant Wholesalers</t>
  </si>
  <si>
    <t>423800/US</t>
  </si>
  <si>
    <t>42: Wholesale Trade/4238: Machinery, Equipment, and Supplies Merchant Wholesalers</t>
  </si>
  <si>
    <t>423A00/US</t>
  </si>
  <si>
    <t>42: Wholesale Trade/</t>
  </si>
  <si>
    <t>424200/US</t>
  </si>
  <si>
    <t>Drugs and druggists sundries</t>
  </si>
  <si>
    <t>42: Wholesale Trade/4242: Drugs and Druggists Sundries Merchant Wholesalers</t>
  </si>
  <si>
    <t>424400/US</t>
  </si>
  <si>
    <t>42: Wholesale Trade/4244: Grocery and Related Product Merchant Wholesalers</t>
  </si>
  <si>
    <t>424700/US</t>
  </si>
  <si>
    <t>42: Wholesale Trade/4247: Petroleum and Petroleum Products Merchant Wholesalers</t>
  </si>
  <si>
    <t>424A00/US</t>
  </si>
  <si>
    <t>425000/US</t>
  </si>
  <si>
    <t>42: Wholesale Trade/4251: Wholesale Electronic Markets and Agents and Brokers</t>
  </si>
  <si>
    <t>4200ID/US</t>
  </si>
  <si>
    <t>441000/US</t>
  </si>
  <si>
    <t>44-45: Retail Trade/4411: Automobile Dealers</t>
  </si>
  <si>
    <t>445000/US</t>
  </si>
  <si>
    <t>44-45: Retail Trade/4451: Grocery Stores</t>
  </si>
  <si>
    <t>452000/US</t>
  </si>
  <si>
    <t>44-45: Retail Trade/4523: General Merchandise Stores, including Warehouse Clubs and Supercenters</t>
  </si>
  <si>
    <t>444000/US</t>
  </si>
  <si>
    <t>44-45: Retail Trade/4441: Building Material and Supplies Dealers</t>
  </si>
  <si>
    <t>446000/US</t>
  </si>
  <si>
    <t>44-45: Retail Trade/4461: Health and Personal Care Stores</t>
  </si>
  <si>
    <t>447000/US</t>
  </si>
  <si>
    <t>44-45: Retail Trade/4471: Gasoline Stations</t>
  </si>
  <si>
    <t>448000/US</t>
  </si>
  <si>
    <t>44-45: Retail Trade/4481: Clothing Stores</t>
  </si>
  <si>
    <t>454000/US</t>
  </si>
  <si>
    <t>44-45: Retail Trade/4541: Electronic Shopping and Mail-Order Houses</t>
  </si>
  <si>
    <t>4B0000/US</t>
  </si>
  <si>
    <t>44-45: Retail Trade/</t>
  </si>
  <si>
    <t>481000/US</t>
  </si>
  <si>
    <t>48-49: Transportation and Warehousing/4811: Scheduled Air Transportation</t>
  </si>
  <si>
    <t>482000/US</t>
  </si>
  <si>
    <t>48-49: Transportation and Warehousing/4821: Rail Transportation</t>
  </si>
  <si>
    <t>483000/US</t>
  </si>
  <si>
    <t>48-49: Transportation and Warehousing/4831: Deep Sea, Coastal, and Great Lakes Water Transportation</t>
  </si>
  <si>
    <t>484000/US</t>
  </si>
  <si>
    <t>48-49: Transportation and Warehousing/4841: General Freight Trucking</t>
  </si>
  <si>
    <t>485000/US</t>
  </si>
  <si>
    <t>48-49: Transportation and Warehousing/4859: Other Transit and Ground Passenger Transportation</t>
  </si>
  <si>
    <t>486000/US</t>
  </si>
  <si>
    <t>48-49: Transportation and Warehousing/4869: Other Pipeline Transportation</t>
  </si>
  <si>
    <t>48A000/US</t>
  </si>
  <si>
    <t>48-49: Transportation and Warehousing/</t>
  </si>
  <si>
    <t>492000/US</t>
  </si>
  <si>
    <t>48-49: Transportation and Warehousing/4921: Couriers and Express Delivery Services</t>
  </si>
  <si>
    <t>493000/US</t>
  </si>
  <si>
    <t>48-49: Transportation and Warehousing/4931: Warehousing and Storage</t>
  </si>
  <si>
    <t>511110/US</t>
  </si>
  <si>
    <t>51: Information/5111: Newspaper, Periodical, Book, and Directory Publishers</t>
  </si>
  <si>
    <t>511120/US</t>
  </si>
  <si>
    <t>511130/US</t>
  </si>
  <si>
    <t>5111A0/US</t>
  </si>
  <si>
    <t>511200/US</t>
  </si>
  <si>
    <t>51: Information/5112: Software Publishers</t>
  </si>
  <si>
    <t>512100/US</t>
  </si>
  <si>
    <t>51: Information/5121: Motion Picture and Video Industries</t>
  </si>
  <si>
    <t>512200/US</t>
  </si>
  <si>
    <t>51: Information/5122: Sound Recording Industries</t>
  </si>
  <si>
    <t>515100/US</t>
  </si>
  <si>
    <t>51: Information/5151: Radio and Television Broadcasting</t>
  </si>
  <si>
    <t>515200/US</t>
  </si>
  <si>
    <t>51: Information/5152: Cable and Other Subscription Programming</t>
  </si>
  <si>
    <t>517110/US</t>
  </si>
  <si>
    <t>51: Information/5171: Wired Telecommunications Carriers</t>
  </si>
  <si>
    <t>517210/US</t>
  </si>
  <si>
    <t>51: Information/5172: Wireless Telecommunications Carriers (except Satellite)</t>
  </si>
  <si>
    <t>517A00/US</t>
  </si>
  <si>
    <t>51: Information/5179: Other Telecommunications</t>
  </si>
  <si>
    <t>518200/US</t>
  </si>
  <si>
    <t>51: Information/5182: Data Processing, Hosting, and Related Services</t>
  </si>
  <si>
    <t>519130/US</t>
  </si>
  <si>
    <t>51: Information/5191: Other Information Services</t>
  </si>
  <si>
    <t>5191A0/US</t>
  </si>
  <si>
    <t>522A00/US</t>
  </si>
  <si>
    <t>52: Finance and Insurance/5222: Nondepository Credit Intermediation</t>
  </si>
  <si>
    <t>52A000/US</t>
  </si>
  <si>
    <t>52: Finance and Insurance/5211: Monetary Authorities-Central Bank</t>
  </si>
  <si>
    <t>523900/US</t>
  </si>
  <si>
    <t>52: Finance and Insurance/5239: Other Financial Investment Activities</t>
  </si>
  <si>
    <t>523A00/US</t>
  </si>
  <si>
    <t>52: Finance and Insurance/5231: Securities and Commodity Contracts Intermediation and Brokerage</t>
  </si>
  <si>
    <t>524113/US</t>
  </si>
  <si>
    <t>52: Finance and Insurance/5241: Insurance Carriers</t>
  </si>
  <si>
    <t>5241XX/US</t>
  </si>
  <si>
    <t>524200/US</t>
  </si>
  <si>
    <t>52: Finance and Insurance/5242: Agencies, Brokerages, and Other Insurance Related Activities</t>
  </si>
  <si>
    <t>525000/US</t>
  </si>
  <si>
    <t>52: Finance and Insurance/5251: Insurance and Employee Benefit Funds</t>
  </si>
  <si>
    <t>531HSO/US</t>
  </si>
  <si>
    <t>53: Real Estate and Rental and Leasing/</t>
  </si>
  <si>
    <t>531HST/US</t>
  </si>
  <si>
    <t>531ORE/US</t>
  </si>
  <si>
    <t>532100/US</t>
  </si>
  <si>
    <t>53: Real Estate and Rental and Leasing/5321: Automotive Equipment Rental and Leasing</t>
  </si>
  <si>
    <t>532400/US</t>
  </si>
  <si>
    <t>53: Real Estate and Rental and Leasing/5324: Commercial and Industrial Machinery and Equipment Rental and Leasing</t>
  </si>
  <si>
    <t>532A00/US</t>
  </si>
  <si>
    <t>53: Real Estate and Rental and Leasing/5322: Consumer Goods Rental</t>
  </si>
  <si>
    <t>533000/US</t>
  </si>
  <si>
    <t>53: Real Estate and Rental and Leasing/5331: Lessors of Nonfinancial Intangible Assets (except Copyrighted Works)</t>
  </si>
  <si>
    <t>541100/US</t>
  </si>
  <si>
    <t>54: Professional, Scientific, and Technical Services/5411: Legal Services</t>
  </si>
  <si>
    <t>541511/US</t>
  </si>
  <si>
    <t>54: Professional, Scientific, and Technical Services/5415: Computer Systems Design and Related Services</t>
  </si>
  <si>
    <t>541512/US</t>
  </si>
  <si>
    <t>54151A/US</t>
  </si>
  <si>
    <t>541200/US</t>
  </si>
  <si>
    <t>54: Professional, Scientific, and Technical Services/5412: Accounting, Tax Preparation, Bookkeeping, and Payroll Services</t>
  </si>
  <si>
    <t>541300/US</t>
  </si>
  <si>
    <t>54: Professional, Scientific, and Technical Services/5413: Architectural, Engineering, and Related Services</t>
  </si>
  <si>
    <t>541610/US</t>
  </si>
  <si>
    <t>54: Professional, Scientific, and Technical Services/5416: Management, Scientific, and Technical Consulting Services</t>
  </si>
  <si>
    <t>5416A0/US</t>
  </si>
  <si>
    <t>541700/US</t>
  </si>
  <si>
    <t>54: Professional, Scientific, and Technical Services/5417: Scientific Research and Development Services</t>
  </si>
  <si>
    <t>541800/US</t>
  </si>
  <si>
    <t>54: Professional, Scientific, and Technical Services/5418: Advertising, Public Relations, and Related Services</t>
  </si>
  <si>
    <t>541400/US</t>
  </si>
  <si>
    <t>54: Professional, Scientific, and Technical Services/5414: Specialized Design Services</t>
  </si>
  <si>
    <t>541920/US</t>
  </si>
  <si>
    <t>54: Professional, Scientific, and Technical Services/5419: Other Professional, Scientific, and Technical Services</t>
  </si>
  <si>
    <t>541940/US</t>
  </si>
  <si>
    <t>5419A0/US</t>
  </si>
  <si>
    <t>550000/US</t>
  </si>
  <si>
    <t>55: Management of Companies and Enterprises/5511: Management of Companies and Enterprises</t>
  </si>
  <si>
    <t>561300/US</t>
  </si>
  <si>
    <t>56: Administrative and Support and Waste Management and Remediation Services/5613: Employment Services</t>
  </si>
  <si>
    <t>561700/US</t>
  </si>
  <si>
    <t>56: Administrative and Support and Waste Management and Remediation Services/5617: Services to Buildings and Dwellings</t>
  </si>
  <si>
    <t>561100/US</t>
  </si>
  <si>
    <t>56: Administrative and Support and Waste Management and Remediation Services/5611: Office Administrative Services</t>
  </si>
  <si>
    <t>561200/US</t>
  </si>
  <si>
    <t>56: Administrative and Support and Waste Management and Remediation Services/5612: Facilities Support Services</t>
  </si>
  <si>
    <t>561400/US</t>
  </si>
  <si>
    <t>56: Administrative and Support and Waste Management and Remediation Services/5614: Business Support Services</t>
  </si>
  <si>
    <t>561500/US</t>
  </si>
  <si>
    <t>56: Administrative and Support and Waste Management and Remediation Services/5615: Travel Arrangement and Reservation Services</t>
  </si>
  <si>
    <t>561600/US</t>
  </si>
  <si>
    <t>56: Administrative and Support and Waste Management and Remediation Services/5616: Investigation and Security Services</t>
  </si>
  <si>
    <t>561900/US</t>
  </si>
  <si>
    <t>56: Administrative and Support and Waste Management and Remediation Services/5619: Other Support Services</t>
  </si>
  <si>
    <t>562111/US</t>
  </si>
  <si>
    <t>Solid waste collection</t>
  </si>
  <si>
    <t>562111</t>
  </si>
  <si>
    <t>56: Administrative and Support and Waste Management and Remediation Services/5621: Waste Collection</t>
  </si>
  <si>
    <t>562HAZ/US</t>
  </si>
  <si>
    <t>Hazardous waste collection treatment and disposal</t>
  </si>
  <si>
    <t>562HAZ</t>
  </si>
  <si>
    <t>562212/US</t>
  </si>
  <si>
    <t>Solid waste landfilling</t>
  </si>
  <si>
    <t>562212</t>
  </si>
  <si>
    <t>56: Administrative and Support and Waste Management and Remediation Services/5622: Waste Treatment and Disposal</t>
  </si>
  <si>
    <t>562213/US</t>
  </si>
  <si>
    <t>Solid waste combustors and incinerators</t>
  </si>
  <si>
    <t>562213</t>
  </si>
  <si>
    <t>562910/US</t>
  </si>
  <si>
    <t>Remediation services</t>
  </si>
  <si>
    <t>562910</t>
  </si>
  <si>
    <t>56: Administrative and Support and Waste Management and Remediation Services/5629: Remediation and Other Waste Management Services</t>
  </si>
  <si>
    <t>562920/US</t>
  </si>
  <si>
    <t>Material separation/recovery facilities</t>
  </si>
  <si>
    <t>562920</t>
  </si>
  <si>
    <t>562OTH/US</t>
  </si>
  <si>
    <t>Other waste collection and treatment services</t>
  </si>
  <si>
    <t>562OTH</t>
  </si>
  <si>
    <t>56: Administrative and Support and Waste Management and Remediation Services/</t>
  </si>
  <si>
    <t>611100/US</t>
  </si>
  <si>
    <t>61: Educational Services/6111: Elementary and Secondary Schools</t>
  </si>
  <si>
    <t>611A00/US</t>
  </si>
  <si>
    <t>61: Educational Services/</t>
  </si>
  <si>
    <t>611B00/US</t>
  </si>
  <si>
    <t>621100/US</t>
  </si>
  <si>
    <t>62: Health Care and Social Assistance/6211: Offices of Physicians</t>
  </si>
  <si>
    <t>621200/US</t>
  </si>
  <si>
    <t>62: Health Care and Social Assistance/6212: Offices of Dentists</t>
  </si>
  <si>
    <t>621300/US</t>
  </si>
  <si>
    <t>62: Health Care and Social Assistance/6213: Offices of Other Health Practitioners</t>
  </si>
  <si>
    <t>621400/US</t>
  </si>
  <si>
    <t>62: Health Care and Social Assistance/6214: Outpatient Care Centers</t>
  </si>
  <si>
    <t>621500/US</t>
  </si>
  <si>
    <t>62: Health Care and Social Assistance/6215: Medical and Diagnostic Laboratories</t>
  </si>
  <si>
    <t>621600/US</t>
  </si>
  <si>
    <t>62: Health Care and Social Assistance/6216: Home Health Care Services</t>
  </si>
  <si>
    <t>621900/US</t>
  </si>
  <si>
    <t>62: Health Care and Social Assistance/6219: Other Ambulatory Health Care Services</t>
  </si>
  <si>
    <t>622000/US</t>
  </si>
  <si>
    <t>62: Health Care and Social Assistance/6221: General Medical and Surgical Hospitals</t>
  </si>
  <si>
    <t>623A00/US</t>
  </si>
  <si>
    <t>62: Health Care and Social Assistance/6231: Nursing Care Facilities (Skilled Nursing Facilities)</t>
  </si>
  <si>
    <t>623B00/US</t>
  </si>
  <si>
    <t>62: Health Care and Social Assistance/6232: Residential Intellectual and Developmental Disability, Mental Health, and Substance Abuse Facilities</t>
  </si>
  <si>
    <t>624100/US</t>
  </si>
  <si>
    <t>62: Health Care and Social Assistance/6241: Individual and Family Services</t>
  </si>
  <si>
    <t>624400/US</t>
  </si>
  <si>
    <t>62: Health Care and Social Assistance/6244: Child Day Care Services</t>
  </si>
  <si>
    <t>624A00/US</t>
  </si>
  <si>
    <t>62: Health Care and Social Assistance/6242: Community Food and Housing, and Emergency and Other Relief Services</t>
  </si>
  <si>
    <t>711100/US</t>
  </si>
  <si>
    <t>71: Arts, Entertainment, and Recreation/7111: Performing Arts Companies</t>
  </si>
  <si>
    <t>711200/US</t>
  </si>
  <si>
    <t>71: Arts, Entertainment, and Recreation/7112: Spectator Sports</t>
  </si>
  <si>
    <t>711500/US</t>
  </si>
  <si>
    <t>71: Arts, Entertainment, and Recreation/7115: Independent Artists, Writers, and Performers</t>
  </si>
  <si>
    <t>711A00/US</t>
  </si>
  <si>
    <t>71: Arts, Entertainment, and Recreation/7113: Promoters of Performing Arts, Sports, and Similar Events</t>
  </si>
  <si>
    <t>712000/US</t>
  </si>
  <si>
    <t>71: Arts, Entertainment, and Recreation/7121: Museums, Historical Sites, and Similar Institutions</t>
  </si>
  <si>
    <t>713100/US</t>
  </si>
  <si>
    <t>71: Arts, Entertainment, and Recreation/7131: Amusement Parks and Arcades</t>
  </si>
  <si>
    <t>713200/US</t>
  </si>
  <si>
    <t>71: Arts, Entertainment, and Recreation/7132: Gambling Industries</t>
  </si>
  <si>
    <t>713900/US</t>
  </si>
  <si>
    <t>71: Arts, Entertainment, and Recreation/7139: Other Amusement and Recreation Industries</t>
  </si>
  <si>
    <t>721000/US</t>
  </si>
  <si>
    <t>72: Accommodation and Food Services/7211: Traveler Accommodation</t>
  </si>
  <si>
    <t>722110/US</t>
  </si>
  <si>
    <t>72: Accommodation and Food Services/7225: Restaurants and Other Eating Places</t>
  </si>
  <si>
    <t>722211/US</t>
  </si>
  <si>
    <t>722A00/US</t>
  </si>
  <si>
    <t>72: Accommodation and Food Services/7223: Special Food Services</t>
  </si>
  <si>
    <t>811100/US</t>
  </si>
  <si>
    <t>81: Other Services (except Public Administration)/8111: Automotive Repair and Maintenance</t>
  </si>
  <si>
    <t>811200/US</t>
  </si>
  <si>
    <t>81: Other Services (except Public Administration)/8112: Electronic and Precision Equipment Repair and Maintenance</t>
  </si>
  <si>
    <t>811300/US</t>
  </si>
  <si>
    <t>81: Other Services (except Public Administration)/8113: Commercial and Industrial Machinery and Equipment (except Automotive and Electronic) Repair and Maintenance</t>
  </si>
  <si>
    <t>811400/US</t>
  </si>
  <si>
    <t>81: Other Services (except Public Administration)/8114: Personal and Household Goods Repair and Maintenance</t>
  </si>
  <si>
    <t>812100/US</t>
  </si>
  <si>
    <t>81: Other Services (except Public Administration)/8121: Personal Care Services</t>
  </si>
  <si>
    <t>812200/US</t>
  </si>
  <si>
    <t>81: Other Services (except Public Administration)/8122: Death Care Services</t>
  </si>
  <si>
    <t>812300/US</t>
  </si>
  <si>
    <t>81: Other Services (except Public Administration)/8123: Drycleaning and Laundry Services</t>
  </si>
  <si>
    <t>812900/US</t>
  </si>
  <si>
    <t>81: Other Services (except Public Administration)/8129: Other Personal Services</t>
  </si>
  <si>
    <t>813100/US</t>
  </si>
  <si>
    <t>81: Other Services (except Public Administration)/8131: Religious Organizations</t>
  </si>
  <si>
    <t>813A00/US</t>
  </si>
  <si>
    <t>81: Other Services (except Public Administration)/8132: Grantmaking and Giving Services</t>
  </si>
  <si>
    <t>813B00/US</t>
  </si>
  <si>
    <t>81: Other Services (except Public Administration)/8134: Civic and Social Organizations</t>
  </si>
  <si>
    <t>814000/US</t>
  </si>
  <si>
    <t>81: Other Services (except Public Administration)/8141: Private Households</t>
  </si>
  <si>
    <t>S00500/US</t>
  </si>
  <si>
    <t>Other Activities/Government</t>
  </si>
  <si>
    <t>S00600/US</t>
  </si>
  <si>
    <t>491000/US</t>
  </si>
  <si>
    <t>48-49: Transportation and Warehousing/4911: Postal Service</t>
  </si>
  <si>
    <t>S00102/US</t>
  </si>
  <si>
    <t>GSLGE/US</t>
  </si>
  <si>
    <t>State and local government educational services</t>
  </si>
  <si>
    <t>GSLGH/US</t>
  </si>
  <si>
    <t>State and local government hospitals and health services</t>
  </si>
  <si>
    <t>GSLGO/US</t>
  </si>
  <si>
    <t>State and local government other services</t>
  </si>
  <si>
    <t>S00203/US</t>
  </si>
  <si>
    <t>S00401/US</t>
  </si>
  <si>
    <t>Other Activities/</t>
  </si>
  <si>
    <t>S00402/US</t>
  </si>
  <si>
    <t>S00300/US</t>
  </si>
  <si>
    <t>S00900/US</t>
  </si>
  <si>
    <t>Supply Chain Emission Factors without Margins (kg CO2e/$)</t>
  </si>
  <si>
    <t>Margins of Supply Chain Emission Factors (kg CO2e/$)</t>
  </si>
  <si>
    <t>Sum of Supply Chain Emission Factors without Margins (kg CO2e/$)</t>
  </si>
  <si>
    <t>Sum of Margins of Supply Chain Emission Factors (kg CO2e/$)</t>
  </si>
  <si>
    <t>BEA Code &amp; Name is 1111A0</t>
  </si>
  <si>
    <t>Oilseed farming. This industry comprises establishments primarily engaged in growing oilseed crops. These crops have an annual life cycle and are typically grown in open fields. Related NAICS codes are</t>
  </si>
  <si>
    <t xml:space="preserve"> 11111-2</t>
  </si>
  <si>
    <t>BEA Code &amp; Name is '1111B0</t>
  </si>
  <si>
    <t>Grain farming'. This industry comprises establishments primarily engaged in producing grain seeds. These crops have an annual life cycle and are typically grown in open fields. Related NAICS codes are</t>
  </si>
  <si>
    <t xml:space="preserve"> 11113-6, 11119</t>
  </si>
  <si>
    <t>BEA Code &amp; Name is 111200</t>
  </si>
  <si>
    <t>Vegetable and melon farming. This industry group comprises 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</si>
  <si>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BEA Code &amp; Name is 111300</t>
  </si>
  <si>
    <t>Fruit and tree nut farming. This industry group comprises establishments primarily engaged in growing fruit and/or tree nut crops. The crops included in this industry group are generally not grown from seeds and have a perennial life cycle.</t>
  </si>
  <si>
    <t>BEA Code &amp; Name is '111400</t>
  </si>
  <si>
    <t>Greenhouse, nursery, and floriculture production'. 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</si>
  <si>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BEA Code &amp; Name is '111900</t>
  </si>
  <si>
    <t>Other crop farming'. 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</si>
  <si>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BEA Code &amp; Name is 112120</t>
  </si>
  <si>
    <t>Dairy cattle and milk production. This industry comprises establishments primarily engaged in milking dairy cattle.</t>
  </si>
  <si>
    <t>BEA Code &amp; Name is '1121A0</t>
  </si>
  <si>
    <t>Beef cattle ranching and farming, including feedlots and dual-purpose ranching and farming'. This industry group comprises establishments primarily engaged in raising cattle, milking dairy cattle, or feeding cattle for fattening. Related NAICS codes are</t>
  </si>
  <si>
    <t xml:space="preserve"> 11211, 11213</t>
  </si>
  <si>
    <t>BEA Code &amp; Name is '112300</t>
  </si>
  <si>
    <t>Poultry and egg production'. This industry group comprises establishments primarily engaged in breeding, hatching, and raising poultry for meat or egg production.</t>
  </si>
  <si>
    <t>BEA Code &amp; Name is '112A00</t>
  </si>
  <si>
    <t>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Related NAICS codes are</t>
  </si>
  <si>
    <t xml:space="preserve"> 1122, 1124-5, 1129, *112</t>
  </si>
  <si>
    <t>BEA Code &amp; Name is '113000</t>
  </si>
  <si>
    <t>Forestry and logging'. 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</si>
  <si>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BEA Code &amp; Name is '114000</t>
  </si>
  <si>
    <t>Fishing, hunting and trapping'. 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</si>
  <si>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BEA Code &amp; Name is '115000</t>
  </si>
  <si>
    <t>Support activities for agriculture and forestry'. 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</si>
  <si>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BEA Code &amp; Name is '211000</t>
  </si>
  <si>
    <t>Oil and gas extraction'. 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</si>
  <si>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BEA Code &amp; Name is '212100</t>
  </si>
  <si>
    <t>Coal mining'. This industry comprises establishments primarily engaged in one or more of the following</t>
  </si>
  <si>
    <t xml:space="preserve"> (1) mining bituminous coal, anthracite, and lignite by underground mining, auger mining, strip mining, culm bank mining, and other surface mining; (2) developing coal mine sites; and (3) beneficiating (i.e., preparing) coal (e.g., cleaning, washing, screening, and sizing coal).</t>
  </si>
  <si>
    <t>BEA Code &amp; Name is '212230</t>
  </si>
  <si>
    <t>Copper, nickel, lead, and zinc mining'. This industry comprises establishments primarily engaged in developing the mine site, mining, and/or beneficiating (i.e., preparing) ores valued chiefly for their copper, nickel, lead, or zinc content. Beneficiating includes the transformation of ores into concentrates.</t>
  </si>
  <si>
    <t>BEA Code &amp; Name is '2122A0</t>
  </si>
  <si>
    <t>Iron, gold, silver, and other metal ore mining'. This industry group comprises establishments primarily engaged in developing mine sites or mining metallic minerals, and 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 Related NAICS codes are</t>
  </si>
  <si>
    <t xml:space="preserve"> 21221, 21222, 21229</t>
  </si>
  <si>
    <t>BEA Code &amp; Name is '212310</t>
  </si>
  <si>
    <t>Stone mining and quarrying'. 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</si>
  <si>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BEA Code &amp; Name is '2123A0</t>
  </si>
  <si>
    <t>Other nonmetallic mineral mining and quarrying'. This industry group comprises 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 Related NAICS codes are</t>
  </si>
  <si>
    <t xml:space="preserve"> 21232, 21239</t>
  </si>
  <si>
    <t>BEA Code &amp; Name is '213111</t>
  </si>
  <si>
    <t>Drilling oil and gas wells'. This U.S. industry comprises establishments primarily engaged in drilling oil and gas wells for others on a contract or fee basis. This industry includes contractors that specialize in spudding in, drilling in, redrilling, and directional drilling.</t>
  </si>
  <si>
    <t>BEA Code &amp; Name is '21311A</t>
  </si>
  <si>
    <t>Other support activities for mining'. This industry comprises 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 Related NAICS codes are</t>
  </si>
  <si>
    <t xml:space="preserve"> 213112-5</t>
  </si>
  <si>
    <t>BEA Code &amp; Name is '221100</t>
  </si>
  <si>
    <t>Electric power generation, transmission, and distribution'. This industry group comprises establishments primarily engaged in generating, transmitting, and/or distributing electric power. Establishments in this industry group may perform one or more of the following activities</t>
  </si>
  <si>
    <t xml:space="preserve"> (1) operate generation facilities that produce electric energy; (2) operate transmission systems that convey the electricity from the generation facility to the distribution system; and (3) operate distribution systems that convey electric power received from the generation facility or the transmission system to the final consumer.</t>
  </si>
  <si>
    <t>BEA Code &amp; Name is '221200</t>
  </si>
  <si>
    <t>Natural gas distribution'. This industry comprises</t>
  </si>
  <si>
    <t xml:space="preserve"> (1) establishments primarily engaged in operating gas distribution systems (e.g., mains, meters); (2) establishments known as gas marketers that buy gas from the well and sell it to a distribution system; (3) establishments known as gas brokers or agents that arrange the sale of gas over gas distribution systems operated by others; and (4) establishments primarily engaged in transmitting and distributing gas to final consumers.</t>
  </si>
  <si>
    <t>BEA Code &amp; Name is '221300</t>
  </si>
  <si>
    <t>Water, sewage and other systems'. 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</si>
  <si>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BEA Code &amp; Name is 233210</t>
  </si>
  <si>
    <t>Health care structures. This industry comprises construction of health care structures</t>
  </si>
  <si>
    <t>BEA Code &amp; Name is 233262</t>
  </si>
  <si>
    <t>Educational and vocational structures. This industry comprises construction of educational and vocational structures</t>
  </si>
  <si>
    <t>BEA Code &amp; Name is 230301</t>
  </si>
  <si>
    <t>Nonresidential maintenance and repair. This industry includes maintenance and repair of nonresidential structures.</t>
  </si>
  <si>
    <t>BEA Code &amp; Name is 230302</t>
  </si>
  <si>
    <t>Residential maintenance and repair. This industry comprises maintenance and repair of residential buildings.</t>
  </si>
  <si>
    <t>BEA Code &amp; Name is '2332A0</t>
  </si>
  <si>
    <t>Commercial structures, including farm structures'. This industry comprises construction of commercial structures, including farm structures. Related NAICS codes are</t>
  </si>
  <si>
    <t>BEA Code &amp; Name is 233412</t>
  </si>
  <si>
    <t>Multifamily residential structures. This industry comprises construction of multifamily residential structures</t>
  </si>
  <si>
    <t>BEA Code &amp; Name is 2334A0</t>
  </si>
  <si>
    <t>Other residential structures. This industry comprises construction of other residential structures Related NAICS codes are</t>
  </si>
  <si>
    <t>BEA Code &amp; Name is 233230</t>
  </si>
  <si>
    <t>Manufacturing structures. This industry comprises construction of manufacturing structures</t>
  </si>
  <si>
    <t>BEA Code &amp; Name is 2332D0</t>
  </si>
  <si>
    <t>Other nonresidential structures. This industry comprises construction of other nonresidential structures Related NAICS codes are</t>
  </si>
  <si>
    <t>BEA Code &amp; Name is 233240</t>
  </si>
  <si>
    <t>Power and communication structures. This industry comprises construction of power and communication structures</t>
  </si>
  <si>
    <t>BEA Code &amp; Name is 233411</t>
  </si>
  <si>
    <t>Single-family residential structures. This industry comprises construction of single-family residential structures</t>
  </si>
  <si>
    <t>BEA Code &amp; Name is '2332C0</t>
  </si>
  <si>
    <t>Transportation structures and highways and streets'. This industry comprises construction of transportation structures, including bridges, roads, highways, and streets. Related NAICS codes are</t>
  </si>
  <si>
    <t>BEA Code &amp; Name is '321100</t>
  </si>
  <si>
    <t>Sawmills and wood preservation'. 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</si>
  <si>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BEA Code &amp; Name is '321200</t>
  </si>
  <si>
    <t>Veneer, plywood, and engineered wood product manufacturing'. This industry comprises establishments primarily engaged in one or more of the following</t>
  </si>
  <si>
    <t xml:space="preserve"> (1) manufacturing veneer and/or plywood; (2) manufacturing engineered wood members; and (3) manufacturing reconstituted wood products. This industry includes manufacturing plywood from veneer made in the same establishment or from veneer made in other establishments, and manufacturing plywood faced with nonwood materials, such as plastics or metal.</t>
  </si>
  <si>
    <t>BEA Code &amp; Name is '321910</t>
  </si>
  <si>
    <t>Millwork'. 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</si>
  <si>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BEA Code &amp; Name is '3219A0</t>
  </si>
  <si>
    <t>All other wood product manufacturing'. This industry group comprises establishments primarily engaged in manufacturing wood products (except establishments operating sawmills and wood preservation facilities; and establishments manufacturing veneer, plywood, or engineered wood products). Related NAICS codes are</t>
  </si>
  <si>
    <t xml:space="preserve"> 32192, 32199</t>
  </si>
  <si>
    <t>BEA Code &amp; Name is '327100</t>
  </si>
  <si>
    <t>Clay product and refractory manufacturing'. This industry group comprises (1) Pottery, Ceramics, and Plumbing Fixture Manufacturing, and (2) Clay Building Material and Refractories Manufacturing.</t>
  </si>
  <si>
    <t>BEA Code &amp; Name is '327200</t>
  </si>
  <si>
    <t>Glass and glass product manufacturing'. This industry comprises establishments primarily engaged in manufacturing glass and/or glass products. Establishments in this industry may manufacture glass and/or glass products by melting silica sand or cullet, or purchasing glass.</t>
  </si>
  <si>
    <t>BEA Code &amp; Name is '327310</t>
  </si>
  <si>
    <t>Cement manufacturing'. This industry comprises establishments primarily engaged in manufacturing portland, natural, masonry, pozzolanic, and other hydraulic cements. Cement manufacturing establishments may calcine earths or mine, quarry, manufacture, or purchase lime.</t>
  </si>
  <si>
    <t>BEA Code &amp; Name is '327320</t>
  </si>
  <si>
    <t>Ready-mix concrete manufacturing'. This industry comprises establishments, such as batch plants or mix plants, primarily engaged in manufacturing concrete delivered to a purchaser in a plastic and unhardened state. Ready-mix concrete manufacturing establishments may mine, quarry, or purchase sand and gravel.</t>
  </si>
  <si>
    <t>BEA Code &amp; Name is '327330</t>
  </si>
  <si>
    <t>Concrete pipe, brick, and block manufacturing'. This industry comprises establishments primarily engaged in manufacturing concrete pipe, brick, and block.</t>
  </si>
  <si>
    <t>BEA Code &amp; Name is '327390</t>
  </si>
  <si>
    <t>Other concrete product manufacturing'. This industry comprises establishments primarily engaged in manufacturing concrete products (except block, brick, and pipe).</t>
  </si>
  <si>
    <t>BEA Code &amp; Name is '327400</t>
  </si>
  <si>
    <t>Lime and gypsum product manufacturing'. This industry group comprises (1) Lime Manufacturing, and (2) Gypsum Product Manufacturing.</t>
  </si>
  <si>
    <t>BEA Code &amp; Name is '327910</t>
  </si>
  <si>
    <t>Abrasive product manufacturing'. This industry comprises establishments primarily engaged in manufacturing abrasive grinding wheels of natural or synthetic materials, abrasive-coated products, and other abrasive products.</t>
  </si>
  <si>
    <t>BEA Code &amp; Name is '327991</t>
  </si>
  <si>
    <t>Cut stone and stone product manufacturing'. This U.S. industry comprises establishments primarily engaged in cutting, shaping, and finishing granite, marble, limestone, slate, and other stone for building and miscellaneous uses. Stone product manufacturing establishments may mine, quarry, or purchase stone.</t>
  </si>
  <si>
    <t>BEA Code &amp; Name is '327992</t>
  </si>
  <si>
    <t>Ground or treated mineral and earth manufacturing'. This U.S. industry comprises establishments primarily engaged in calcining, dead burning, or otherwise processing beyond beneficiation, clays, ceramic and refractory minerals, barite, and miscellaneous nonmetallic minerals.</t>
  </si>
  <si>
    <t>BEA Code &amp; Name is '327993</t>
  </si>
  <si>
    <t>Mineral wool manufacturing'. This U.S. industry comprises establishments primarily engaged in manufacturing mineral wool and mineral wool (i.e., fiberglass) insulation products made of such siliceous materials as rock, slag, and glass or combinations thereof.</t>
  </si>
  <si>
    <t>BEA Code &amp; Name is '327999</t>
  </si>
  <si>
    <t>Miscellaneous nonmetallic mineral products'. This U.S. industry comprises 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</si>
  <si>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BEA Code &amp; Name is '331110</t>
  </si>
  <si>
    <t>Iron and steel mills and ferroalloy manufacturing'. This industry comprises establishments primarily engaged in one or more of the following</t>
  </si>
  <si>
    <t xml:space="preserve">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</si>
  <si>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BEA Code &amp; Name is '331200</t>
  </si>
  <si>
    <t>Steel product manufacturing from purchased steel'. This industry group comprises establishments primarily engaged in manufacturing iron and steel tube and pipe, drawing steel wire, and rolling or drawing shapes from purchased iron or steel.</t>
  </si>
  <si>
    <t>BEA Code &amp; Name is '331313</t>
  </si>
  <si>
    <t>Alumina refining and primary aluminum production'. 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</si>
  <si>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BEA Code &amp; Name is '33131B</t>
  </si>
  <si>
    <t>Aluminum product manufacturing from purchased aluminum'. This industry comprises establishments primarily engaged in one or more of the following</t>
  </si>
  <si>
    <t xml:space="preserve"> (1) flat rolling or continuous casting sheet, plate, foil and welded tube from purchased aluminum; (2) recovering aluminum from scrap and flat rolling or continuous casting sheet, plate, foil, and welded tube in integrated mills; (3) extruding aluminum bar, pipe, and tube blooms or extruding or drawing tube from purchased aluminum; (4) recovering aluminum from scrap and extruding bar, pipe, and tube blooms or drawing tube in integrated mills; (5) rolling, drawing, or extruding shapes (except flat rolled sheet, plate, foil, and welded tube; extruded rod, bar, pipe, and tube blooms; and drawn or extruded tube) from purchased aluminum; and/or (6) recovering aluminum from scrap and rolling, drawing or extruding shapes (except flat rolled sheet, plate, foil, and welded tube; extruded rod, bar, pipe, and tube blooms; and drawn or extruded tube) in integrated mills.  Related NAICS codes are</t>
  </si>
  <si>
    <t xml:space="preserve"> 331315, 331316, 331319</t>
  </si>
  <si>
    <t>BEA Code &amp; Name is 331410</t>
  </si>
  <si>
    <t>Nonferrous metal (except aluminum) smelting and refining. This U.S. industry comprises establishments primarily engaged in (1) smelting ores into nonferrous metals and/or (2) the primary refining of nonferrous metals (except aluminum) by electrolytic methods or other processes.</t>
  </si>
  <si>
    <t>BEA Code &amp; Name is '331420</t>
  </si>
  <si>
    <t>Copper rolling, drawing, extruding and alloying'. This industry comprises establishments primarily engaged in one or more of the following</t>
  </si>
  <si>
    <t xml:space="preserve"> (1) recovering copper or copper alloys from scraps; (2) alloying purchased copper; (3) rolling, drawing, or extruding shapes, (e.g., bar, plate, sheet, strip, tube, wire) from purchased copper; and (4) recovering copper or copper alloys from scrap and rolling, drawing, or extruding shapes (e.g., bar, plate, sheet, strip, tube, wire).</t>
  </si>
  <si>
    <t>BEA Code &amp; Name is '331490</t>
  </si>
  <si>
    <t>Nonferrous metal (except copper and aluminum) rolling, drawing, extruding and alloying'. This industry comprises establishments primarily engaged in one or more of the following</t>
  </si>
  <si>
    <t xml:space="preserve"> (1) recovering nonferrous metals (except copper and aluminum) and nonferrous metal alloys from scrap; (2) alloying purchased nonferrous metals (except copper and aluminum); (3) rolling, drawing, and extruding shapes from purchased nonferrous metals (except copper and aluminum); and (4) recovering nonferrous metals from scrap (except copper and aluminum) and rolling, drawing, or extruding shapes in integrated facilities.</t>
  </si>
  <si>
    <t>BEA Code &amp; Name is 331510</t>
  </si>
  <si>
    <t>Ferrous metal foundries. This industry comprises establishments primarily engaged in pouring molten iron and steel into molds of a desired shape to make castings. Establishments in this industry purchase iron and steel made in other establishments.</t>
  </si>
  <si>
    <t>BEA Code &amp; Name is '331520</t>
  </si>
  <si>
    <t>Nonferrous metal foundries'. This industry comprises establishments primarily engaged in pouring and/or introducing molten nonferrous metal, under high pressure, into metal molds or dies to manufacture castings. Establishments in this industry purchase nonferrous metals made in other establishments.</t>
  </si>
  <si>
    <t>BEA Code &amp; Name is 332114</t>
  </si>
  <si>
    <t>Custom roll forming. This U.S. industry comprises establishments primarily engaged in custom roll forming metal products by use of rotary motion of rolls with various contours to bend or shape the products.</t>
  </si>
  <si>
    <t>BEA Code &amp; Name is '33211A</t>
  </si>
  <si>
    <t>All other forging, stamping, and sintering'. This industry comprises establishments primarily engaged in one or more of the following</t>
  </si>
  <si>
    <t xml:space="preserve"> (1) manufacturing forgings from purchased metals; (2) manufacturing metal custom roll forming products; (3) manufacturing metal stamped and spun products (except automotive, cans, coins); and (4) manufacturing powder metallurgy products. Establishments making metal forgings, metal stampings, and metal spun products and further manufacturing (e.g., machining, assembling) a specific manufactured product are classified in the industry of the finished product. Metal forging, metal stamping, and metal spun products establishments may perform surface finishing operations, such as cleaning and deburring, on the products they manufacture.  Related NAICS codes are</t>
  </si>
  <si>
    <t xml:space="preserve"> 332111-2, 332117</t>
  </si>
  <si>
    <t>BEA Code &amp; Name is '332119</t>
  </si>
  <si>
    <t>Metal crown, closure, and other metal stamping (except automotive)'. This industry comprises establishments primarily engaged in one or more of the following</t>
  </si>
  <si>
    <t xml:space="preserve"> (1) stamping metal crowns and closures, such as bottle caps and home canning lids and rings; and/or (2) manufacturing other unfinished metal stampings and spinning unfinished metal products (except automotive and coins). Establishments making metal stampings and metal spun products and further manufacturing (e.g. machining, assembling) a specific product are classified in the industry of the finished product. Metal stamping and metal spun products establishments may perform surface finishing operations, such as cleaning and deburring, on the products they manufacture.</t>
  </si>
  <si>
    <t>BEA Code &amp; Name is '332200</t>
  </si>
  <si>
    <t>Cutlery and handtool manufacturing'. This industry comprises establishments primarily engaged in one or more of the following</t>
  </si>
  <si>
    <t xml:space="preserve">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</si>
  <si>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BEA Code &amp; Name is '332310</t>
  </si>
  <si>
    <t>Plate work and fabricated structural product manufacturing'. This industry comprises establishments primarily engaged in manufacturing one or more of the following</t>
  </si>
  <si>
    <t xml:space="preserve"> (1) prefabricated metal buildings, panels and sections; (2) structural metal products; and (3) metal plate work products.</t>
  </si>
  <si>
    <t>BEA Code &amp; Name is '332320</t>
  </si>
  <si>
    <t>Ornamental and architectural metal products manufacturing'. This industry comprises establishments primarily engaged in manufacturing one or more of the following</t>
  </si>
  <si>
    <t xml:space="preserve"> (1) metal framed windows (i.e., typically using purchased glass) and metal doors; (2) sheet metal work; and (3) ornamental and architectural metal products.</t>
  </si>
  <si>
    <t>BEA Code &amp; Name is 332410</t>
  </si>
  <si>
    <t>Power boiler and heat exchanger manufacturing. This industry comprises establishments primarily engaged in manufacturing power boilers and heat exchangers. Establishments in this industry may perform installation in addition to manufacturing power boilers and heat exchangers.</t>
  </si>
  <si>
    <t>BEA Code &amp; Name is '332420</t>
  </si>
  <si>
    <t>Metal tank (heavy gauge) manufacturing'. This industry comprises establishments primarily engaged in cutting, forming, and joining heavy gauge metal to manufacture tanks, vessels, and other containers.</t>
  </si>
  <si>
    <t>BEA Code &amp; Name is '332430</t>
  </si>
  <si>
    <t>Metal can, box, and other metal container (light gauge) manufacturing'. This industry comprises establishments primarily engaged in forming light gauge metal containers.</t>
  </si>
  <si>
    <t>BEA Code &amp; Name is '332500</t>
  </si>
  <si>
    <t>Hardware manufacturing'. This industry comprises establishments primarily engaged in manufacturing metal hardware, such as metal hinges, metal handles, keys, and locks (except coin-operated, time locks).</t>
  </si>
  <si>
    <t>BEA Code &amp; Name is '332600</t>
  </si>
  <si>
    <t>Spring and wire product manufacturing'. 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</si>
  <si>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BEA Code &amp; Name is '332710</t>
  </si>
  <si>
    <t>Machine shops'. 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</si>
  <si>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BEA Code &amp; Name is '332720</t>
  </si>
  <si>
    <t>Turned product and screw, nut, and bolt manufacturing'. This industry comprises establishments primarily engaged in (1) machining precision turned products or (2) manufacturing metal bolts, nuts, screws, rivets, and other industrial fasteners. Included in this industry are establishments primarily engaged in manufacturing parts for machinery and equipment on a customized basis.</t>
  </si>
  <si>
    <t>BEA Code &amp; Name is '332800</t>
  </si>
  <si>
    <t>Coating, engraving, heat treating and allied activities'. This industry comprises establishments primarily engaged in one or more of the following</t>
  </si>
  <si>
    <t xml:space="preserve">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 Establishments in this industry coat, engrave, and heat treat metals and metal formed products fabricated elsewhere.</t>
  </si>
  <si>
    <t>BEA Code &amp; Name is '332913</t>
  </si>
  <si>
    <t>Plumbing fixture fitting and trim manufacturing'. This U.S. industry comprises establishments primarily engaged in manufacturing metal and plastics plumbing fixture fittings and trim, such as faucets, flush valves, and shower heads.</t>
  </si>
  <si>
    <t>BEA Code &amp; Name is '33291A</t>
  </si>
  <si>
    <t>Valve and fittings other than plumbing'.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Related NAICS codes are</t>
  </si>
  <si>
    <t xml:space="preserve"> 332911-2, 332919</t>
  </si>
  <si>
    <t>BEA Code &amp; Name is 332991</t>
  </si>
  <si>
    <t>Ball and roller bearing manufacturing. This U.S. industry comprises establishments primarily engaged in manufacturing ball and roller bearings of all materials.</t>
  </si>
  <si>
    <t>BEA Code &amp; Name is '332996</t>
  </si>
  <si>
    <t>Fabricated pipe and pipe fitting manufacturing'. This U.S. industry comprises establishments primarily engaged in fabricating, such as cutting, threading, and bending metal pipes and pipe fittings made from purchased metal pipe.</t>
  </si>
  <si>
    <t>BEA Code &amp; Name is '33299A</t>
  </si>
  <si>
    <t>Ammunition, arms, ordnance, and accessories manufacturing'.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Related NAICS codes are</t>
  </si>
  <si>
    <t xml:space="preserve"> 332992-5</t>
  </si>
  <si>
    <t>BEA Code &amp; Name is '332999</t>
  </si>
  <si>
    <t>Other fabricated metal manufacturing'.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</si>
  <si>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BEA Code &amp; Name is '333111</t>
  </si>
  <si>
    <t>Farm machinery and equipment manufacturing'. This U.S. industry comprises establishments primarily engaged in manufacturing agricultural and farm machinery and equipment, and other turf and grounds care equipment, including planting, harvesting, and grass mowing equipment (except lawn and garden-type).</t>
  </si>
  <si>
    <t>BEA Code &amp; Name is '333112</t>
  </si>
  <si>
    <t>Lawn and garden equipment manufacturing'. This U.S. industry comprises establishments primarily engaged in manufacturing powered lawnmowers, lawn and garden tractors, and other home lawn and garden equipment, such as tillers, shredders, yard vacuums, and leaf blowers.</t>
  </si>
  <si>
    <t>BEA Code &amp; Name is '333120</t>
  </si>
  <si>
    <t>Construction machinery manufacturing'. This industry comprises establishments primarily engaged in manufacturing construction machinery, surface mining machinery, and logging equipment.</t>
  </si>
  <si>
    <t>BEA Code &amp; Name is 333130</t>
  </si>
  <si>
    <t>Mining and oil and gas field machinery manufacturing. This industry comprises establishments primarily engaged in manufacturing oil and gas field and underground mining machinery and equipment.</t>
  </si>
  <si>
    <t>BEA Code &amp; Name is '333242</t>
  </si>
  <si>
    <t>Semiconductor machinery manufacturing'. This U.S. industry comprises establishments primarily engaged in manufacturing wafer processing equipment, semiconductor assembly and packaging equipment, and other semiconductor making machinery.</t>
  </si>
  <si>
    <t>BEA Code &amp; Name is '33329A</t>
  </si>
  <si>
    <t>Other industrial machinery manufacturing'. This industry group comprises (1) Sawmill and Woodworking Machinery Manufacturing, (2) Plastics and Rubber Industry Machinery Manufacturing, and (3) Other Industrial Machinery Manufacturing including</t>
  </si>
  <si>
    <t xml:space="preserve">  (a) Paper Industry Machinery Manufacturing, (b) Textile Machinery Manufacturing, (c) Printing Machinery and Equipment Manufacturing, (d) Food Product Machinery Manufacturing, (e) Semiconductor Machinery Manufacturing, and (f) All Other Industrial Machinery Manufacturing. Related NAICS codes are</t>
  </si>
  <si>
    <t xml:space="preserve"> 33321, 333291-4, 333298</t>
  </si>
  <si>
    <t>BEA Code &amp; Name is '333314</t>
  </si>
  <si>
    <t>Optical instrument and lens manufacturing'. This U.S. industry comprises establishments primarily engaged in one or more of the following</t>
  </si>
  <si>
    <t xml:space="preserve"> (1) manufacturing optical instruments and lens, such as binoculars, microscopes (except electron, proton), telescopes, prisms, and lenses (except ophthalmic); (2) coating or polishing lenses (except ophthalmic); and (3) mounting lenses (except ophthalmic).</t>
  </si>
  <si>
    <t>BEA Code &amp; Name is '333316</t>
  </si>
  <si>
    <t>Photographic and photocopying equipment manufacturing'. This U.S. industry comprises establishments primarily engaged in manufacturing photographic and photocopying equipment, such as cameras (except television, video and digital) projectors, film developing equipment, photocopying equipment, and microfilm equipment.</t>
  </si>
  <si>
    <t>BEA Code &amp; Name is '333318</t>
  </si>
  <si>
    <t>Other commercial and service industry machinery manufacturing'. This industry comprises establishments primarily engaged in manufacturing commercial and service industry equipment (except optical instruments and lenses, and photographic and photocopying equipment).</t>
  </si>
  <si>
    <t>BEA Code &amp; Name is '333414</t>
  </si>
  <si>
    <t>Heating equipment (except warm air furnaces) manufacturing'. This U.S. industry comprises establishments primarily engaged in manufacturing heating equipment (except electric and warm air furnaces), such as heating boilers, heating stoves, floor and wall furnaces, and wall and baseboard heating units.</t>
  </si>
  <si>
    <t>BEA Code &amp; Name is '333415</t>
  </si>
  <si>
    <t>Air conditioning, refrigeration, and warm air heating equipment manufacturing'. This U.S. industry comprises establishments primarily engaged in (1) manufacturing air-conditioning (except motor vehicle) and warm air furnace equipment and/or (2) manufacturing commercial and industrial refrigeration and freezer equipment.</t>
  </si>
  <si>
    <t>BEA Code &amp; Name is '333413</t>
  </si>
  <si>
    <t>Industrial and commercial fan and blower and air purification equipment manufacturing'. 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</si>
  <si>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BEA Code &amp; Name is '333511</t>
  </si>
  <si>
    <t>Industrial mold manufacturing'. This U.S. industry comprises establishments primarily engaged in manufacturing industrial molds for casting metals or forming other materials, such as plastics, glass, or rubber.</t>
  </si>
  <si>
    <t>BEA Code &amp; Name is '333514</t>
  </si>
  <si>
    <t>Special tool, die, jig, and fixture manufacturing'. This U.S. industry comprises establishments, known as tool and die shops, primarily engaged in manufacturing special tools and fixtures, such as cutting dies and jigs.</t>
  </si>
  <si>
    <t>BEA Code &amp; Name is '333517</t>
  </si>
  <si>
    <t>Machine tool manufacturing'. This industry comprises establishments primarily engaged in (1) manufacturing metal cutting machine tools (except handtools) and/or (2) manufacturing metal forming machine tools (except handtools), such as punching, sheering, bending, forming, pressing, forging and die-casting machines.</t>
  </si>
  <si>
    <t>BEA Code &amp; Name is '33351B</t>
  </si>
  <si>
    <t>Cutting and machine tool accessory, rolling mill, and other metalworking machinery manufacturing'. This industry comprises 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machines.Ã‚Â  Related NAICS codes are</t>
  </si>
  <si>
    <t xml:space="preserve"> 333515, 333516, 333518</t>
  </si>
  <si>
    <t>BEA Code &amp; Name is '333611</t>
  </si>
  <si>
    <t>Turbine and turbine generator set units manufacturing'. This U.S. industry comprises establishments primarily engaged in manufacturing turbines (except aircraft); and complete turbine generator set units, such as steam, hydraulic, gas, and wind.</t>
  </si>
  <si>
    <t>BEA Code &amp; Name is '333612</t>
  </si>
  <si>
    <t>Speed changer, industrial high-speed drive, and gear manufacturing'. This U.S. industry comprises establishments primarily engaged in manufacturing gears, speed changers, and industrial high-speed drives (except hydrostatic).</t>
  </si>
  <si>
    <t>BEA Code &amp; Name is '333613</t>
  </si>
  <si>
    <t>Mechanical power transmission equipment manufacturing'. This U.S. industry comprises establishments primarily engaged in manufacturing mechanical power transmission equipment (except motor vehicle and aircraft), such as plain bearings, clutches (except motor vehicle and electromagnetic industrial control), couplings, joints, and drive chains.</t>
  </si>
  <si>
    <t>BEA Code &amp; Name is 333618</t>
  </si>
  <si>
    <t>Other engine equipment manufacturing. This U.S. industry comprises establishments primarily engaged in manufacturing internal combustion engines (except automotive gasoline and aircraft).</t>
  </si>
  <si>
    <t>BEA Code &amp; Name is '333912</t>
  </si>
  <si>
    <t>Air and gas compressor manufacturing'. 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</si>
  <si>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BEA Code &amp; Name is '33391A</t>
  </si>
  <si>
    <t>Pump and pumping equipment manufacturing'. This U.S. industry comprises establishments primarily engaged in (1) manufacturing general purpose pumps and pumping equipment (except fluid power pumps and motors), such as reciprocating pumps, turbine pumps, centrifugal pumps, rotary pumps, diaphragm pumps, domestic water system pumps, oil well and oil field pumps and sump pumps; (2) manufacturing measuring and dispensing pumps, such as gasoline pumps and lubricating oil measuring and dispensing pumps. Related NAICS codes are</t>
  </si>
  <si>
    <t xml:space="preserve"> 333911, 333913</t>
  </si>
  <si>
    <t>BEA Code &amp; Name is '333920</t>
  </si>
  <si>
    <t>Material handling equipment manufacturing'. This industry comprises establishments primarily engaged in manufacturing material handling equipment, such as elevators and moving stairs; conveyors and conveying equipment; overhead traveling cranes, hoists, and monorail systems; and industrial trucks, tractors, trailers, and stacker machinery.</t>
  </si>
  <si>
    <t>BEA Code &amp; Name is '333991</t>
  </si>
  <si>
    <t>Power-driven handtool manufacturing'. This U.S. industry comprises establishments primarily engaged in manufacturing power-driven (e.g., battery, corded, pneumatic) handtools, such as drills, screwguns, circular saws, chain saws, staplers, and nailers.</t>
  </si>
  <si>
    <t>BEA Code &amp; Name is '333993</t>
  </si>
  <si>
    <t>Packaging machinery manufacturing'. This U.S. industry comprises establishments primarily engaged in manufacturing packaging machinery, such as wrapping, bottling, canning, and labeling machinery.</t>
  </si>
  <si>
    <t>BEA Code &amp; Name is '333994</t>
  </si>
  <si>
    <t>Industrial process furnace and oven manufacturing'. This U.S. Industry comprises establishments primarily engaged in manufacturing industrial process ovens, induction and dielectric heating equipment, and kilns (except cement, chemical, wood). Included in this industry are establishments manufacturing laboratory furnaces and ovens.</t>
  </si>
  <si>
    <t>BEA Code &amp; Name is '33399A</t>
  </si>
  <si>
    <t>Other general purpose machinery manufacturing'. This U.S. industry comprises establishments primarily engaged in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 Related NAICS codes are</t>
  </si>
  <si>
    <t xml:space="preserve"> 333992, 333997, 333999</t>
  </si>
  <si>
    <t>BEA Code &amp; Name is '33399B</t>
  </si>
  <si>
    <t>Fluid power process machinery'. This U.S. industry comprises establishments primarily engaged in (1) manufacturing fluid power (i.e., hydraulic and pneumatic) cylinders and actuators, and (2) manufacturing fluid power (i.e., hydraulic and pneumatic) pumps and motors. Related NAICS codes are</t>
  </si>
  <si>
    <t xml:space="preserve"> 333995-6</t>
  </si>
  <si>
    <t>BEA Code &amp; Name is '334111</t>
  </si>
  <si>
    <t>BEA Code &amp; Name is '334112</t>
  </si>
  <si>
    <t>BEA Code &amp; Name is 334118</t>
  </si>
  <si>
    <t>Computer terminals and other computer peripheral equipment manufacturing. This industry comprises establishments primarily engaged in manufacturing computer terminals and other computer peripheral equipment (except storage devices).</t>
  </si>
  <si>
    <t>BEA Code &amp; Name is '334210</t>
  </si>
  <si>
    <t>BEA Code &amp; Name is '334220</t>
  </si>
  <si>
    <t>Broadcast and wireless communications equipment'. This industry comprises establishments primarily engaged in manufacturing radio and television broadcast and wireless communications equipment. Examples of products made by these establishments are</t>
  </si>
  <si>
    <t xml:space="preserve"> transmitting and receiving antennas, cable television equipment, GPS equipment, pagers, cellular phones, mobile communications equipment, and radio and television studio and broadcasting equipment.</t>
  </si>
  <si>
    <t>BEA Code &amp; Name is '334290</t>
  </si>
  <si>
    <t>Other communications equipment manufacturing'. This industry comprises establishments primarily engaged in manufacturing communications equipment (except telephone apparatus, and radio and television broadcast, and wireless communications equipment).</t>
  </si>
  <si>
    <t>BEA Code &amp; Name is '334413</t>
  </si>
  <si>
    <t>Semiconductor and related device manufacturing'. 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</si>
  <si>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BEA Code &amp; Name is '334418</t>
  </si>
  <si>
    <t>Printed circuit assembly (electronic assembly) manufacturing'. This U.S. industry comprises 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</si>
  <si>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BEA Code &amp; Name is '33441A</t>
  </si>
  <si>
    <t>Other electronic component manufacturing'. This industry comprises establishments primarily engaged in manufacturing semiconductors and other components for electronic applications. Examples of products made by these establishments are capacitors, resistors, microprocessors, bare and loaded printed circuit boards, electron tubes, electronic connectors, and computer modems.Ã‚Â  Related NAICS codes are</t>
  </si>
  <si>
    <t xml:space="preserve"> 334411, 334412, 334414-7, 334419</t>
  </si>
  <si>
    <t>BEA Code &amp; Name is '334510</t>
  </si>
  <si>
    <t>Electromedical and electrotherapeutic apparatus manufacturing'. 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</si>
  <si>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BEA Code &amp; Name is '334511</t>
  </si>
  <si>
    <t>Search, detection, and navigation instruments manufacturing'. This U.S. industry comprises establishments primarily engaged in manufacturing search, detection, navigation, guidance, aeronautical, and nautical systems and instruments. Examples of products made by these establishments are aircraft instruments (except engine), flight recorders, navigational instruments and systems, radar systems and equipment, and sonar systems and equipment.</t>
  </si>
  <si>
    <t>BEA Code &amp; Name is '334512</t>
  </si>
  <si>
    <t>Automatic environmental control manufacturing'. This U.S. industry comprises establishments primarily engaged in manufacturing automatic controls and regulators for applications, such as heating, air-conditioning, refrigeration and appliances.</t>
  </si>
  <si>
    <t>BEA Code &amp; Name is '334513</t>
  </si>
  <si>
    <t>Industrial process variable instruments manufacturing'. This U.S. industry comprises 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</si>
  <si>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BEA Code &amp; Name is '334514</t>
  </si>
  <si>
    <t>Totalizing fluid meter and counting device manufacturing'. This U.S. industry comprises establishments primarily engaged in manufacturing totalizing (i.e., registering) fluid meters and counting devices. Examples of products made by these establishments are gas consumption meters, water consumption meters, parking meters, taxi meters, motor vehicle gauges, and fare collection equipment.</t>
  </si>
  <si>
    <t>BEA Code &amp; Name is '334515</t>
  </si>
  <si>
    <t>Electricity and signal testing instruments manufacturing'. This U.S. industry comprises establishments primarily engaged in manufacturing instruments for measuring and testing the characteristics of electricity and electrical signals. Examples of products made by these establishments are circuit and continuity testers, voltmeters, ohm meters, wattmeters, multimeters, and semiconductor test equipment.</t>
  </si>
  <si>
    <t>BEA Code &amp; Name is '334516</t>
  </si>
  <si>
    <t>Analytical laboratory instrument manufacturing'. This U.S. industry comprises establishments primarily engaged in manufacturing instruments and instrumentation systems for laboratory analysis of the chemical or physical composition or concentration of samples of solid, fluid, gaseous, or composite material.</t>
  </si>
  <si>
    <t>BEA Code &amp; Name is '334517</t>
  </si>
  <si>
    <t>Irradiation apparatus manufacturing'. This U.S. industry comprises 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</si>
  <si>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BEA Code &amp; Name is '33451A</t>
  </si>
  <si>
    <t>Watch, clock, and other measuring and controlling device manufacturing'. This industry comprises establishments primarily engaged in manufacturing navigational, measuring, electromedical, and control instruments. Examples of products made by these establishments are aeronautical instruments, appliance regulators and controls (except switches), laboratory analytical instruments, navigation and guidance systems, and physical properties testing equipment.Ã‚Â  Related NAICS codes are</t>
  </si>
  <si>
    <t xml:space="preserve"> 334518-9</t>
  </si>
  <si>
    <t>BEA Code &amp; Name is '334300</t>
  </si>
  <si>
    <t>Audio and video equipment manufacturing'. 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</si>
  <si>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BEA Code &amp; Name is '334610</t>
  </si>
  <si>
    <t>Manufacturing and reproducing magnetic and optical media'. 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</si>
  <si>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BEA Code &amp; Name is '335110</t>
  </si>
  <si>
    <t>Electric lamp bulb and part manufacturing'. This industry comprises establishments primarily engaged in manufacturing electric light bulbs and tubes, and parts and components (except glass blanks for electric light bulbs).</t>
  </si>
  <si>
    <t>BEA Code &amp; Name is '335120</t>
  </si>
  <si>
    <t>Lighting fixture manufacturing'. This industry comprises establishments primarily engaged in manufacturing electric lighting fixtures (except vehicular), nonelectric lighting equipment, lamp shades (except glass and plastics), and lighting fixture components (except current-carrying wiring devices).</t>
  </si>
  <si>
    <t>BEA Code &amp; Name is '335210</t>
  </si>
  <si>
    <t>Small electrical appliance manufacturing'. This industry comprises establishments primarily engaged in manufacturing small electric appliances and electric housewares, household-type fans, household-type vacuum cleaners, and other electric householdtype floor care machines.</t>
  </si>
  <si>
    <t>BEA Code &amp; Name is 335221</t>
  </si>
  <si>
    <t>Household cooking appliance manufacturing. This U.S. industry comprises establishments primarily engaged in manufacturing household-type electric and nonelectric cooking equipment (except small electric appliances and electric housewares).</t>
  </si>
  <si>
    <t>BEA Code &amp; Name is 335222</t>
  </si>
  <si>
    <t>Household refrigerator and home freezer manufacturing. This U.S. industry comprises establishments primarily engaged in manufacturing household-type refrigerators and upright and chest freezers.</t>
  </si>
  <si>
    <t>BEA Code &amp; Name is 335224</t>
  </si>
  <si>
    <t>Household laundry equipment manufacturing. This U.S. industry comprises establishments primarily engaged in manufacturing household-type laundry equipment.</t>
  </si>
  <si>
    <t>BEA Code &amp; Name is '335228</t>
  </si>
  <si>
    <t>Other major household appliance manufacturing'. This U.S. industry comprises establishments primarily engaged in manufacturing electric and nonelectric major household-type appliances (except cooking equipment, refrigerators, upright and chest freezers, and household-type laundry equipment.</t>
  </si>
  <si>
    <t>BEA Code &amp; Name is '335311</t>
  </si>
  <si>
    <t>Power, distribution, and specialty transformer manufacturing'. 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</si>
  <si>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BEA Code &amp; Name is '335312</t>
  </si>
  <si>
    <t>Motor and generator manufacturing'. This U.S. industry comprises 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 establishments rewinding armatures on a factory basis.</t>
  </si>
  <si>
    <t>BEA Code &amp; Name is 335313</t>
  </si>
  <si>
    <t>Switchgear and switchboard apparatus manufacturing. This U.S. industry comprises establishments primarily engaged in manufacturing switchgear and switchboard apparatus.</t>
  </si>
  <si>
    <t>BEA Code &amp; Name is '335314</t>
  </si>
  <si>
    <t>Relay and industrial control manufacturing'. This U.S. industry comprises establishments primarily engaged in manufacturing relays, motor starters and controllers, and other industrial controls and control accessories.</t>
  </si>
  <si>
    <t>BEA Code &amp; Name is 335911</t>
  </si>
  <si>
    <t>Storage battery manufacturing. This U.S. industry comprises establishments primarily engaged in manufacturing storage batteries.</t>
  </si>
  <si>
    <t>BEA Code &amp; Name is 335912</t>
  </si>
  <si>
    <t>Primary battery manufacturing. This U.S. industry comprises establishments primarily engaged in manufacturing wet or dry primary batteries.</t>
  </si>
  <si>
    <t>BEA Code &amp; Name is '335920</t>
  </si>
  <si>
    <t>Communication and energy wire and cable manufacturing'. This industry comprises establishments insulating fiber-optic cable, and manufacturing insulated nonferrous wire and cable from nonferrous wire drawn in other establishments.</t>
  </si>
  <si>
    <t>BEA Code &amp; Name is 335930</t>
  </si>
  <si>
    <t>Wiring device manufacturing. This industry comprises establishments primarily engaged in manufacturing current-carrying wiring devices and noncurrent-carrying wiring devices for wiring electrical circuits.</t>
  </si>
  <si>
    <t>BEA Code &amp; Name is '335991</t>
  </si>
  <si>
    <t>Carbon and graphite product manufacturing'. This U.S. industry comprises establishments primarily engaged in manufacturing carbon, graphite, and metal-graphite brushes and brush stock; carbon or graphite electrodes for thermal and electrolytic uses; carbon and graphite fibers; and other carbon, graphite, and metal-graphite products.</t>
  </si>
  <si>
    <t>BEA Code &amp; Name is '335999</t>
  </si>
  <si>
    <t>All other miscellaneous electrical equipment and component manufacturing'. This U.S. industry comprises 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</si>
  <si>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BEA Code &amp; Name is '336111</t>
  </si>
  <si>
    <t>Automobile manufacturing'. This U.S. industry comprises establishments primarily engaged in (1) manufacturing complete automobiles (i.e., body and chassis or unibody) or (2) manufacturing automobile chassis only.</t>
  </si>
  <si>
    <t>BEA Code &amp; Name is '336112</t>
  </si>
  <si>
    <t>Light truck and utility vehicle manufacturing'. This U.S. industry comprises establishments primarily engaged in (1) manufacturing complete light trucks and utility vehicles (i.e., body and chassis) or (2) manufacturing light truck and utility vehicle chassis only. Vehicles made include light duty vans, pick-up trucks, minivans, and sport utility vehicles.</t>
  </si>
  <si>
    <t>BEA Code &amp; Name is '336120</t>
  </si>
  <si>
    <t>Heavy duty truck manufacturing'. This industry comprises establishments primarily engaged in (1) manufacturing heavy duty truck chassis and assembling complete heavy duty trucks, buses, heavy duty motor homes, and other special purpose heavy duty motor vehicles for highway use or (2) manufacturing heavy duty truck chassis only.</t>
  </si>
  <si>
    <t>BEA Code &amp; Name is 336211</t>
  </si>
  <si>
    <t>Motor vehicle body manufacturing. This U.S. industry comprises establishments primarily engaged in manufacturing truck and bus bodies and cabs and automobile bodies. The products made may be sold separately or may be assembled on purchased chassis and sold as complete vehicles.</t>
  </si>
  <si>
    <t>BEA Code &amp; Name is '336212</t>
  </si>
  <si>
    <t>Truck trailer manufacturing'. This U.S. industry comprises establishments primarily engaged in manufacturing truck trailers, truck trailer chassis, cargo container chassis, detachable trailer bodies, and detachable trailer chassis for sale separately.</t>
  </si>
  <si>
    <t>BEA Code &amp; Name is 336213</t>
  </si>
  <si>
    <t>Motor home manufacturing. This U.S. industry comprises establishments primarily engaged in (1) manufacturing motor homes on purchased chassis and/or (2) manufacturing conversion vans on an assembly line basis. Motor homes are units where the motor and the living quarters are integrated in the same unit.</t>
  </si>
  <si>
    <t>BEA Code &amp; Name is '336214</t>
  </si>
  <si>
    <t>Travel trailer and camper manufacturing'. This U.S. industry comprises establishments primarily engaged in one or more of the following</t>
  </si>
  <si>
    <t xml:space="preserve"> (1) manufacturing travel trailers and campers designed to attach to motor vehicles; (2) manufacturing pickup coaches (i.e., campers) and caps (i.e., covers) for mounting on pickup trucks; and (3) manufacturing automobile, utility and light-truck trailers. Travel trailers do not have their own motor but are designed to be towed by a motor unit, such as an automobile or a light truck.</t>
  </si>
  <si>
    <t>BEA Code &amp; Name is '336310</t>
  </si>
  <si>
    <t>Motor vehicle gasoline engine and engine parts manufacturing'. This industry comprises establishments primarily engaged in manufacturing and/or rebuilding motor vehicle gasoline engines, and engine parts, whether or not for vehicular use.</t>
  </si>
  <si>
    <t>BEA Code &amp; Name is '336320</t>
  </si>
  <si>
    <t>Motor vehicle electrical and electronic equipment manufacturing'. This industry comprises establishments primarily engaged in (1) manufacturing vehicular lighting and/or (2) manufacturing and/or rebuilding motor vehicle electrical and electronic equipment. The products made can be used for all types of transportation equipment (i.e., aircraft, automobiles, trains, ships).</t>
  </si>
  <si>
    <t>BEA Code &amp; Name is 336350</t>
  </si>
  <si>
    <t>Motor vehicle transmission and power train parts manufacturing. This industry comprises establishments primarily engaged in manufacturing and/or rebuilding motor vehicle transmissions and power train parts.</t>
  </si>
  <si>
    <t>BEA Code &amp; Name is '336360</t>
  </si>
  <si>
    <t>Motor vehicle seating and interior trim manufacturing'. This industry comprises establishments primarily engaged in manufacturing motor vehicle seating, seats, seat frames, seat belts, and interior trimmings.</t>
  </si>
  <si>
    <t>BEA Code &amp; Name is '336370</t>
  </si>
  <si>
    <t>Motor vehicle metal stamping'. This industry comprises establishments primarily engaged in manufacturing motor vehicle stampings, such as fenders, tops, body parts, trim, and molding.</t>
  </si>
  <si>
    <t>BEA Code &amp; Name is '336390</t>
  </si>
  <si>
    <t>Other motor vehicle parts manufacturing'. This industry comprises 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</si>
  <si>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BEA Code &amp; Name is '3363A0</t>
  </si>
  <si>
    <t>Motor vehicle steering, suspension component (except spring), and brake systems manufacturing'. 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t>
  </si>
  <si>
    <t xml:space="preserve">  (a) Motor Vehicle Air-Conditioning Manufacturing, and (b) All Other Motor Vehicle Parts Manufacturing Related NAICS codes are</t>
  </si>
  <si>
    <t xml:space="preserve"> 33633-4</t>
  </si>
  <si>
    <t>BEA Code &amp; Name is '336411</t>
  </si>
  <si>
    <t>Aircraft manufacturing'. This U.S. industry comprises establishments primarily engaged in one or more of the following</t>
  </si>
  <si>
    <t xml:space="preserve"> (1) manufacturing or assembling complete aircraft; (2) developing and making aircraft prototypes; (3) aircraft conversion (i.e., major modifications to systems); and (4) complete aircraft overhaul and rebuilding (i.e., periodic restoration of aircraft to original design specifications).</t>
  </si>
  <si>
    <t>BEA Code &amp; Name is '336412</t>
  </si>
  <si>
    <t>Aircraft engine and engine parts manufacturing'. This U.S. industry comprises establishments primarily engaged in one or more of the following</t>
  </si>
  <si>
    <t xml:space="preserve"> (1) manufacturing aircraft engines and engine parts; (2) developing and making prototypes of aircraft engines and engine parts; (3) aircraft propulsion system conversion (i.e., major modifications to systems); and (4) aircraft propulsion systems overhaul and rebuilding (i.e., periodic restoration of aircraft propulsion system to original design specifications).</t>
  </si>
  <si>
    <t>BEA Code &amp; Name is '336413</t>
  </si>
  <si>
    <t>Other aircraft parts and auxiliary equipment manufacturing'. This U.S. industry comprises establishment primarily engaged in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</si>
  <si>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BEA Code &amp; Name is 336414</t>
  </si>
  <si>
    <t>Guided missile and space vehicle manufacturing. This U.S. industry comprises establishments primarily engaged in (1) manufacturing complete guided missiles and space vehicles and/or (2) developing and making prototypes of guided missiles or space vehicles.</t>
  </si>
  <si>
    <t>BEA Code &amp; Name is '33641A</t>
  </si>
  <si>
    <t>Propulsion units and parts for space vehicles and guided missiles'. This industry comprises establishments primarily engaged in one or more of the following</t>
  </si>
  <si>
    <t xml:space="preserve"> (1) manufacturing complete aircraft, missiles, or space vehicles; (2) manufacturing aerospace engines, propulsion units, auxiliary equipment or parts; (3) developing and making prototypes of aerospace products; (4) aircraft conversion (i.e., major modifications to systems); and (5) complete aircraft or propulsion systems overhaul and rebuilding (i.e., periodic restoration of aircraft to original design specifications).Ã‚Â  Related NAICS codes are</t>
  </si>
  <si>
    <t xml:space="preserve"> 336415, 336419</t>
  </si>
  <si>
    <t>BEA Code &amp; Name is '336500</t>
  </si>
  <si>
    <t>Railroad rolling stock manufacturing'. This industry comprises establishments primarily engaged in one or more of the following</t>
  </si>
  <si>
    <t xml:space="preserve">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</si>
  <si>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BEA Code &amp; Name is '336611</t>
  </si>
  <si>
    <t>Ship building and repairing'. 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</si>
  <si>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BEA Code &amp; Name is 336612</t>
  </si>
  <si>
    <t>Boat building. This U.S. industry comprises establishments primarily engaged in building boats. Boats are defined as watercraft not built in shipyards and typically of the type suitable or intended for personal use. Included in this industry are establishments that manufacture heavy-duty inflatable rubber or inflatable plastic boats (RIBs).</t>
  </si>
  <si>
    <t>BEA Code &amp; Name is '336991</t>
  </si>
  <si>
    <t>Motorcycle, bicycle, and parts manufacturing'. This U.S. industry comprises establishments primarily engaged in manufacturing motorcycles, bicycles, tricycles and similar equipment, and parts.</t>
  </si>
  <si>
    <t>BEA Code &amp; Name is '336992</t>
  </si>
  <si>
    <t>Military armored vehicle, tank, and tank component manufacturing'. This U.S. industry comprises establishments primarily engaged in manufacturing complete military armored vehicles, combat tanks, specialized components for combat tanks, and self-propelled weapons.</t>
  </si>
  <si>
    <t>BEA Code &amp; Name is '336999</t>
  </si>
  <si>
    <t>All other transportation equipment manufacturing'. This U.S. industry comprises establishments primarily engaged in manufacturing transportation equipment (except motor vehicles, motor vehicle parts, boats, ships, railroad rolling stock, aerospace products, motorcycles, bicycles, armored vehicles and tanks).</t>
  </si>
  <si>
    <t>BEA Code &amp; Name is '337110</t>
  </si>
  <si>
    <t>Wood kitchen cabinet and countertop manufacturing'. This industry comprises establishments primarily engaged in manufacturing wood or plastics laminated on wood kitchen cabinets, bathroom vanities, and countertops (except freestanding). The cabinets and counters may be made on a stock or custom basis.</t>
  </si>
  <si>
    <t>BEA Code &amp; Name is 337121</t>
  </si>
  <si>
    <t>Upholstered household furniture manufacturing. This U.S. industry comprises establishments primarily engaged in manufacturing upholstered householdtype furniture. The furniture may be made on a stock or custom basis.</t>
  </si>
  <si>
    <t>BEA Code &amp; Name is '337122</t>
  </si>
  <si>
    <t>Nonupholstered wood household furniture manufacturing'. This U.S. industry comprises 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</si>
  <si>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BEA Code &amp; Name is '337127</t>
  </si>
  <si>
    <t>Institutional furniture manufacturing'. This U.S. industry comprises establishments primarily engaged in manufacturing institutional-type furniture (e.g., library, school, theater, and church furniture). Included in this industry are establishments primarily engaged in manufacturing general purpose hospital, laboratory, and dental furniture (e.g., tables, stools, and benches). The furniture may be made on a stock or custom basis and may be assembled or unassembled (i.e., knockdown).</t>
  </si>
  <si>
    <t>BEA Code &amp; Name is '33712N</t>
  </si>
  <si>
    <t>Other household nonupholstered furniture'. This industry comprises establishments primarily engaged in manufacturing (1) metal household-type furniture and freestanding cabinets, or (2) furniture of materials other than wood or metal, such as plastics, reed, rattan, wicker, and fiberglass. The furniture may be made on a stock or custom basis and may be assembled or unassembled (i.e., knockdown). Related NAICS codes are</t>
  </si>
  <si>
    <t xml:space="preserve"> 337124, 337125</t>
  </si>
  <si>
    <t>BEA Code &amp; Name is '337215</t>
  </si>
  <si>
    <t xml:space="preserve">Showcase, partition, shelving, and locker manufacturing'. This industry comprises establishments primarily engaged in manufacturing office furniture and/or office and store fixtures. The furniture may be made on a stock or custom basis and may be assembled or unassembled (i.e., knockdown). </t>
  </si>
  <si>
    <t>BEA Code &amp; Name is '33721A</t>
  </si>
  <si>
    <t>Office furniture and custom architectural woodwork and millwork manufacturing'. This industry comprises establishments primarily engaged in manufacturing office furniture and/or office and store fixtures. The furniture may be made on a stock or custom basis and may be assembled or unassembled (i.e., knockdown).Ã‚Â  Related NAICS codes are</t>
  </si>
  <si>
    <t xml:space="preserve"> 337211, 337212, 337214</t>
  </si>
  <si>
    <t>BEA Code &amp; Name is '337900</t>
  </si>
  <si>
    <t>Other furniture related product manufacturing'. This industry group comprises establishments manufacturing furniture related products, such as mattresses, blinds, and shades.</t>
  </si>
  <si>
    <t>BEA Code &amp; Name is '339112</t>
  </si>
  <si>
    <t>Surgical and medical instrument manufacturing'. 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</si>
  <si>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BEA Code &amp; Name is '339113</t>
  </si>
  <si>
    <t>Surgical appliance and supplies manufacturing'. This U.S. industry comprises establishments primarily engaged in manufacturing surgical appliances and supplies. Examples of products made by these establishments are orthopedic devices, prosthetic appliances, surgical dressings, crutches, surgical sutures, personal industrial safety devices (except protective eyewear), hospital beds, and operating room tables.</t>
  </si>
  <si>
    <t>BEA Code &amp; Name is '339114</t>
  </si>
  <si>
    <t>Dental equipment and supplies manufacturing'. This U.S. industry comprises establishments primarily engaged in manufacturing dental equipment and supplies used by dental laboratories and offices of dentists, such as dental chairs, dental instrument delivery systems, dental hand instruments, and dental impression material and dental cements.</t>
  </si>
  <si>
    <t>BEA Code &amp; Name is '339115</t>
  </si>
  <si>
    <t>Ophthalmic goods manufacturing'. This U.S. industry comprises establishments primarily engaged in manufacturing ophthalmic goods. Examples of products made by these establishments are prescription eyeglasses (except manufactured in a retail setting), contact lenses, sunglasses, eyeglass frames, and reading glasses made to standard powers, and protective eyewear.</t>
  </si>
  <si>
    <t>BEA Code &amp; Name is '339116</t>
  </si>
  <si>
    <t>Dental laboratories'. This U.S. industry comprises establishments primarily engaged in manufacturing dentures, crowns, bridges, and orthodontic appliances customized for individual application.</t>
  </si>
  <si>
    <t>BEA Code &amp; Name is '339910</t>
  </si>
  <si>
    <t>Jewelry and silverware manufacturing'. This industry comprises establishments primarily engaged in one or more of the following</t>
  </si>
  <si>
    <t xml:space="preserve">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</si>
  <si>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BEA Code &amp; Name is 339920</t>
  </si>
  <si>
    <t>Sporting and athletic goods manufacturing. This industry comprises establishments primarily engaged in manufacturing sporting and athletic goods (except apparel and footwear).</t>
  </si>
  <si>
    <t>BEA Code &amp; Name is '339930</t>
  </si>
  <si>
    <t>Doll, toy, and game manufacturing'. This industry comprises establishments primarily engaged in manufacturing dolls, toys, and games, such as complete dolls, doll parts, doll clothes, action figures, toys, games (including electronic), hobby kits, and children's vehicles (except metal bicycles and tricycles).</t>
  </si>
  <si>
    <t>BEA Code &amp; Name is '339940</t>
  </si>
  <si>
    <t>Office supplies (except paper) manufacturing'. This industry comprises establishments primarily engaged in manufacturing office supplies. Examples of products made by these establishments are pens, pencils, felt tip markers, crayons, chalk, pencil sharpeners, staplers, hand operated stamps, modeling clay, and inked ribbons.</t>
  </si>
  <si>
    <t>BEA Code &amp; Name is '339950</t>
  </si>
  <si>
    <t>Sign manufacturing'. This industry comprises establishments primarily engaged in manufacturing signs and related displays of all materials (except printing paper and paperboard signs, notices, displays).</t>
  </si>
  <si>
    <t>BEA Code &amp; Name is '339990</t>
  </si>
  <si>
    <t>All other miscellaneous manufacturing'. This industry comprises establishments primarily engaged in miscellaneous manufacturing (except medical equipment and supplies, jewelry and flatware, sporting and athletic goods, dolls, toys, games, office supplies (except paper), and signs).</t>
  </si>
  <si>
    <t>BEA Code &amp; Name is '311111</t>
  </si>
  <si>
    <t>Dog and cat food manufacturing'. This U.S. industry comprises establishments primarily engaged in manufacturing dog and cat food from ingredients, such as grains, oilseed mill products, and meat products.</t>
  </si>
  <si>
    <t>BEA Code &amp; Name is '311119</t>
  </si>
  <si>
    <t>Other animal food manufacturing'. This U.S. industry comprises establishments primarily engaged in manufacturing animal food (except dog and cat) from ingredients, such as grains, oilseed mill products, and meat products.</t>
  </si>
  <si>
    <t>BEA Code &amp; Name is '311210</t>
  </si>
  <si>
    <t>Flour milling and malt manufacturing'. This industry comprises establishments primarily engaged in one or more of the following</t>
  </si>
  <si>
    <t>BEA Code &amp; Name is '311221</t>
  </si>
  <si>
    <t>Wet corn milling'. This U.S. industry comprises establishments primarily engaged in wet milling corn and other vegetables (except to make ethyl alcohol). Examples of products made in these establishments are corn sweeteners, such as glucose, dextrose, and fructose; corn oil; and starches (except laundry).</t>
  </si>
  <si>
    <t>BEA Code &amp; Name is '311225</t>
  </si>
  <si>
    <t>Fats and oils refining and blending'. This U.S. industry comprises establishments primarily engaged in one or more of the following</t>
  </si>
  <si>
    <t>BEA Code &amp; Name is '311224</t>
  </si>
  <si>
    <t>Soybean and other oilseed processing'. This U.S. industry comprises establishments primarily engaged in crushing oilseeds and tree nuts, such as soybeans, cottonseeds, linseeds, peanuts, and sunflower seeds. Examples of products produced in these establishments are oilseed oils, cakes, meals, and protein isolates and concentrates.</t>
  </si>
  <si>
    <t>BEA Code &amp; Name is 311230</t>
  </si>
  <si>
    <t>Breakfast cereal manufacturing. This industry comprises establishments primarily engaged in manufacturing breakfast cereal foods.</t>
  </si>
  <si>
    <t>BEA Code &amp; Name is '311300</t>
  </si>
  <si>
    <t>Sugar and confectionery product manufacturing'. This industry group comprises (1) establishments that process agricultural inputs, such as sugarcane, beet, and cacao, to give rise to a new product (sugar or chocolate), and (2) those that begin with sugar and chocolate and process these further.</t>
  </si>
  <si>
    <t>BEA Code &amp; Name is '311410</t>
  </si>
  <si>
    <t>Frozen food manufacturing'. 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</si>
  <si>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BEA Code &amp; Name is '311420</t>
  </si>
  <si>
    <t>Fruit and vegetable canning, pickling, and drying'. This industry comprises establishments primarily engaged in manufacturing canned, pickled, and dried fruits, vegetables, and specialty foods. Establishments in this industry may package the dried or dehydrated ingredients they make with other purchased ingredients. Examples of products made by these establishments are canned juices; canned baby foods; canned soups (except seafood); canned dry beans; canned tomato-based sauces, such as catsup, salsa, chili, spaghetti, barbeque, and tomato paste, pickles, relishes, jams and jellies, dried soup mixes and bullions, and sauerkraut.</t>
  </si>
  <si>
    <t>BEA Code &amp; Name is 311513</t>
  </si>
  <si>
    <t>Cheese manufacturing. This U.S. industry comprises establishments primarily engaged in (1) manufacturing cheese products (except cottage cheese) from raw milk and/or processed milk products and/or (2) manufacturing cheese substitutes from soybean and other nondairy substances.</t>
  </si>
  <si>
    <t>BEA Code &amp; Name is '311514</t>
  </si>
  <si>
    <t>Dry, condensed, and evaporated dairy product manufacturing'. This U.S. industry comprises establishments primarily engaged in manufacturing dry, condensed, and evaporated milk and dairy substitute products.</t>
  </si>
  <si>
    <t>BEA Code &amp; Name is '31151A</t>
  </si>
  <si>
    <t>Fluid milk and butter manufacturing'. This industry group comprises establishments that manufacture dairy products from raw milk, processed milk, and dairy substitutes. Related NAICS codes are</t>
  </si>
  <si>
    <t xml:space="preserve"> 311511-2</t>
  </si>
  <si>
    <t>BEA Code &amp; Name is '311520</t>
  </si>
  <si>
    <t>Ice cream and frozen dessert manufacturing'. This industry comprises establishments primarily engaged in manufacturing ice cream, frozen yogurts, frozen ices, sherbets, frozen tofu, and other frozen desserts (except bakery products).</t>
  </si>
  <si>
    <t>BEA Code &amp; Name is 311615</t>
  </si>
  <si>
    <t>Poultry processing. This U.S. industry comprises establishments primarily engaged in (1) slaughtering poultry and small game and/or (2) preparing processed poultry and small game meat and meat byproducts.</t>
  </si>
  <si>
    <t>BEA Code &amp; Name is '31161A</t>
  </si>
  <si>
    <t>Animal (except poultry) slaughtering, rendering, and processing'. This industry comprises establishments primarily engaged in one or more of the following</t>
  </si>
  <si>
    <t xml:space="preserve"> 311611-3</t>
  </si>
  <si>
    <t>BEA Code &amp; Name is '311700</t>
  </si>
  <si>
    <t>Seafood product preparation and packaging'. This industry comprises establishments primarily engaged in one or more of the following</t>
  </si>
  <si>
    <t>BEA Code &amp; Name is 311810</t>
  </si>
  <si>
    <t>Bread and bakery product manufacturing. This industry comprises establishments primarily engaged in manufacturing fresh and frozen bread and other bakery products.</t>
  </si>
  <si>
    <t>BEA Code &amp; Name is '3118A0</t>
  </si>
  <si>
    <t>Cookie, cracker, pasta, and tortilla manufacturing'. This industry group comprises establishments primarily engaged in one of the following</t>
  </si>
  <si>
    <t xml:space="preserve"> 31182-3</t>
  </si>
  <si>
    <t>BEA Code &amp; Name is '311910</t>
  </si>
  <si>
    <t>Snack food manufacturing'. 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</si>
  <si>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BEA Code &amp; Name is '311920</t>
  </si>
  <si>
    <t>Coffee and tea manufacturing'. This industry comprises establishments primarily engaged in one or more of the following</t>
  </si>
  <si>
    <t>BEA Code &amp; Name is 311930</t>
  </si>
  <si>
    <t>Flavoring syrup and concentrate manufacturing. This industry comprises establishments primarily engaged in manufacturing flavoring syrup drink concentrates and related products for soda fountain use or for the manufacture of soft drinks.</t>
  </si>
  <si>
    <t>BEA Code &amp; Name is '311940</t>
  </si>
  <si>
    <t>Seasoning and dressing manufacturing'. This industry comprises establishments primarily engaged in one or more of the following</t>
  </si>
  <si>
    <t>BEA Code &amp; Name is '311990</t>
  </si>
  <si>
    <t>All other food manufacturing'. This industry comprises 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 establishments primarily engaged in mixing purchased dried and/or dehydrated ingredients including those mixing purchased dried and/or dehydrated ingredients for soup mixes and bouillon.</t>
  </si>
  <si>
    <t>BEA Code &amp; Name is 312110</t>
  </si>
  <si>
    <t>Soft drink and ice manufacturing. This industry comprises establishments primarily engaged in one or more of the following</t>
  </si>
  <si>
    <t xml:space="preserve"> (1) manufacturing soft drinks; (2) manufacturing ice; and (3) purifying and bottling water.</t>
  </si>
  <si>
    <t>BEA Code &amp; Name is '312120</t>
  </si>
  <si>
    <t>Breweries'. This industry comprises establishments primarily engaged in brewing beer, ale, malt liquors, and nonalcoholic beer.</t>
  </si>
  <si>
    <t>BEA Code &amp; Name is 312130</t>
  </si>
  <si>
    <t>Wineries. This industry comprises establishments primarily engaged in one or more of the following</t>
  </si>
  <si>
    <t xml:space="preserve"> (1) growing grapes and manufacturing wines and brandies; (2) manufacturing wines and brandies from grapes and other fruits grown elsewhere; and (3) blending wines and brandies.</t>
  </si>
  <si>
    <t>BEA Code &amp; Name is 312140</t>
  </si>
  <si>
    <t>Distilleries. This industry comprises establishments primarily engaged in one or more of the following</t>
  </si>
  <si>
    <t xml:space="preserve"> (1) distilling potable liquors (except brandies); (2) distilling and blending liquors; and (3) blending and mixing liquors and other ingredients.</t>
  </si>
  <si>
    <t>BEA Code &amp; Name is '312200</t>
  </si>
  <si>
    <t>Tobacco product manufacturing'. This industry comprises establishments primarily engaged in manufacturing cigarettes, cigars, smoking and chewing tobacco, and reconstituted tobacco.</t>
  </si>
  <si>
    <t>BEA Code &amp; Name is '313100</t>
  </si>
  <si>
    <t>Fiber, yarn, and thread mills'. This industry comprises establishments primarily engaged in one or more of the following</t>
  </si>
  <si>
    <t xml:space="preserve"> (1) spinning yarn; (2) manufacturing thread of any fiber; (3) texturizing, throwing, twisting, and winding purchased yarn or manmade fiber filaments; and (4) producing hemp yarn and further processing into rope or bags.</t>
  </si>
  <si>
    <t>BEA Code &amp; Name is '313200</t>
  </si>
  <si>
    <t>Fabric mills'. This industry group comprises (1) Broadwoven Fabric Mills, (2) Narrow Fabric Mills and Schiffli Machine Embroidery, (3) Nonwoven Fabric Mills, and (4) Knit Fabric Mills.</t>
  </si>
  <si>
    <t>BEA Code &amp; Name is '313300</t>
  </si>
  <si>
    <t>Textile and fabric finishing and fabric coating mills'. This industry group comprises (1) Textile and Fabric Finishing Mills, and (2) Fabric Coating Mills.</t>
  </si>
  <si>
    <t>BEA Code &amp; Name is '314110</t>
  </si>
  <si>
    <t>Carpet and rug mills'. 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</si>
  <si>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BEA Code &amp; Name is '314120</t>
  </si>
  <si>
    <t>Curtain and linen mills'. This industry comprises establishments primarily engaged in manufacturing household textile products, such as curtains, draperies, linens, bedspreads, sheets, tablecloths, towels, and shower curtains, from purchased materials.</t>
  </si>
  <si>
    <t>BEA Code &amp; Name is '314900</t>
  </si>
  <si>
    <t>Other textile product mills'. This industry group comprises establishments primarily engaged in making textile products (except carpets and rugs, curtains and draperies, and other household textile products) from purchased materials.</t>
  </si>
  <si>
    <t>BEA Code &amp; Name is '315000</t>
  </si>
  <si>
    <t>Apparel manufacturing'. Industries in the Apparel Manufacturing subsector group establishments with two distinct manufacturing processes</t>
  </si>
  <si>
    <t>BEA Code &amp; Name is '316000</t>
  </si>
  <si>
    <t>Leather and allied product manufacturing'. 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</si>
  <si>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BEA Code &amp; Name is '322110</t>
  </si>
  <si>
    <t>Pulp mills'. 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</si>
  <si>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BEA Code &amp; Name is '322120</t>
  </si>
  <si>
    <t>Paper mills'. This industry comprises establishments primarily engaged in manufacturing paper from pulp. These establishments may manufacture or purchase pulp. In addition, the establishments may convert the paper they make. The activity of making paper classifies an establishment into this industry regardless of the output.</t>
  </si>
  <si>
    <t>BEA Code &amp; Name is '322130</t>
  </si>
  <si>
    <t>Paperboard mills'. This industry comprises establishments primarily engaged in manufacturing paperboard from pulp. These establishments may manufacture or purchase pulp. In addition, the establishments may also convert the paperboard they make.</t>
  </si>
  <si>
    <t>BEA Code &amp; Name is '322210</t>
  </si>
  <si>
    <t>Paperboard container manufacturing'. 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</si>
  <si>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BEA Code &amp; Name is '322220</t>
  </si>
  <si>
    <t>Paper bag and coated and treated paper manufacturing'. This industry comprises establishments primarily engaged in one or more of the following</t>
  </si>
  <si>
    <t xml:space="preserve"> (1) cutting and coating paper and paperboard; (2) cutting and laminating paper, paperboard, and other flexible materials (except plastics film to plastics film); (3) manufacturing bags, multiwall bags, sacks of paper, metal foil, coated paper, laminates, or coated combinations of paper and foil with plastics film; (4) manufacturing laminated aluminum and other converted metal foils from purchased foils; and (5) surface coating paper or paperboard.</t>
  </si>
  <si>
    <t>BEA Code &amp; Name is '322230</t>
  </si>
  <si>
    <t>Stationery product manufacturing'. This industry comprises establishments primarily engaged in converting paper or paperboard into products used for writing, filing, art work, and similar applications.</t>
  </si>
  <si>
    <t>BEA Code &amp; Name is '322291</t>
  </si>
  <si>
    <t>Sanitary paper product manufacturing'. This U.S. industry comprises establishments primarily engaged in converting purchased sanitary paper stock or wadding into sanitary paper products, such as facial tissues, handkerchiefs, table napkins, toilet paper, towels, disposable diapers, sanitary napkins, and tampons.</t>
  </si>
  <si>
    <t>BEA Code &amp; Name is '322299</t>
  </si>
  <si>
    <t>All other converted paper product manufacturing'. This U.S. industry comprises 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</si>
  <si>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BEA Code &amp; Name is '323110</t>
  </si>
  <si>
    <t>Printing'. 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</si>
  <si>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BEA Code &amp; Name is '323120</t>
  </si>
  <si>
    <t>Support activities for printing'. This industry comprises establishments primarily engaged in performing prepress (e.g., platemaking, typesetting) and postpress services (e.g., book binding) in support of printing activities.</t>
  </si>
  <si>
    <t>BEA Code &amp; Name is 324110</t>
  </si>
  <si>
    <t>Petroleum refineries. This industry comprises establishments primarily engaged in refining crude petroleum into refined petroleum. Petroleum refining involves one or more of the following activities</t>
  </si>
  <si>
    <t xml:space="preserve"> (1) fractionation; (2) straight distillation of crude oil; and (3) cracking.</t>
  </si>
  <si>
    <t>BEA Code &amp; Name is 324121</t>
  </si>
  <si>
    <t>Asphalt paving mixture and block manufacturing. This U.S. industry comprises establishments primarily engaged in manufacturing asphalt and tar paving mixtures and blocks from purchased asphaltic materials.</t>
  </si>
  <si>
    <t>BEA Code &amp; Name is 324122</t>
  </si>
  <si>
    <t>Asphalt shingle and coating materials manufacturing. This U.S. industry comprises establishments primarily engaged in (1) saturating purchased mats and felts with asphalt or tar from purchased asphaltic materials and (2) manufacturing asphalt and tar and roofing cements and coatings from purchased asphaltic materials.</t>
  </si>
  <si>
    <t>BEA Code &amp; Name is '324190</t>
  </si>
  <si>
    <t>Other petroleum and coal products manufacturing'. This industry comprises establishments primarily engaged in manufacturing petroleum products (except asphalt paving, roofing and saturated materials) from refined petroleum or coal products made in coke ovens not integrated with a steel mill.</t>
  </si>
  <si>
    <t>BEA Code &amp; Name is '325110</t>
  </si>
  <si>
    <t>Petrochemical manufacturing'. 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</si>
  <si>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BEA Code &amp; Name is '325120</t>
  </si>
  <si>
    <t>Industrial gas manufacturing'. This industry comprises establishments primarily engaged in manufacturing industrial organic and inorganic gases in compressed, liquid, and solid forms.</t>
  </si>
  <si>
    <t>BEA Code &amp; Name is '325130</t>
  </si>
  <si>
    <t>Synthetic dye and pigment manufacturing'. This industry comprises establishments primarily engaged in manufacturing synthetic organic and inorganic dyes and pigments, such as lakes and toners (except electrostatic and photographic).</t>
  </si>
  <si>
    <t>BEA Code &amp; Name is 325180</t>
  </si>
  <si>
    <t>Other basic inorganic chemical manufacturing. This industry comprises establishments primarily engaged in manufacturing basic inorganic chemicals (except industrial gases and synthetic dyes and pigments).</t>
  </si>
  <si>
    <t>BEA Code &amp; Name is '325190</t>
  </si>
  <si>
    <t>Other basic organic chemical manufacturing'. This industry comprises establishments primarily engaged in manufacturing basic organic chemicals (except petrochemicals, industrial gases, and synthetic dyes and pigments).</t>
  </si>
  <si>
    <t>BEA Code &amp; Name is '325211</t>
  </si>
  <si>
    <t>Plastics material and resin manufacturing'. This U.S. industry comprises establishments primarily engaged in (1) manufacturing resins, plastics materials, and nonvulcanizable thermoplastic elastomers and mixing and blending resins on a custom basis and/or (2) manufacturing noncustomized synthetic resins.</t>
  </si>
  <si>
    <t>BEA Code &amp; Name is '3252A0</t>
  </si>
  <si>
    <t>Synthetic rubber and artificial and synthetic fibers and filaments manufacturing'. This industry group comprises establishments primarily engaged in one of the following</t>
  </si>
  <si>
    <t xml:space="preserve"> (1) manufacturing synthetic resins, plastics materials, and nonvulcanizable elastomers and mixing and blending resins on a custom basis; (2) manufacturing noncustomized synthetic resins; (3) manufacturing synthetic rubber; (4) manufacturing cellulosic (e.g., rayon, acetate) and noncellulosic (e.g., nylon, polyolefin, polyester) fibers and filaments in the form of monofilament, filament yarn, staple, or tow; or (5) manufacturing and texturizing cellulosic and noncellulosic fibers and filaments. Related NAICS codes are</t>
  </si>
  <si>
    <t xml:space="preserve"> 325212, 32522</t>
  </si>
  <si>
    <t>BEA Code &amp; Name is '325411</t>
  </si>
  <si>
    <t>Medicinal and botanical manufacturing'. This U.S. industry comprises establishments primarily engaged in (1) manufacturing uncompounded medicinal chemicals and their derivatives (i.e., generally for use by pharmaceutical preparation manufacturers) and/or (2) grading, grinding, and milling uncompounded botanicals.</t>
  </si>
  <si>
    <t>BEA Code &amp; Name is '325412</t>
  </si>
  <si>
    <t>Pharmaceutical preparation manufacturing'. This U.S. industry comprises 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</si>
  <si>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BEA Code &amp; Name is '325413</t>
  </si>
  <si>
    <t>In-vitro diagnostic substance manufacturing'. This U.S. industry comprises 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</si>
  <si>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BEA Code &amp; Name is '325414</t>
  </si>
  <si>
    <t>Biological product (except diagnostic) manufacturing'. This U.S. industry comprises establishments primarily engaged in manufacturing vaccines, toxoids, blood fractions, and culture media of plant or animal origin (except diagnostic).</t>
  </si>
  <si>
    <t>BEA Code &amp; Name is '325310</t>
  </si>
  <si>
    <t>Fertilizer manufacturing'. This industry group comprises (1) Fertilizer Manufacturing, and (2) Pesticide and Other Agricultural Chemical Manufacturing.</t>
  </si>
  <si>
    <t>BEA Code &amp; Name is 325320</t>
  </si>
  <si>
    <t>Pesticide and other agricultural chemical manufacturing. This industry comprises establishments primarily engaged in the formulation and preparation of agricultural and household pest control chemicals (except fertilizers).</t>
  </si>
  <si>
    <t>BEA Code &amp; Name is '325510</t>
  </si>
  <si>
    <t>Paint and coating manufacturing'. 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</si>
  <si>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BEA Code &amp; Name is '325520</t>
  </si>
  <si>
    <t>Adhesive manufacturing'. This industry comprises establishments primarily engaged in manufacturing adhesives, glues, and caulking compounds.</t>
  </si>
  <si>
    <t>BEA Code &amp; Name is '325610</t>
  </si>
  <si>
    <t>Soap and cleaning compound manufacturing'. This industry comprises establishments primarily engaged in manufacturing and packaging soap and other cleaning compounds, surface active agents, and textile and leather finishing agents used to reduce tension or speed the drying process.</t>
  </si>
  <si>
    <t>BEA Code &amp; Name is '325620</t>
  </si>
  <si>
    <t>Toilet preparation manufacturing'. This industry comprises establishments primarily engaged in preparing, blending, compounding, and packaging toilet preparations, such as perfumes, shaving preparations, hair preparations, face creams, lotions (including sunscreens), and other cosmetic preparations.</t>
  </si>
  <si>
    <t>BEA Code &amp; Name is 325910</t>
  </si>
  <si>
    <t>Printing ink manufacturing. This industry comprises establishments primarily engaged in manufacturing printing and inkjet inks and inkjet cartridges.</t>
  </si>
  <si>
    <t>BEA Code &amp; Name is '3259A0</t>
  </si>
  <si>
    <t>All other chemical product and preparation manufacturing'. This industry group comprises 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 Related NAICS codes are</t>
  </si>
  <si>
    <t xml:space="preserve"> 32592, 32599</t>
  </si>
  <si>
    <t>BEA Code &amp; Name is '326110</t>
  </si>
  <si>
    <t>Plastics packaging materials and unlaminated film and sheet manufacturing'. This industry comprises establishments primarily engaged in (1) converting plastics resins into unsupported plastics film and sheet and/or (2) forming, coating or laminating plastics film and sheet into plastics bags.</t>
  </si>
  <si>
    <t>BEA Code &amp; Name is '326120</t>
  </si>
  <si>
    <t>Plastics pipe, pipe fitting, and unlaminated profile shape manufacturing'. This industry comprises establishments primarily engaged in manufacturing plastics pipes and pipe fittings, and plastics profile shapes such as rod, tube, and sausage casings.</t>
  </si>
  <si>
    <t>BEA Code &amp; Name is '326130</t>
  </si>
  <si>
    <t>Laminated plastics plate, sheet (except packaging), and shape manufacturing'. This industry comprises establishments primarily engaged in laminating plastics profile shapes such as plate, sheet (except packaging), and rod. The lamination process generally involves bonding or impregnating profiles with plastics resins and compressing them under heat.</t>
  </si>
  <si>
    <t>BEA Code &amp; Name is 326140</t>
  </si>
  <si>
    <t>Polystyrene foam product manufacturing. This industry comprises establishments primarily engaged in manufacturing polystyrene foam products.</t>
  </si>
  <si>
    <t>BEA Code &amp; Name is 326150</t>
  </si>
  <si>
    <t>Urethane and other foam product (except polystyrene) manufacturing. This industry comprises establishments primarily engaged in manufacturing plastics foam products (except polystyrene).</t>
  </si>
  <si>
    <t>BEA Code &amp; Name is 326160</t>
  </si>
  <si>
    <t>Plastics bottle manufacturing. This industry comprises establishments primarily engaged in manufacturing plastics bottles.</t>
  </si>
  <si>
    <t>BEA Code &amp; Name is '326190</t>
  </si>
  <si>
    <t>Other plastics product manufacturing'. This industry comprises establishments primarily engaged in manufacturing resilient floor covering and other plastics products (except film, sheet, bags, profile shapes, pipes, pipe fittings, laminates, foam products, and bottles).</t>
  </si>
  <si>
    <t>BEA Code &amp; Name is 326210</t>
  </si>
  <si>
    <t>Tire manufacturing. This industry comprises establishments primarily engaged in manufacturing tires and inner tubes from natural and synthetic rubber and retreading or rebuilding tires.</t>
  </si>
  <si>
    <t>BEA Code &amp; Name is 326220</t>
  </si>
  <si>
    <t>Rubber and plastics hoses and belting manufacturing. This industry comprises establishments primarily engaged in manufacturing rubber hose and/or plastics (reinforced) hose and belting from natural and synthetic rubber and/or plastics resins. Establishments manufacturing garden hoses from purchased hose are included in this industry.</t>
  </si>
  <si>
    <t>BEA Code &amp; Name is '326290</t>
  </si>
  <si>
    <t>Other rubber product manufacturing'. This industry comprises establishments primarily engaged in manufacturing rubber products (except tires, hoses, and belting) from natural and synthetic rubber.</t>
  </si>
  <si>
    <t>BEA Code &amp; Name is '423100</t>
  </si>
  <si>
    <t>Motor vehicle and motor vehicle parts and supplies'. This industry group comprises establishments primarily engaged in the merchant wholesale distribution of automobiles and other motor vehicles, motor vehicle supplies, tires, and new and used parts.</t>
  </si>
  <si>
    <t>BEA Code &amp; Name is '423400</t>
  </si>
  <si>
    <t>Professional and commercial equipment and supplies'. 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</si>
  <si>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BEA Code &amp; Name is '423600</t>
  </si>
  <si>
    <t>Household appliances and electrical and electronic goods'. 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</si>
  <si>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BEA Code &amp; Name is '423800</t>
  </si>
  <si>
    <t>Machinery, equipment, and supplies'. This industry group comprises establishments primarily engaged in the merchant wholesale distribution of construction, mining, farm, garden, industrial, service establishment, and transportation machinery, equipment and supplies.</t>
  </si>
  <si>
    <t>BEA Code &amp; Name is '423A00</t>
  </si>
  <si>
    <t>Other durable goods merchant wholesalers'. Related NAICS codes are</t>
  </si>
  <si>
    <t xml:space="preserve"> 4232-3, 4235, 4237, 4239. This comprises the following industry groups</t>
  </si>
  <si>
    <t xml:space="preserve"> (1) establishments primarily engaged in the merchant wholesale distribution of furniture (except hospital beds, medical furniture, and drafting tables). (2) Establishments primarily engaged in the merchant wholesale distribution of home furnishings and/or housewares. (3) Establishments primarily engaged in the merchant wholesale distribution of lumber; plywood; reconstituted wood fiber products; wood fencing; doors and windows and their frames (all materials); wood roofing and siding; and/or other wood or metal millwork. (4) Establishments primarily engaged in the merchant wholesale distribution of stone, cement, lime, construction sand, and gravel; brick; asphalt and concrete mixtures; and/or concrete, stone, and structural clay products. (5) Establishments primarily engaged in the merchant wholesale distribution of nonwood roofing and nonwood siding and insulation materials. (6) Establishments primarily engaged in the merchant wholesale distribution of manufactured homes (i.e., mobile homes) and/or prefabricated buildings and  establishments primarily engaged in the merchant wholesale distribution of construction materials (except lumber, plywood, millwork, wood panels, brick, stone, roofing, siding, electrical and wiring supplies, and insulation materials). (7) Establishments primarily engaged in the merchant wholesale distribution of products of the primary metals industries. Service centers maintain inventory and may perform functions, such as sawing, shearing, bending, leveling, cleaning, or edging, on a custom basis as part of sales transactions and in the merchant wholesale distribution of coal, coke, metal ores, and/or nonmetallic minerals (except precious and semiprecious stones and minerals used in construction, such as sand and gravel).(8) Establishments primarily engaged in the merchant wholesale distribution of hardware, knives, handtools, plumbing equipment, hydronic heating equipment, household-type water heaters, other plumbing supplies, warm air heating and air-conditioning equipment and supplies, and refrigeration equipment (except household-type refrigerators, freezers, and air-conditioners).(9) Establishments primarily engaged in the merchant wholesale distribution of sporting, recreational, toy, hobby, and jewelry goods and supplies, and precious stones and metals.</t>
  </si>
  <si>
    <t>BEA Code &amp; Name is '424200</t>
  </si>
  <si>
    <t>Drugs and druggists sundries'. 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</si>
  <si>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BEA Code &amp; Name is '424400</t>
  </si>
  <si>
    <t>Grocery and related product wholesalers'. 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</si>
  <si>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BEA Code &amp; Name is '424700</t>
  </si>
  <si>
    <t>Petroleum and petroleum products'.  This industry comprises establishm ents with bulk and non-bulk liquid storage facilities primarily engaged in the merchant wholesale distribution of crude petroleum and petroleum products, including liquefied petroleum gas.</t>
  </si>
  <si>
    <t>BEA Code &amp; Name is '424A00</t>
  </si>
  <si>
    <t>Other nondurable goods merchant wholesalers'. Related NAICS codes are</t>
  </si>
  <si>
    <t xml:space="preserve"> 4241, 4243, 4245-6, 4248-9. This comprises the following industry groups</t>
  </si>
  <si>
    <t xml:space="preserve"> (1) establishments primarily engaged in the merchant wholesale distribution of bulk printing and/or writing paper generally on rolls for further processing, stationery, office supplies, and/or gift wrap, kraft wrapping and other coarse paper, paperboard, converted paper (except stationery and office supplies), and/or related disposable plastics products. (2) Establishments primarily engaged in the merchant wholesale distribution of piece goods, fabrics, knitting yarns (except industrial), thread and other notions, and/or hair accessories, men's and/or boys' clothing and furnishings, women's, children's, infants', and/or unisex clothing and accessories and/or fur clothing, and footwear (including athletic) of leather, rubber, and other materials. (3) Establishments primarily engaged in the merchant wholesale distribution of agricultural products (except raw milk, live poultry, and fresh fruits and vegetables), such as grains, field beans, livestock, and other farm product raw materials (excluding seeds). (4) Establishments primarily engaged in the merchant wholesale distribution of chemicals, plastics materials and basic forms and shapes, and allied products.(5) Establishments primarily engaged in the merchant wholesale distribution of beer, ale, porter, other fermented malt beverages, wine, distilled alcoholic beverages, and/or neutral spirits and ethyl alcohol used in blended wines and distilled liquors/ (6) Establishments primarily engaged in the merchant wholesale distribution of nondurable goods, such as farm supplies; books, periodicals and newspapers; flowers; nursery stock; paints; varnishes; tobacco and tobacco products; and other miscellaneous nondurable goods, such as cut Christmas trees and pet supplies. </t>
  </si>
  <si>
    <t>BEA Code &amp; Name is '425000</t>
  </si>
  <si>
    <t>Wholesale electronic markets and agents and brokers'. 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</si>
  <si>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BEA Code &amp; Name is 4200ID</t>
  </si>
  <si>
    <t>Customs duties.This industry comprises the sum of the customs duties on imports for all commodities.</t>
  </si>
  <si>
    <t>BEA Code &amp; Name is '441000</t>
  </si>
  <si>
    <t>Motor vehicle and parts dealers'. 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</si>
  <si>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BEA Code &amp; Name is '445000</t>
  </si>
  <si>
    <t>Food and beverage stores'. 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</si>
  <si>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BEA Code &amp; Name is 452000</t>
  </si>
  <si>
    <t>General merchandise stores. Industries in the General Merchandise Stores subsector retail new general merchandise from fixed pointof- 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t>
  </si>
  <si>
    <t>BEA Code &amp; Name is 444000</t>
  </si>
  <si>
    <t>Building material and garden equipment and supplies dealers. This industry group comprises (1) Building Material and Supplies Dealers and (2) Lawn and Garden Equipment and Supplies Stores. Related NAICS codes are</t>
  </si>
  <si>
    <t>BEA Code &amp; Name is 446000</t>
  </si>
  <si>
    <t>Health and personal care stores. This industry group comprises Health and Personal Care Stores. Related NAICS codes are</t>
  </si>
  <si>
    <t>BEA Code &amp; Name is 447000</t>
  </si>
  <si>
    <t>Gasoline stations. This industry group comprises Gasoline Stations. Related NAICS codes are</t>
  </si>
  <si>
    <t>BEA Code &amp; Name is 448000</t>
  </si>
  <si>
    <t>Clothing and clothing accessories stores. This industry group comprises Clothing and Clothing Accessories Stores. Related NAICS codes are</t>
  </si>
  <si>
    <t>BEA Code &amp; Name is 454000</t>
  </si>
  <si>
    <t>Nonstore retailers. This industry group comprises Nonstore Retailers. Related NAICS codes are</t>
  </si>
  <si>
    <t>BEA Code &amp; Name is '4B0000</t>
  </si>
  <si>
    <t>All other retail'. This industry group comprises (1) Furniture and Home Furnishings Stores, (2) Electronics and Appliance Stores (3) Sporting Goods, Hobby, Book, and Music Stores, and (4) Miscellaneous Store Retailers (e.g. Florists). Related NAICS codes are</t>
  </si>
  <si>
    <t xml:space="preserve"> 442-3, 451, 453</t>
  </si>
  <si>
    <t>BEA Code &amp; Name is '481000</t>
  </si>
  <si>
    <t>Air transportation'.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</si>
  <si>
    <t>BEA Code &amp; Name is '482000</t>
  </si>
  <si>
    <t>Rail transportation'. 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</si>
  <si>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BEA Code &amp; Name is '483000</t>
  </si>
  <si>
    <t>Water transportation'. Industries in the Water Transportation subsector provide water transportation of passengers and cargo using watercraft, such as ships, barges, and boats. The subsector is composed of two industry groups</t>
  </si>
  <si>
    <t xml:space="preserve">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</si>
  <si>
    <t>BEA Code &amp; Name is '484000</t>
  </si>
  <si>
    <t>Truck transportation'.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</si>
  <si>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BEA Code &amp; Name is '485000</t>
  </si>
  <si>
    <t>Transit and ground passenger transportation'.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</si>
  <si>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BEA Code &amp; Name is '486000</t>
  </si>
  <si>
    <t>Pipeline transportation'. 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</si>
  <si>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BEA Code &amp; Name is '48A000</t>
  </si>
  <si>
    <t>Scenic and sightseeing transportation and support activities for transportation'. 1) Industries in the Scenic and Sightseeing Transportation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   The Scenic and Sightseeing Transportation subsector is separated into three industries based on the mode</t>
  </si>
  <si>
    <t xml:space="preserve"> land, water, and other.   Activities that are recreational in nature and involve participation by the customer, such as white-water rafting, are generally excluded from this subsector, unless they impose an impact on part of the transportation system. Charter boat fishing, for example, is included in the Scenic and Sightseeing Transportation, Water industry.  2) Industries in the Support Activities for Transportation subsector provide services which support transportation. These services may be provided to transportation carrier establishments or to the general public. This subsector includes a wide array of establishments, including air traffic control services, marine cargo handling, and motor vehicle towing.   The Support Activities for Transportation subsector includes services to transportation but is separated by type of mode serviced. The Support Activities for Rail Transportation industry includes services to the rail industry (e.g., railroad switching and terminal establishments).   Ship repair and maintenance not done in a shipyard are included in Other Support Activities for Water Transportation. An example would be floating drydock services in a harbor.   Excluded from this subsector are establishments primarily engaged in providing factory conversion and overhaul of transportation equipment, which are classified in Subsector 336, Transportation Equipment Manufacturing. Also, establishments primarily engaged in providing rental and leasing of transportation equipment without operator are classified in Subsector 532, Rental and Leasing Services.  Related NAICS codes are</t>
  </si>
  <si>
    <t xml:space="preserve"> 487, 488</t>
  </si>
  <si>
    <t>BEA Code &amp; Name is '492000</t>
  </si>
  <si>
    <t>Couriers and messengers'.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</si>
  <si>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BEA Code &amp; Name is '493000</t>
  </si>
  <si>
    <t>Warehousing and storage'.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</si>
  <si>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BEA Code &amp; Name is '511110</t>
  </si>
  <si>
    <t>Newspaper publishers'. 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</si>
  <si>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BEA Code &amp; Name is '511120</t>
  </si>
  <si>
    <t>Periodical Publishers'. This industry comprises establishments known either as magazine publishers or periodical publishers. These establishments carry out the operations necessary for producing and distributing magazines and other periodicals, such as gathering, writing, and editing articles, and selling and preparing advertisements. These establishments may publish magazines and other periodicals in print or electronic form.</t>
  </si>
  <si>
    <t>BEA Code &amp; Name is '511130</t>
  </si>
  <si>
    <t>Book publishers'. This industry comprises establishments known as book publishers. Establishments in this industry carry out design, editing, and marketing activities necessary for producing and distributing books. These establishments may publish books in print, electronic, or audio form.</t>
  </si>
  <si>
    <t>BEA Code &amp; Name is '5111A0</t>
  </si>
  <si>
    <t>Directory, mailing list, and other publishers'. This industry group comprises 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works.Ã‚Â  Related NAICS codes are</t>
  </si>
  <si>
    <t xml:space="preserve"> 51114, 51119</t>
  </si>
  <si>
    <t>BEA Code &amp; Name is '511200</t>
  </si>
  <si>
    <t xml:space="preserve">Software publishers'. 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</si>
  <si>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BEA Code &amp; Name is '512100</t>
  </si>
  <si>
    <t>Motion picture and video industries'. 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functions.Ã‚Â </t>
  </si>
  <si>
    <t>BEA Code &amp; Name is '512200</t>
  </si>
  <si>
    <t>Sound recording industries'. This industry group comprises establishments primarily engaged in producing and distributing musical recordings, in publishing music, or in providing sound recording and related services.</t>
  </si>
  <si>
    <t>BEA Code &amp; Name is '515100</t>
  </si>
  <si>
    <t>Radio and television broadcasting'. Establishments that both print and publish may fill excess capacity with commercial or job printing. However, the publishing activity is still considered to be the primary activity of these establishments.</t>
  </si>
  <si>
    <t>BEA Code &amp; Name is '515200</t>
  </si>
  <si>
    <t>Cable and other subscription programming'. 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</si>
  <si>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BEA Code &amp; Name is '517110</t>
  </si>
  <si>
    <t>Wired telecommunications carriers'. 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</si>
  <si>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BEA Code &amp; Name is '517210</t>
  </si>
  <si>
    <t>Wireless telecommunications carriers (except satellite)'. 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</si>
  <si>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BEA Code &amp; Name is '517A00</t>
  </si>
  <si>
    <t>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Related NAICS codes are</t>
  </si>
  <si>
    <t xml:space="preserve"> 5174, 5719</t>
  </si>
  <si>
    <t>BEA Code &amp; Name is '518200</t>
  </si>
  <si>
    <t>Data processing, hosting, and related services'.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</si>
  <si>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BEA Code &amp; Name is '519130</t>
  </si>
  <si>
    <t>Internet publishing and broadcasting and Web search portals'. 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</si>
  <si>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BEA Code &amp; Name is '5191A0</t>
  </si>
  <si>
    <t>News syndicates, libraries, archives and all other information services'. Industries in the Other Information Services subsector group 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 Related NAICS codes are</t>
  </si>
  <si>
    <t xml:space="preserve"> 51911-2, 51919</t>
  </si>
  <si>
    <t>BEA Code &amp; Name is '522A00</t>
  </si>
  <si>
    <t>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Related NAICS codes are</t>
  </si>
  <si>
    <t xml:space="preserve"> 5222-3</t>
  </si>
  <si>
    <t>BEA Code &amp; Name is '52A000</t>
  </si>
  <si>
    <t>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t>
  </si>
  <si>
    <t xml:space="preserve">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Related NAICS codes are</t>
  </si>
  <si>
    <t xml:space="preserve"> 521, 5221</t>
  </si>
  <si>
    <t>BEA Code &amp; Name is '523900</t>
  </si>
  <si>
    <t>Other financial investment activities'. This industry group comprises establishments primarily engaged in one of the following</t>
  </si>
  <si>
    <t xml:space="preserve">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</si>
  <si>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BEA Code &amp; Name is '523A00</t>
  </si>
  <si>
    <t>Securities and commodity contracts intermediation and brokerage'. Industries in the Securities, Commodity Contracts, and Other Financial Investments and Related Activities subsector group establishments that are primarily engaged in one of the following</t>
  </si>
  <si>
    <t xml:space="preserve">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Related NAICS codes are</t>
  </si>
  <si>
    <t xml:space="preserve"> 5231-2</t>
  </si>
  <si>
    <t>BEA Code &amp; Name is '524113</t>
  </si>
  <si>
    <t>Direct life insurance carriers'. This industry group comprises establishments primarily engaged in initially underwriting (i.e., assuming the risk and assigning premiums) annuities and life insurance policies, disability income insurance policies, and accidental death and dismemberment insurance policies.</t>
  </si>
  <si>
    <t>BEA Code &amp; Name is '5241XX</t>
  </si>
  <si>
    <t>Insurance carriers, except direct life'. This industry group comprises establishments primarily engaged in underwriting (assuming the risk, assigning premiums, and so forth) annuities and insurance policies and investing premiums to build up a portfolio of financial assets to be used against future claims. Direct insurance carriers are establishments that are primarily engaged in initially underwriting and assuming the risk of annuities and insurance policies. Reinsurance carriers are establishments that are primarily engaged in assuming all or part of the risk associated with an existing insurance policy (or set of policies) originally underwritten by another insurance carrier. 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 Related NAICS are</t>
  </si>
  <si>
    <t xml:space="preserve"> 524114, 52412-3</t>
  </si>
  <si>
    <t>BEA Code &amp; Name is '524200</t>
  </si>
  <si>
    <t>Insurance agencies, brokerages, and related activities'. This industry group comprises establishments primarily engaged in (1) acting as agents (i.e., brokers) in selling annuities and insurance policies or (2) providing other employee benefits and insurance related services, such as claims adjustment and third party administration.</t>
  </si>
  <si>
    <t>BEA Code &amp; Name is '525000</t>
  </si>
  <si>
    <t>Funds, trusts, and other financial vehicles'. 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</si>
  <si>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BEA Code &amp; Name is 531HSO</t>
  </si>
  <si>
    <t>Owner-occupied housing.</t>
  </si>
  <si>
    <t>BEA Code &amp; Name is 531HST</t>
  </si>
  <si>
    <t>Tenant-occupied housing.</t>
  </si>
  <si>
    <t>BEA Code &amp; Name is '531ORE</t>
  </si>
  <si>
    <t>Other real estate'.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Related NAICS codes are</t>
  </si>
  <si>
    <t>BEA Code &amp; Name is '532100</t>
  </si>
  <si>
    <t>Automotive equipment rental and leasing'. This industry group comprises establishments primarily engaged in renting or leasing the following types of vehicles</t>
  </si>
  <si>
    <t xml:space="preserve"> passenger cars and trucks without drivers, and utility trailers. These establishments generally operate from a retail-like facility. Some establishments offer only short-term rental, others only longerterm leases, and some provide both types of services.</t>
  </si>
  <si>
    <t>BEA Code &amp; Name is 532400</t>
  </si>
  <si>
    <t>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t>
  </si>
  <si>
    <t>BEA Code &amp; Name is '532A00</t>
  </si>
  <si>
    <t>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Related NAICS codes are</t>
  </si>
  <si>
    <t xml:space="preserve"> 5322-3</t>
  </si>
  <si>
    <t>BEA Code &amp; Name is '533000</t>
  </si>
  <si>
    <t>Lessors of nonfinancial intangible assets'. 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</si>
  <si>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BEA Code &amp; Name is '541100</t>
  </si>
  <si>
    <t>Legal services'. This industry group comprises (1) Offices of Lawyers, (2) Offices of Notaries, and (3) Other Legal Services including</t>
  </si>
  <si>
    <t xml:space="preserve">  (a) Title Abstract and Settlement Offices, and (b) All Other Legal Services.</t>
  </si>
  <si>
    <t>BEA Code &amp; Name is '541511</t>
  </si>
  <si>
    <t>Custom computer programming services'. This U.S. industry comprises establishments primarily engaged in writing, modifying, testing, and supporting software to meet the needs of a particular customer.</t>
  </si>
  <si>
    <t>BEA Code &amp; Name is '541512</t>
  </si>
  <si>
    <t>Computer systems design services'. This U.S. industry comprises establishments primarily engaged in planning and designing computer systems that integrate computer hardware, software, and communication technologies. The hardware and software components of the system may be provided by this establishment or company as part of integrated services or may be provided by third parties or vendors. These establishments often install the system and train and support users of the system.</t>
  </si>
  <si>
    <t>BEA Code &amp; Name is '54151A</t>
  </si>
  <si>
    <t>Other computer related services, including facilities management'. This industry comprises establishments primarily engaged in providing expertise in the field of information technologies through one or more of the following activities</t>
  </si>
  <si>
    <t xml:space="preserve"> 541513, 541519</t>
  </si>
  <si>
    <t>BEA Code &amp; Name is '541200</t>
  </si>
  <si>
    <t>Accounting, tax preparation, bookkeeping, and payroll services'. This industry comprises establishments primarily engaged in providing services, such as auditing of accounting records, designing accounting systems, preparing financial statements, developing budgets, preparing tax returns, processing payrolls, bookkeeping, and billing.</t>
  </si>
  <si>
    <t>BEA Code &amp; Name is '541300</t>
  </si>
  <si>
    <t>Architectural, engineering, and related services'. 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</si>
  <si>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BEA Code &amp; Name is '541610</t>
  </si>
  <si>
    <t>Management consulting services'. 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</si>
  <si>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BEA Code &amp; Name is '5416A0</t>
  </si>
  <si>
    <t>Environmental and other technical consulting services'. This industry group comprises (1) Management Consulting Services, (2) Environmental Consulting Services, and (3) Other Scientific and Technical Consulting Services. Related NAICS codes are</t>
  </si>
  <si>
    <t xml:space="preserve"> 54162, 54169</t>
  </si>
  <si>
    <t>BEA Code &amp; Name is '541700</t>
  </si>
  <si>
    <t>Scientific research and development services'. 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</si>
  <si>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BEA Code &amp; Name is '541800</t>
  </si>
  <si>
    <t>Advertising, public relations, and related services'. This industry group comprises (1) Advertising Agencies, (2) Public Relations Agencies, (3) Media Buying Agencies, (4) Media Representatives, (5) Display Advertising, (6) Direct Mail Advertising, (7) Advertising Material Distribution Services, and (8) Other Services Related to Advertising.</t>
  </si>
  <si>
    <t>BEA Code &amp; Name is '541400</t>
  </si>
  <si>
    <t>Specialized design services'. This industry group comprises establishments providing specialized design services (except architectural, engineering, and computer systems design).</t>
  </si>
  <si>
    <t>BEA Code &amp; Name is '541920</t>
  </si>
  <si>
    <t>Photographic services'. 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</si>
  <si>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BEA Code &amp; Name is '541940</t>
  </si>
  <si>
    <t>Veterinary services'. This industry comprises establishments of licensed veterinary practitioners primarily engaged in the practice of veterinary medicine, dentistry, or surgery for animals; and establishments primarily engaged in providing testing services for licensed veterinary practitioners.</t>
  </si>
  <si>
    <t>BEA Code &amp; Name is '5419A0</t>
  </si>
  <si>
    <t>Marketing research and all other miscellaneous professional, scientific, and technical services'. This industry group comprises establishments engaged in professional, scientific, and technical services (except legal services; accounting, tax preparation, bookkeeping, and related services; architectural, engineering, and related services; specialized design services; computer systems design and related services; management, scientific, and technical consulting services; scientific research and development services; and advertising, public relations and related services). Related NAICS codes are</t>
  </si>
  <si>
    <t xml:space="preserve"> 54191, 54193, 54199</t>
  </si>
  <si>
    <t>BEA Code &amp; Name is '550000</t>
  </si>
  <si>
    <t>Management of companies and enterprises'. 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</si>
  <si>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BEA Code &amp; Name is '561300</t>
  </si>
  <si>
    <t>Employment services'. This industry group comprises (1) Employment Placement Agencies and Executive Search Services, (2) Temporary Help Services, and (3) Professional Employer Organizations.</t>
  </si>
  <si>
    <t>BEA Code &amp; Name is '561700</t>
  </si>
  <si>
    <t>Services to buildings and dwellings'. This industry group comprises (1) Exterminating and Pest Control Services, (2) Janitorial Services, (3) Landscaping Services, (4) Carpet and Upholstery Cleaning Services, and (5) Other Services to Buildings and Dwellings.</t>
  </si>
  <si>
    <t>BEA Code &amp; Name is '561100</t>
  </si>
  <si>
    <t>Office administrative services'. 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</si>
  <si>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BEA Code &amp; Name is '561200</t>
  </si>
  <si>
    <t>Facilities support services'. 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</si>
  <si>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BEA Code &amp; Name is 561400</t>
  </si>
  <si>
    <t>Business support services. This industry group comprises establishments engaged in performing activities that are ongoing routine business support functions that businesses and organizations traditionally do for themselves.</t>
  </si>
  <si>
    <t>BEA Code &amp; Name is '561500</t>
  </si>
  <si>
    <t>Travel arrangement and reservation services'. This industry group comprises (1) Travel Agencies, (2) Tour Operators, and (3) Other Travel Arrangement and Reservation Services including</t>
  </si>
  <si>
    <t xml:space="preserve">  (a) Convention and Visitors Bureaus, and (b) All Other Travel Arrangement and Reservation Services.</t>
  </si>
  <si>
    <t>BEA Code &amp; Name is '561600</t>
  </si>
  <si>
    <t>Investigation and security services'. This industry group comprises (1) Investigation, Guard, and Armored Car Services, and (2) Security Systems Services.</t>
  </si>
  <si>
    <t>BEA Code &amp; Name is 561900</t>
  </si>
  <si>
    <t>Other support services. This industry group comprises 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</si>
  <si>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This sector is disaggregated from BEA '562000</t>
  </si>
  <si>
    <t>Waste management and remediation services'. This U.S. industry comprises establishments primarily engaged in one or more of the following</t>
  </si>
  <si>
    <t xml:space="preserve"> (1) collecting and/or hauling nonhazardous solid waste (i.e. garbage) within a local area; (2) operating nonhazardous solid waste transfer stations; and (3) collecting and/or hauling mixed recyclable materials within a local area.</t>
  </si>
  <si>
    <t>Waste management and remediation services'. The Hazardous Waste Collection, Treatment, and Disposal industry comprises establishments primarily engaged in (1)  collecting and/or hauling hazardous waste within a local area and/or operating hazardous waste transfer stations. Hazardous waste collection establishments may be responsible for the identification treatment packaging and labeling of waste for the purposes of transport, or (2) operating treatment and/or disposal facilities for hazardous waste or the combined activity of collecting and/or hauling of hazardous waste materials within a local area and operating treatment or disposal facilities for hazardous waste.</t>
  </si>
  <si>
    <t>Waste management and remediation services'. This U.S. industry comprises establishments primarily engaged in (1) operating landfills for the disposal of nonhazardous solid waste or (2) the combined activity of collecting and/or hauling nonhazardous waste materials within a local area and operating landfills for the disposal of nonhazardous solid waste. These establishments may produce byproducts such as methane.</t>
  </si>
  <si>
    <t>Waste management and remediation services'. This U.S. industry comprises establishments primarily engaged in operating combustors and incinerators for the disposal of nonhazardous solid waste. These establishments may produce byproducts such as electricity and steam.</t>
  </si>
  <si>
    <t>Waste management and remediation services'. This industry comprises establishments primarily engaged in one or more of the following</t>
  </si>
  <si>
    <t xml:space="preserve"> (1) remediation and cleanup of contaminated buildings mine sites soil or ground water; (2) integrated mine reclamation activities including demolition soil remediation waste water treatment hazardous material removal contouring land and revegetation; and (3) asbestos lead paint and other toxic material abatement.</t>
  </si>
  <si>
    <t>Waste management and remediation services'. This industry comprises establishments primarily engaged in (1) operating facilities for separating and sorting recyclable materials from nonhazardous waste streams (i.e. garbage) and/or (2) operating facilities where commingled recyclable materials such as paper plastics used beverage cans and metals are sorted into distinct categories.</t>
  </si>
  <si>
    <t>Waste management and remediation services'. The Other Waste Collection and Treatment industry comprises establishments primarily engaged in (1) collecting and/or hauling waste (except nonhazardous solid waste and hazardous waste) within a local area, including brush or rubble removal services, (2) operating nonhazardous waste treatment and disposal facilities (except landfills combustors incinerators and sewer systems or sewage treatment facilities), including compost dumps, (3) pumping (i.e. cleaning) septic tanks and cesspools and/or renting and/or servicing portable toilets, or (4) all other waste management services not already specified.</t>
  </si>
  <si>
    <t>BEA Code &amp; Name is 611100</t>
  </si>
  <si>
    <t>Elementary and secondary schools. This industry comprises 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</si>
  <si>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BEA Code &amp; Name is '611A00</t>
  </si>
  <si>
    <t>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Related NAICS codes are</t>
  </si>
  <si>
    <t xml:space="preserve"> 6112-3</t>
  </si>
  <si>
    <t>BEA Code &amp; Name is '611B00</t>
  </si>
  <si>
    <t>Other educational services'.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Related NAICS codes are</t>
  </si>
  <si>
    <t xml:space="preserve"> 6114-7</t>
  </si>
  <si>
    <t>BEA Code &amp; Name is '621100</t>
  </si>
  <si>
    <t>Offices of physicians'. 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</si>
  <si>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BEA Code &amp; Name is '621200</t>
  </si>
  <si>
    <t>Offices of dentists'. 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</si>
  <si>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BEA Code &amp; Name is 621300</t>
  </si>
  <si>
    <t>Offices of other health practitioners. This industry group comprises establishments of independent health practitioners (except physicians and dentists).</t>
  </si>
  <si>
    <t>BEA Code &amp; Name is '621400</t>
  </si>
  <si>
    <t>Outpatient care centers'. This industry group comprises (1) Family Planning Centers, (2) Outpatient Mental Health and Substance Abuse Centers, and (3) Other Outpatient Care Centers including</t>
  </si>
  <si>
    <t>BEA Code &amp; Name is '621500</t>
  </si>
  <si>
    <t>Medical and diagnostic laboratories'. This industry comprises establishments known as medical and diagnostic laboratories primarily engaged in providing analytic or diagnostic services, including body fluid analysis and diagnostic imaging, generally to the medical profession or to the patient on referral from a health practitioner.</t>
  </si>
  <si>
    <t>BEA Code &amp; Name is '621600</t>
  </si>
  <si>
    <t>Home health care services'. This industry comprises establishments primarily engaged in providing skilled nursing services in the home, along with a range of the following</t>
  </si>
  <si>
    <t>BEA Code &amp; Name is '621900</t>
  </si>
  <si>
    <t>Other ambulatory health care services'. This industry group comprises establishments primarily engaged in providing ambulatory health care services (except offices of physicians, dentists, and other health practitioners; outpatient care centers; medical laboratories and diagnostic imaging centers; and home health care providers).</t>
  </si>
  <si>
    <t>BEA Code &amp; Name is '622000</t>
  </si>
  <si>
    <t>Hospitals'. 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 Establishments in the Hospitals subsector provide inpatient health services, many of which can only be provided using the specialized facilities and equipment that form a significant and integral part of the production process.</t>
  </si>
  <si>
    <t>BEA Code &amp; Name is '623A00</t>
  </si>
  <si>
    <t>Nursing and community care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t>
  </si>
  <si>
    <t xml:space="preserve"> 6231, 6233</t>
  </si>
  <si>
    <t>BEA Code &amp; Name is '623B00</t>
  </si>
  <si>
    <t>Residential mental retardation, mental health, substance abuse and other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t>
  </si>
  <si>
    <t xml:space="preserve"> 6232, 6239</t>
  </si>
  <si>
    <t>BEA Code &amp; Name is '624100</t>
  </si>
  <si>
    <t>Individual and family services'. This industry group comprises (1) Child and Youth Services, (2) Services for the Elderly and Persons with Disabilities, and (3) Other Individual and Family Services.</t>
  </si>
  <si>
    <t>BEA Code &amp; Name is '624400</t>
  </si>
  <si>
    <t>Child day care services'. This industry comprises establishments primarily engaged in providing day care of infants or children. These establishments generally care for preschool children, but may care for older children when they are not in school and may also offer pre-kindergarten educational programs.</t>
  </si>
  <si>
    <t>BEA Code &amp; Name is '624A00</t>
  </si>
  <si>
    <t>Community food, housing, and other relief services, including rehabilitation services'.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t>
  </si>
  <si>
    <t xml:space="preserve"> 6242-3</t>
  </si>
  <si>
    <t>BEA Code &amp; Name is '711100</t>
  </si>
  <si>
    <t>Performing arts companies'. This industry group comprises establishments primarily engaged in producing live presentations involving the performances of actors and actresses, singers, dancers, musical groups and artists, and other performing artists.</t>
  </si>
  <si>
    <t>BEA Code &amp; Name is '711200</t>
  </si>
  <si>
    <t>Spectator sports'. This industry comprises (1) sports teams or clubs primarily participating in live sporting events before a paying audience; (2) 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 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</si>
  <si>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BEA Code &amp; Name is '711500</t>
  </si>
  <si>
    <t>Independent artists, writers, and performers'. This industry comprises 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</si>
  <si>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BEA Code &amp; Name is '711A00</t>
  </si>
  <si>
    <t>Promoters of performing arts and sports and agents for public figures'. The Arts, Entertainment, and Recreation sector includes a wide range of establishments that operate facilities or provide services to meet varied cultural, entertainment, and recreational interests of their patrons. This sector comprises (1) establishments that are involved in producing, promoting, or participating in live performances, events, or exhibits intended for public viewing; (2) establishments that preserve and exhibit objects and sites of historical, cultural, or educational interest; and (3) establishments that operate facilities or provide services that enable patrons to participate in recreational activities or pursue amusement, hobby, and leisure-time interests.   Some establishments that provide cultural, entertainment, or recreational facilities and services are classified in other sectors. Excluded from this sector are</t>
  </si>
  <si>
    <t xml:space="preserve"> (1) 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 establishments using transportation equipment to provide recreational and entertainment services, such as those operating sightseeing buses, dinner cruises, or helicopter rides, are classified in Subsector 487, Scenic and Sightseeing Transportation. Related NAICS codes are</t>
  </si>
  <si>
    <t xml:space="preserve"> 7113-4</t>
  </si>
  <si>
    <t>BEA Code &amp; Name is '712000</t>
  </si>
  <si>
    <t>Museums, historical sites, zoos, and parks'. Industries in the Museums, Historical Sites, and Similar Institutions subsector engage in the preservation and exhibition of objects, sites, and natural wonders of historical, cultural, and/or educational value.</t>
  </si>
  <si>
    <t>BEA Code &amp; Name is 713100</t>
  </si>
  <si>
    <t>Amusement parks and arcades. This industry group comprises establishments primarily engaged in operating amusement parks and amusement arcades and parlors.</t>
  </si>
  <si>
    <t>BEA Code &amp; Name is '713200</t>
  </si>
  <si>
    <t>Gambling industries (except casino hotels)'. This industry group comprises 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</si>
  <si>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BEA Code &amp; Name is '713900</t>
  </si>
  <si>
    <t>Other amusement and recreation industries'. This industry group comprises (1) Golf Courses and Country Clubs, (2) Skiing Facilities, (3) Marinas, (4) Fitness and Recreational Sports Centers, (5) Bowling Centers, and (6) All Other Amusement and Recreation Industries.</t>
  </si>
  <si>
    <t>BEA Code &amp; Name is '721000</t>
  </si>
  <si>
    <t>Accommodation'. Industries in the Accommodation subsector provide lodging or short-term accommodations for travelers, vacationers, and others. There is a wide range of establishments in these industries. Some provide lodging only; while others provide meals, laundry services, and recreational facilities, as well as lodging. Lodging establishments are classified in this subsector even if the provision of complementary services generates more revenue. The types of complementary services provided vary from establishment to establishment. The subsector is organized into three industry groups</t>
  </si>
  <si>
    <t xml:space="preserve"> (1) traveler accommodation, (2) recreational accommodation, and (3) rooming and boarding houses. The Traveler Accommodation industry group includes establishments that primarily provide traditional types of lodging services. This group includes hotels, motels, and bed and breakfast inns. In addition to lodging, these establishments may provide a range of other services to their guests. The RV (Recreational Vehicle) Parks and Recreational Camps industry group includes establishments that operate lodging facilities primarily designed to accommodate outdoor enthusiasts. Included are travel trailer campsites, recreational vehicle parks, and outdoor adventure retreats. The Rooming and Boarding Houses industry group includes establishments providing temporary or longer-term accommodations, which for the period of occupancy, may serve as a principal residence. Board (i.e., meals) may be provided but is not essential. Establishments that manage short-stay accommodation establishments (e.g., hotels and motels) on a contractual basis are classified in this subsector if they both manage the operation and provide the operating staff. Such establishments are classified based on the type of facility managed and operated.</t>
  </si>
  <si>
    <t>BEA Code &amp; Name is '722110</t>
  </si>
  <si>
    <t>Full-service restaurants'. This industry comprises establishments primarily engaged in providing food services to patrons who order and are served while seated (i.e., waiter/waitress service) and pay after eating. These establishments may provide this type of food service to patrons in combination with selling alcoholic beverages, providing carry out services, or presenting live nontheatrical entertainment.</t>
  </si>
  <si>
    <t>BEA Code &amp; Name is '722211</t>
  </si>
  <si>
    <t>Limited-service restaurants'. This U.S. industry comprises establishments primarily engaged in providing food services (except snack and nonalcoholic beverage bars) where patrons generally order or select items and pay before eating. Food and drink may be consumed on premises, taken out, or delivered to the customer's location. Some establishments in this industry may provide these food services in combination with selling alcoholic beverages.</t>
  </si>
  <si>
    <t>BEA Code &amp; Name is '722A00</t>
  </si>
  <si>
    <t>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Related NAICS codes are</t>
  </si>
  <si>
    <t xml:space="preserve"> 7223-4</t>
  </si>
  <si>
    <t>BEA Code &amp; Name is '811100</t>
  </si>
  <si>
    <t>Automotive repair and maintenance'. 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</si>
  <si>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BEA Code &amp; Name is '811200</t>
  </si>
  <si>
    <t>Electronic and precision equipment repair and maintenance'. 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</si>
  <si>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BEA Code &amp; Name is '811300</t>
  </si>
  <si>
    <t>Commercial and industrial machinery and equipment repair and maintenance'. This industry comprises establishments primarily engaged in the repair and maintenance of commercial and industrial machinery and equipment. 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</si>
  <si>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BEA Code &amp; Name is '811400</t>
  </si>
  <si>
    <t>Personal and household goods repair and maintenance'. This industry group comprises (1) Home and Garden Equipment and Appliance Repair and Maintenance, (2) Reupholstery and Furniture Repair, (3) Footwear and Leather Goods Repair, and (4) Other Personal and Household Goods Repair and Maintenance.</t>
  </si>
  <si>
    <t>BEA Code &amp; Name is '812100</t>
  </si>
  <si>
    <t>Personal care services'. This industry group comprises establishments, such as barber and beauty shops, that provide appearance care services to individual consumers.</t>
  </si>
  <si>
    <t>BEA Code &amp; Name is '812200</t>
  </si>
  <si>
    <t>Death care services'. This industry group comprises (1) Funeral Homes and Funeral Services, and (2) Cemeteries and Crematories.</t>
  </si>
  <si>
    <t>BEA Code &amp; Name is '812300</t>
  </si>
  <si>
    <t>Dry-cleaning and laundry services'. This industry group comprises (1) Coin-Operated Laundries and Drycleaners, (2) Drycleaning and Laundry Services (except Coin-Operated), and (3) Linen and Uniform Supply.</t>
  </si>
  <si>
    <t>BEA Code &amp; Name is '812900</t>
  </si>
  <si>
    <t>Other personal services'. This industry group comprises establishments primarily engaged in providing personal services (except personal care services, death care services, or drycleaning and laundry services).</t>
  </si>
  <si>
    <t>BEA Code &amp; Name is '813100</t>
  </si>
  <si>
    <t>Religious organizations'. This industry comprises (1) establishments primarily engaged in operating religious organizations, such as churches, religious temples, and monasteries, and/or (2) establishments primarily engaged in administering an organized religion or promoting religious activities.</t>
  </si>
  <si>
    <t>BEA Code &amp; Name is '813A00</t>
  </si>
  <si>
    <t>Grantmaking, giving, and social advocacy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Related NAICS codes are</t>
  </si>
  <si>
    <t xml:space="preserve"> 8132, 8133</t>
  </si>
  <si>
    <t>BEA Code &amp; Name is '813B00</t>
  </si>
  <si>
    <t>Civic, social, professional, and similar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Related NAICS codes are</t>
  </si>
  <si>
    <t xml:space="preserve"> 8134, 8139</t>
  </si>
  <si>
    <t>BEA Code &amp; Name is '814000</t>
  </si>
  <si>
    <t>Private households'. Industries in the Private Households subsector include private households that engage in employing workers on or about the premises in activities primarily concerned with the operation of the household. These private households may employ individuals, such as cooks, maids, butlers, and outside workers, such as gardeners, caretakers, and other maintenance workers.</t>
  </si>
  <si>
    <t>BEA Code &amp; Name is S00500</t>
  </si>
  <si>
    <t xml:space="preserve">Federal general government (defense).  </t>
  </si>
  <si>
    <t>BEA Code &amp; Name is S00600</t>
  </si>
  <si>
    <t xml:space="preserve">Federal general government (nondefense).  </t>
  </si>
  <si>
    <t>BEA Code &amp; Name is '491000</t>
  </si>
  <si>
    <t>Postal service'.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</si>
  <si>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BEA Code &amp; Name is S00102</t>
  </si>
  <si>
    <t xml:space="preserve">Other federal government enterprises.  </t>
  </si>
  <si>
    <t>BEA Code &amp; Name is GSLGE</t>
  </si>
  <si>
    <t xml:space="preserve">State and local government (educational services).  </t>
  </si>
  <si>
    <t>BEA Code &amp; Name is GSLGH</t>
  </si>
  <si>
    <t xml:space="preserve">State and local government (hospitals and health services).  </t>
  </si>
  <si>
    <t>BEA Code &amp; Name is GSLGO</t>
  </si>
  <si>
    <t xml:space="preserve">State and local government (other services).  </t>
  </si>
  <si>
    <t>BEA Code &amp; Name is S00203</t>
  </si>
  <si>
    <t xml:space="preserve">Other state and local government enterprises.  </t>
  </si>
  <si>
    <t>BEA Code &amp; Name is S00401</t>
  </si>
  <si>
    <t>Scrap.  We DO NOT recommend this be used for individual analysis - this is only used for model completeness.</t>
  </si>
  <si>
    <t>BEA Code &amp; Name is S00402</t>
  </si>
  <si>
    <t>Used and secondhand goods.  We DO NOT recommend this be used for individual analysis - this is only used for model completeness.</t>
  </si>
  <si>
    <t>BEA Code &amp; Name is S00300</t>
  </si>
  <si>
    <t xml:space="preserve">Noncomparable imports.  </t>
  </si>
  <si>
    <t>BEA Code &amp; Name is S00900</t>
  </si>
  <si>
    <t>Rest of the world adjustment.  We DO NOT recommend this be used for individual analysis - this is only used for model completeness.</t>
  </si>
  <si>
    <t>This industry comprises construction of health care structures</t>
  </si>
  <si>
    <t>TO BE UPDATED BASED ON FINALIZED LIST (and emission factors) FOR FOOD CATEGORIES</t>
  </si>
  <si>
    <t>disaggregated from BEA '562000</t>
  </si>
  <si>
    <t>This industry comprises establishments primarily engaged in producing grain seeds. These crops have an annual life cycle and are typically grown in open fields. Related NAICS codes are</t>
  </si>
  <si>
    <t>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</si>
  <si>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</si>
  <si>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This industry group comprises establishments primarily engaged in raising cattle, milking dairy cattle, or feeding cattle for fattening. Related NAICS codes are</t>
  </si>
  <si>
    <t>This industry group comprises establishments primarily engaged in breeding, hatching, and raising poultry for meat or egg production.</t>
  </si>
  <si>
    <t>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Related NAICS codes are</t>
  </si>
  <si>
    <t>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</si>
  <si>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</si>
  <si>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</si>
  <si>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</si>
  <si>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This industry comprises establishments primarily engaged in one or more of the following</t>
  </si>
  <si>
    <t>This industry comprises establishments primarily engaged in developing the mine site, mining, and/or beneficiating (i.e., preparing) ores valued chiefly for their copper, nickel, lead, or zinc content. Beneficiating includes the transformation of ores into concentrates.</t>
  </si>
  <si>
    <t>This industry group comprises establishments primarily engaged in developing mine sites or mining metallic minerals, and 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 Related NAICS codes are</t>
  </si>
  <si>
    <t>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</si>
  <si>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This industry group comprises 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 Related NAICS codes are</t>
  </si>
  <si>
    <t>This U.S. industry comprises establishments primarily engaged in drilling oil and gas wells for others on a contract or fee basis. This industry includes contractors that specialize in spudding in, drilling in, redrilling, and directional drilling.</t>
  </si>
  <si>
    <t>This industry comprises 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 Related NAICS codes are</t>
  </si>
  <si>
    <t>This industry group comprises establishments primarily engaged in generating, transmitting, and/or distributing electric power. Establishments in this industry group may perform one or more of the following activities</t>
  </si>
  <si>
    <t>This industry comprises</t>
  </si>
  <si>
    <t>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</si>
  <si>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This industry comprises construction of commercial structures, including farm structures. Related NAICS codes are</t>
  </si>
  <si>
    <t>This industry comprises construction of transportation structures, including bridges, roads, highways, and streets. Related NAICS codes are</t>
  </si>
  <si>
    <t>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</si>
  <si>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</si>
  <si>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This industry group comprises establishments primarily engaged in manufacturing wood products (except establishments operating sawmills and wood preservation facilities; and establishments manufacturing veneer, plywood, or engineered wood products). Related NAICS codes are</t>
  </si>
  <si>
    <t>This industry group comprises (1) Pottery, Ceramics, and Plumbing Fixture Manufacturing, and (2) Clay Building Material and Refractories Manufacturing.</t>
  </si>
  <si>
    <t>This industry comprises establishments primarily engaged in manufacturing glass and/or glass products. Establishments in this industry may manufacture glass and/or glass products by melting silica sand or cullet, or purchasing glass.</t>
  </si>
  <si>
    <t>This industry comprises establishments primarily engaged in manufacturing portland, natural, masonry, pozzolanic, and other hydraulic cements. Cement manufacturing establishments may calcine earths or mine, quarry, manufacture, or purchase lime.</t>
  </si>
  <si>
    <t>This industry comprises establishments, such as batch plants or mix plants, primarily engaged in manufacturing concrete delivered to a purchaser in a plastic and unhardened state. Ready-mix concrete manufacturing establishments may mine, quarry, or purchase sand and gravel.</t>
  </si>
  <si>
    <t>This industry comprises establishments primarily engaged in manufacturing concrete pipe, brick, and block.</t>
  </si>
  <si>
    <t>This industry comprises establishments primarily engaged in manufacturing concrete products (except block, brick, and pipe).</t>
  </si>
  <si>
    <t>This industry group comprises (1) Lime Manufacturing, and (2) Gypsum Product Manufacturing.</t>
  </si>
  <si>
    <t>This industry comprises establishments primarily engaged in manufacturing abrasive grinding wheels of natural or synthetic materials, abrasive-coated products, and other abrasive products.</t>
  </si>
  <si>
    <t>This U.S. industry comprises establishments primarily engaged in cutting, shaping, and finishing granite, marble, limestone, slate, and other stone for building and miscellaneous uses. Stone product manufacturing establishments may mine, quarry, or purchase stone.</t>
  </si>
  <si>
    <t>This U.S. industry comprises establishments primarily engaged in calcining, dead burning, or otherwise processing beyond beneficiation, clays, ceramic and refractory minerals, barite, and miscellaneous nonmetallic minerals.</t>
  </si>
  <si>
    <t>This U.S. industry comprises establishments primarily engaged in manufacturing mineral wool and mineral wool (i.e., fiberglass) insulation products made of such siliceous materials as rock, slag, and glass or combinations thereof.</t>
  </si>
  <si>
    <t>This U.S. industry comprises 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</si>
  <si>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This industry group comprises establishments primarily engaged in manufacturing iron and steel tube and pipe, drawing steel wire, and rolling or drawing shapes from purchased iron or steel.</t>
  </si>
  <si>
    <t>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</si>
  <si>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This industry comprises establishments primarily engaged in pouring and/or introducing molten nonferrous metal, under high pressure, into metal molds or dies to manufacture castings. Establishments in this industry purchase nonferrous metals made in other establishments.</t>
  </si>
  <si>
    <t>This industry comprises establishments primarily engaged in manufacturing one or more of the following</t>
  </si>
  <si>
    <t>This industry comprises establishments primarily engaged in cutting, forming, and joining heavy gauge metal to manufacture tanks, vessels, and other containers.</t>
  </si>
  <si>
    <t>This industry comprises establishments primarily engaged in forming light gauge metal containers.</t>
  </si>
  <si>
    <t>This industry comprises establishments primarily engaged in manufacturing metal hardware, such as metal hinges, metal handles, keys, and locks (except coin-operated, time locks).</t>
  </si>
  <si>
    <t>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</si>
  <si>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</si>
  <si>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This industry comprises establishments primarily engaged in (1) machining precision turned products or (2) manufacturing metal bolts, nuts, screws, rivets, and other industrial fasteners. Included in this industry are establishments primarily engaged in manufacturing parts for machinery and equipment on a customized basis.</t>
  </si>
  <si>
    <t>This U.S. industry comprises establishments primarily engaged in manufacturing metal and plastics plumbing fixture fittings and trim, such as faucets, flush valves, and shower heads.</t>
  </si>
  <si>
    <t>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Related NAICS codes are</t>
  </si>
  <si>
    <t>This U.S. industry comprises establishments primarily engaged in fabricating, such as cutting, threading, and bending metal pipes and pipe fittings made from purchased metal pipe.</t>
  </si>
  <si>
    <t>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</si>
  <si>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This U.S. industry comprises establishments primarily engaged in manufacturing agricultural and farm machinery and equipment, and other turf and grounds care equipment, including planting, harvesting, and grass mowing equipment (except lawn and garden-type).</t>
  </si>
  <si>
    <t>This U.S. industry comprises establishments primarily engaged in manufacturing powered lawnmowers, lawn and garden tractors, and other home lawn and garden equipment, such as tillers, shredders, yard vacuums, and leaf blowers.</t>
  </si>
  <si>
    <t>This industry comprises establishments primarily engaged in manufacturing construction machinery, surface mining machinery, and logging equipment.</t>
  </si>
  <si>
    <t>This U.S. industry comprises establishments primarily engaged in manufacturing wafer processing equipment, semiconductor assembly and packaging equipment, and other semiconductor making machinery.</t>
  </si>
  <si>
    <t>This industry group comprises (1) Sawmill and Woodworking Machinery Manufacturing, (2) Plastics and Rubber Industry Machinery Manufacturing, and (3) Other Industrial Machinery Manufacturing including</t>
  </si>
  <si>
    <t>This U.S. industry comprises establishments primarily engaged in one or more of the following</t>
  </si>
  <si>
    <t>This U.S. industry comprises establishments primarily engaged in manufacturing photographic and photocopying equipment, such as cameras (except television, video and digital) projectors, film developing equipment, photocopying equipment, and microfilm equipment.</t>
  </si>
  <si>
    <t>This industry comprises establishments primarily engaged in manufacturing commercial and service industry equipment (except optical instruments and lenses, and photographic and photocopying equipment).</t>
  </si>
  <si>
    <t>This U.S. industry comprises establishments primarily engaged in manufacturing heating equipment (except electric and warm air furnaces), such as heating boilers, heating stoves, floor and wall furnaces, and wall and baseboard heating units.</t>
  </si>
  <si>
    <t>This U.S. industry comprises establishments primarily engaged in (1) manufacturing air-conditioning (except motor vehicle) and warm air furnace equipment and/or (2) manufacturing commercial and industrial refrigeration and freezer equipment.</t>
  </si>
  <si>
    <t>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</si>
  <si>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This U.S. industry comprises establishments primarily engaged in manufacturing industrial molds for casting metals or forming other materials, such as plastics, glass, or rubber.</t>
  </si>
  <si>
    <t>This U.S. industry comprises establishments, known as tool and die shops, primarily engaged in manufacturing special tools and fixtures, such as cutting dies and jigs.</t>
  </si>
  <si>
    <t>This industry comprises establishments primarily engaged in (1) manufacturing metal cutting machine tools (except handtools) and/or (2) manufacturing metal forming machine tools (except handtools), such as punching, sheering, bending, forming, pressing, forging and die-casting machines.</t>
  </si>
  <si>
    <t>This industry comprises 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machines.Ã‚Â  Related NAICS codes are</t>
  </si>
  <si>
    <t>This U.S. industry comprises establishments primarily engaged in manufacturing turbines (except aircraft); and complete turbine generator set units, such as steam, hydraulic, gas, and wind.</t>
  </si>
  <si>
    <t>This U.S. industry comprises establishments primarily engaged in manufacturing gears, speed changers, and industrial high-speed drives (except hydrostatic).</t>
  </si>
  <si>
    <t>This U.S. industry comprises establishments primarily engaged in manufacturing mechanical power transmission equipment (except motor vehicle and aircraft), such as plain bearings, clutches (except motor vehicle and electromagnetic industrial control), couplings, joints, and drive chains.</t>
  </si>
  <si>
    <t>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</si>
  <si>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This U.S. industry comprises establishments primarily engaged in (1) manufacturing general purpose pumps and pumping equipment (except fluid power pumps and motors), such as reciprocating pumps, turbine pumps, centrifugal pumps, rotary pumps, diaphragm pumps, domestic water system pumps, oil well and oil field pumps and sump pumps; (2) manufacturing measuring and dispensing pumps, such as gasoline pumps and lubricating oil measuring and dispensing pumps. Related NAICS codes are</t>
  </si>
  <si>
    <t>This industry comprises establishments primarily engaged in manufacturing material handling equipment, such as elevators and moving stairs; conveyors and conveying equipment; overhead traveling cranes, hoists, and monorail systems; and industrial trucks, tractors, trailers, and stacker machinery.</t>
  </si>
  <si>
    <t>This U.S. industry comprises establishments primarily engaged in manufacturing power-driven (e.g., battery, corded, pneumatic) handtools, such as drills, screwguns, circular saws, chain saws, staplers, and nailers.</t>
  </si>
  <si>
    <t>This U.S. industry comprises establishments primarily engaged in manufacturing packaging machinery, such as wrapping, bottling, canning, and labeling machinery.</t>
  </si>
  <si>
    <t>This U.S. Industry comprises establishments primarily engaged in manufacturing industrial process ovens, induction and dielectric heating equipment, and kilns (except cement, chemical, wood). Included in this industry are establishments manufacturing laboratory furnaces and ovens.</t>
  </si>
  <si>
    <t>This U.S. industry comprises establishments primarily engaged in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 Related NAICS codes are</t>
  </si>
  <si>
    <t>This U.S. industry comprises establishments primarily engaged in (1) manufacturing fluid power (i.e., hydraulic and pneumatic) cylinders and actuators, and (2) manufacturing fluid power (i.e., hydraulic and pneumatic) pumps and motors. Related NAICS codes are</t>
  </si>
  <si>
    <t>This U.S. industry comprises establishments primarily engaged in manufacturing computer storage devices that allow the storage and retrieval of data from a phase change, magnetic, optical, or magnetic/optical media. Examples of products made by these establishments are CD-ROM drives, floppy disk drives, hard disk drives, and tape storage and backup units.</t>
  </si>
  <si>
    <t>This industry comprises establishments primarily engaged in manufacturing wire telephone and data communications equipment. These products may be standalone or board-level components of a larger system. Examples of products made by these establishments are central office switching equipment, cordless telephones (except cellular), PBX equipment, telephones, telephone answering machines, LAN modems, multi-user modems, and other data communications equipment, such as bridges, routers, and gateways.</t>
  </si>
  <si>
    <t>This industry comprises establishments primarily engaged in manufacturing radio and television broadcast and wireless communications equipment. Examples of products made by these establishments are</t>
  </si>
  <si>
    <t>This industry comprises establishments primarily engaged in manufacturing communications equipment (except telephone apparatus, and radio and television broadcast, and wireless communications equipment).</t>
  </si>
  <si>
    <t>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</si>
  <si>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This U.S. industry comprises 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</si>
  <si>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</si>
  <si>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This U.S. industry comprises establishments primarily engaged in manufacturing search, detection, navigation, guidance, aeronautical, and nautical systems and instruments. Examples of products made by these establishments are aircraft instruments (except engine), flight recorders, navigational instruments and systems, radar systems and equipment, and sonar systems and equipment.</t>
  </si>
  <si>
    <t>This U.S. industry comprises establishments primarily engaged in manufacturing automatic controls and regulators for applications, such as heating, air-conditioning, refrigeration and appliances.</t>
  </si>
  <si>
    <t>This U.S. industry comprises 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</si>
  <si>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This U.S. industry comprises establishments primarily engaged in manufacturing totalizing (i.e., registering) fluid meters and counting devices. Examples of products made by these establishments are gas consumption meters, water consumption meters, parking meters, taxi meters, motor vehicle gauges, and fare collection equipment.</t>
  </si>
  <si>
    <t>This U.S. industry comprises establishments primarily engaged in manufacturing instruments for measuring and testing the characteristics of electricity and electrical signals. Examples of products made by these establishments are circuit and continuity testers, voltmeters, ohm meters, wattmeters, multimeters, and semiconductor test equipment.</t>
  </si>
  <si>
    <t>This U.S. industry comprises establishments primarily engaged in manufacturing instruments and instrumentation systems for laboratory analysis of the chemical or physical composition or concentration of samples of solid, fluid, gaseous, or composite material.</t>
  </si>
  <si>
    <t>This U.S. industry comprises 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</si>
  <si>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This industry comprises establishments primarily engaged in manufacturing navigational, measuring, electromedical, and control instruments. Examples of products made by these establishments are aeronautical instruments, appliance regulators and controls (except switches), laboratory analytical instruments, navigation and guidance systems, and physical properties testing equipment.Ã‚Â  Related NAICS codes are</t>
  </si>
  <si>
    <t>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</si>
  <si>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</si>
  <si>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This industry comprises establishments primarily engaged in manufacturing electric light bulbs and tubes, and parts and components (except glass blanks for electric light bulbs).</t>
  </si>
  <si>
    <t>This industry comprises establishments primarily engaged in manufacturing electric lighting fixtures (except vehicular), nonelectric lighting equipment, lamp shades (except glass and plastics), and lighting fixture components (except current-carrying wiring devices).</t>
  </si>
  <si>
    <t>This industry comprises establishments primarily engaged in manufacturing small electric appliances and electric housewares, household-type fans, household-type vacuum cleaners, and other electric householdtype floor care machines.</t>
  </si>
  <si>
    <t>This U.S. industry comprises establishments primarily engaged in manufacturing electric and nonelectric major household-type appliances (except cooking equipment, refrigerators, upright and chest freezers, and household-type laundry equipment.</t>
  </si>
  <si>
    <t>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</si>
  <si>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This U.S. industry comprises 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 establishments rewinding armatures on a factory basis.</t>
  </si>
  <si>
    <t>This U.S. industry comprises establishments primarily engaged in manufacturing relays, motor starters and controllers, and other industrial controls and control accessories.</t>
  </si>
  <si>
    <t>This industry comprises establishments insulating fiber-optic cable, and manufacturing insulated nonferrous wire and cable from nonferrous wire drawn in other establishments.</t>
  </si>
  <si>
    <t>This U.S. industry comprises establishments primarily engaged in manufacturing carbon, graphite, and metal-graphite brushes and brush stock; carbon or graphite electrodes for thermal and electrolytic uses; carbon and graphite fibers; and other carbon, graphite, and metal-graphite products.</t>
  </si>
  <si>
    <t>This U.S. industry comprises 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</si>
  <si>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This U.S. industry comprises establishments primarily engaged in (1) manufacturing complete automobiles (i.e., body and chassis or unibody) or (2) manufacturing automobile chassis only.</t>
  </si>
  <si>
    <t>This U.S. industry comprises establishments primarily engaged in (1) manufacturing complete light trucks and utility vehicles (i.e., body and chassis) or (2) manufacturing light truck and utility vehicle chassis only. Vehicles made include light duty vans, pick-up trucks, minivans, and sport utility vehicles.</t>
  </si>
  <si>
    <t>This industry comprises establishments primarily engaged in (1) manufacturing heavy duty truck chassis and assembling complete heavy duty trucks, buses, heavy duty motor homes, and other special purpose heavy duty motor vehicles for highway use or (2) manufacturing heavy duty truck chassis only.</t>
  </si>
  <si>
    <t>This U.S. industry comprises establishments primarily engaged in manufacturing truck trailers, truck trailer chassis, cargo container chassis, detachable trailer bodies, and detachable trailer chassis for sale separately.</t>
  </si>
  <si>
    <t>This industry comprises establishments primarily engaged in manufacturing and/or rebuilding motor vehicle gasoline engines, and engine parts, whether or not for vehicular use.</t>
  </si>
  <si>
    <t>This industry comprises establishments primarily engaged in (1) manufacturing vehicular lighting and/or (2) manufacturing and/or rebuilding motor vehicle electrical and electronic equipment. The products made can be used for all types of transportation equipment (i.e., aircraft, automobiles, trains, ships).</t>
  </si>
  <si>
    <t>This industry comprises establishments primarily engaged in manufacturing motor vehicle seating, seats, seat frames, seat belts, and interior trimmings.</t>
  </si>
  <si>
    <t>This industry comprises establishments primarily engaged in manufacturing motor vehicle stampings, such as fenders, tops, body parts, trim, and molding.</t>
  </si>
  <si>
    <t>This industry comprises 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</si>
  <si>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t>
  </si>
  <si>
    <t>This U.S. industry comprises establishment primarily engaged in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</si>
  <si>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</si>
  <si>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This U.S. industry comprises establishments primarily engaged in manufacturing motorcycles, bicycles, tricycles and similar equipment, and parts.</t>
  </si>
  <si>
    <t>This U.S. industry comprises establishments primarily engaged in manufacturing complete military armored vehicles, combat tanks, specialized components for combat tanks, and self-propelled weapons.</t>
  </si>
  <si>
    <t>This U.S. industry comprises establishments primarily engaged in manufacturing transportation equipment (except motor vehicles, motor vehicle parts, boats, ships, railroad rolling stock, aerospace products, motorcycles, bicycles, armored vehicles and tanks).</t>
  </si>
  <si>
    <t>This industry comprises establishments primarily engaged in manufacturing wood or plastics laminated on wood kitchen cabinets, bathroom vanities, and countertops (except freestanding). The cabinets and counters may be made on a stock or custom basis.</t>
  </si>
  <si>
    <t>This U.S. industry comprises 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</si>
  <si>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This U.S. industry comprises establishments primarily engaged in manufacturing institutional-type furniture (e.g., library, school, theater, and church furniture). Included in this industry are establishments primarily engaged in manufacturing general purpose hospital, laboratory, and dental furniture (e.g., tables, stools, and benches). The furniture may be made on a stock or custom basis and may be assembled or unassembled (i.e., knockdown).</t>
  </si>
  <si>
    <t>This industry comprises establishments primarily engaged in manufacturing (1) metal household-type furniture and freestanding cabinets, or (2) furniture of materials other than wood or metal, such as plastics, reed, rattan, wicker, and fiberglass. The furniture may be made on a stock or custom basis and may be assembled or unassembled (i.e., knockdown). Related NAICS codes are</t>
  </si>
  <si>
    <t xml:space="preserve">This industry comprises establishments primarily engaged in manufacturing office furniture and/or office and store fixtures. The furniture may be made on a stock or custom basis and may be assembled or unassembled (i.e., knockdown). </t>
  </si>
  <si>
    <t>This industry group comprises establishments manufacturing furniture related products, such as mattresses, blinds, and shades.</t>
  </si>
  <si>
    <t>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</si>
  <si>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This U.S. industry comprises establishments primarily engaged in manufacturing surgical appliances and supplies. Examples of products made by these establishments are orthopedic devices, prosthetic appliances, surgical dressings, crutches, surgical sutures, personal industrial safety devices (except protective eyewear), hospital beds, and operating room tables.</t>
  </si>
  <si>
    <t>This U.S. industry comprises establishments primarily engaged in manufacturing dental equipment and supplies used by dental laboratories and offices of dentists, such as dental chairs, dental instrument delivery systems, dental hand instruments, and dental impression material and dental cements.</t>
  </si>
  <si>
    <t>This U.S. industry comprises establishments primarily engaged in manufacturing ophthalmic goods. Examples of products made by these establishments are prescription eyeglasses (except manufactured in a retail setting), contact lenses, sunglasses, eyeglass frames, and reading glasses made to standard powers, and protective eyewear.</t>
  </si>
  <si>
    <t>This U.S. industry comprises establishments primarily engaged in manufacturing dentures, crowns, bridges, and orthodontic appliances customized for individual application.</t>
  </si>
  <si>
    <t>This industry comprises establishments primarily engaged in manufacturing dolls, toys, and games, such as complete dolls, doll parts, doll clothes, action figures, toys, games (including electronic), hobby kits, and children's vehicles (except metal bicycles and tricycles).</t>
  </si>
  <si>
    <t>This industry comprises establishments primarily engaged in manufacturing office supplies. Examples of products made by these establishments are pens, pencils, felt tip markers, crayons, chalk, pencil sharpeners, staplers, hand operated stamps, modeling clay, and inked ribbons.</t>
  </si>
  <si>
    <t>This industry comprises establishments primarily engaged in manufacturing signs and related displays of all materials (except printing paper and paperboard signs, notices, displays).</t>
  </si>
  <si>
    <t>This industry comprises establishments primarily engaged in miscellaneous manufacturing (except medical equipment and supplies, jewelry and flatware, sporting and athletic goods, dolls, toys, games, office supplies (except paper), and signs).</t>
  </si>
  <si>
    <t>This U.S. industry comprises establishments primarily engaged in manufacturing dog and cat food from ingredients, such as grains, oilseed mill products, and meat products.</t>
  </si>
  <si>
    <t>This U.S. industry comprises establishments primarily engaged in manufacturing animal food (except dog and cat) from ingredients, such as grains, oilseed mill products, and meat products.</t>
  </si>
  <si>
    <t>This U.S. industry comprises establishments primarily engaged in wet milling corn and other vegetables (except to make ethyl alcohol). Examples of products made in these establishments are corn sweeteners, such as glucose, dextrose, and fructose; corn oil; and starches (except laundry).</t>
  </si>
  <si>
    <t>This U.S. industry comprises establishments primarily engaged in crushing oilseeds and tree nuts, such as soybeans, cottonseeds, linseeds, peanuts, and sunflower seeds. Examples of products produced in these establishments are oilseed oils, cakes, meals, and protein isolates and concentrates.</t>
  </si>
  <si>
    <t>This industry group comprises (1) establishments that process agricultural inputs, such as sugarcane, beet, and cacao, to give rise to a new product (sugar or chocolate), and (2) those that begin with sugar and chocolate and process these further.</t>
  </si>
  <si>
    <t>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</si>
  <si>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This industry comprises establishments primarily engaged in manufacturing canned, pickled, and dried fruits, vegetables, and specialty foods. Establishments in this industry may package the dried or dehydrated ingredients they make with other purchased ingredients. Examples of products made by these establishments are canned juices; canned baby foods; canned soups (except seafood); canned dry beans; canned tomato-based sauces, such as catsup, salsa, chili, spaghetti, barbeque, and tomato paste, pickles, relishes, jams and jellies, dried soup mixes and bullions, and sauerkraut.</t>
  </si>
  <si>
    <t>This U.S. industry comprises establishments primarily engaged in manufacturing dry, condensed, and evaporated milk and dairy substitute products.</t>
  </si>
  <si>
    <t>This industry comprises establishments primarily engaged in manufacturing ice cream, frozen yogurts, frozen ices, sherbets, frozen tofu, and other frozen desserts (except bakery products).</t>
  </si>
  <si>
    <t>This industry group comprises establishments primarily engaged in one of the following</t>
  </si>
  <si>
    <t>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</si>
  <si>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This industry comprises 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 establishments primarily engaged in mixing purchased dried and/or dehydrated ingredients including those mixing purchased dried and/or dehydrated ingredients for soup mixes and bouillon.</t>
  </si>
  <si>
    <t>This industry comprises establishments primarily engaged in brewing beer, ale, malt liquors, and nonalcoholic beer.</t>
  </si>
  <si>
    <t>This industry comprises establishments primarily engaged in manufacturing cigarettes, cigars, smoking and chewing tobacco, and reconstituted tobacco.</t>
  </si>
  <si>
    <t>This industry group comprises (1) Broadwoven Fabric Mills, (2) Narrow Fabric Mills and Schiffli Machine Embroidery, (3) Nonwoven Fabric Mills, and (4) Knit Fabric Mills.</t>
  </si>
  <si>
    <t>This industry group comprises (1) Textile and Fabric Finishing Mills, and (2) Fabric Coating Mills.</t>
  </si>
  <si>
    <t>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</si>
  <si>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This industry comprises establishments primarily engaged in manufacturing household textile products, such as curtains, draperies, linens, bedspreads, sheets, tablecloths, towels, and shower curtains, from purchased materials.</t>
  </si>
  <si>
    <t>This industry group comprises establishments primarily engaged in making textile products (except carpets and rugs, curtains and draperies, and other household textile products) from purchased materials.</t>
  </si>
  <si>
    <t>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</si>
  <si>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</si>
  <si>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This industry comprises establishments primarily engaged in manufacturing paper from pulp. These establishments may manufacture or purchase pulp. In addition, the establishments may convert the paper they make. The activity of making paper classifies an establishment into this industry regardless of the output.</t>
  </si>
  <si>
    <t>This industry comprises establishments primarily engaged in manufacturing paperboard from pulp. These establishments may manufacture or purchase pulp. In addition, the establishments may also convert the paperboard they make.</t>
  </si>
  <si>
    <t>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</si>
  <si>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This industry comprises establishments primarily engaged in converting paper or paperboard into products used for writing, filing, art work, and similar applications.</t>
  </si>
  <si>
    <t>This U.S. industry comprises establishments primarily engaged in converting purchased sanitary paper stock or wadding into sanitary paper products, such as facial tissues, handkerchiefs, table napkins, toilet paper, towels, disposable diapers, sanitary napkins, and tampons.</t>
  </si>
  <si>
    <t>This U.S. industry comprises 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</si>
  <si>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</si>
  <si>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This industry comprises establishments primarily engaged in performing prepress (e.g., platemaking, typesetting) and postpress services (e.g., book binding) in support of printing activities.</t>
  </si>
  <si>
    <t>This industry comprises establishments primarily engaged in manufacturing petroleum products (except asphalt paving, roofing and saturated materials) from refined petroleum or coal products made in coke ovens not integrated with a steel mill.</t>
  </si>
  <si>
    <t>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</si>
  <si>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This industry comprises establishments primarily engaged in manufacturing industrial organic and inorganic gases in compressed, liquid, and solid forms.</t>
  </si>
  <si>
    <t>This industry comprises establishments primarily engaged in manufacturing synthetic organic and inorganic dyes and pigments, such as lakes and toners (except electrostatic and photographic).</t>
  </si>
  <si>
    <t>This industry comprises establishments primarily engaged in manufacturing basic organic chemicals (except petrochemicals, industrial gases, and synthetic dyes and pigments).</t>
  </si>
  <si>
    <t>This U.S. industry comprises establishments primarily engaged in (1) manufacturing resins, plastics materials, and nonvulcanizable thermoplastic elastomers and mixing and blending resins on a custom basis and/or (2) manufacturing noncustomized synthetic resins.</t>
  </si>
  <si>
    <t>This U.S. industry comprises establishments primarily engaged in (1) manufacturing uncompounded medicinal chemicals and their derivatives (i.e., generally for use by pharmaceutical preparation manufacturers) and/or (2) grading, grinding, and milling uncompounded botanicals.</t>
  </si>
  <si>
    <t>This U.S. industry comprises 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</si>
  <si>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This U.S. industry comprises 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</si>
  <si>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This U.S. industry comprises establishments primarily engaged in manufacturing vaccines, toxoids, blood fractions, and culture media of plant or animal origin (except diagnostic).</t>
  </si>
  <si>
    <t>This industry group comprises (1) Fertilizer Manufacturing, and (2) Pesticide and Other Agricultural Chemical Manufacturing.</t>
  </si>
  <si>
    <t>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</si>
  <si>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This industry comprises establishments primarily engaged in manufacturing adhesives, glues, and caulking compounds.</t>
  </si>
  <si>
    <t>This industry comprises establishments primarily engaged in manufacturing and packaging soap and other cleaning compounds, surface active agents, and textile and leather finishing agents used to reduce tension or speed the drying process.</t>
  </si>
  <si>
    <t>This industry comprises establishments primarily engaged in preparing, blending, compounding, and packaging toilet preparations, such as perfumes, shaving preparations, hair preparations, face creams, lotions (including sunscreens), and other cosmetic preparations.</t>
  </si>
  <si>
    <t>This industry group comprises 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 Related NAICS codes are</t>
  </si>
  <si>
    <t>This industry comprises establishments primarily engaged in (1) converting plastics resins into unsupported plastics film and sheet and/or (2) forming, coating or laminating plastics film and sheet into plastics bags.</t>
  </si>
  <si>
    <t>This industry comprises establishments primarily engaged in manufacturing plastics pipes and pipe fittings, and plastics profile shapes such as rod, tube, and sausage casings.</t>
  </si>
  <si>
    <t>This industry comprises establishments primarily engaged in laminating plastics profile shapes such as plate, sheet (except packaging), and rod. The lamination process generally involves bonding or impregnating profiles with plastics resins and compressing them under heat.</t>
  </si>
  <si>
    <t>This industry comprises establishments primarily engaged in manufacturing resilient floor covering and other plastics products (except film, sheet, bags, profile shapes, pipes, pipe fittings, laminates, foam products, and bottles).</t>
  </si>
  <si>
    <t>This industry comprises establishments primarily engaged in manufacturing rubber products (except tires, hoses, and belting) from natural and synthetic rubber.</t>
  </si>
  <si>
    <t>This industry group comprises establishments primarily engaged in the merchant wholesale distribution of automobiles and other motor vehicles, motor vehicle supplies, tires, and new and used parts.</t>
  </si>
  <si>
    <t>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</si>
  <si>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</si>
  <si>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This industry group comprises establishments primarily engaged in the merchant wholesale distribution of construction, mining, farm, garden, industrial, service establishment, and transportation machinery, equipment and supplies.</t>
  </si>
  <si>
    <t>Related NAICS codes are</t>
  </si>
  <si>
    <t>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</si>
  <si>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</si>
  <si>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 xml:space="preserve"> This industry comprises establishm ents with bulk and non-bulk liquid storage facilities primarily engaged in the merchant wholesale distribution of crude petroleum and petroleum products, including liquefied petroleum gas.</t>
  </si>
  <si>
    <t>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</si>
  <si>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</si>
  <si>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</si>
  <si>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This industry group comprises (1) Furniture and Home Furnishings Stores, (2) Electronics and Appliance Stores (3) Sporting Goods, Hobby, Book, and Music Stores, and (4) Miscellaneous Store Retailers (e.g. Florists). Related NAICS codes are</t>
  </si>
  <si>
    <t>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</si>
  <si>
    <t>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</si>
  <si>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Industries in the Water Transportation subsector provide water transportation of passengers and cargo using watercraft, such as ships, barges, and boats. The subsector is composed of two industry groups</t>
  </si>
  <si>
    <t>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</si>
  <si>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</si>
  <si>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</si>
  <si>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1) Industries in the Scenic and Sightseeing Transportation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   The Scenic and Sightseeing Transportation subsector is separated into three industries based on the mode</t>
  </si>
  <si>
    <t>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</si>
  <si>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</si>
  <si>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</si>
  <si>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This industry comprises establishments known either as magazine publishers or periodical publishers. These establishments carry out the operations necessary for producing and distributing magazines and other periodicals, such as gathering, writing, and editing articles, and selling and preparing advertisements. These establishments may publish magazines and other periodicals in print or electronic form.</t>
  </si>
  <si>
    <t>This industry comprises establishments known as book publishers. Establishments in this industry carry out design, editing, and marketing activities necessary for producing and distributing books. These establishments may publish books in print, electronic, or audio form.</t>
  </si>
  <si>
    <t>This industry group comprises 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works.Ã‚Â  Related NAICS codes are</t>
  </si>
  <si>
    <t xml:space="preserve">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</si>
  <si>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functions.Ã‚Â </t>
  </si>
  <si>
    <t>This industry group comprises establishments primarily engaged in producing and distributing musical recordings, in publishing music, or in providing sound recording and related services.</t>
  </si>
  <si>
    <t>Establishments that both print and publish may fill excess capacity with commercial or job printing. However, the publishing activity is still considered to be the primary activity of these establishments.</t>
  </si>
  <si>
    <t>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</si>
  <si>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</si>
  <si>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</si>
  <si>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Related NAICS codes are</t>
  </si>
  <si>
    <t>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</si>
  <si>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</si>
  <si>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Industries in the Other Information Services subsector group 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 Related NAICS codes are</t>
  </si>
  <si>
    <t>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Related NAICS codes are</t>
  </si>
  <si>
    <t>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t>
  </si>
  <si>
    <t>Industries in the Securities, Commodity Contracts, and Other Financial Investments and Related Activities subsector group establishments that are primarily engaged in one of the following</t>
  </si>
  <si>
    <t>This industry group comprises establishments primarily engaged in initially underwriting (i.e., assuming the risk and assigning premiums) annuities and life insurance policies, disability income insurance policies, and accidental death and dismemberment insurance policies.</t>
  </si>
  <si>
    <t>This industry group comprises establishments primarily engaged in underwriting (assuming the risk, assigning premiums, and so forth) annuities and insurance policies and investing premiums to build up a portfolio of financial assets to be used against future claims. Direct insurance carriers are establishments that are primarily engaged in initially underwriting and assuming the risk of annuities and insurance policies. Reinsurance carriers are establishments that are primarily engaged in assuming all or part of the risk associated with an existing insurance policy (or set of policies) originally underwritten by another insurance carrier. 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 Related NAICS are</t>
  </si>
  <si>
    <t>This industry group comprises establishments primarily engaged in (1) acting as agents (i.e., brokers) in selling annuities and insurance policies or (2) providing other employee benefits and insurance related services, such as claims adjustment and third party administration.</t>
  </si>
  <si>
    <t>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</si>
  <si>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Related NAICS codes are</t>
  </si>
  <si>
    <t>This industry group comprises establishments primarily engaged in renting or leasing the following types of vehicles</t>
  </si>
  <si>
    <t>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</si>
  <si>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This industry group comprises (1) Offices of Lawyers, (2) Offices of Notaries, and (3) Other Legal Services including</t>
  </si>
  <si>
    <t>This U.S. industry comprises establishments primarily engaged in writing, modifying, testing, and supporting software to meet the needs of a particular customer.</t>
  </si>
  <si>
    <t>This U.S. industry comprises establishments primarily engaged in planning and designing computer systems that integrate computer hardware, software, and communication technologies. The hardware and software components of the system may be provided by this establishment or company as part of integrated services or may be provided by third parties or vendors. These establishments often install the system and train and support users of the system.</t>
  </si>
  <si>
    <t>This industry comprises establishments primarily engaged in providing services, such as auditing of accounting records, designing accounting systems, preparing financial statements, developing budgets, preparing tax returns, processing payrolls, bookkeeping, and billing.</t>
  </si>
  <si>
    <t>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</si>
  <si>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</si>
  <si>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This industry group comprises (1) Management Consulting Services, (2) Environmental Consulting Services, and (3) Other Scientific and Technical Consulting Services. Related NAICS codes are</t>
  </si>
  <si>
    <t>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</si>
  <si>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This industry group comprises (1) Advertising Agencies, (2) Public Relations Agencies, (3) Media Buying Agencies, (4) Media Representatives, (5) Display Advertising, (6) Direct Mail Advertising, (7) Advertising Material Distribution Services, and (8) Other Services Related to Advertising.</t>
  </si>
  <si>
    <t>This industry group comprises establishments providing specialized design services (except architectural, engineering, and computer systems design).</t>
  </si>
  <si>
    <t>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</si>
  <si>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This industry comprises establishments of licensed veterinary practitioners primarily engaged in the practice of veterinary medicine, dentistry, or surgery for animals; and establishments primarily engaged in providing testing services for licensed veterinary practitioners.</t>
  </si>
  <si>
    <t>This industry group comprises establishments engaged in professional, scientific, and technical services (except legal services; accounting, tax preparation, bookkeeping, and related services; architectural, engineering, and related services; specialized design services; computer systems design and related services; management, scientific, and technical consulting services; scientific research and development services; and advertising, public relations and related services). Related NAICS codes are</t>
  </si>
  <si>
    <t>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</si>
  <si>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This industry group comprises (1) Employment Placement Agencies and Executive Search Services, (2) Temporary Help Services, and (3) Professional Employer Organizations.</t>
  </si>
  <si>
    <t>This industry group comprises (1) Exterminating and Pest Control Services, (2) Janitorial Services, (3) Landscaping Services, (4) Carpet and Upholstery Cleaning Services, and (5) Other Services to Buildings and Dwellings.</t>
  </si>
  <si>
    <t>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</si>
  <si>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</si>
  <si>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This industry group comprises (1) Travel Agencies, (2) Tour Operators, and (3) Other Travel Arrangement and Reservation Services including</t>
  </si>
  <si>
    <t>This industry group comprises (1) Investigation, Guard, and Armored Car Services, and (2) Security Systems Services.</t>
  </si>
  <si>
    <t>The Hazardous Waste Collection, Treatment, and Disposal industry comprises establishments primarily engaged in (1)  collecting and/or hauling hazardous waste within a local area and/or operating hazardous waste transfer stations. Hazardous waste collection establishments may be responsible for the identification treatment packaging and labeling of waste for the purposes of transport, or (2) operating treatment and/or disposal facilities for hazardous waste or the combined activity of collecting and/or hauling of hazardous waste materials within a local area and operating treatment or disposal facilities for hazardous waste.</t>
  </si>
  <si>
    <t>This U.S. industry comprises establishments primarily engaged in (1) operating landfills for the disposal of nonhazardous solid waste or (2) the combined activity of collecting and/or hauling nonhazardous waste materials within a local area and operating landfills for the disposal of nonhazardous solid waste. These establishments may produce byproducts such as methane.</t>
  </si>
  <si>
    <t>This U.S. industry comprises establishments primarily engaged in operating combustors and incinerators for the disposal of nonhazardous solid waste. These establishments may produce byproducts such as electricity and steam.</t>
  </si>
  <si>
    <t>This industry comprises establishments primarily engaged in (1) operating facilities for separating and sorting recyclable materials from nonhazardous waste streams (i.e. garbage) and/or (2) operating facilities where commingled recyclable materials such as paper plastics used beverage cans and metals are sorted into distinct categories.</t>
  </si>
  <si>
    <t>The Other Waste Collection and Treatment industry comprises establishments primarily engaged in (1) collecting and/or hauling waste (except nonhazardous solid waste and hazardous waste) within a local area, including brush or rubble removal services, (2) operating nonhazardous waste treatment and disposal facilities (except landfills combustors incinerators and sewer systems or sewage treatment facilities), including compost dumps, (3) pumping (i.e. cleaning) septic tanks and cesspools and/or renting and/or servicing portable toilets, or (4) all other waste management services not already specified.</t>
  </si>
  <si>
    <t>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Related NAICS codes are</t>
  </si>
  <si>
    <t>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</si>
  <si>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</si>
  <si>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This industry comprises establishments known as medical and diagnostic laboratories primarily engaged in providing analytic or diagnostic services, including body fluid analysis and diagnostic imaging, generally to the medical profession or to the patient on referral from a health practitioner.</t>
  </si>
  <si>
    <t>This industry group comprises establishments primarily engaged in providing ambulatory health care services (except offices of physicians, dentists, and other health practitioners; outpatient care centers; medical laboratories and diagnostic imaging centers; and home health care providers).</t>
  </si>
  <si>
    <t>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 Establishments in the Hospitals subsector provide inpatient health services, many of which can only be provided using the specialized facilities and equipment that form a significant and integral part of the production process.</t>
  </si>
  <si>
    <t>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t>
  </si>
  <si>
    <t>This industry group comprises (1) Child and Youth Services, (2) Services for the Elderly and Persons with Disabilities, and (3) Other Individual and Family Services.</t>
  </si>
  <si>
    <t>This industry comprises establishments primarily engaged in providing day care of infants or children. These establishments generally care for preschool children, but may care for older children when they are not in school and may also offer pre-kindergarten educational programs.</t>
  </si>
  <si>
    <t>This industry group comprises establishments primarily engaged in producing live presentations involving the performances of actors and actresses, singers, dancers, musical groups and artists, and other performing artists.</t>
  </si>
  <si>
    <t>This industry comprises (1) sports teams or clubs primarily participating in live sporting events before a paying audience; (2) 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 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</si>
  <si>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This industry comprises 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</si>
  <si>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The Arts, Entertainment, and Recreation sector includes a wide range of establishments that operate facilities or provide services to meet varied cultural, entertainment, and recreational interests of their patrons. This sector comprises (1) establishments that are involved in producing, promoting, or participating in live performances, events, or exhibits intended for public viewing; (2) establishments that preserve and exhibit objects and sites of historical, cultural, or educational interest; and (3) establishments that operate facilities or provide services that enable patrons to participate in recreational activities or pursue amusement, hobby, and leisure-time interests.   Some establishments that provide cultural, entertainment, or recreational facilities and services are classified in other sectors. Excluded from this sector are</t>
  </si>
  <si>
    <t>Industries in the Museums, Historical Sites, and Similar Institutions subsector engage in the preservation and exhibition of objects, sites, and natural wonders of historical, cultural, and/or educational value.</t>
  </si>
  <si>
    <t>This industry group comprises 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</si>
  <si>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This industry group comprises (1) Golf Courses and Country Clubs, (2) Skiing Facilities, (3) Marinas, (4) Fitness and Recreational Sports Centers, (5) Bowling Centers, and (6) All Other Amusement and Recreation Industries.</t>
  </si>
  <si>
    <t>Industries in the Accommodation subsector provide lodging or short-term accommodations for travelers, vacationers, and others. There is a wide range of establishments in these industries. Some provide lodging only; while others provide meals, laundry services, and recreational facilities, as well as lodging. Lodging establishments are classified in this subsector even if the provision of complementary services generates more revenue. The types of complementary services provided vary from establishment to establishment. The subsector is organized into three industry groups</t>
  </si>
  <si>
    <t>This industry comprises establishments primarily engaged in providing food services to patrons who order and are served while seated (i.e., waiter/waitress service) and pay after eating. These establishments may provide this type of food service to patrons in combination with selling alcoholic beverages, providing carry out services, or presenting live nontheatrical entertainment.</t>
  </si>
  <si>
    <t>This U.S. industry comprises establishments primarily engaged in providing food services (except snack and nonalcoholic beverage bars) where patrons generally order or select items and pay before eating. Food and drink may be consumed on premises, taken out, or delivered to the customer's location. Some establishments in this industry may provide these food services in combination with selling alcoholic beverages.</t>
  </si>
  <si>
    <t>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Related NAICS codes are</t>
  </si>
  <si>
    <t>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</si>
  <si>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</si>
  <si>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This industry comprises establishments primarily engaged in the repair and maintenance of commercial and industrial machinery and equipment. 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</si>
  <si>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This industry group comprises (1) Home and Garden Equipment and Appliance Repair and Maintenance, (2) Reupholstery and Furniture Repair, (3) Footwear and Leather Goods Repair, and (4) Other Personal and Household Goods Repair and Maintenance.</t>
  </si>
  <si>
    <t>This industry group comprises establishments, such as barber and beauty shops, that provide appearance care services to individual consumers.</t>
  </si>
  <si>
    <t>This industry group comprises (1) Funeral Homes and Funeral Services, and (2) Cemeteries and Crematories.</t>
  </si>
  <si>
    <t>This industry group comprises (1) Coin-Operated Laundries and Drycleaners, (2) Drycleaning and Laundry Services (except Coin-Operated), and (3) Linen and Uniform Supply.</t>
  </si>
  <si>
    <t>This industry group comprises establishments primarily engaged in providing personal services (except personal care services, death care services, or drycleaning and laundry services).</t>
  </si>
  <si>
    <t>This industry comprises (1) establishments primarily engaged in operating religious organizations, such as churches, religious temples, and monasteries, and/or (2) establishments primarily engaged in administering an organized religion or promoting religious activities.</t>
  </si>
  <si>
    <t>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Related NAICS codes are</t>
  </si>
  <si>
    <t>Industries in the Private Households subsector include private households that engage in employing workers on or about the premises in activities primarily concerned with the operation of the household. These private households may employ individuals, such as cooks, maids, butlers, and outside workers, such as gardeners, caretakers, and other maintenance workers.</t>
  </si>
  <si>
    <t>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</si>
  <si>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Industries in the Waste Management and Remediation Services subsector group establishments engaged in the collection, treatment, and disposal of waste materials. This includes establishments engaged in local hauling of waste materials; operating materials recovery facilities (i.e., those that sort recyclable materials from the trash stream); providing remediation services (i.e., those that provide for the cleanup of contaminated buildings, mine sites, soil, or ground water); and providing septic pumping and other miscellaneous waste management services. There are three industry groups within the subsector that separate these activities into waste collection, waste treatment and disposal, and remediation and other waste management.</t>
  </si>
  <si>
    <t>Category 1 and 2 - Economic Sector (Commodity Name)</t>
  </si>
  <si>
    <t>Category 1 and 2 - Economic Sector (Commodity Name) - Descriptions</t>
  </si>
  <si>
    <t>A general category encompassing all industries in the Data Processing, Hosting, and Related Services subsector  group - establishments that provide the infrastructure for hosting and/or data processing services.</t>
  </si>
  <si>
    <t>A general category encompassing all "'Ambulatory health care services". Industries in the Ambulatory Health Care Services subsector provide health care services directly or indirectly to ambulatory patients and do not usually provide inpatient services. Health practitioners in this subsector provide outpatient services, with the facilities and equipment not usually being the most significant part of the production process.</t>
  </si>
  <si>
    <t>A general category encompassing all "'Apparel and leather and allied products". 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manufacturing; and tailors, manufacturing custom garments for individual clients. Knitting fabric, when done alone, is classified in the Textile Mills subsector, but when knitting is combined with the production of complete garments, the activity is classified in the Apparel Manufacturing subsector.</t>
  </si>
  <si>
    <t>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</si>
  <si>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A general category encompassing all "'Chemical products".  The Chemical Manufacturing subsector is based on the transformation of organic and inorganic raw materials by a chemical process and the formulation of products. This subsector distinguishes the production of basic chemicals that comprise the first industry group from the production of intermediate and end products produced by further processing of basic chemicals that make up the remaining industry groups.
This subsector does not include all industries transforming raw materials by a chemical process. It is common for some chemical processing to occur during mining operations. These beneficiating operations, such as copper concentrating, are classified in Sector 21, Mining, Quarrying, and Oil and Gas Extraction. Furthermore, the refining of crude petroleum is included in Subsector 324, Petroleum and Coal Products Manufacturing. In addition, the manufacturing of aluminum oxide is included in Subsector 331, Primary Metal Manufacturing; and beverage distilleries are classified in Subsector 312, Beverage and Tobacco Product Manufacturing. As is the case of these two activities, the grouping of industries into subsectors may take into account the association of the activities performed with other activities in the subsector.</t>
  </si>
  <si>
    <t>This U.S. industry comprises 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</si>
  <si>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This industry comprises establishments primarily engaged in manufacturing semiconductors and other components for electronic applications. Examples of products made by these establishments are capacitors, resistors, microprocessors, bare and loaded printed circuit boards, electron tubes, electronic connectors, and computer modems.</t>
  </si>
  <si>
    <t xml:space="preserve">This industry group comprises 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 </t>
  </si>
  <si>
    <t>This industry comprises establishments primarily engaged in manufacturing office furniture and/or office and store fixtures. The furniture may be made on a stock or custom basis and may be assembled or unassembled (i.e., knockdown).</t>
  </si>
  <si>
    <t>This industry group comprises (1) Management Consulting Services, (2) Environmental Consulting Services, and (3) Other Scientific and Technical Consulting Services.</t>
  </si>
  <si>
    <t>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t>
  </si>
  <si>
    <t xml:space="preserve">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</si>
  <si>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</si>
  <si>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This U.S. industry comprises establishments primarily engaged in one or more of the following  (1) manufacturing shortening and margarine from purchased fats and oils; (2) refining and/or blending vegetable, oilseed, and tree nut oils from purchased oils; and (3) blending purchased animal fats with purchased vegetable fats.</t>
  </si>
  <si>
    <t>This industry group comprises establishments that manufacture dairy products from raw milk, processed milk, and dairy substitutes.</t>
  </si>
  <si>
    <t>This industry comprises establishments primarily engaged in one or more of the following  (1) slaughtering animals; (2) preparing processed meats and meat byproducts; and (3) rendering and/or refining animal fat, bones, and meat scraps. This industry includes establishments primarily engaged in assembly cutting and packing of meats (i.e., boxed meats) from purchased carcasses.</t>
  </si>
  <si>
    <t>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</si>
  <si>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This industry group comprises establishments primarily engaged in one of the following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t>
  </si>
  <si>
    <t>This industry comprises establishments primarily engaged in one or more of the following  (1) roasting coffee; (2) manufacturing coffee and tea concentrates (including instant and freeze-dried); (3) blending tea; (4) manufacturing herbal tea; and (5) manufacturing coffee extracts, flavorings, and syrups.</t>
  </si>
  <si>
    <t>This industry comprises establishments primarily engaged in one or more of the following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</si>
  <si>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</si>
  <si>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The Wholesale Trade sector comprises establishments engaged in wholesaling merchandise, generally without transformation, and rendering services incidental to the sale of merchandise. The merchandise described in this sector includes the outputs of agriculture, mining, manufacturing, and certain information industries, such as publishing. The wholesaling process is an intermediate step in the distribution of merchandise. Wholesalers are organized to sell or arrange the purchase or sale of (a) goods for resale (i.e., goods sold to other wholesalers or retailers), (b) capital or durable nonconsumer goods, and (c) raw and intermediate materials and supplies used in production.</t>
  </si>
  <si>
    <t>This industry comprises establishments primarily engaged in providing expertise in the field of information technologies through one or more of the following activities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computer-related advice and services.</t>
  </si>
  <si>
    <t>A general category encompassing all "'Construction" (commercial and institutional). This industry comprises establishments primarily responsible for the construction (including new work, additions, alterations, maintenance, and repairs) of commercial and institutional buildings and related structures, such as stadiums, grain elevators, and indoor swimming facilities. This industry includes establishments responsible for the on-site assembly of modular or prefabricated commercial and institutional buildings. Included in this industry are commercial and institutional building general contractors, commercial and institutional building for-sale builders, commercial and institutional building design-build firms, and commercial and institutional building project construction management firms.</t>
  </si>
  <si>
    <t>A general category encompassing all industries in the Data Processing, Hosting, and Related Services subsector group - establishments that provide the infrastructure for hosting and/or data processing services.</t>
  </si>
  <si>
    <t>A general category encompassing all "Furniture and related products". Industries in the Furniture and Related Product Manufacturing subsector make furniture and related articles, such as mattresses, window blinds, cabinets, and fixtures. The processes used in the manufacture of furniture include the cutting, bending, molding, laminating, and assembly of such materials as wood, metal, glass, plastics, and rattan. However, the production process for furniture is not solely bending metal, cutting and shaping wood, or extruding and molding plastics. Design and fashion trends play an important part in the production of furniture. The integrated design of the article for both esthetic and functional qualities is also a major part of the process of manufacturing furniture. Design services may be performed by the furniture establishment's work force or may be purchased from industrial designers.</t>
  </si>
  <si>
    <t>A general category encompassing all "Ambulatory health care services"</t>
  </si>
  <si>
    <t>A general category encompassing all "Apparel and leather and allied products"</t>
  </si>
  <si>
    <t>A general category encompassing all "Chemical products"</t>
  </si>
  <si>
    <t>A general category encompassing all "Construction"</t>
  </si>
  <si>
    <t>A general category encompassing all "Miscellaneous manufacturing". Industries in the Miscellaneous Manufacturing subsector make a wide range of products. Processes used by these establishments vary significantly, both among and within industries. For example, a variety of manufacturing processes are used in manufacturing sporting and athletic goods that include products such as tennis racquets and golf balls. The processes for these products differ from each other, and the processes differ significantly from the fabrication processes used in making dolls or toys, the melting and shaping of precious metals to make jewelry, and the bending, forming, and assembly used in making medical products.</t>
  </si>
  <si>
    <t>A general category encompassing all "Miscellaneous professional, scientific, and technical services". Industries in the Professional, Scientific, and Technical Services subsector group establishments engaged in processes where human capital is the major input. These establishments make available the knowledge and skills of their employees, often on an assignment basis, where an individual or team is responsible for the delivery of services to the client. The individual industries of this subsector are defined on the basis of the particular expertise and training of the services provider.</t>
  </si>
  <si>
    <t>This industry comprises establishments primarily engaged in providing skilled nursing services in the home, along with a range of the following:  personal care services; homemaker and companion services; physical therapy; medical social services; medications; medical equipment and supplies; counseling; 24- hour home care; occupation and vocational therapy; dietary and nutritional services; speech therapy; audiology; and high-tech care, such as intravenous therapy.</t>
  </si>
  <si>
    <t>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</si>
  <si>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A general category encompassing all "Computer and electronic products".  Industries in the Computer and Electronic Product Manufacturing subsector group establishments that manufacture computers, computer peripherals, communications equipment, and similar electronic products, and establishments that manufacture components for such products. The Computer and Electronic Product Manufacturing industries have been combined in the hierarchy of NAICS because of the economic significance they have attained. Their rapid growth suggests that they will become even more important to the economies of all three North American countries in the future, and in addition their manufacturing processes are fundamentally different from the manufacturing processes of other machinery and equipment. The design and use of integrated circuits and the application of highly specialized miniaturization technologies are common elements in the production technologies of the Computer and Electronic Product Manufacturing subsector. Convergence of technology motivates this NAICS subsector. Digitalization of sound recording, for example, causes both the medium (the compact disc) and the equipment to resemble the technologies for recording, storing, transmitting, and manipulating data. Communications technology and equipment have been converging with computer technology. When technologically-related components are in the same sector, it makes it easier to adjust the classification for future changes, without needing to redefine its basic structure. The creation of the Computer and Electronic Product Manufacturing subsector assists in delineating new and emerging industries because the activities that will serve as the probable sources of new industries, such as computer manufacturing and communications equipment manufacturing, or computers and audio equipment, are brought together. As new activities emerge, they are less likely to cross the subsector boundaries of the classification.</t>
  </si>
  <si>
    <t>A general category encompassing all "Computer systems design and related services".  This industry comprises establishments primarily engaged in providing expertise in the field of information technologies through one or more of the following activities: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 related advice and services.</t>
  </si>
  <si>
    <t>A general category encompassing all "other services, except government". The Other Services (except government)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t>
  </si>
  <si>
    <t>A general category encompassing all "Nursing and residential care facilities". Industries in the Nursing and Residential Care Facilities subsector provide residential care combined with either nursing, supervisory, or other types of care as required by the residents. In this subsector, the facilities are a significant part of the production process, and the care provided is a mix of health and social services with the health services being largely some level of nursing services.</t>
  </si>
  <si>
    <t>A general category encompassing all "'Publishing industries, except internet (includes software)". Industries in the Publishing Industries (except Internet) subsector group establishments engaged in the publishing of newspapers, magazines, other periodicals, and books, as well as directory and mailing list and software publishing. In general, these establishments, which are known as publishers, issue copies of works for which they usually possess copyright. Works may be in one or more formats including traditional print form, CD-ROM, or proprietary electronic networks. Publishers may publish works originally created by others for which they have obtained the rights and/or works that they have created in-house. Software publishing is included here because the activity, creation of a copyrighted product and bringing it to market, is equivalent to the creation process for other types of intellectual products.</t>
  </si>
  <si>
    <t>A general category encompassing all "Paper products". Industries in the Paper Manufacturing subsector make pulp, paper, or converted paper products. The manufacturing of these products is grouped together because they constitute a series of vertically connected processes. More than one is often carried out in a single establishment. There are essentially three activities. The manufacturing of pulp involves separating the cellulose fibers from other impurities in wood or used paper. The manufacturing of paper involves matting these fibers into a sheet. The manufacturing of converted paper products involves converting paper and other materials by various cutting and shaping techniques and includes coating and laminating activities.</t>
  </si>
  <si>
    <r>
      <t xml:space="preserve">A general category encompassing all "Textile mills and textile product mills". 
Industries in the </t>
    </r>
    <r>
      <rPr>
        <b/>
        <sz val="11"/>
        <color theme="1"/>
        <rFont val="Arial"/>
        <family val="2"/>
        <scheme val="minor"/>
      </rPr>
      <t xml:space="preserve">Textile Mills subsector group </t>
    </r>
    <r>
      <rPr>
        <sz val="11"/>
        <color theme="1"/>
        <rFont val="Arial"/>
        <family val="2"/>
        <scheme val="minor"/>
      </rPr>
      <t xml:space="preserve">establishments that transform a basic fiber (natural or synthetic) into a product, such as yarn or fabric that is further manufactured into usable items, such as apparel, sheets, towels, and textile bags for individual or industrial consumption. The further manufacturing may be performed in the same establishment and classified in this subsector, or it may be performed at a separate establishment and be classified elsewhere in manufacturing.
Industries in the </t>
    </r>
    <r>
      <rPr>
        <b/>
        <sz val="11"/>
        <color theme="1"/>
        <rFont val="Arial"/>
        <family val="2"/>
        <scheme val="minor"/>
      </rPr>
      <t xml:space="preserve">Textile Product Mills </t>
    </r>
    <r>
      <rPr>
        <sz val="11"/>
        <color theme="1"/>
        <rFont val="Arial"/>
        <family val="2"/>
        <scheme val="minor"/>
      </rPr>
      <t>subsector group establishments that make textile products (except apparel). With a few exceptions, processes used by these establishments are generally cut and sew (i.e., purchasing fabric and cutting and sewing to make nonapparel textile products, such as sheets and towels).</t>
    </r>
  </si>
  <si>
    <t>NAICS code</t>
  </si>
  <si>
    <t>Flour milling and malt manufacturing'. 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</si>
  <si>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Fats and oils refining and blending'. This U.S. industry comprises establishments primarily engaged in one or more of the following: (1) manufacturing shortening and margarine from purchased fats and oils; (2) refining and/or blending vegetable, oilseed, and tree nut oils from purchased oils; and (3) blending purchased animal fats with purchased vegetable fats.</t>
  </si>
  <si>
    <t>Fluid milk and butter manufacturing'. This industry group comprises establishments that manufacture dairy products from raw milk, processed milk, and dairy substitutes. Related NAICS codes are: 311511-2</t>
  </si>
  <si>
    <t>Animal (except poultry) slaughtering, rendering, and processing'. This industry comprises establishments primarily engaged in one or more of the following: (1) slaughtering animals; (2) preparing processed meats and meat byproducts; and (3) rendering and/or refining animal fat, bones, and meat scraps. This industry includes establishments primarily engaged in assembly cutting and packing of meats (i.e., boxed meats) from purchased carcasses. Related NAICS codes are: 311611-3</t>
  </si>
  <si>
    <t>Seafood product preparation and packaging'. 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</si>
  <si>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Cookie, cracker, pasta, and tortilla manufacturing'. This industry group comprises establishments primarily engaged in one of the following: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 Related NAICS codes are: 31182-3</t>
  </si>
  <si>
    <t>Coffee and tea manufacturing'. This industry comprises establishments primarily engaged in one or more of the following: (1) roasting coffee; (2) manufacturing coffee and tea concentrates (including instant and freeze-dried); (3) blending tea; (4) manufacturing herbal tea; and (5) manufacturing coffee extracts, flavorings, and syrups.</t>
  </si>
  <si>
    <t>Seasoning and dressing manufacturing'. This industry comprises establishments primarily engaged in one or more of the following: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</si>
  <si>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Food Category</t>
  </si>
  <si>
    <t>&lt;--- ENTER TOTAL EMISSIONS HERE IF CALCULATED ELSEWHERE (and leave above spreadsheet blank)</t>
  </si>
  <si>
    <t>Total Revenue of Investee for year of inventory
(in given sector)</t>
  </si>
  <si>
    <t>kg CO2 per therm</t>
  </si>
  <si>
    <t>kg CO2e per therm</t>
  </si>
  <si>
    <t>g CH4 per therm</t>
  </si>
  <si>
    <t>g N2O per therm</t>
  </si>
  <si>
    <r>
      <t xml:space="preserve">kg CO2 per </t>
    </r>
    <r>
      <rPr>
        <b/>
        <sz val="9"/>
        <color theme="1"/>
        <rFont val="Arial"/>
        <family val="2"/>
        <scheme val="minor"/>
      </rPr>
      <t>mmBtu</t>
    </r>
  </si>
  <si>
    <r>
      <t xml:space="preserve">g CH4 per </t>
    </r>
    <r>
      <rPr>
        <b/>
        <sz val="9"/>
        <color theme="1"/>
        <rFont val="Arial"/>
        <family val="2"/>
        <scheme val="minor"/>
      </rPr>
      <t>mmBtu</t>
    </r>
  </si>
  <si>
    <r>
      <t xml:space="preserve">g N2O per </t>
    </r>
    <r>
      <rPr>
        <b/>
        <sz val="9"/>
        <color theme="1"/>
        <rFont val="Arial"/>
        <family val="2"/>
        <scheme val="minor"/>
      </rPr>
      <t>mmBtu</t>
    </r>
  </si>
  <si>
    <t>Table 1 - Stationary Combustion</t>
  </si>
  <si>
    <t>Natural Gas Emission Factors</t>
  </si>
  <si>
    <t xml:space="preserve">Fuel Upstream Emission Factors </t>
  </si>
  <si>
    <t xml:space="preserve">Well-to-tank (WTT) fuels conversion factors should be used to account for the upstream Scope 3 emissions associated with extraction, refining and transportation of the raw fuel sources to an organisation’s site (or asset), prior to combustion.      </t>
  </si>
  <si>
    <r>
      <rPr>
        <b/>
        <sz val="12"/>
        <color theme="1"/>
        <rFont val="Calibri"/>
        <family val="2"/>
      </rPr>
      <t>»</t>
    </r>
    <r>
      <rPr>
        <b/>
        <sz val="12"/>
        <color theme="1"/>
        <rFont val="Arial"/>
        <family val="2"/>
      </rPr>
      <t xml:space="preserve"> </t>
    </r>
    <r>
      <rPr>
        <b/>
        <sz val="12"/>
        <color theme="1"/>
        <rFont val="Arial"/>
        <family val="2"/>
        <scheme val="minor"/>
      </rPr>
      <t>This table provides descriptions corresponding to the drop-down options in Column D of the "Cat 1 and 2 (Goods &amp; Services)" tab. General categories are highlighted.</t>
    </r>
  </si>
  <si>
    <t>Investee company’s revenue in sector (percent)</t>
  </si>
  <si>
    <t>https://www.census.gov/naics/?58967?yearbck=2017</t>
  </si>
  <si>
    <t>Industry Description</t>
  </si>
  <si>
    <r>
      <t xml:space="preserve">Industries in the </t>
    </r>
    <r>
      <rPr>
        <b/>
        <sz val="10"/>
        <color theme="1"/>
        <rFont val="Arial"/>
        <family val="2"/>
        <scheme val="minor"/>
      </rPr>
      <t>Telecommunications</t>
    </r>
    <r>
      <rPr>
        <sz val="10"/>
        <color theme="1"/>
        <rFont val="Arial"/>
        <family val="2"/>
        <scheme val="minor"/>
      </rPr>
      <t xml:space="preserve">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three industry groups. The first two are comprised of establishments that operate transmission facilities and infrastructure that they own and/or lease, and provide telecommunications services using those facilities. The distinction between the first two industry groups is the type of infrastructure operated (i.e., wired and/or wireless or satellite). The third industry group is comprised of establishments that provide support activities, telecommunications reselling services, or many of the same services provided by establishments in the first two industry groups, but do not operate as telecommunications carriers.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r>
  </si>
  <si>
    <r>
      <t>Industries in the</t>
    </r>
    <r>
      <rPr>
        <b/>
        <sz val="10"/>
        <color theme="1"/>
        <rFont val="Arial"/>
        <family val="2"/>
        <scheme val="minor"/>
      </rPr>
      <t xml:space="preserve"> Broadcasting</t>
    </r>
    <r>
      <rPr>
        <sz val="10"/>
        <color theme="1"/>
        <rFont val="Arial"/>
        <family val="2"/>
        <scheme val="minor"/>
      </rPr>
      <t xml:space="preserve"> (except Internet) subsector include establishments that create content or acquire the right to distribute content and subsequently broadcast the content. The industry groups (Radio and Television Broadcasting and Cable and Other Subscription Programming) are based on differences in the methods of communication and the nature of services provided. The Radio and Television Broadcasting industry group includes establishments that operate broadcasting studios and facilities for over-the-air or satellite delivery of radio and television programs of entertainment, news, talk, and the like. These establishments are often engaged in the production and purchase of programs and generating revenues from the sale of air time to advertisers and from donations, subsidies, and/or the sale of programs. The Cable and Other Subscription Programming industry group includes establishments operating studios and facilities for the broadcasting of programs that are typically narrowcast in nature (limited format, such as news, sports, education, and youth-oriented programming) on a subscription or fee basis.</t>
    </r>
  </si>
  <si>
    <r>
      <t xml:space="preserve">Industries in the </t>
    </r>
    <r>
      <rPr>
        <b/>
        <sz val="10"/>
        <color theme="1"/>
        <rFont val="Arial"/>
        <family val="2"/>
        <scheme val="minor"/>
      </rPr>
      <t>Apparel Manufacturing</t>
    </r>
    <r>
      <rPr>
        <sz val="10"/>
        <color theme="1"/>
        <rFont val="Arial"/>
        <family val="2"/>
        <scheme val="minor"/>
      </rPr>
      <t xml:space="preserve">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manufacturing; and tailors, manufacturing custom garments for individual clients. Knitting fabric, when done alone, is classified in the Textile Mills subsector, but when knitting is combined with the production of complete garments, the activity is classified in the Apparel Manufacturing subsector.</t>
    </r>
  </si>
  <si>
    <r>
      <t xml:space="preserve">Establishments in the </t>
    </r>
    <r>
      <rPr>
        <b/>
        <sz val="10"/>
        <color theme="1"/>
        <rFont val="Arial"/>
        <family val="2"/>
        <scheme val="minor"/>
      </rPr>
      <t>Leather and Allied Product Manufacturing</t>
    </r>
    <r>
      <rPr>
        <sz val="10"/>
        <color theme="1"/>
        <rFont val="Arial"/>
        <family val="2"/>
        <scheme val="minor"/>
      </rPr>
      <t xml:space="preserve"> subsector transform hides into leather by tanning or curing and fabricating the leather into products for final consumption. This subsector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subsector. The products made from leather substitutes are included in this subsector because they are made in similar ways leather products are made (e.g., luggage). They are made in the same establishments, so it is not practical to separate them.</t>
    </r>
  </si>
  <si>
    <r>
      <t xml:space="preserve">The </t>
    </r>
    <r>
      <rPr>
        <b/>
        <sz val="10"/>
        <color theme="1"/>
        <rFont val="Arial"/>
        <family val="2"/>
        <scheme val="minor"/>
      </rPr>
      <t>Chemical Manufacturing</t>
    </r>
    <r>
      <rPr>
        <sz val="10"/>
        <color theme="1"/>
        <rFont val="Arial"/>
        <family val="2"/>
        <scheme val="minor"/>
      </rPr>
      <t xml:space="preserve"> subsector is based on the transformation of organic and inorganic raw materials by a chemical process and the formulation of products. This subsector distinguishes the production of basic chemicals that comprise the first industry group from the production of intermediate and end products produced by further processing of basic chemicals that make up the remaining industry groups.
This subsector does not include all industries transforming raw materials by a chemical process. It is common for some chemical processing to occur during mining operations. These beneficiating operations, such as copper concentrating, are classified in Sector 21, Mining, Quarrying, and Oil and Gas Extraction. Furthermore, the refining of crude petroleum is included in Subsector 324, Petroleum and Coal Products Manufacturing. In addition, the manufacturing of aluminum oxide is included in Subsector 331, Primary Metal Manufacturing; and beverage distilleries are classified in Subsector 312, Beverage and Tobacco Product Manufacturing. As is the case of these two activities, the grouping of industries into subsectors may take into account the association of the activities performed with other activities in the subsector.</t>
    </r>
  </si>
  <si>
    <r>
      <t xml:space="preserve">Industries in the </t>
    </r>
    <r>
      <rPr>
        <b/>
        <sz val="10"/>
        <color theme="1"/>
        <rFont val="Arial"/>
        <family val="2"/>
        <scheme val="minor"/>
      </rPr>
      <t>Amusement, Gambling, and Recreation Industries</t>
    </r>
    <r>
      <rPr>
        <sz val="10"/>
        <color theme="1"/>
        <rFont val="Arial"/>
        <family val="2"/>
        <scheme val="minor"/>
      </rPr>
      <t xml:space="preserve"> subsector (1) operate facilities where patrons can primarily engage in sports, recreation, amusement, or gambling activities and/or (2) provide other amusement and recreation services, such as supplying and servicing amusement devices in places of business operated by others; operating sports teams, clubs, or leagues engaged in playing games for recreational purposes; and guiding tours without using transportation equipment.</t>
    </r>
  </si>
  <si>
    <r>
      <t xml:space="preserve">Industries in the </t>
    </r>
    <r>
      <rPr>
        <b/>
        <sz val="10"/>
        <color theme="1"/>
        <rFont val="Arial"/>
        <family val="2"/>
        <scheme val="minor"/>
      </rPr>
      <t>Ambulatory Health Care Services</t>
    </r>
    <r>
      <rPr>
        <sz val="10"/>
        <color theme="1"/>
        <rFont val="Arial"/>
        <family val="2"/>
        <scheme val="minor"/>
      </rPr>
      <t xml:space="preserve"> subsector provide health care services directly or indirectly to ambulatory patients and do not usually provide inpatient services. Health practitioners in this subsector provide outpatient services, with the facilities and equipment not usually being the most significant part of the production process.</t>
    </r>
  </si>
  <si>
    <r>
      <t xml:space="preserve">Industries in the </t>
    </r>
    <r>
      <rPr>
        <b/>
        <sz val="10"/>
        <color theme="1"/>
        <rFont val="Arial"/>
        <family val="2"/>
        <scheme val="minor"/>
      </rPr>
      <t>Air Transportation</t>
    </r>
    <r>
      <rPr>
        <sz val="10"/>
        <color theme="1"/>
        <rFont val="Arial"/>
        <family val="2"/>
        <scheme val="minor"/>
      </rPr>
      <t xml:space="preserve">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 purpose aircraft to provide a variety of specialized flying services. </t>
    </r>
  </si>
  <si>
    <r>
      <t xml:space="preserve">Industries in the </t>
    </r>
    <r>
      <rPr>
        <b/>
        <sz val="10"/>
        <color theme="1"/>
        <rFont val="Arial"/>
        <family val="2"/>
        <scheme val="minor"/>
      </rPr>
      <t>Administrative and Support Services</t>
    </r>
    <r>
      <rPr>
        <sz val="10"/>
        <color theme="1"/>
        <rFont val="Arial"/>
        <family val="2"/>
        <scheme val="minor"/>
      </rPr>
      <t xml:space="preserve"> subsector group establishments engaged in activities that support the day-to-day operations of other organizations. The processes employed in this sector (e.g., general management, personnel administration, clerical activities, cleaning activities) are often integral parts of the activities of establishments found in all sectors of the economy. The establishments classified in this subsector have specialization in one or more of these activities and can, therefore, provide services to clients in a variety of industries and, in some cases, to households. The individual industries of this subsector are defined on the basis of the particular process that they are engaged in and the particular services they provide.</t>
    </r>
  </si>
  <si>
    <r>
      <t xml:space="preserve">Industries in the </t>
    </r>
    <r>
      <rPr>
        <b/>
        <sz val="10"/>
        <color theme="1"/>
        <rFont val="Arial"/>
        <family val="2"/>
        <scheme val="minor"/>
      </rPr>
      <t>Accommodation</t>
    </r>
    <r>
      <rPr>
        <sz val="10"/>
        <color theme="1"/>
        <rFont val="Arial"/>
        <family val="2"/>
        <scheme val="minor"/>
      </rPr>
      <t xml:space="preserve"> subsector provide lodging or short-term accommodations for travelers, vacationers, and others. There is a wide range of establishments in these industries. Some provide lodging only, while others provide meals, laundry services, and recreational facilities, as well as lodging. Lodging establishments are classified in this subsector even if the provision of complementary services generates more revenue. The types of complementary services provided vary from establishment to establishment.</t>
    </r>
  </si>
  <si>
    <r>
      <t xml:space="preserve">Industries in the </t>
    </r>
    <r>
      <rPr>
        <b/>
        <sz val="10"/>
        <color theme="1"/>
        <rFont val="Arial"/>
        <family val="2"/>
        <scheme val="minor"/>
      </rPr>
      <t>Computer and Electronic Product Manufacturing</t>
    </r>
    <r>
      <rPr>
        <sz val="10"/>
        <color theme="1"/>
        <rFont val="Arial"/>
        <family val="2"/>
        <scheme val="minor"/>
      </rPr>
      <t xml:space="preserve"> subsector group establishments that manufacture computers, computer peripherals, communications equipment, and similar electronic products, and establishments that manufacture components for such products. The Computer and Electronic Product Manufacturing industries have been combined in the hierarchy of NAICS because of the economic significance they have attained. Their rapid growth suggests that they will become even more important to the economies of all three North American countries in the future, and in addition their manufacturing processes are fundamentally different from the manufacturing processes of other machinery and equipment. The design and use of integrated circuits and the application of highly specialized miniaturization technologies are common elements in the production technologies of the Computer and Electronic Product Manufacturing subsector. Convergence of technology motivates this NAICS subsector. Digitalization of sound recording, for example, causes both the medium (the compact disc) and the equipment to resemble the technologies for recording, storing, transmitting, and manipulating data. Communications technology and equipment have been converging with computer technology. When technologically-related components are in the same sector, it makes it easier to adjust the classification for future changes, without needing to redefine its basic structure. The creation of the Computer and Electronic Product Manufacturing subsector assists in delineating new and emerging industries because the activities that will serve as the probable sources of new industries, such as computer manufacturing and communications equipment manufacturing, or computers and audio equipment, are brought together. As new activities emerge, they are less likely to cross the subsector boundaries of the classification.</t>
    </r>
  </si>
  <si>
    <r>
      <t xml:space="preserve">The </t>
    </r>
    <r>
      <rPr>
        <b/>
        <sz val="10"/>
        <color theme="1"/>
        <rFont val="Arial"/>
        <family val="2"/>
        <scheme val="minor"/>
      </rPr>
      <t>Computer Systems Design and Related Services</t>
    </r>
    <r>
      <rPr>
        <sz val="10"/>
        <color theme="1"/>
        <rFont val="Arial"/>
        <family val="2"/>
        <scheme val="minor"/>
      </rPr>
      <t xml:space="preserve"> industry comprises establishments primarily engaged in providing expertise in the field of information technologies through one or more of the following activities: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 related advice and services.</t>
    </r>
  </si>
  <si>
    <r>
      <t xml:space="preserve">The </t>
    </r>
    <r>
      <rPr>
        <b/>
        <sz val="10"/>
        <color theme="1"/>
        <rFont val="Arial"/>
        <family val="2"/>
        <scheme val="minor"/>
      </rPr>
      <t>Construction</t>
    </r>
    <r>
      <rPr>
        <sz val="10"/>
        <color theme="1"/>
        <rFont val="Arial"/>
        <family val="2"/>
        <scheme val="minor"/>
      </rPr>
      <t xml:space="preserve"> sector comprises establishments primarily engaged in the construction of buildings or engineering projects (e.g., highways and utility systems). Establishments primarily engaged in the preparation of sites for new construction and establishments primarily engaged in subdividing land for sale as building sites also are included in this sector.</t>
    </r>
  </si>
  <si>
    <r>
      <t xml:space="preserve">Industries in the </t>
    </r>
    <r>
      <rPr>
        <b/>
        <sz val="10"/>
        <color theme="1"/>
        <rFont val="Arial"/>
        <family val="2"/>
        <scheme val="minor"/>
      </rPr>
      <t>Data Processing, Hosting, and Related Services</t>
    </r>
    <r>
      <rPr>
        <sz val="10"/>
        <color theme="1"/>
        <rFont val="Arial"/>
        <family val="2"/>
        <scheme val="minor"/>
      </rPr>
      <t xml:space="preserve"> subsector group establishments that provide the infrastructure for hosting and/or data processing services.</t>
    </r>
  </si>
  <si>
    <r>
      <t xml:space="preserve">Industries in the </t>
    </r>
    <r>
      <rPr>
        <b/>
        <sz val="10"/>
        <color theme="1"/>
        <rFont val="Arial"/>
        <family val="2"/>
        <scheme val="minor"/>
      </rPr>
      <t>Other Information Services</t>
    </r>
    <r>
      <rPr>
        <sz val="10"/>
        <color theme="1"/>
        <rFont val="Arial"/>
        <family val="2"/>
        <scheme val="minor"/>
      </rPr>
      <t xml:space="preserve"> subsector group 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t>
    </r>
  </si>
  <si>
    <r>
      <t xml:space="preserve">Industries in the </t>
    </r>
    <r>
      <rPr>
        <b/>
        <sz val="10"/>
        <color theme="1"/>
        <rFont val="Arial"/>
        <family val="2"/>
        <scheme val="minor"/>
      </rPr>
      <t>Educational Services</t>
    </r>
    <r>
      <rPr>
        <sz val="10"/>
        <color theme="1"/>
        <rFont val="Arial"/>
        <family val="2"/>
        <scheme val="minor"/>
      </rPr>
      <t xml:space="preserve"> subsector provide instruction and training in a wide variety of subjects. The instruction and training is provided by specialized establishments, such as schools, colleges, universities, and training centers.</t>
    </r>
  </si>
  <si>
    <r>
      <t xml:space="preserve">Industries in the </t>
    </r>
    <r>
      <rPr>
        <b/>
        <sz val="10"/>
        <color theme="1"/>
        <rFont val="Arial"/>
        <family val="2"/>
        <scheme val="minor"/>
      </rPr>
      <t>Electrical Equipment, Appliance, and Component Manufacturing</t>
    </r>
    <r>
      <rPr>
        <sz val="10"/>
        <color theme="1"/>
        <rFont val="Arial"/>
        <family val="2"/>
        <scheme val="minor"/>
      </rPr>
      <t xml:space="preserve"> subsector manufacture products that generate, distribute and use electrical power. Electric Lighting Equipment Manufacturing establishments produce electric lamp bulbs, lighting fixtures, and parts. Household Appliance Manufacturing establishments make both small and major electrical appliances and parts. Electrical Equipment Manufacturing establishments make goods, such as electric motors, generators, transformers, and switchgear apparatus. Other Electrical Equipment and Component Manufacturing establishments make devices for storing electrical power (e.g., batteries), for transmitting electricity (e.g., insulated wire), and wiring devices (e.g., electrical outlets, fuse boxes, and light switches).</t>
    </r>
  </si>
  <si>
    <r>
      <t xml:space="preserve">Industries in the </t>
    </r>
    <r>
      <rPr>
        <b/>
        <sz val="10"/>
        <color theme="1"/>
        <rFont val="Arial"/>
        <family val="2"/>
        <scheme val="minor"/>
      </rPr>
      <t>Fabricated Metal Product Manufacturing</t>
    </r>
    <r>
      <rPr>
        <sz val="10"/>
        <color theme="1"/>
        <rFont val="Arial"/>
        <family val="2"/>
        <scheme val="minor"/>
      </rPr>
      <t xml:space="preserve"> subsector transform metal into intermediate or end products, other than machinery, computers and electronics, and metal furniture, or treat metals and metal formed products fabricated elsewhere. Important fabricated metal processes are forging, stamping, bending, forming, and machining, used to shape individual pieces of metal; and other processes, such as welding and assembling, used to join separate parts together. Establishments in this subsector may use one of these processes or a combination of these processes.</t>
    </r>
  </si>
  <si>
    <r>
      <t xml:space="preserve">Industries in the </t>
    </r>
    <r>
      <rPr>
        <b/>
        <sz val="10"/>
        <color theme="1"/>
        <rFont val="Arial"/>
        <family val="2"/>
        <scheme val="minor"/>
      </rPr>
      <t>Crop Production</t>
    </r>
    <r>
      <rPr>
        <sz val="10"/>
        <color theme="1"/>
        <rFont val="Arial"/>
        <family val="2"/>
        <scheme val="minor"/>
      </rPr>
      <t xml:space="preserve"> subsector grow crops mainly for food and fiber. The subsector comprises establishments, such as farms, orchards, groves, greenhouses, and nurseries, primarily engaged in growing crops, plants, vines, or trees and their seeds.</t>
    </r>
  </si>
  <si>
    <r>
      <t xml:space="preserve">Industries in the </t>
    </r>
    <r>
      <rPr>
        <b/>
        <sz val="10"/>
        <color theme="1"/>
        <rFont val="Arial"/>
        <family val="2"/>
        <scheme val="minor"/>
      </rPr>
      <t>Credit Intermediation and Related Activities</t>
    </r>
    <r>
      <rPr>
        <sz val="10"/>
        <color theme="1"/>
        <rFont val="Arial"/>
        <family val="2"/>
        <scheme val="minor"/>
      </rPr>
      <t xml:space="preserve">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t>
    </r>
  </si>
  <si>
    <r>
      <t xml:space="preserve">The </t>
    </r>
    <r>
      <rPr>
        <b/>
        <sz val="10"/>
        <color theme="1"/>
        <rFont val="Arial"/>
        <family val="2"/>
        <scheme val="minor"/>
      </rPr>
      <t>Monetary Authorities-Central Bank</t>
    </r>
    <r>
      <rPr>
        <sz val="10"/>
        <color theme="1"/>
        <rFont val="Arial"/>
        <family val="2"/>
        <scheme val="minor"/>
      </rPr>
      <t xml:space="preserve"> subsector groups establishments that engage in performing central banking functions, such as issuing currency, managing the Nation's money supply and international reserves, holding deposits that represent the reserves of other banks and other central banks, and acting as a fiscal agent for the central government.</t>
    </r>
  </si>
  <si>
    <r>
      <t xml:space="preserve">Industries in the </t>
    </r>
    <r>
      <rPr>
        <b/>
        <sz val="10"/>
        <color theme="1"/>
        <rFont val="Arial"/>
        <family val="2"/>
        <scheme val="minor"/>
      </rPr>
      <t>Food Manufacturing</t>
    </r>
    <r>
      <rPr>
        <sz val="10"/>
        <color theme="1"/>
        <rFont val="Arial"/>
        <family val="2"/>
        <scheme val="minor"/>
      </rPr>
      <t xml:space="preserve"> subsector transform livestock and agricultural products into products for intermediate or final consumption. The industry groups are distinguished by the raw materials (generally of animal or vegetable origin) processed into food products. The food products manufactured in these establishments are typically sold to wholesalers or retailers for distribution to consumers, but establishments primarily engaged in retailing bakery and candy products made on the premises not for immediate consumption are included.</t>
    </r>
  </si>
  <si>
    <r>
      <t xml:space="preserve">Industries in the </t>
    </r>
    <r>
      <rPr>
        <b/>
        <sz val="10"/>
        <color theme="1"/>
        <rFont val="Arial"/>
        <family val="2"/>
        <scheme val="minor"/>
      </rPr>
      <t>Beverage and Tobacco Product Manufacturing</t>
    </r>
    <r>
      <rPr>
        <sz val="10"/>
        <color theme="1"/>
        <rFont val="Arial"/>
        <family val="2"/>
        <scheme val="minor"/>
      </rPr>
      <t xml:space="preserve"> subsector manufacture beverages and tobacco products. The Beverage Manufacturing industry group includes three types of establishments: (1) those that manufacture nonalcoholic beverages; (2) those that manufacture alcoholic beverages through the fermentation process; and (3) those that produce distilled alcoholic beverages. Ice manufacturing, while not a beverage, is included with nonalcoholic beverage manufacturing because it uses the same production process as water purification...The Tobacco Manufacturing industry group includes two types of establishments: (1) those engaged in redrying and stemming tobacco and (2) those that manufacture tobacco products, such as cigarettes and cigars.</t>
    </r>
  </si>
  <si>
    <r>
      <t xml:space="preserve">Industries in the </t>
    </r>
    <r>
      <rPr>
        <b/>
        <sz val="10"/>
        <color theme="1"/>
        <rFont val="Arial"/>
        <family val="2"/>
        <scheme val="minor"/>
      </rPr>
      <t>Food and Beverage Stores</t>
    </r>
    <r>
      <rPr>
        <sz val="10"/>
        <color theme="1"/>
        <rFont val="Arial"/>
        <family val="2"/>
        <scheme val="minor"/>
      </rPr>
      <t xml:space="preserve"> subsector usually retail food and beverage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r>
  </si>
  <si>
    <r>
      <t>2017 NAICS</t>
    </r>
    <r>
      <rPr>
        <b/>
        <vertAlign val="superscript"/>
        <sz val="11"/>
        <color theme="1"/>
        <rFont val="Arial"/>
        <family val="2"/>
        <scheme val="minor"/>
      </rPr>
      <t>1</t>
    </r>
    <r>
      <rPr>
        <b/>
        <sz val="11"/>
        <color theme="1"/>
        <rFont val="Arial"/>
        <family val="2"/>
        <scheme val="minor"/>
      </rPr>
      <t xml:space="preserve"> Code </t>
    </r>
  </si>
  <si>
    <t>Note:</t>
  </si>
  <si>
    <r>
      <t xml:space="preserve">Industries in the </t>
    </r>
    <r>
      <rPr>
        <b/>
        <sz val="10"/>
        <color theme="1"/>
        <rFont val="Arial"/>
        <family val="2"/>
        <scheme val="minor"/>
      </rPr>
      <t>Food Services and Drinking Places</t>
    </r>
    <r>
      <rPr>
        <sz val="10"/>
        <color theme="1"/>
        <rFont val="Arial"/>
        <family val="2"/>
        <scheme val="minor"/>
      </rPr>
      <t xml:space="preserve"> subsector prepare meals, snacks, and beverages to customer order for immediate on-premises and off-premises consumption. There is a wide range of establishments in these industries. Some provide food and drink only, while others provide various combinations of seating space, waiter/waitress services, and incidental amenities, such as limited entertainment. The industries in the subsector are grouped based on the type and level of services provided. The industry groups are Special Food Services, such as food service contractors, caterers, and mobile food services; Drinking Places (Alcoholic Beverages); and Restaurants and Other Eating Places.</t>
    </r>
  </si>
  <si>
    <r>
      <t xml:space="preserve">Industries in the </t>
    </r>
    <r>
      <rPr>
        <b/>
        <sz val="10"/>
        <color theme="1"/>
        <rFont val="Arial"/>
        <family val="2"/>
        <scheme val="minor"/>
      </rPr>
      <t xml:space="preserve">Forestry and Logging </t>
    </r>
    <r>
      <rPr>
        <sz val="10"/>
        <color theme="1"/>
        <rFont val="Arial"/>
        <family val="2"/>
        <scheme val="minor"/>
      </rPr>
      <t xml:space="preserve">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t>
    </r>
  </si>
  <si>
    <r>
      <t xml:space="preserve">Industries in the </t>
    </r>
    <r>
      <rPr>
        <b/>
        <sz val="10"/>
        <color theme="1"/>
        <rFont val="Arial"/>
        <family val="2"/>
        <scheme val="minor"/>
      </rPr>
      <t>Fishing, Hunting and Trapping</t>
    </r>
    <r>
      <rPr>
        <sz val="10"/>
        <color theme="1"/>
        <rFont val="Arial"/>
        <family val="2"/>
        <scheme val="minor"/>
      </rPr>
      <t xml:space="preserve">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t>
    </r>
  </si>
  <si>
    <r>
      <t xml:space="preserve">Industries in the </t>
    </r>
    <r>
      <rPr>
        <b/>
        <sz val="10"/>
        <color theme="1"/>
        <rFont val="Arial"/>
        <family val="2"/>
        <scheme val="minor"/>
      </rPr>
      <t xml:space="preserve">Support Activities for Agriculture and Forestry </t>
    </r>
    <r>
      <rPr>
        <sz val="10"/>
        <color theme="1"/>
        <rFont val="Arial"/>
        <family val="2"/>
        <scheme val="minor"/>
      </rPr>
      <t>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r>
  </si>
  <si>
    <r>
      <t xml:space="preserve">Industries in the </t>
    </r>
    <r>
      <rPr>
        <b/>
        <sz val="10"/>
        <color theme="1"/>
        <rFont val="Arial"/>
        <family val="2"/>
        <scheme val="minor"/>
      </rPr>
      <t>Funds, Trusts, and Other Financial Vehicles</t>
    </r>
    <r>
      <rPr>
        <sz val="10"/>
        <color theme="1"/>
        <rFont val="Arial"/>
        <family val="2"/>
        <scheme val="minor"/>
      </rPr>
      <t xml:space="preserve"> subsector group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t>
    </r>
  </si>
  <si>
    <r>
      <t xml:space="preserve">Industries in the </t>
    </r>
    <r>
      <rPr>
        <b/>
        <sz val="10"/>
        <color theme="1"/>
        <rFont val="Arial"/>
        <family val="2"/>
        <scheme val="minor"/>
      </rPr>
      <t>Furniture and Related Product Manufacturing</t>
    </r>
    <r>
      <rPr>
        <sz val="10"/>
        <color theme="1"/>
        <rFont val="Arial"/>
        <family val="2"/>
        <scheme val="minor"/>
      </rPr>
      <t xml:space="preserve"> subsector make furniture and related articles, such as mattresses, window blinds, cabinets, and fixtures. The processes used in the manufacture of furniture include the cutting, bending, molding, laminating, and assembly of such materials as wood, metal, glass, plastics, and rattan. However, the production process for furniture is not solely bending metal, cutting and shaping wood, or extruding and molding plastics. Design and fashion trends play an important part in the production of furniture. The integrated design of the article for both esthetic and functional qualities is also a major part of the process of manufacturing furniture. Design services may be performed by the furniture establishment's work force or may be purchased from industrial designers.</t>
    </r>
  </si>
  <si>
    <r>
      <t xml:space="preserve">Industries in the </t>
    </r>
    <r>
      <rPr>
        <b/>
        <sz val="10"/>
        <color theme="1"/>
        <rFont val="Arial"/>
        <family val="2"/>
        <scheme val="minor"/>
      </rPr>
      <t xml:space="preserve">General Merchandise Stores </t>
    </r>
    <r>
      <rPr>
        <sz val="10"/>
        <color theme="1"/>
        <rFont val="Arial"/>
        <family val="2"/>
        <scheme val="minor"/>
      </rPr>
      <t>subsector retail new general merchandise from fixed point-of-sale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t>
    </r>
  </si>
  <si>
    <r>
      <t xml:space="preserve">Industries in the </t>
    </r>
    <r>
      <rPr>
        <b/>
        <sz val="10"/>
        <color theme="1"/>
        <rFont val="Arial"/>
        <family val="2"/>
        <scheme val="minor"/>
      </rPr>
      <t xml:space="preserve">Hospitals </t>
    </r>
    <r>
      <rPr>
        <sz val="10"/>
        <color theme="1"/>
        <rFont val="Arial"/>
        <family val="2"/>
        <scheme val="minor"/>
      </rPr>
      <t>subsector provide medical, diagnostic, and treatment services that include physician, nursing, and other health services to inpatients and the specialized accommodation services required by inpatients. Hospitals may also provide outpatient services as a secondary activity. Establishments in the Hospitals subsector provide inpatient health services, many of which can only be provided using the specialized facilities and equipment that form a significant and integral part of the production process.</t>
    </r>
  </si>
  <si>
    <t>531 (real estate)</t>
  </si>
  <si>
    <r>
      <t xml:space="preserve">Industries in the </t>
    </r>
    <r>
      <rPr>
        <b/>
        <sz val="10"/>
        <color theme="1"/>
        <rFont val="Arial"/>
        <family val="2"/>
        <scheme val="minor"/>
      </rPr>
      <t>Real Estate</t>
    </r>
    <r>
      <rPr>
        <sz val="10"/>
        <color theme="1"/>
        <rFont val="Arial"/>
        <family val="2"/>
        <scheme val="minor"/>
      </rPr>
      <t xml:space="preserve"> subsector group establishments primarily engaged in renting or leasing real estate to others; managing real estate for others; selling, buying, or renting real estate for others; and providing other real estate related services, such as appraisal services. This subsector includes equity real estate investment trusts (REITs) primarily engaged in leasing buildings, dwellings, or other real estate property to others.</t>
    </r>
  </si>
  <si>
    <r>
      <t xml:space="preserve">Industries in the </t>
    </r>
    <r>
      <rPr>
        <b/>
        <sz val="10"/>
        <color theme="1"/>
        <rFont val="Arial"/>
        <family val="2"/>
        <scheme val="minor"/>
      </rPr>
      <t>Insurance Carriers and Related Activities</t>
    </r>
    <r>
      <rPr>
        <sz val="10"/>
        <color theme="1"/>
        <rFont val="Arial"/>
        <family val="2"/>
        <scheme val="minor"/>
      </rPr>
      <t xml:space="preserve"> subsector group establishments that are primarily engaged in one of the following: (1) underwriting (assuming the risk, assigning premiums, and so forth) annuities and insurance policies or (2) facilitating such underwriting by selling insurance policies and by providing other insurance and employee benefit related services.</t>
    </r>
  </si>
  <si>
    <r>
      <t xml:space="preserve">The </t>
    </r>
    <r>
      <rPr>
        <b/>
        <sz val="10"/>
        <color theme="1"/>
        <rFont val="Arial"/>
        <family val="2"/>
        <scheme val="minor"/>
      </rPr>
      <t>Legal Services</t>
    </r>
    <r>
      <rPr>
        <sz val="10"/>
        <color theme="1"/>
        <rFont val="Arial"/>
        <family val="2"/>
        <scheme val="minor"/>
      </rPr>
      <t xml:space="preserve"> industry group comprises establishments primarily engaged in offering legal services, such as those offered by offices of lawyers, offices of notaries, and title abstract and settlement offices, and paralegal services.</t>
    </r>
  </si>
  <si>
    <r>
      <t xml:space="preserve">Industries in the </t>
    </r>
    <r>
      <rPr>
        <b/>
        <sz val="10"/>
        <color theme="1"/>
        <rFont val="Arial"/>
        <family val="2"/>
        <scheme val="minor"/>
      </rPr>
      <t>Machinery Manufacturing</t>
    </r>
    <r>
      <rPr>
        <sz val="10"/>
        <color theme="1"/>
        <rFont val="Arial"/>
        <family val="2"/>
        <scheme val="minor"/>
      </rPr>
      <t xml:space="preserve"> subsector create end products that apply mechanical force, for example, the application of gears and levers, to perform work. Some important processes for the manufacture of machinery are forging, stamping, bending, forming, and machining that are used to shape individual pieces of metal. Processes, such as welding and assembling are used to join separate parts together. Although these processes are similar to those used in metal fabricating establishments, machinery manufacturing is different because it typically employs multiple metal forming processes in manufacturing the various parts of the machine. Moreover, complex assembly operations are an inherent part of the production process. </t>
    </r>
  </si>
  <si>
    <r>
      <t xml:space="preserve">The </t>
    </r>
    <r>
      <rPr>
        <b/>
        <sz val="10"/>
        <color theme="1"/>
        <rFont val="Arial"/>
        <family val="2"/>
        <scheme val="minor"/>
      </rPr>
      <t>Management of Companies and Enterprises</t>
    </r>
    <r>
      <rPr>
        <sz val="10"/>
        <color theme="1"/>
        <rFont val="Arial"/>
        <family val="2"/>
        <scheme val="minor"/>
      </rPr>
      <t xml:space="preserve">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decision-making role of the company or enterprise. Establishments that administer, oversee, and manage may hold the securities of the company or enterprise.</t>
    </r>
  </si>
  <si>
    <r>
      <t xml:space="preserve">Industries in the </t>
    </r>
    <r>
      <rPr>
        <b/>
        <sz val="10"/>
        <color theme="1"/>
        <rFont val="Arial"/>
        <family val="2"/>
        <scheme val="minor"/>
      </rPr>
      <t>Mining (except Oil and Gas)</t>
    </r>
    <r>
      <rPr>
        <sz val="10"/>
        <color theme="1"/>
        <rFont val="Arial"/>
        <family val="2"/>
        <scheme val="minor"/>
      </rPr>
      <t xml:space="preserve"> subsector primarily engage in mining, mine site development, and beneficiating (i.e., preparing) metallic minerals and nonmetallic minerals, including coal. The term "mining" is used in the broad sense to include ore extraction, quarrying, and beneficiating (e.g., crushing, screening, washing, sizing, concentrating, and flotation), customarily done at the mine site.</t>
    </r>
  </si>
  <si>
    <r>
      <t xml:space="preserve">Industries in the </t>
    </r>
    <r>
      <rPr>
        <b/>
        <sz val="10"/>
        <color theme="1"/>
        <rFont val="Arial"/>
        <family val="2"/>
        <scheme val="minor"/>
      </rPr>
      <t>Miscellaneous Manufacturing</t>
    </r>
    <r>
      <rPr>
        <sz val="10"/>
        <color theme="1"/>
        <rFont val="Arial"/>
        <family val="2"/>
        <scheme val="minor"/>
      </rPr>
      <t xml:space="preserve"> subsector make a wide range of products that cannot readily be classified in specific NAICS subsectors in manufacturing. Processes used by these establishments vary significantly, both among and within industries. For example, a variety of manufacturing processes are used in manufacturing sporting and athletic goods that include products such as tennis racquets and golf balls. The processes for these products differ from each other, and the processes differ significantly from the fabrication processes used in making dolls or toys, the melting and shaping of precious metals to make jewelry, and the bending, forming, and assembly used in making medical products.</t>
    </r>
  </si>
  <si>
    <r>
      <t xml:space="preserve">Industries in the </t>
    </r>
    <r>
      <rPr>
        <b/>
        <sz val="10"/>
        <color theme="1"/>
        <rFont val="Arial"/>
        <family val="2"/>
        <scheme val="minor"/>
      </rPr>
      <t>Professional, Scientific, and Technical Services</t>
    </r>
    <r>
      <rPr>
        <sz val="10"/>
        <color theme="1"/>
        <rFont val="Arial"/>
        <family val="2"/>
        <scheme val="minor"/>
      </rPr>
      <t xml:space="preserve"> subsector group establishments engaged in processes where human capital is the major input. These establishments make available the knowledge and skills of their employees, often on an assignment basis, where an individual or team is responsible for the delivery of services to the client. The individual industries of this subsector are defined on the basis of the particular expertise and training of the services provider.</t>
    </r>
  </si>
  <si>
    <r>
      <t xml:space="preserve">Industries in the </t>
    </r>
    <r>
      <rPr>
        <b/>
        <sz val="10"/>
        <color theme="1"/>
        <rFont val="Arial"/>
        <family val="2"/>
        <scheme val="minor"/>
      </rPr>
      <t>Motion Picture and Sound Recording Industries</t>
    </r>
    <r>
      <rPr>
        <sz val="10"/>
        <color theme="1"/>
        <rFont val="Arial"/>
        <family val="2"/>
        <scheme val="minor"/>
      </rPr>
      <t xml:space="preserve"> subsector group establishments involved in the production and distribution of motion pictures and sound recordings. While producers and distributors of motion pictures and sound recordings issue works for sale as traditional publishers do, the processes are sufficiently different to warrant placing establishments engaged in these activities in a separate subsector. Production is typically a complex process that involves several distinct types of establishments that are engaged in activities, such as contracting with performers, creating the film or sound content, and providing technical postproduction services. Film distribution is often to exhibitors, such as theaters and broadcasters, rather than through the wholesale and retail distribution chain. When the product is in a mass-produced form, NAICS treats production and distribution as the major economic activity as it does in the Publishing Industries (except Internet) subsector, rather than as a subsidiary activity to the manufacture of such products.</t>
    </r>
  </si>
  <si>
    <r>
      <t xml:space="preserve">Industries in the </t>
    </r>
    <r>
      <rPr>
        <b/>
        <sz val="10"/>
        <color theme="1"/>
        <rFont val="Arial"/>
        <family val="2"/>
        <scheme val="minor"/>
      </rPr>
      <t>Motor Vehicle and Parts Dealers</t>
    </r>
    <r>
      <rPr>
        <sz val="10"/>
        <color theme="1"/>
        <rFont val="Arial"/>
        <family val="2"/>
        <scheme val="minor"/>
      </rPr>
      <t xml:space="preserve">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included in this subsector identify the type of vehicle being retailed.</t>
    </r>
  </si>
  <si>
    <r>
      <t xml:space="preserve">The </t>
    </r>
    <r>
      <rPr>
        <b/>
        <sz val="10"/>
        <color theme="1"/>
        <rFont val="Arial"/>
        <family val="2"/>
        <scheme val="minor"/>
      </rPr>
      <t>Motor Vehicle Manufacturing</t>
    </r>
    <r>
      <rPr>
        <sz val="10"/>
        <color theme="1"/>
        <rFont val="Arial"/>
        <family val="2"/>
        <scheme val="minor"/>
      </rPr>
      <t xml:space="preserve"> industry group comprises establishments primarily engaged in (1) manufacturing complete automobiles, light duty motor vehicles, and heavy duty trucks (i.e., body and chassis or unibody) or (2) manufacturing motor vehicle chassis only.</t>
    </r>
  </si>
  <si>
    <r>
      <t xml:space="preserve">The </t>
    </r>
    <r>
      <rPr>
        <b/>
        <sz val="10"/>
        <color theme="1"/>
        <rFont val="Arial"/>
        <family val="2"/>
        <scheme val="minor"/>
      </rPr>
      <t>Motor Vehicle Body and Trailer Manufacturing</t>
    </r>
    <r>
      <rPr>
        <sz val="10"/>
        <color theme="1"/>
        <rFont val="Arial"/>
        <family val="2"/>
        <scheme val="minor"/>
      </rPr>
      <t xml:space="preserve"> industry comprises establishments primarily engaged in (1) manufacturing motor vehicle bodies and cabs or (2) manufacturing truck, automobile and utility trailers, truck trailer chassis, detachable trailer bodies, and detachable trailer chassis. The products made may be sold separately or may be assembled on purchased chassis and sold as complete vehicles. Motor homes are units where the motor and the living quarters are contained in the same integrated unit, while travel trailers are designed to be towed by a motor unit, such as an automobile or a light truck.</t>
    </r>
  </si>
  <si>
    <r>
      <t>The</t>
    </r>
    <r>
      <rPr>
        <b/>
        <sz val="10"/>
        <color theme="1"/>
        <rFont val="Arial"/>
        <family val="2"/>
        <scheme val="minor"/>
      </rPr>
      <t xml:space="preserve"> Motor Vehicle Parts Manufacturing</t>
    </r>
    <r>
      <rPr>
        <sz val="10"/>
        <color theme="1"/>
        <rFont val="Arial"/>
        <family val="2"/>
        <scheme val="minor"/>
      </rPr>
      <t xml:space="preserve"> industry group comprises establishments primarily engaged in manufacturing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 This industry group includes establishments that rebuild motor vehicle parts.</t>
    </r>
  </si>
  <si>
    <r>
      <t>The</t>
    </r>
    <r>
      <rPr>
        <b/>
        <sz val="10"/>
        <color theme="1"/>
        <rFont val="Arial"/>
        <family val="2"/>
        <scheme val="minor"/>
      </rPr>
      <t xml:space="preserve"> Nonmetallic Mineral Product Manufacturing </t>
    </r>
    <r>
      <rPr>
        <sz val="10"/>
        <color theme="1"/>
        <rFont val="Arial"/>
        <family val="2"/>
        <scheme val="minor"/>
      </rPr>
      <t xml:space="preserve">subsector transforms mined or quarried nonmetallic minerals, such as sand, gravel, stone, clay, and refractory materials, into products for intermediate or final consumption. Processes used include grinding, mixing, cutting, shaping, and honing. Heat often is used in the process and chemicals are frequently mixed to change the composition, purity, and chemical properties for the intended product. For example, glass is produced by heating silica sand to the melting point (sometimes combined with cullet or recycled glass) and then drawn, floated, or blow molded to the desired shape or thickness. Refractory materials are heated and then formed into bricks or other shapes for use in industrial applications. </t>
    </r>
  </si>
  <si>
    <r>
      <t xml:space="preserve">Industries in the </t>
    </r>
    <r>
      <rPr>
        <b/>
        <sz val="10"/>
        <color theme="1"/>
        <rFont val="Arial"/>
        <family val="2"/>
        <scheme val="minor"/>
      </rPr>
      <t>Nursing and Residential Care Facilities</t>
    </r>
    <r>
      <rPr>
        <sz val="10"/>
        <color theme="1"/>
        <rFont val="Arial"/>
        <family val="2"/>
        <scheme val="minor"/>
      </rPr>
      <t xml:space="preserve"> subsector provide residential care combined with either nursing, supervisory, or other types of care as required by the residents. In this subsector, the facilities are a significant part of the production process, and the care provided is a mix of health and social services with the health services being largely some level of nursing services.</t>
    </r>
  </si>
  <si>
    <r>
      <t xml:space="preserve">Industries in the </t>
    </r>
    <r>
      <rPr>
        <b/>
        <sz val="10"/>
        <color theme="1"/>
        <rFont val="Arial"/>
        <family val="2"/>
        <scheme val="minor"/>
      </rPr>
      <t>Oil and Gas Extraction</t>
    </r>
    <r>
      <rPr>
        <sz val="10"/>
        <color theme="1"/>
        <rFont val="Arial"/>
        <family val="2"/>
        <scheme val="minor"/>
      </rPr>
      <t xml:space="preserve">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the production of natural gas, sulfur recovery from natural gas, and recovery of hydrocarbon liquids.</t>
    </r>
  </si>
  <si>
    <r>
      <t xml:space="preserve">See </t>
    </r>
    <r>
      <rPr>
        <b/>
        <sz val="10"/>
        <color theme="1"/>
        <rFont val="Arial"/>
        <family val="2"/>
        <scheme val="minor"/>
      </rPr>
      <t>Housing</t>
    </r>
    <r>
      <rPr>
        <sz val="10"/>
        <color theme="1"/>
        <rFont val="Arial"/>
        <family val="2"/>
        <scheme val="minor"/>
      </rPr>
      <t xml:space="preserve"> above; Industries in the </t>
    </r>
    <r>
      <rPr>
        <b/>
        <sz val="10"/>
        <color theme="1"/>
        <rFont val="Arial"/>
        <family val="2"/>
        <scheme val="minor"/>
      </rPr>
      <t>Real Estate</t>
    </r>
    <r>
      <rPr>
        <sz val="10"/>
        <color theme="1"/>
        <rFont val="Arial"/>
        <family val="2"/>
        <scheme val="minor"/>
      </rPr>
      <t xml:space="preserve"> subsector group establishments primarily engaged in renting or leasing real estate to others; managing real estate for others; selling, buying, or renting real estate for others; and providing other real estate related services, such as appraisal services. This subsector includes equity real estate investment trusts (REITs) primarily engaged in leasing buildings, dwellings, or other real estate property to others.</t>
    </r>
  </si>
  <si>
    <t>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t>
  </si>
  <si>
    <r>
      <t xml:space="preserve">The </t>
    </r>
    <r>
      <rPr>
        <b/>
        <sz val="10"/>
        <color theme="1"/>
        <rFont val="Arial"/>
        <family val="2"/>
        <scheme val="minor"/>
      </rPr>
      <t>Retail Trade</t>
    </r>
    <r>
      <rPr>
        <sz val="10"/>
        <color theme="1"/>
        <rFont val="Arial"/>
        <family val="2"/>
        <scheme val="minor"/>
      </rPr>
      <t xml:space="preserve"> sector comprises establishments engaged in retailing merchandise, generally without transformation, and rendering services incidental to the sale of merchandise. The retailing process is the final step in the distribution of merchandise; retailers are, therefore, organized to sell merchandise in small quantities to the general public. This sector comprises two main types of retailers: store and nonstore retailers.</t>
    </r>
  </si>
  <si>
    <t>44-45</t>
  </si>
  <si>
    <r>
      <t xml:space="preserve">Industries in the </t>
    </r>
    <r>
      <rPr>
        <b/>
        <sz val="10"/>
        <color theme="1"/>
        <rFont val="Arial"/>
        <family val="2"/>
        <scheme val="minor"/>
      </rPr>
      <t>Couriers and Messengers</t>
    </r>
    <r>
      <rPr>
        <sz val="10"/>
        <color theme="1"/>
        <rFont val="Arial"/>
        <family val="2"/>
        <scheme val="minor"/>
      </rPr>
      <t xml:space="preserve"> subsector provide intercity, local, and/or international delivery of parcels and documents (including express delivery services) without operating under a universal service obligation. These articles may originate in the U.S. but be delivered to another country and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r>
  </si>
  <si>
    <r>
      <t xml:space="preserve">Industries in the </t>
    </r>
    <r>
      <rPr>
        <b/>
        <sz val="10"/>
        <color theme="1"/>
        <rFont val="Arial"/>
        <family val="2"/>
        <scheme val="minor"/>
      </rPr>
      <t>Scenic and Sightseeing Transportation</t>
    </r>
    <r>
      <rPr>
        <sz val="10"/>
        <color theme="1"/>
        <rFont val="Arial"/>
        <family val="2"/>
        <scheme val="minor"/>
      </rPr>
      <t xml:space="preserve">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t>
    </r>
  </si>
  <si>
    <r>
      <t xml:space="preserve">Industries in the </t>
    </r>
    <r>
      <rPr>
        <b/>
        <sz val="10"/>
        <color theme="1"/>
        <rFont val="Arial"/>
        <family val="2"/>
        <scheme val="minor"/>
      </rPr>
      <t>Transportation Equipment Manufacturing</t>
    </r>
    <r>
      <rPr>
        <sz val="10"/>
        <color theme="1"/>
        <rFont val="Arial"/>
        <family val="2"/>
        <scheme val="minor"/>
      </rPr>
      <t xml:space="preserve"> subsector produce equipment for transporting people and goods. Transportation equipment is a type of machinery. An entire subsector is devoted to this activity because of the significance of its economic size in all three North American countries. Establishments in this subsector utilize production processes similar to those of other machinery manufacturing establishments - bending, forming, welding, machining, and assembling metal or plastic parts into components and finished products. However, the assembly of components and subassemblies and their further assembly into finished vehicles tends to be a more common production process in this subsector than in the Machinery Manufacturing subsector. </t>
    </r>
  </si>
  <si>
    <r>
      <t xml:space="preserve">Industries in the </t>
    </r>
    <r>
      <rPr>
        <b/>
        <sz val="10"/>
        <color theme="1"/>
        <rFont val="Arial"/>
        <family val="2"/>
        <scheme val="minor"/>
      </rPr>
      <t>Paper Manufacturing</t>
    </r>
    <r>
      <rPr>
        <sz val="10"/>
        <color theme="1"/>
        <rFont val="Arial"/>
        <family val="2"/>
        <scheme val="minor"/>
      </rPr>
      <t xml:space="preserve"> subsector make pulp, paper, or converted paper products. The manufacturing of these products is grouped together because they constitute a series of vertically connected processes. More than one is often carried out in a single establishment. There are essentially three activities. The manufacturing of pulp involves separating the cellulose fibers from other impurities in wood or used paper. The manufacturing of paper involves matting these fibers into a sheet. The manufacturing of converted paper products involves converting paper and other materials by various cutting and shaping techniques and includes coating and laminating activities.</t>
    </r>
  </si>
  <si>
    <r>
      <t xml:space="preserve">The </t>
    </r>
    <r>
      <rPr>
        <b/>
        <sz val="10"/>
        <color theme="1"/>
        <rFont val="Arial"/>
        <family val="2"/>
        <scheme val="minor"/>
      </rPr>
      <t>Arts, Entertainment, and Recreation</t>
    </r>
    <r>
      <rPr>
        <sz val="10"/>
        <color theme="1"/>
        <rFont val="Arial"/>
        <family val="2"/>
        <scheme val="minor"/>
      </rPr>
      <t xml:space="preserve"> sector includes a wide range of establishments that operate facilities or provide services to meet varied cultural, entertainment, and recreational interests of their patrons. This sector comprises (1) establishments that are involved in producing, promoting, or participating in live performances, events, or exhibits intended for public viewing; (2) establishments that preserve and exhibit objects and sites of historical, cultural, or educational interest; and (3) establishments that operate facilities or provide services that enable patrons to participate in recreational activities or pursue amusement, hobby, and leisure-time interests.</t>
    </r>
  </si>
  <si>
    <r>
      <t xml:space="preserve">The </t>
    </r>
    <r>
      <rPr>
        <b/>
        <sz val="10"/>
        <color theme="1"/>
        <rFont val="Arial"/>
        <family val="2"/>
        <scheme val="minor"/>
      </rPr>
      <t>Petroleum and Coal Products Manufacturing</t>
    </r>
    <r>
      <rPr>
        <sz val="10"/>
        <color theme="1"/>
        <rFont val="Arial"/>
        <family val="2"/>
        <scheme val="minor"/>
      </rPr>
      <t xml:space="preserve"> subsector is based on the transformation of crude petroleum and coal into usable products. The dominant process is petroleum refining that involves the separation of crude petroleum into component products through such techniques as cracking and distillation. In addition, this subsector includes establishments that primarily further process refined petroleum and coal products and produce products, such as asphalt coatings and petroleum lubricating oils. However, establishments that manufacture petrochemicals from refined petroleum are classified in Industry 32511, Petrochemical Manufacturing.</t>
    </r>
  </si>
  <si>
    <r>
      <t xml:space="preserve">Industries in the </t>
    </r>
    <r>
      <rPr>
        <b/>
        <sz val="10"/>
        <color theme="1"/>
        <rFont val="Arial"/>
        <family val="2"/>
        <scheme val="minor"/>
      </rPr>
      <t>Pipeline Transportation</t>
    </r>
    <r>
      <rPr>
        <sz val="10"/>
        <color theme="1"/>
        <rFont val="Arial"/>
        <family val="2"/>
        <scheme val="minor"/>
      </rPr>
      <t xml:space="preserve">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r>
  </si>
  <si>
    <r>
      <t xml:space="preserve">Industries in the </t>
    </r>
    <r>
      <rPr>
        <b/>
        <sz val="10"/>
        <color theme="1"/>
        <rFont val="Arial"/>
        <family val="2"/>
        <scheme val="minor"/>
      </rPr>
      <t>Plastics and Rubber Products Manufacturing</t>
    </r>
    <r>
      <rPr>
        <sz val="10"/>
        <color theme="1"/>
        <rFont val="Arial"/>
        <family val="2"/>
        <scheme val="minor"/>
      </rPr>
      <t xml:space="preserve"> subsector make goods by processing plastics materials and raw rubber. The core technology employed by establishments in this subsector is that of plastics or rubber product production. Plastics and rubber are combined in the same subsector because plastics are increasingly being used as a substitute for rubber; however the subsector is generally restricted to the production of products made of just one material, either solely plastics or rubber.</t>
    </r>
  </si>
  <si>
    <r>
      <t xml:space="preserve">Industries in the </t>
    </r>
    <r>
      <rPr>
        <b/>
        <sz val="10"/>
        <color theme="1"/>
        <rFont val="Arial"/>
        <family val="2"/>
        <scheme val="minor"/>
      </rPr>
      <t>Primary Metal Manufacturing</t>
    </r>
    <r>
      <rPr>
        <sz val="10"/>
        <color theme="1"/>
        <rFont val="Arial"/>
        <family val="2"/>
        <scheme val="minor"/>
      </rPr>
      <t xml:space="preserve"> subsector smelt and/or refine ferrous and nonferrous metals from ore, pig or scrap, using electrometallurgical and other process metallurgical techniques. Establishments in this subsector also manufacture metal alloys and superalloys by introducing other chemical elements to pure metals. The output of smelting and refining, usually in ingot form, is used in rolling, drawing, and extruding operations to make sheet, strip, bar, rod, or wire, and in molten form to make castings and other basic metal products.</t>
    </r>
  </si>
  <si>
    <r>
      <t xml:space="preserve">The </t>
    </r>
    <r>
      <rPr>
        <b/>
        <sz val="10"/>
        <color theme="1"/>
        <rFont val="Arial"/>
        <family val="2"/>
        <scheme val="minor"/>
      </rPr>
      <t>Printing</t>
    </r>
    <r>
      <rPr>
        <sz val="10"/>
        <color theme="1"/>
        <rFont val="Arial"/>
        <family val="2"/>
        <scheme val="minor"/>
      </rPr>
      <t xml:space="preserve">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r>
  </si>
  <si>
    <r>
      <t xml:space="preserve">The </t>
    </r>
    <r>
      <rPr>
        <b/>
        <sz val="10"/>
        <color theme="1"/>
        <rFont val="Arial"/>
        <family val="2"/>
        <scheme val="minor"/>
      </rPr>
      <t>Support Activities for Printing</t>
    </r>
    <r>
      <rPr>
        <sz val="10"/>
        <color theme="1"/>
        <rFont val="Arial"/>
        <family val="2"/>
        <scheme val="minor"/>
      </rPr>
      <t xml:space="preserve"> industry comprises establishments primarily engaged in performing prepress and postpress services in support of printing activities. Prepress services may include such things as platemaking, typesetting, trade binding, and sample mounting. Postpress services include such things as book or paper bronzing, die cutting, edging, embossing, folding, gilding, gluing, and indexing.</t>
    </r>
  </si>
  <si>
    <r>
      <t xml:space="preserve">Industries in the </t>
    </r>
    <r>
      <rPr>
        <b/>
        <sz val="10"/>
        <color theme="1"/>
        <rFont val="Arial"/>
        <family val="2"/>
        <scheme val="minor"/>
      </rPr>
      <t>Publishing Industries (except Internet)</t>
    </r>
    <r>
      <rPr>
        <sz val="10"/>
        <color theme="1"/>
        <rFont val="Arial"/>
        <family val="2"/>
        <scheme val="minor"/>
      </rPr>
      <t xml:space="preserve"> subsector group establishments engaged in the publishing of newspapers, magazines, other periodicals, and books, as well as directory and mailing list and software publishing. In general, these establishments, which are known as publishers, issue copies of works for which they usually possess copyright. Works may be in one or more formats including traditional print form, CD-ROM, or proprietary electronic networks. Publishers may publish works originally created by others for which they have obtained the rights and/or works that they have created in-house. Software publishing is included here because the activity, creation of a copyrighted product and bringing it to market, is equivalent to the creation process for other types of intellectual products.</t>
    </r>
  </si>
  <si>
    <r>
      <t xml:space="preserve">Industries in the </t>
    </r>
    <r>
      <rPr>
        <b/>
        <sz val="10"/>
        <color theme="1"/>
        <rFont val="Arial"/>
        <family val="2"/>
        <scheme val="minor"/>
      </rPr>
      <t>Rail Transportation</t>
    </r>
    <r>
      <rPr>
        <sz val="10"/>
        <color theme="1"/>
        <rFont val="Arial"/>
        <family val="2"/>
        <scheme val="minor"/>
      </rPr>
      <t xml:space="preserve">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r>
  </si>
  <si>
    <r>
      <t xml:space="preserve">Industries in the </t>
    </r>
    <r>
      <rPr>
        <b/>
        <sz val="10"/>
        <color theme="1"/>
        <rFont val="Arial"/>
        <family val="2"/>
        <scheme val="minor"/>
      </rPr>
      <t>Rental and Leasing Services</t>
    </r>
    <r>
      <rPr>
        <sz val="10"/>
        <color theme="1"/>
        <rFont val="Arial"/>
        <family val="2"/>
        <scheme val="minor"/>
      </rPr>
      <t xml:space="preserve"> subsector include establishments that provide a wide array of tangible goods, such as automobiles, computers, consumer goods, and industrial machinery and equipment, to customers in return for a periodic rental or lease payment. The subsector includes two main types of establishments: (1) those that are engaged in renting consumer goods and equipment and (2) those that are engaged in leasing machinery and equipment often used for business operations. The first type typically operates from a retail-like or storefront facility and maintains inventories of goods that are rented for short periods of time. The latter type typically does not operate from retail-like locations or maintain inventories, and offers longer-term leases. These establishments work directly with clients to enable them to acquire the use of equipment on a lease basis, or they work with equipment vendors or dealers to support the marketing of equipment to their customers under lease arrangements. Equipment lessors generally structure lease contracts to meet the specialized needs of their clients and use their remarketing expertise to find other users for previously leased equipment. Establishments that provide operating and capital (i.e., finance) leases are included in this subsector.</t>
    </r>
  </si>
  <si>
    <r>
      <t>Industries in the</t>
    </r>
    <r>
      <rPr>
        <b/>
        <sz val="10"/>
        <color theme="1"/>
        <rFont val="Arial"/>
        <family val="2"/>
        <scheme val="minor"/>
      </rPr>
      <t xml:space="preserve"> Lessors of Nonfinancial Intangible Assets (except Copyrighted Works) </t>
    </r>
    <r>
      <rPr>
        <sz val="10"/>
        <color theme="1"/>
        <rFont val="Arial"/>
        <family val="2"/>
        <scheme val="minor"/>
      </rPr>
      <t>subsector include establishments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t>
    </r>
  </si>
  <si>
    <r>
      <t xml:space="preserve">Industries in the </t>
    </r>
    <r>
      <rPr>
        <b/>
        <sz val="10"/>
        <color theme="1"/>
        <rFont val="Arial"/>
        <family val="2"/>
        <scheme val="minor"/>
      </rPr>
      <t xml:space="preserve">Securities, Commodity Contracts, and Other Financial Investments and Related Activities </t>
    </r>
    <r>
      <rPr>
        <sz val="10"/>
        <color theme="1"/>
        <rFont val="Arial"/>
        <family val="2"/>
        <scheme val="minor"/>
      </rPr>
      <t>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t>
    </r>
  </si>
  <si>
    <r>
      <t xml:space="preserve">Industries in the </t>
    </r>
    <r>
      <rPr>
        <b/>
        <sz val="10"/>
        <color theme="1"/>
        <rFont val="Arial"/>
        <family val="2"/>
        <scheme val="minor"/>
      </rPr>
      <t>Social Assistance</t>
    </r>
    <r>
      <rPr>
        <sz val="10"/>
        <color theme="1"/>
        <rFont val="Arial"/>
        <family val="2"/>
        <scheme val="minor"/>
      </rPr>
      <t xml:space="preserve"> subsector provide a wide variety of social assistance services directly to their clients. These services do not include residential or accommodation services, except on a short-stay basis.</t>
    </r>
  </si>
  <si>
    <r>
      <t xml:space="preserve">The </t>
    </r>
    <r>
      <rPr>
        <b/>
        <sz val="10"/>
        <color theme="1"/>
        <rFont val="Arial"/>
        <family val="2"/>
        <scheme val="minor"/>
      </rPr>
      <t>Support Activities for Mining</t>
    </r>
    <r>
      <rPr>
        <sz val="10"/>
        <color theme="1"/>
        <rFont val="Arial"/>
        <family val="2"/>
        <scheme val="minor"/>
      </rPr>
      <t xml:space="preserve"> industry comprises 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t>
    </r>
  </si>
  <si>
    <r>
      <t xml:space="preserve">Industries in the </t>
    </r>
    <r>
      <rPr>
        <b/>
        <sz val="10"/>
        <color theme="1"/>
        <rFont val="Arial"/>
        <family val="2"/>
        <scheme val="minor"/>
      </rPr>
      <t>Textile Mills</t>
    </r>
    <r>
      <rPr>
        <sz val="10"/>
        <color theme="1"/>
        <rFont val="Arial"/>
        <family val="2"/>
        <scheme val="minor"/>
      </rPr>
      <t xml:space="preserve"> subsector group establishments that transform a basic fiber (natural or synthetic) into a product, such as yarn or fabric that is further manufactured into usable items, such as apparel, sheets, towels, and textile bags for individual or industrial consumption. The further manufacturing may be performed in the same establishment and classified in this subsector, or it may be performed at a separate establishment and be classified elsewhere in manufacturing. </t>
    </r>
  </si>
  <si>
    <r>
      <t xml:space="preserve">Industries in the </t>
    </r>
    <r>
      <rPr>
        <b/>
        <sz val="10"/>
        <color theme="1"/>
        <rFont val="Arial"/>
        <family val="2"/>
        <scheme val="minor"/>
      </rPr>
      <t>Textile Product Mills</t>
    </r>
    <r>
      <rPr>
        <sz val="10"/>
        <color theme="1"/>
        <rFont val="Arial"/>
        <family val="2"/>
        <scheme val="minor"/>
      </rPr>
      <t xml:space="preserve"> subsector group establishments that make textile products (except apparel). With a few exceptions, processes used by these establishments are generally cut and sew (i.e., purchasing fabric and cutting and sewing to make nonapparel textile products, such as sheets and towels).</t>
    </r>
  </si>
  <si>
    <r>
      <t xml:space="preserve">Industries in the </t>
    </r>
    <r>
      <rPr>
        <b/>
        <sz val="10"/>
        <color theme="1"/>
        <rFont val="Arial"/>
        <family val="2"/>
        <scheme val="minor"/>
      </rPr>
      <t>Transit and Ground Passenger Transportation</t>
    </r>
    <r>
      <rPr>
        <sz val="10"/>
        <color theme="1"/>
        <rFont val="Arial"/>
        <family val="2"/>
        <scheme val="minor"/>
      </rPr>
      <t xml:space="preserve">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r>
  </si>
  <si>
    <r>
      <t xml:space="preserve">Industries in the </t>
    </r>
    <r>
      <rPr>
        <b/>
        <sz val="10"/>
        <color theme="1"/>
        <rFont val="Arial"/>
        <family val="2"/>
        <scheme val="minor"/>
      </rPr>
      <t>Truck Transportation</t>
    </r>
    <r>
      <rPr>
        <sz val="10"/>
        <color theme="1"/>
        <rFont val="Arial"/>
        <family val="2"/>
        <scheme val="minor"/>
      </rPr>
      <t xml:space="preserve">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requires specialized equipment for transportation.</t>
    </r>
  </si>
  <si>
    <r>
      <t xml:space="preserve">Industries in the </t>
    </r>
    <r>
      <rPr>
        <b/>
        <sz val="10"/>
        <color theme="1"/>
        <rFont val="Arial"/>
        <family val="2"/>
        <scheme val="minor"/>
      </rPr>
      <t>Utilities</t>
    </r>
    <r>
      <rPr>
        <sz val="10"/>
        <color theme="1"/>
        <rFont val="Arial"/>
        <family val="2"/>
        <scheme val="minor"/>
      </rPr>
      <t xml:space="preserve"> subsector provide electric power, natural gas, steam supply, water supply, and sewage removal through a permanent infrastructure of lines, mains, and pipes. Establishments are grouped together based on the utility service provided and the particular system or facilities required to perform the service.</t>
    </r>
  </si>
  <si>
    <r>
      <t xml:space="preserve">Industries in the </t>
    </r>
    <r>
      <rPr>
        <b/>
        <sz val="10"/>
        <color theme="1"/>
        <rFont val="Arial"/>
        <family val="2"/>
        <scheme val="minor"/>
      </rPr>
      <t xml:space="preserve">Warehousing and Storage </t>
    </r>
    <r>
      <rPr>
        <sz val="10"/>
        <color theme="1"/>
        <rFont val="Arial"/>
        <family val="2"/>
        <scheme val="minor"/>
      </rPr>
      <t>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t>
    </r>
  </si>
  <si>
    <r>
      <t xml:space="preserve">Industries in the </t>
    </r>
    <r>
      <rPr>
        <b/>
        <sz val="10"/>
        <color theme="1"/>
        <rFont val="Arial"/>
        <family val="2"/>
        <scheme val="minor"/>
      </rPr>
      <t>Waste Management and Remediation Services</t>
    </r>
    <r>
      <rPr>
        <sz val="10"/>
        <color theme="1"/>
        <rFont val="Arial"/>
        <family val="2"/>
        <scheme val="minor"/>
      </rPr>
      <t xml:space="preserve"> subsector group establishments engaged in the collection, treatment, and disposal of waste materials. This includes establishments engaged in local hauling of waste materials; operating materials recovery facilities (i.e., those that sort recyclable materials from the trash stream); providing remediation services (i.e., those that provide for the cleanup of contaminated buildings, mine sites, soil, or ground water); and providing septic pumping and other miscellaneous waste management services. There are three industry groups within the subsector that separate these activities into waste collection, waste treatment and disposal, and remediation and other waste management.</t>
    </r>
  </si>
  <si>
    <r>
      <t xml:space="preserve">Industries in the </t>
    </r>
    <r>
      <rPr>
        <b/>
        <sz val="10"/>
        <color theme="1"/>
        <rFont val="Arial"/>
        <family val="2"/>
        <scheme val="minor"/>
      </rPr>
      <t>Water Transportation</t>
    </r>
    <r>
      <rPr>
        <sz val="10"/>
        <color theme="1"/>
        <rFont val="Arial"/>
        <family val="2"/>
        <scheme val="minor"/>
      </rPr>
      <t xml:space="preserve">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t>
    </r>
  </si>
  <si>
    <r>
      <t xml:space="preserve">The </t>
    </r>
    <r>
      <rPr>
        <b/>
        <sz val="10"/>
        <color theme="1"/>
        <rFont val="Arial"/>
        <family val="2"/>
        <scheme val="minor"/>
      </rPr>
      <t>Wholesale Trade</t>
    </r>
    <r>
      <rPr>
        <sz val="10"/>
        <color theme="1"/>
        <rFont val="Arial"/>
        <family val="2"/>
        <scheme val="minor"/>
      </rPr>
      <t xml:space="preserve"> sector comprises establishments engaged in wholesaling merchandise, generally without transformation, and rendering services incidental to the sale of merchandise. The merchandise described in this sector includes the outputs of agriculture, mining, manufacturing, and certain information industries, such as publishing. The wholesaling process is an intermediate step in the distribution of merchandise. Wholesalers are organized to sell or arrange the purchase or sale of (a) goods for resale (i.e., goods sold to other wholesalers or retailers), (b) capital or durable nonconsumer goods, and (c) raw and intermediate materials and supplies used in production.</t>
    </r>
  </si>
  <si>
    <r>
      <t xml:space="preserve">Establishments in the </t>
    </r>
    <r>
      <rPr>
        <b/>
        <sz val="10"/>
        <color theme="1"/>
        <rFont val="Arial"/>
        <family val="2"/>
        <scheme val="minor"/>
      </rPr>
      <t xml:space="preserve">Wood Product Manufacturing </t>
    </r>
    <r>
      <rPr>
        <sz val="10"/>
        <color theme="1"/>
        <rFont val="Arial"/>
        <family val="2"/>
        <scheme val="minor"/>
      </rPr>
      <t>subsector manufacture wood products, such as lumber, plywood, veneers, wood containers, wood flooring, wood trusses, manufactured homes (i.e., mobile homes), and prefabricated wood buildings. The production processes of the Wood Product Manufacturing subsector include sawing, planing, shaping, laminating, and assembling wood products starting from logs that are cut into bolts, or lumber that then may be further cut, or shaped by lathes or other shaping tools. The lumber or other transformed wood shapes may also be subsequently planed or smoothed, and assembled into finished products, such as wood containers. The Wood Product Manufacturing subsector includes establishments that make wood products from logs and bolts that are sawed and shaped, and establishments that purchase sawed lumber and make wood products. With the exception of sawmills and wood preservation establishments, the establishments are grouped into industries mainly based on the specific products manufactured.</t>
    </r>
  </si>
  <si>
    <t>1. NAICS - North American Industry Classification System</t>
  </si>
  <si>
    <t>not using this</t>
  </si>
  <si>
    <t xml:space="preserve">Food Manufacturing - General </t>
  </si>
  <si>
    <t>Industries in the Food Manufacturing subsector transform livestock and agricultural products into products for intermediate or final consumption. The industry groups are distinguished by the raw materials (generally of animal or vegetable origin) processed into food products.
The food products manufactured in these establishments are typically sold to wholesalers or retailers for distribution to consumers, but establishments primarily engaged in retailing bakery and candy products made on the premises not for immediate consumption are included.</t>
  </si>
  <si>
    <t>Food Manufacturing - General</t>
  </si>
  <si>
    <t>Food Manufacturing - Refined vegetable, olive, and seed oils</t>
  </si>
  <si>
    <t>Food Manufacturing - Breakfast cereals</t>
  </si>
  <si>
    <t>Food Manufacturing - Sugar, candy, and chocolate</t>
  </si>
  <si>
    <t>Food Manufacturing - Frozen food</t>
  </si>
  <si>
    <t>Food Manufacturing - Fruit and vegetable preservation</t>
  </si>
  <si>
    <t>Food Manufacturing - Cheese</t>
  </si>
  <si>
    <t>Food Manufacturing - Dry, condensed, and evaporated dairy</t>
  </si>
  <si>
    <t>Food Manufacturing - Fluid milk and butter</t>
  </si>
  <si>
    <t>Food Manufacturing - Ice cream and frozen desserts</t>
  </si>
  <si>
    <t>Food Manufacturing - Packaged poultry</t>
  </si>
  <si>
    <t>Food Manufacturing - Packaged meat (except poultry)</t>
  </si>
  <si>
    <t>Food Manufacturing - Seafood</t>
  </si>
  <si>
    <t>Food Manufacturing - Bread and other baked goods</t>
  </si>
  <si>
    <t>Food Manufacturing - Cookies, crackers, pastas, and tortillas</t>
  </si>
  <si>
    <t>Food Manufacturing - Snack foods</t>
  </si>
  <si>
    <t>Food Manufacturing - Coffee and tea</t>
  </si>
  <si>
    <t>This U.S. industry comprises establishments primarily engaged in (1) slaughtering poultry and small game and/or (2) preparing processed poultry and small game meat and meat byproducts.</t>
  </si>
  <si>
    <t>This industry comprises establishments primarily engaged in one or more of the following: (1) slaughtering animals; (2) preparing processed meats and meat byproducts; and (3) rendering and/or refining animal fat, bones, and meat scraps. This industry includes establishments primarily engaged in assembly cutting and packing of meats (i.e., boxed meats) from purchased carcasses.</t>
  </si>
  <si>
    <t>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</si>
  <si>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This industry group comprises establishments primarily engaged in one of the following: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 Related NAICS codes are: 31182-3</t>
  </si>
  <si>
    <t>This industry comprises establishments primarily engaged in one or more of the following: (1) roasting coffee; (2) manufacturing coffee and tea concentrates (including instant and freeze-dried); (3) blending tea; (4) manufacturing herbal tea; and (5) manufacturing coffee extracts, flavorings, and syrups.</t>
  </si>
  <si>
    <t>This U.S. industry comprises establishments primarily engaged in (1) manufacturing cheese products (except cottage cheese) from raw milk and/or processed milk products and/or (2) manufacturing cheese substitutes from soybean and other nondairy substances.</t>
  </si>
  <si>
    <t>This U.S. industry comprises establishments primarily engaged in one or more of the following: (1) manufacturing shortening and margarine from purchased fats and oils; (2) refining and/or blending vegetable, oilseed, and tree nut oils from purchased oils; and (3) blending purchased animal fats with purchased vegetable fats.</t>
  </si>
  <si>
    <t>Industries in the Food Manufacturing subsector transform livestock and agricultural products into products for intermediate or final consumption. The industry groups are distinguished by the raw materials (generally of animal or vegetable origin) processed into food products. The food products manufactured in these establishments are typically sold to wholesalers or retailers for distribution to consumers, but establishments primarily engaged in retailing bakery and candy products made on the premises not for immediate consumption are included.</t>
  </si>
  <si>
    <t>This industry comprises establishments primarily engaged in manufacturing breakfast cereal foods.</t>
  </si>
  <si>
    <t>Chemical Products</t>
  </si>
  <si>
    <t>Food Manufacturing - Corn products</t>
  </si>
  <si>
    <t>Food Manufacturing - Flavored drink concentrates</t>
  </si>
  <si>
    <t>Food Manufacturing - Seasonings and dressings</t>
  </si>
  <si>
    <t>Farms - Fresh fruits and tree nuts</t>
  </si>
  <si>
    <t>Farms - Fresh vegetables, melons, and potatoes</t>
  </si>
  <si>
    <t>This industry group comprises establishments primarily engaged in growing fruit and/or tree nut crops. The crops included in this industry group are generally not grown from seeds and have a perennial life cycle.</t>
  </si>
  <si>
    <t>The vegetable and melon farming industry comprises establishments primarily engaged in one or more of the following: (1) growing vegetable and/or melon crops; (2) producing vegetable and/or melon seeds; and (3) growing vegetable and/or melon bedding plants. The crops included in this industry have an annual growth cycle and are grown in open fields. Climate and cultural practices limit producing areas but often permit the growing of a combination of crops in a year. The potato farming industry comprises establishments primarily engaged in growing potatoes and/or producing seed potatoes.</t>
  </si>
  <si>
    <t>Farms and Food Manufacturing</t>
  </si>
  <si>
    <t>Furniture and Related Products</t>
  </si>
  <si>
    <t>Nursing and Residential Care Facilities</t>
  </si>
  <si>
    <t>Other Services (except government)</t>
  </si>
  <si>
    <t>Paper Products</t>
  </si>
  <si>
    <t>Publishing Industries (except internet, includes software)</t>
  </si>
  <si>
    <t>Textile Mills and Textile Product Mills</t>
  </si>
  <si>
    <t>Waste Management and Remediation Services</t>
  </si>
  <si>
    <r>
      <t xml:space="preserve">Table 1a. Upstream Leased Assets - </t>
    </r>
    <r>
      <rPr>
        <b/>
        <i/>
        <sz val="14"/>
        <color rgb="FF0000FF"/>
        <rFont val="Arial"/>
        <family val="2"/>
        <scheme val="minor"/>
      </rPr>
      <t>inpatient care facilities</t>
    </r>
  </si>
  <si>
    <r>
      <t xml:space="preserve">Table 1b. Upstream Leased Assets - </t>
    </r>
    <r>
      <rPr>
        <b/>
        <i/>
        <sz val="14"/>
        <color rgb="FF00B050"/>
        <rFont val="Arial"/>
        <family val="2"/>
        <scheme val="minor"/>
      </rPr>
      <t>outpatient care facilities</t>
    </r>
  </si>
  <si>
    <r>
      <t xml:space="preserve">Table 2a. Downstream Leased Assets - </t>
    </r>
    <r>
      <rPr>
        <b/>
        <i/>
        <sz val="14"/>
        <color rgb="FF0000FF"/>
        <rFont val="Arial"/>
        <family val="2"/>
        <scheme val="minor"/>
      </rPr>
      <t>inpatient care facilities</t>
    </r>
  </si>
  <si>
    <r>
      <t xml:space="preserve">Table 2b. Downstream Leased Assets - </t>
    </r>
    <r>
      <rPr>
        <b/>
        <i/>
        <sz val="14"/>
        <color rgb="FF00B050"/>
        <rFont val="Arial"/>
        <family val="2"/>
        <scheme val="minor"/>
      </rPr>
      <t>outpatient care facilities</t>
    </r>
  </si>
  <si>
    <r>
      <rPr>
        <b/>
        <sz val="10"/>
        <rFont val="Arial"/>
        <family val="2"/>
      </rPr>
      <t xml:space="preserve">Tables 1a and 2a are associated with </t>
    </r>
    <r>
      <rPr>
        <b/>
        <sz val="10"/>
        <color rgb="FF0000FF"/>
        <rFont val="Arial"/>
        <family val="2"/>
      </rPr>
      <t>inpatient care facilities</t>
    </r>
    <r>
      <rPr>
        <b/>
        <sz val="10"/>
        <rFont val="Arial"/>
        <family val="2"/>
      </rPr>
      <t xml:space="preserve"> and Tables 1b and 2b are associated with </t>
    </r>
    <r>
      <rPr>
        <b/>
        <sz val="10"/>
        <color rgb="FF00B050"/>
        <rFont val="Arial"/>
        <family val="2"/>
      </rPr>
      <t>outpatient care facilities</t>
    </r>
    <r>
      <rPr>
        <sz val="10"/>
        <rFont val="Arial"/>
        <family val="2"/>
      </rPr>
      <t xml:space="preserve">. </t>
    </r>
  </si>
  <si>
    <t>Generation Emission Factor (kg CO2e/kWh)</t>
  </si>
  <si>
    <t>Category Name</t>
  </si>
  <si>
    <t>Total market capitalization of investee ($)</t>
  </si>
  <si>
    <t>Computer and electronic products - Electromedical apparatuses</t>
  </si>
  <si>
    <t>Chemical products - Chemicals (except basic chemicals, agrichemicals, polymers, paints, pharmaceuticals, soaps, cleaning compounds)</t>
  </si>
  <si>
    <t>Chemicals (except basic chemicals, agrichemicals, polymers, paints, pharmaceuticals, soaps, cleaning compounds)</t>
  </si>
  <si>
    <t>Electromedical apparatuses</t>
  </si>
  <si>
    <t>inpatient visits</t>
  </si>
  <si>
    <r>
      <rPr>
        <b/>
        <i/>
        <sz val="10"/>
        <rFont val="Arial"/>
        <family val="2"/>
      </rPr>
      <t>State (or select "US Average")</t>
    </r>
    <r>
      <rPr>
        <sz val="10"/>
        <rFont val="Arial"/>
        <family val="2"/>
      </rPr>
      <t xml:space="preserve"> - select the US State in which the patient visits occur</t>
    </r>
  </si>
  <si>
    <r>
      <t>Total Patient Visits</t>
    </r>
    <r>
      <rPr>
        <b/>
        <sz val="10"/>
        <rFont val="Arial"/>
        <family val="2"/>
      </rPr>
      <t xml:space="preserve"> </t>
    </r>
    <r>
      <rPr>
        <sz val="10"/>
        <rFont val="Arial"/>
        <family val="2"/>
      </rPr>
      <t>- this column should be used to identify the total number of patient visits</t>
    </r>
  </si>
  <si>
    <t>Transport Mode</t>
  </si>
  <si>
    <t>Transport Mode Description</t>
  </si>
  <si>
    <r>
      <rPr>
        <b/>
        <sz val="12"/>
        <color theme="1"/>
        <rFont val="Calibri"/>
        <family val="2"/>
      </rPr>
      <t>»</t>
    </r>
    <r>
      <rPr>
        <b/>
        <sz val="12"/>
        <color theme="1"/>
        <rFont val="Arial"/>
        <family val="2"/>
      </rPr>
      <t xml:space="preserve"> </t>
    </r>
    <r>
      <rPr>
        <b/>
        <sz val="12"/>
        <color theme="1"/>
        <rFont val="Arial"/>
        <family val="2"/>
        <scheme val="minor"/>
      </rPr>
      <t xml:space="preserve">This table provides descriptions corresponding to the drop-down options in Column C of the "Cat 6 Business Travel" tab. </t>
    </r>
  </si>
  <si>
    <t>UK Government Conversion Factors for Company Reporting: Year 2021, Version 1.0. https://www.gov.uk/government/collections/government-conversion-factors-for-company-reporting</t>
  </si>
  <si>
    <t xml:space="preserve">DEFRA/BEIS (Department for Environment Food &amp; Rural Affairs [DEFRA] and Department for Business, Energy &amp; Industrial Strategy [BEIS]) 2021. </t>
  </si>
  <si>
    <t>Table 1. Upstream emissions from purchased fuels</t>
  </si>
  <si>
    <t>Table 2. Upstream emissions from purchased electricity</t>
  </si>
  <si>
    <r>
      <t xml:space="preserve">WTT- fuels' tab for Table 1; 'WTT- UK &amp; overseas elec' tab; </t>
    </r>
    <r>
      <rPr>
        <i/>
        <sz val="10"/>
        <color theme="1"/>
        <rFont val="Arial"/>
        <family val="2"/>
        <scheme val="minor"/>
      </rPr>
      <t>WTT- overseas electricity (generation)</t>
    </r>
    <r>
      <rPr>
        <sz val="10"/>
        <color theme="1"/>
        <rFont val="Arial"/>
        <family val="2"/>
        <scheme val="minor"/>
      </rPr>
      <t xml:space="preserve"> for Table 2 and </t>
    </r>
    <r>
      <rPr>
        <i/>
        <sz val="10"/>
        <color theme="1"/>
        <rFont val="Arial"/>
        <family val="2"/>
        <scheme val="minor"/>
      </rPr>
      <t>WTT- overseas electricity (T&amp;D)</t>
    </r>
    <r>
      <rPr>
        <sz val="10"/>
        <color theme="1"/>
        <rFont val="Arial"/>
        <family val="2"/>
        <scheme val="minor"/>
      </rPr>
      <t xml:space="preserve"> for Table 3.</t>
    </r>
  </si>
  <si>
    <t>WTT = Well-to-tank</t>
  </si>
  <si>
    <t>Table 3 (Generation Emission): IEA (2021), Emission Factors. International Energy Agency (IEA) 2021. IEA GHG Emissions from Electricity Generation (Year 2019 data).</t>
  </si>
  <si>
    <t xml:space="preserve">Table 1, Table 2, and Table 3 (Upstream Emissions): </t>
  </si>
  <si>
    <r>
      <t xml:space="preserve">Industries in the </t>
    </r>
    <r>
      <rPr>
        <b/>
        <sz val="11"/>
        <color theme="1"/>
        <rFont val="Arial"/>
        <family val="2"/>
        <scheme val="minor"/>
      </rPr>
      <t>Air Transportation</t>
    </r>
    <r>
      <rPr>
        <sz val="11"/>
        <color theme="1"/>
        <rFont val="Arial"/>
        <family val="2"/>
        <scheme val="minor"/>
      </rPr>
      <t xml:space="preserve">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r>
  </si>
  <si>
    <r>
      <t xml:space="preserve">Industries in the </t>
    </r>
    <r>
      <rPr>
        <b/>
        <sz val="11"/>
        <color theme="1"/>
        <rFont val="Arial"/>
        <family val="2"/>
        <scheme val="minor"/>
      </rPr>
      <t>Rail Transportation</t>
    </r>
    <r>
      <rPr>
        <sz val="11"/>
        <color theme="1"/>
        <rFont val="Arial"/>
        <family val="2"/>
        <scheme val="minor"/>
      </rPr>
      <t xml:space="preserve">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r>
  </si>
  <si>
    <r>
      <t xml:space="preserve">Industries in the </t>
    </r>
    <r>
      <rPr>
        <b/>
        <sz val="11"/>
        <color theme="1"/>
        <rFont val="Arial"/>
        <family val="2"/>
        <scheme val="minor"/>
      </rPr>
      <t>Water Transportation</t>
    </r>
    <r>
      <rPr>
        <sz val="11"/>
        <color theme="1"/>
        <rFont val="Arial"/>
        <family val="2"/>
        <scheme val="minor"/>
      </rPr>
      <t xml:space="preserve">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r>
  </si>
  <si>
    <r>
      <t xml:space="preserve">Industries in the </t>
    </r>
    <r>
      <rPr>
        <b/>
        <sz val="11"/>
        <color theme="1"/>
        <rFont val="Arial"/>
        <family val="2"/>
        <scheme val="minor"/>
      </rPr>
      <t>Transit and Ground Passenger Transportation</t>
    </r>
    <r>
      <rPr>
        <sz val="11"/>
        <color theme="1"/>
        <rFont val="Arial"/>
        <family val="2"/>
        <scheme val="minor"/>
      </rPr>
      <t xml:space="preserve">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r>
  </si>
  <si>
    <r>
      <t xml:space="preserve">Industries in the </t>
    </r>
    <r>
      <rPr>
        <b/>
        <sz val="11"/>
        <color theme="1"/>
        <rFont val="Arial"/>
        <family val="2"/>
        <scheme val="minor"/>
      </rPr>
      <t>Accommodation</t>
    </r>
    <r>
      <rPr>
        <sz val="11"/>
        <color theme="1"/>
        <rFont val="Arial"/>
        <family val="2"/>
        <scheme val="minor"/>
      </rPr>
      <t xml:space="preserve"> subsector provide lodging or short-term accommodations for travelers, vacationers, and others. There is a wide range of establishments in these industries. Some provide lodging only; while others provide meals, laundry services, and recreational facilities, as well as lodging. Lodging establishments are classified in this subsector even if the provision of complementary services generates more revenue. The types of complementary services provided vary from establishment to establishment. The subsector is organized into three industry groups: (1) traveler accommodation, (2) recreational accommodation, and (3) rooming and boarding houses. The Traveler Accommodation industry group includes establishments that primarily provide traditional types of lodging services. This group includes hotels, motels, and bed and breakfast inns. In addition to lodging, these establishments may provide a range of other services to their guests. The RV (Recreational Vehicle) Parks and Recreational Camps industry group includes establishments that operate lodging facilities primarily designed to accommodate outdoor enthusiasts. Included are travel trailer campsites, recreational vehicle parks, and outdoor adventure retreats. The Rooming and Boarding Houses industry group includes establishments providing temporary or longer-term accommodations, which for the period of occupancy, may serve as a principal residence. Board (i.e., meals) may be provided but is not essential. Establishments that manage short-stay accommodation establishments (e.g., hotels and motels) on a contractual basis are classified in this subsector if they both manage the operation and provide the operating staff. Such establishments are classified based on the type of facility managed and operated.</t>
    </r>
  </si>
  <si>
    <t>Transportation Mode / Accomodations</t>
  </si>
  <si>
    <r>
      <rPr>
        <b/>
        <i/>
        <sz val="10"/>
        <rFont val="Arial"/>
        <family val="2"/>
      </rPr>
      <t>Category</t>
    </r>
    <r>
      <rPr>
        <sz val="10"/>
        <rFont val="Arial"/>
        <family val="2"/>
      </rPr>
      <t xml:space="preserve"> - enter either "Capital Goods" or "Purchased Goods &amp; Services" (this will affect the summation at the bottom of the table; and the 'Summary' tab in this workbook)</t>
    </r>
  </si>
  <si>
    <t>NOT USED:</t>
  </si>
  <si>
    <t>Machinery - Air conditioning, refrigeration, and warm air heating equipment</t>
  </si>
  <si>
    <t>1 therm = 96.7 cubic feet</t>
  </si>
  <si>
    <t>cubic ft / sq ft</t>
  </si>
  <si>
    <t>Office (diagnostic) </t>
  </si>
  <si>
    <t xml:space="preserve">Clinic or other outpatient </t>
  </si>
  <si>
    <r>
      <t>Natural gas energy intensity</t>
    </r>
    <r>
      <rPr>
        <b/>
        <vertAlign val="superscript"/>
        <sz val="10"/>
        <color theme="1"/>
        <rFont val="Arial"/>
        <family val="2"/>
        <scheme val="minor"/>
      </rPr>
      <t xml:space="preserve"> </t>
    </r>
    <r>
      <rPr>
        <b/>
        <sz val="10"/>
        <color theme="1"/>
        <rFont val="Arial"/>
        <family val="2"/>
        <scheme val="minor"/>
      </rPr>
      <t>(thousand Btu/square foot in buildings using natural gas for the end use)</t>
    </r>
  </si>
  <si>
    <t>Outpatient type</t>
  </si>
  <si>
    <r>
      <t>Outpatient Type (</t>
    </r>
    <r>
      <rPr>
        <b/>
        <sz val="10"/>
        <rFont val="Arial"/>
        <family val="2"/>
      </rPr>
      <t>Table 1b and Table 2b only</t>
    </r>
    <r>
      <rPr>
        <b/>
        <i/>
        <sz val="10"/>
        <rFont val="Arial"/>
        <family val="2"/>
      </rPr>
      <t xml:space="preserve">) </t>
    </r>
    <r>
      <rPr>
        <sz val="10"/>
        <rFont val="Arial"/>
        <family val="2"/>
      </rPr>
      <t xml:space="preserve">- user should select from drop-down options </t>
    </r>
    <r>
      <rPr>
        <b/>
        <i/>
        <sz val="10"/>
        <rFont val="Arial"/>
        <family val="2"/>
      </rPr>
      <t>office (diagnostic)</t>
    </r>
    <r>
      <rPr>
        <sz val="10"/>
        <rFont val="Arial"/>
        <family val="2"/>
      </rPr>
      <t xml:space="preserve"> </t>
    </r>
    <r>
      <rPr>
        <u/>
        <sz val="10"/>
        <rFont val="Arial"/>
        <family val="2"/>
      </rPr>
      <t>or</t>
    </r>
    <r>
      <rPr>
        <sz val="10"/>
        <rFont val="Arial"/>
        <family val="2"/>
      </rPr>
      <t xml:space="preserve"> </t>
    </r>
    <r>
      <rPr>
        <b/>
        <i/>
        <sz val="10"/>
        <rFont val="Arial"/>
        <family val="2"/>
      </rPr>
      <t>clinic or other outpatient</t>
    </r>
  </si>
  <si>
    <r>
      <t>Square Footage of Leased Asset</t>
    </r>
    <r>
      <rPr>
        <sz val="10"/>
        <rFont val="Arial"/>
        <family val="2"/>
      </rPr>
      <t xml:space="preserve"> - user should enter the building square footage</t>
    </r>
  </si>
  <si>
    <r>
      <rPr>
        <b/>
        <sz val="10"/>
        <rFont val="Arial"/>
        <family val="2"/>
      </rPr>
      <t xml:space="preserve">Tables 1 and 2 </t>
    </r>
    <r>
      <rPr>
        <sz val="10"/>
        <rFont val="Arial"/>
        <family val="2"/>
      </rPr>
      <t xml:space="preserve">- Estimate emissions associated with any </t>
    </r>
    <r>
      <rPr>
        <b/>
        <i/>
        <sz val="10"/>
        <rFont val="Arial"/>
        <family val="2"/>
      </rPr>
      <t>upstream</t>
    </r>
    <r>
      <rPr>
        <sz val="10"/>
        <rFont val="Arial"/>
        <family val="2"/>
      </rPr>
      <t xml:space="preserve"> and </t>
    </r>
    <r>
      <rPr>
        <b/>
        <i/>
        <sz val="10"/>
        <rFont val="Arial"/>
        <family val="2"/>
      </rPr>
      <t>downstream</t>
    </r>
    <r>
      <rPr>
        <sz val="10"/>
        <rFont val="Arial"/>
        <family val="2"/>
      </rPr>
      <t xml:space="preserve"> leased assets, respectively (see definitions under "</t>
    </r>
    <r>
      <rPr>
        <b/>
        <sz val="10"/>
        <color rgb="FF00B0F0"/>
        <rFont val="Arial"/>
        <family val="2"/>
      </rPr>
      <t>Category Description and Emissions Methodology</t>
    </r>
    <r>
      <rPr>
        <sz val="10"/>
        <rFont val="Arial"/>
        <family val="2"/>
      </rPr>
      <t xml:space="preserve">"). </t>
    </r>
  </si>
  <si>
    <t>U.S. Energy Information Administration (2012), Commercial Buildings Energy Consumption Survey (CBECS). Retrieved August 2021. https://www.eia.gov/consumption/commercial/data/2012/</t>
  </si>
  <si>
    <t>For Category 6: Business Travel</t>
  </si>
  <si>
    <t>For Category 4: Upstream Transportation &amp; Distribution</t>
  </si>
  <si>
    <r>
      <t xml:space="preserve">Industries in the </t>
    </r>
    <r>
      <rPr>
        <b/>
        <sz val="11"/>
        <color theme="1"/>
        <rFont val="Arial"/>
        <family val="2"/>
        <scheme val="minor"/>
      </rPr>
      <t>Couriers and Messengers</t>
    </r>
    <r>
      <rPr>
        <sz val="11"/>
        <color theme="1"/>
        <rFont val="Arial"/>
        <family val="2"/>
        <scheme val="minor"/>
      </rPr>
      <t xml:space="preserve">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r>
  </si>
  <si>
    <r>
      <t xml:space="preserve">The </t>
    </r>
    <r>
      <rPr>
        <b/>
        <sz val="11"/>
        <color theme="1"/>
        <rFont val="Arial"/>
        <family val="2"/>
        <scheme val="minor"/>
      </rPr>
      <t>Postal Service</t>
    </r>
    <r>
      <rPr>
        <sz val="11"/>
        <color theme="1"/>
        <rFont val="Arial"/>
        <family val="2"/>
        <scheme val="minor"/>
      </rPr>
      <t xml:space="preserv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r>
  </si>
  <si>
    <t>Postal Service</t>
  </si>
  <si>
    <r>
      <rPr>
        <b/>
        <sz val="12"/>
        <color theme="1"/>
        <rFont val="Calibri"/>
        <family val="2"/>
      </rPr>
      <t>»</t>
    </r>
    <r>
      <rPr>
        <b/>
        <sz val="12"/>
        <color theme="1"/>
        <rFont val="Arial"/>
        <family val="2"/>
      </rPr>
      <t xml:space="preserve"> </t>
    </r>
    <r>
      <rPr>
        <b/>
        <sz val="12"/>
        <color theme="1"/>
        <rFont val="Arial"/>
        <family val="2"/>
        <scheme val="minor"/>
      </rPr>
      <t xml:space="preserve">This table provides descriptions corresponding to the drop-down options in Column C of the "Cat 4 Upstream Trans &amp; Dist" tab. </t>
    </r>
  </si>
  <si>
    <t>Transportation Mode or Method</t>
  </si>
  <si>
    <t>Glass</t>
  </si>
  <si>
    <t>» This worksheet can estimate emissions associated with the treatment/disposal of only the following mixed material types:  glass, paper, metals, plastics, mixed recyclables, organics, municipal solid waste (MSW), and electronics</t>
  </si>
  <si>
    <t>Couriers and Messengers</t>
  </si>
  <si>
    <t>Scope 3 GHG Emissions Accounting Tool</t>
  </si>
  <si>
    <r>
      <t>Waste disposal/treatment method</t>
    </r>
    <r>
      <rPr>
        <b/>
        <sz val="10"/>
        <rFont val="Arial"/>
        <family val="2"/>
      </rPr>
      <t xml:space="preserve"> </t>
    </r>
    <r>
      <rPr>
        <sz val="10"/>
        <rFont val="Arial"/>
        <family val="2"/>
      </rPr>
      <t>- select from one of several disposal/treatment methods specific to the waste material specified in column C.</t>
    </r>
  </si>
  <si>
    <t>All notable changes to this tool will be documented below.</t>
  </si>
  <si>
    <t>Fixed</t>
  </si>
  <si>
    <t>- Added missing table, Table 1, from Category 11 in Summary Table of Scope 3 Emissions.</t>
  </si>
  <si>
    <t>- Replaced the word 'upstream' with the word 'downstream' in the How-to-Guide Category 13 Overview.</t>
  </si>
  <si>
    <t>Changelog</t>
  </si>
  <si>
    <r>
      <t>1.1.0</t>
    </r>
    <r>
      <rPr>
        <sz val="11"/>
        <color theme="1"/>
        <rFont val="Arial"/>
        <family val="2"/>
      </rPr>
      <t> - 2022-03-09</t>
    </r>
  </si>
  <si>
    <r>
      <rPr>
        <b/>
        <sz val="11"/>
        <color theme="1"/>
        <rFont val="Arial"/>
        <family val="2"/>
      </rPr>
      <t>1.2.0</t>
    </r>
    <r>
      <rPr>
        <sz val="11"/>
        <color theme="1"/>
        <rFont val="Arial"/>
        <family val="2"/>
      </rPr>
      <t xml:space="preserve"> - 2022</t>
    </r>
  </si>
  <si>
    <t>- Minor revision to Cat 11 (field formatted to general)</t>
  </si>
  <si>
    <t>- Minor revisions to Cat 1 and 2 (reference to row 91 updated; column A item numbers fixed)</t>
  </si>
  <si>
    <t>v1.1 EEIO
2022 work</t>
  </si>
  <si>
    <t>CCCL 2022</t>
  </si>
  <si>
    <t>https://www.epa.gov/system/files/documents/2022-04/ghg_emission_factors_hub.pdf</t>
  </si>
  <si>
    <t>Enter "1" in the top cell and select the month and the year in which the purchases occurred (see example below)</t>
  </si>
  <si>
    <t>Carbon dioxide</t>
  </si>
  <si>
    <t>Methane</t>
  </si>
  <si>
    <t>Nitrous oxide</t>
  </si>
  <si>
    <t>Exclude/Include</t>
  </si>
  <si>
    <t>Supply Chain Emission Factors with Margins (kgCO2e/$)</t>
  </si>
  <si>
    <t>Percent of MEF out of SEF+MEF</t>
  </si>
  <si>
    <t>Commodity Description</t>
  </si>
  <si>
    <t>Sub-category</t>
  </si>
  <si>
    <t>Sub-Category</t>
  </si>
  <si>
    <t>11: Agriculture, Forestry, Fishing and Hunting</t>
  </si>
  <si>
    <t>1111: Oilseed and Grain Farming</t>
  </si>
  <si>
    <t xml:space="preserve">Oilseed farming. This industry comprises establishments primarily engaged in growing oilseed crops. These crops have an annual life cycle and are typically grown in open fields. </t>
  </si>
  <si>
    <t xml:space="preserve">Grain farming. This industry comprises establishments primarily engaged in producing grain seeds. These crops have an annual life cycle and are typically grown in open fields. </t>
  </si>
  <si>
    <t>1112: Vegetable and Melon Farming</t>
  </si>
  <si>
    <t>1113: Fruit and Tree Nut Farming</t>
  </si>
  <si>
    <t>1114: Greenhouse, Nursery, and Floriculture Production</t>
  </si>
  <si>
    <t>Greenhouse, nursery, and floriculture production. 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</si>
  <si>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1119: Other Crop Farming</t>
  </si>
  <si>
    <t>Other crop farming. 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</si>
  <si>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1121: Cattle Ranching and Farming</t>
  </si>
  <si>
    <t xml:space="preserve">Beef cattle ranching and farming, including feedlots and dual-purpose ranching and farming. This industry group comprises establishments primarily engaged in raising cattle, milking dairy cattle, or feeding cattle for fattening. </t>
  </si>
  <si>
    <t>1123: Poultry and Egg Production</t>
  </si>
  <si>
    <t>Poultry and egg production. This industry group comprises establishments primarily engaged in breeding, hatching, and raising poultry for meat or egg production.</t>
  </si>
  <si>
    <t>1129: Other Animal Production</t>
  </si>
  <si>
    <t xml:space="preserve">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t>
  </si>
  <si>
    <t>1131: Timber Tract Operations</t>
  </si>
  <si>
    <t>Forestry and logging. 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</si>
  <si>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1141: Fishing</t>
  </si>
  <si>
    <t>Fishing, hunting and trapping. 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</si>
  <si>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1151: Support Activities for Crop Production</t>
  </si>
  <si>
    <t>Support activities for agriculture and forestry. 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</si>
  <si>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21: Mining, Quarrying, and Oil and Gas Extraction</t>
  </si>
  <si>
    <t>2111: Oil and Gas Extraction</t>
  </si>
  <si>
    <t>Oil and gas extraction. 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</si>
  <si>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2121: Coal Mining</t>
  </si>
  <si>
    <t>Coal mining. This industry comprises establishments primarily engaged in one or more of the following: (1) mining bituminous coal, anthracite, and lignite by underground mining, auger mining, strip mining, culm bank mining, and other surface mining; (2) developing coal mine sites; and (3) beneficiating (i.e., preparing) coal (e.g., cleaning, washing, screening, and sizing coal).</t>
  </si>
  <si>
    <t>2122: Metal Ore Mining</t>
  </si>
  <si>
    <t>Copper, nickel, lead, and zinc mining. This industry comprises establishments primarily engaged in developing the mine site, mining, and/or beneficiating (i.e., preparing) ores valued chiefly for their copper, nickel, lead, or zinc content. Beneficiating includes the transformation of ores into concentrates.</t>
  </si>
  <si>
    <t xml:space="preserve">Iron, gold, silver, and other metal ore mining. This industry group comprises establishments primarily engaged in developing mine sites or mining metallic minerals, and 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 </t>
  </si>
  <si>
    <t>2123: Nonmetallic Mineral Mining and Quarrying</t>
  </si>
  <si>
    <t>Stone mining and quarrying. 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</si>
  <si>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 xml:space="preserve">Other nonmetallic mineral mining and quarrying. This industry group comprises 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 </t>
  </si>
  <si>
    <t>2131: Support Activities for Mining</t>
  </si>
  <si>
    <t>Drilling oil and gas wells. This U.S. industry comprises establishments primarily engaged in drilling oil and gas wells for others on a contract or fee basis. This industry includes contractors that specialize in spudding in, drilling in, redrilling, and directional drilling.</t>
  </si>
  <si>
    <t xml:space="preserve">Other support activities for mining. This industry comprises 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 </t>
  </si>
  <si>
    <t>22: Utilities</t>
  </si>
  <si>
    <t>2211: Electric Power Generation, Transmission and Distribution</t>
  </si>
  <si>
    <t>Electric power generation, transmission, and distribution. This industry group comprises establishments primarily engaged in generating, transmitting, and/or distributing electric power. Establishments in this industry group may perform one or more of the following activities: (1) operate generation facilities that produce electric energy; (2) operate transmission systems that convey the electricity from the generation facility to the distribution system; and (3) operate distribution systems that convey electric power received from the generation facility or the transmission system to the final consumer.</t>
  </si>
  <si>
    <t>2212: Natural Gas Distribution</t>
  </si>
  <si>
    <t>Natural gas distribution. This industry comprises: (1) establishments primarily engaged in operating gas distribution systems (e.g., mains, meters); (2) establishments known as gas marketers that buy gas from the well and sell it to a distribution system; (3) establishments known as gas brokers or agents that arrange the sale of gas over gas distribution systems operated by others; and (4) establishments primarily engaged in transmitting and distributing gas to final consumers.</t>
  </si>
  <si>
    <t>2213: Water, Sewage and Other Systems</t>
  </si>
  <si>
    <t>Water, sewage and other systems. 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</si>
  <si>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23: Construction</t>
  </si>
  <si>
    <t>2362: Nonresidential Building Construction</t>
  </si>
  <si>
    <t>2361: Residential Building Construction</t>
  </si>
  <si>
    <t xml:space="preserve">Commercial structures, including farm structures. This industry comprises construction of commercial structures, including farm structures. </t>
  </si>
  <si>
    <t xml:space="preserve">Other residential structures. This industry comprises construction of other residential structures </t>
  </si>
  <si>
    <t xml:space="preserve">Other nonresidential structures. This industry comprises construction of other nonresidential structures </t>
  </si>
  <si>
    <t>2371: Utility System Construction</t>
  </si>
  <si>
    <t>2373: Highway, Street, and Bridge Construction</t>
  </si>
  <si>
    <t xml:space="preserve">Transportation structures and highways and streets. This industry comprises construction of transportation structures, including bridges, roads, highways, and streets. </t>
  </si>
  <si>
    <t>31-33: Manufacturing</t>
  </si>
  <si>
    <t>3211: Sawmills and Wood Preservation</t>
  </si>
  <si>
    <t>Sawmills and wood preservation. 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</si>
  <si>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3212: Veneer, Plywood, and Engineered Wood Product Manufacturing</t>
  </si>
  <si>
    <t>Veneer, plywood, and engineered wood product manufacturing. This industry comprises establishments primarily engaged in one or more of the following: (1) manufacturing veneer and/or plywood; (2) manufacturing engineered wood members; and (3) manufacturing reconstituted wood products. This industry includes manufacturing plywood from veneer made in the same establishment or from veneer made in other establishments, and manufacturing plywood faced with nonwood materials, such as plastics or metal.</t>
  </si>
  <si>
    <t>3219: Other Wood Product Manufacturing</t>
  </si>
  <si>
    <t>Millwork. 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</si>
  <si>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 xml:space="preserve">All other wood product manufacturing. This industry group comprises establishments primarily engaged in manufacturing wood products (except establishments operating sawmills and wood preservation facilities; and establishments manufacturing veneer, plywood, or engineered wood products). </t>
  </si>
  <si>
    <t>3271: Clay Product and Refractory Manufacturing</t>
  </si>
  <si>
    <t>Clay product and refractory manufacturing. This industry group comprises (1) Pottery, Ceramics, and Plumbing Fixture Manufacturing, and (2) Clay Building Material and Refractories Manufacturing.</t>
  </si>
  <si>
    <t>3272: Glass and Glass Product Manufacturing</t>
  </si>
  <si>
    <t>Glass and glass product manufacturing. This industry comprises establishments primarily engaged in manufacturing glass and/or glass products. Establishments in this industry may manufacture glass and/or glass products by melting silica sand or cullet, or purchasing glass.</t>
  </si>
  <si>
    <t>3273: Cement and Concrete Product Manufacturing</t>
  </si>
  <si>
    <t>Cement manufacturing. This industry comprises establishments primarily engaged in manufacturing portland, natural, masonry, pozzolanic, and other hydraulic cements. Cement manufacturing establishments may calcine earths or mine, quarry, manufacture, or purchase lime.</t>
  </si>
  <si>
    <t>Ready-mix concrete manufacturing. This industry comprises establishments, such as batch plants or mix plants, primarily engaged in manufacturing concrete delivered to a purchaser in a plastic and unhardened state. Ready-mix concrete manufacturing establishments may mine, quarry, or purchase sand and gravel.</t>
  </si>
  <si>
    <t>Concrete pipe, brick, and block manufacturing. This industry comprises establishments primarily engaged in manufacturing concrete pipe, brick, and block.</t>
  </si>
  <si>
    <t>Other concrete product manufacturing. This industry comprises establishments primarily engaged in manufacturing concrete products (except block, brick, and pipe).</t>
  </si>
  <si>
    <t>3274: Lime and Gypsum Product Manufacturing</t>
  </si>
  <si>
    <t>Lime and gypsum product manufacturing. This industry group comprises (1) Lime Manufacturing, and (2) Gypsum Product Manufacturing.</t>
  </si>
  <si>
    <t>3279: Other Nonmetallic Mineral Product Manufacturing</t>
  </si>
  <si>
    <t>Abrasive product manufacturing. This industry comprises establishments primarily engaged in manufacturing abrasive grinding wheels of natural or synthetic materials, abrasive-coated products, and other abrasive products.</t>
  </si>
  <si>
    <t>Cut stone and stone product manufacturing. This U.S. industry comprises establishments primarily engaged in cutting, shaping, and finishing granite, marble, limestone, slate, and other stone for building and miscellaneous uses. Stone product manufacturing establishments may mine, quarry, or purchase stone.</t>
  </si>
  <si>
    <t>Ground or treated mineral and earth manufacturing. This U.S. industry comprises establishments primarily engaged in calcining, dead burning, or otherwise processing beyond beneficiation, clays, ceramic and refractory minerals, barite, and miscellaneous nonmetallic minerals.</t>
  </si>
  <si>
    <t>Mineral wool manufacturing. This U.S. industry comprises establishments primarily engaged in manufacturing mineral wool and mineral wool (i.e., fiberglass) insulation products made of such siliceous materials as rock, slag, and glass or combinations thereof.</t>
  </si>
  <si>
    <t>Miscellaneous nonmetallic mineral products. This U.S. industry comprises 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</si>
  <si>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3311: Iron and Steel Mills and Ferroalloy Manufacturing</t>
  </si>
  <si>
    <t>Iron and steel mills and ferroalloy manufacturing. This industry comprises establishments primarily engaged in one or more of the following: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</si>
  <si>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3312: Steel Product Manufacturing from Purchased Steel</t>
  </si>
  <si>
    <t>Steel product manufacturing from purchased steel. This industry group comprises establishments primarily engaged in manufacturing iron and steel tube and pipe, drawing steel wire, and rolling or drawing shapes from purchased iron or steel.</t>
  </si>
  <si>
    <t>3313: Alumina and Aluminum Production and Processing</t>
  </si>
  <si>
    <t>Alumina refining and primary aluminum production. 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</si>
  <si>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 xml:space="preserve">Aluminum product manufacturing from purchased aluminum. This industry comprises establishments primarily engaged in one or more of the following: (1) flat rolling or continuous casting sheet, plate, foil and welded tube from purchased aluminum; (2) recovering aluminum from scrap and flat rolling or continuous casting sheet, plate, foil, and welded tube in integrated mills; (3) extruding aluminum bar, pipe, and tube blooms or extruding or drawing tube from purchased aluminum; (4) recovering aluminum from scrap and extruding bar, pipe, and tube blooms or drawing tube in integrated mills; (5) rolling, drawing, or extruding shapes (except flat rolled sheet, plate, foil, and welded tube; extruded rod, bar, pipe, and tube blooms; and drawn or extruded tube) from purchased aluminum; and/or (6) recovering aluminum from scrap and rolling, drawing or extruding shapes (except flat rolled sheet, plate, foil, and welded tube; extruded rod, bar, pipe, and tube blooms; and drawn or extruded tube) in integrated mills.  </t>
  </si>
  <si>
    <t>3314: Nonferrous Metal (except Aluminum) Production and Processing</t>
  </si>
  <si>
    <t>Copper rolling, drawing, extruding and alloying. This industry comprises establishments primarily engaged in one or more of the following: (1) recovering copper or copper alloys from scraps; (2) alloying purchased copper; (3) rolling, drawing, or extruding shapes, (e.g., bar, plate, sheet, strip, tube, wire) from purchased copper; and (4) recovering copper or copper alloys from scrap and rolling, drawing, or extruding shapes (e.g., bar, plate, sheet, strip, tube, wire).</t>
  </si>
  <si>
    <t>Nonferrous metal (except copper and aluminum) rolling, drawing, extruding and alloying. This industry comprises establishments primarily engaged in one or more of the following: (1) recovering nonferrous metals (except copper and aluminum) and nonferrous metal alloys from scrap; (2) alloying purchased nonferrous metals (except copper and aluminum); (3) rolling, drawing, and extruding shapes from purchased nonferrous metals (except copper and aluminum); and (4) recovering nonferrous metals from scrap (except copper and aluminum) and rolling, drawing, or extruding shapes in integrated facilities.</t>
  </si>
  <si>
    <t>3315: Foundries</t>
  </si>
  <si>
    <t>Nonferrous metal foundries. This industry comprises establishments primarily engaged in pouring and/or introducing molten nonferrous metal, under high pressure, into metal molds or dies to manufacture castings. Establishments in this industry purchase nonferrous metals made in other establishments.</t>
  </si>
  <si>
    <t>3321: Forging and Stamping</t>
  </si>
  <si>
    <t xml:space="preserve">All other forging, stamping, and sintering. This industry comprises establishments primarily engaged in one or more of the following: (1) manufacturing forgings from purchased metals; (2) manufacturing metal custom roll forming products; (3) manufacturing metal stamped and spun products (except automotive, cans, coins); and (4) manufacturing powder metallurgy products. Establishments making metal forgings, metal stampings, and metal spun products and further manufacturing (e.g., machining, assembling) a specific manufactured product are classified in the industry of the finished product. Metal forging, metal stamping, and metal spun products establishments may perform surface finishing operations, such as cleaning and deburring, on the products they manufacture.  </t>
  </si>
  <si>
    <t>Metal crown, closure, and other metal stamping (except automotive). This industry comprises establishments primarily engaged in one or more of the following: (1) stamping metal crowns and closures, such as bottle caps and home canning lids and rings; and/or (2) manufacturing other unfinished metal stampings and spinning unfinished metal products (except automotive and coins). Establishments making metal stampings and metal spun products and further manufacturing (e.g. machining, assembling) a specific product are classified in the industry of the finished product. Metal stamping and metal spun products establishments may perform surface finishing operations, such as cleaning and deburring, on the products they manufacture.</t>
  </si>
  <si>
    <t>3322: Cutlery and Handtool Manufacturing</t>
  </si>
  <si>
    <t>Cutlery and handtool manufacturing. This industry comprises establishments primarily engaged in one or more of the following: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</si>
  <si>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3323: Architectural and Structural Metals Manufacturing</t>
  </si>
  <si>
    <t>Plate work and fabricated structural product manufacturing. This industry comprises establishments primarily engaged in manufacturing one or more of the following: (1) prefabricated metal buildings, panels and sections; (2) structural metal products; and (3) metal plate work products.</t>
  </si>
  <si>
    <t>Ornamental and architectural metal products manufacturing. This industry comprises establishments primarily engaged in manufacturing one or more of the following: (1) metal framed windows (i.e., typically using purchased glass) and metal doors; (2) sheet metal work; and (3) ornamental and architectural metal products.</t>
  </si>
  <si>
    <t>3324: Boiler, Tank, and Shipping Container Manufacturing</t>
  </si>
  <si>
    <t>Metal tank (heavy gauge) manufacturing. This industry comprises establishments primarily engaged in cutting, forming, and joining heavy gauge metal to manufacture tanks, vessels, and other containers.</t>
  </si>
  <si>
    <t>Metal can, box, and other metal container (light gauge) manufacturing. This industry comprises establishments primarily engaged in forming light gauge metal containers.</t>
  </si>
  <si>
    <t>3325: Hardware Manufacturing</t>
  </si>
  <si>
    <t>Hardware manufacturing. This industry comprises establishments primarily engaged in manufacturing metal hardware, such as metal hinges, metal handles, keys, and locks (except coin-operated, time locks).</t>
  </si>
  <si>
    <t>3326: Spring and Wire Product Manufacturing</t>
  </si>
  <si>
    <t>Spring and wire product manufacturing. 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</si>
  <si>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3327: Machine Shops; Turned Product; and Screw, Nut, and Bolt Manufacturing</t>
  </si>
  <si>
    <t>Machine shops. 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</si>
  <si>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Turned product and screw, nut, and bolt manufacturing. This industry comprises establishments primarily engaged in (1) machining precision turned products or (2) manufacturing metal bolts, nuts, screws, rivets, and other industrial fasteners. Included in this industry are establishments primarily engaged in manufacturing parts for machinery and equipment on a customized basis.</t>
  </si>
  <si>
    <t>3328: Coating, Engraving, Heat Treating, and Allied Activities</t>
  </si>
  <si>
    <t>Coating, engraving, heat treating and allied activities. This industry comprises establishments primarily engaged in one or more of the following: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 Establishments in this industry coat, engrave, and heat treat metals and metal formed products fabricated elsewhere.</t>
  </si>
  <si>
    <t>3329: Other Fabricated Metal Product Manufacturing</t>
  </si>
  <si>
    <t>Plumbing fixture fitting and trim manufacturing. This U.S. industry comprises establishments primarily engaged in manufacturing metal and plastics plumbing fixture fittings and trim, such as faucets, flush valves, and shower heads.</t>
  </si>
  <si>
    <t xml:space="preserve">Valve and fittings other than plumbing.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t>
  </si>
  <si>
    <t>Fabricated pipe and pipe fitting manufacturing. This U.S. industry comprises establishments primarily engaged in fabricating, such as cutting, threading, and bending metal pipes and pipe fittings made from purchased metal pipe.</t>
  </si>
  <si>
    <t xml:space="preserve">Ammunition, arms, ordnance, and accessories manufacturing.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t>
  </si>
  <si>
    <t>Other fabricated metal manufacturing.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</si>
  <si>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3331: Agriculture, Construction, and Mining Machinery Manufacturing</t>
  </si>
  <si>
    <t>Farm machinery and equipment manufacturing. This U.S. industry comprises establishments primarily engaged in manufacturing agricultural and farm machinery and equipment, and other turf and grounds care equipment, including planting, harvesting, and grass mowing equipment (except lawn and garden-type).</t>
  </si>
  <si>
    <t>Lawn and garden equipment manufacturing. This U.S. industry comprises establishments primarily engaged in manufacturing powered lawnmowers, lawn and garden tractors, and other home lawn and garden equipment, such as tillers, shredders, yard vacuums, and leaf blowers.</t>
  </si>
  <si>
    <t>Construction machinery manufacturing. This industry comprises establishments primarily engaged in manufacturing construction machinery, surface mining machinery, and logging equipment.</t>
  </si>
  <si>
    <t>3332: Industrial Machinery Manufacturing</t>
  </si>
  <si>
    <t>Semiconductor machinery manufacturing. This U.S. industry comprises establishments primarily engaged in manufacturing wafer processing equipment, semiconductor assembly and packaging equipment, and other semiconductor making machinery.</t>
  </si>
  <si>
    <t xml:space="preserve">Other industrial machinery manufacturing. This industry group comprises (1) Sawmill and Woodworking Machinery Manufacturing, (2) Plastics and Rubber Industry Machinery Manufacturing, and (3) Other Industrial Machinery Manufacturing including:  (a) Paper Industry Machinery Manufacturing, (b) Textile Machinery Manufacturing, (c) Printing Machinery and Equipment Manufacturing, (d) Food Product Machinery Manufacturing, (e) Semiconductor Machinery Manufacturing, and (f) All Other Industrial Machinery Manufacturing. </t>
  </si>
  <si>
    <t>3333: Commercial and Service Industry Machinery Manufacturing</t>
  </si>
  <si>
    <t>Optical instrument and lens manufacturing. This U.S. industry comprises establishments primarily engaged in one or more of the following: (1) manufacturing optical instruments and lens, such as binoculars, microscopes (except electron, proton), telescopes, prisms, and lenses (except ophthalmic); (2) coating or polishing lenses (except ophthalmic); and (3) mounting lenses (except ophthalmic).</t>
  </si>
  <si>
    <t>Photographic and photocopying equipment manufacturing. This U.S. industry comprises establishments primarily engaged in manufacturing photographic and photocopying equipment, such as cameras (except television, video and digital) projectors, film developing equipment, photocopying equipment, and microfilm equipment.</t>
  </si>
  <si>
    <t>Other commercial and service industry machinery manufacturing. This industry comprises establishments primarily engaged in manufacturing commercial and service industry equipment (except optical instruments and lenses, and photographic and photocopying equipment).</t>
  </si>
  <si>
    <t>3334: Ventilation, Heating, Air-Conditioning, and Commercial Refrigeration Equipment Manufacturing</t>
  </si>
  <si>
    <t>Heating equipment (except warm air furnaces) manufacturing. This U.S. industry comprises establishments primarily engaged in manufacturing heating equipment (except electric and warm air furnaces), such as heating boilers, heating stoves, floor and wall furnaces, and wall and baseboard heating units.</t>
  </si>
  <si>
    <t>Air conditioning, refrigeration, and warm air heating equipment manufacturing. This U.S. industry comprises establishments primarily engaged in (1) manufacturing air-conditioning (except motor vehicle) and warm air furnace equipment and/or (2) manufacturing commercial and industrial refrigeration and freezer equipment.</t>
  </si>
  <si>
    <t>Industrial and commercial fan and blower and air purification equipment manufacturing. 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</si>
  <si>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3335: Metalworking Machinery Manufacturing</t>
  </si>
  <si>
    <t>Industrial mold manufacturing. This U.S. industry comprises establishments primarily engaged in manufacturing industrial molds for casting metals or forming other materials, such as plastics, glass, or rubber.</t>
  </si>
  <si>
    <t>Special tool, die, jig, and fixture manufacturing. This U.S. industry comprises establishments, known as tool and die shops, primarily engaged in manufacturing special tools and fixtures, such as cutting dies and jigs.</t>
  </si>
  <si>
    <t>Machine tool manufacturing. This industry comprises establishments primarily engaged in (1) manufacturing metal cutting machine tools (except handtools) and/or (2) manufacturing metal forming machine tools (except handtools), such as punching, sheering, bending, forming, pressing, forging and die-casting machines.</t>
  </si>
  <si>
    <t xml:space="preserve">Cutting and machine tool accessory, rolling mill, and other metalworking machinery manufacturing. This industry comprises 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 </t>
  </si>
  <si>
    <t>3336: Engine, Turbine, and Power Transmission Equipment Manufacturing</t>
  </si>
  <si>
    <t>Turbine and turbine generator set units manufacturing. This U.S. industry comprises establishments primarily engaged in manufacturing turbines (except aircraft); and complete turbine generator set units, such as steam, hydraulic, gas, and wind.</t>
  </si>
  <si>
    <t>Speed changer, industrial high-speed drive, and gear manufacturing. This U.S. industry comprises establishments primarily engaged in manufacturing gears, speed changers, and industrial high-speed drives (except hydrostatic).</t>
  </si>
  <si>
    <t>Mechanical power transmission equipment manufacturing. This U.S. industry comprises establishments primarily engaged in manufacturing mechanical power transmission equipment (except motor vehicle and aircraft), such as plain bearings, clutches (except motor vehicle and electromagnetic industrial control), couplings, joints, and drive chains.</t>
  </si>
  <si>
    <t>3339: Other General Purpose Machinery Manufacturing</t>
  </si>
  <si>
    <t>Air and gas compressor manufacturing. 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</si>
  <si>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 xml:space="preserve">Pump and pumping equipment manufacturing. This U.S. industry comprises establishments primarily engaged in (1) manufacturing general purpose pumps and pumping equipment (except fluid power pumps and motors), such as reciprocating pumps, turbine pumps, centrifugal pumps, rotary pumps, diaphragm pumps, domestic water system pumps, oil well and oil field pumps and sump pumps; (2) manufacturing measuring and dispensing pumps, such as gasoline pumps and lubricating oil measuring and dispensing pumps. </t>
  </si>
  <si>
    <t>Material handling equipment manufacturing. This industry comprises establishments primarily engaged in manufacturing material handling equipment, such as elevators and moving stairs; conveyors and conveying equipment; overhead traveling cranes, hoists, and monorail systems; and industrial trucks, tractors, trailers, and stacker machinery.</t>
  </si>
  <si>
    <t>Power-driven handtool manufacturing. This U.S. industry comprises establishments primarily engaged in manufacturing power-driven (e.g., battery, corded, pneumatic) handtools, such as drills, screwguns, circular saws, chain saws, staplers, and nailers.</t>
  </si>
  <si>
    <t>Packaging machinery manufacturing. This U.S. industry comprises establishments primarily engaged in manufacturing packaging machinery, such as wrapping, bottling, canning, and labeling machinery.</t>
  </si>
  <si>
    <t>Industrial process furnace and oven manufacturing. This U.S. Industry comprises establishments primarily engaged in manufacturing industrial process ovens, induction and dielectric heating equipment, and kilns (except cement, chemical, wood). Included in this industry are establishments manufacturing laboratory furnaces and ovens.</t>
  </si>
  <si>
    <t xml:space="preserve">Other general purpose machinery manufacturing. This U.S. industry comprises establishments primarily engaged in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 </t>
  </si>
  <si>
    <t xml:space="preserve">Fluid power process machinery. This U.S. industry comprises establishments primarily engaged in (1) manufacturing fluid power (i.e., hydraulic and pneumatic) cylinders and actuators, and (2) manufacturing fluid power (i.e., hydraulic and pneumatic) pumps and motors. </t>
  </si>
  <si>
    <t>3341: Computer and Peripheral Equipment Manufacturing</t>
  </si>
  <si>
    <t>Electronic computer manufacturing. This U.S. industry comprises 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</si>
  <si>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Computer storage device manufacturing. This U.S. industry comprises establishments primarily engaged in manufacturing computer storage devices that allow the storage and retrieval of data from a phase change, magnetic, optical, or magnetic/optical media. Examples of products made by these establishments are CD-ROM drives, floppy disk drives, hard disk drives, and tape storage and backup units.</t>
  </si>
  <si>
    <t>3342: Communications Equipment Manufacturing</t>
  </si>
  <si>
    <t>Telephone apparatus manufacturing. This industry comprises establishments primarily engaged in manufacturing wire telephone and data communications equipment. These products may be standalone or board-level components of a larger system. Examples of products made by these establishments are central office switching equipment, cordless telephones (except cellular), PBX equipment, telephones, telephone answering machines, LAN modems, multi-user modems, and other data communications equipment, such as bridges, routers, and gateways.</t>
  </si>
  <si>
    <t>Broadcast and wireless communications equipment. This industry comprises establishments primarily engaged in manufacturing radio and television broadcast and wireless communications equipment. Examples of products made by these establishments are: transmitting and receiving antennas, cable television equipment, GPS equipment, pagers, cellular phones, mobile communications equipment, and radio and television studio and broadcasting equipment.</t>
  </si>
  <si>
    <t>Other communications equipment manufacturing. This industry comprises establishments primarily engaged in manufacturing communications equipment (except telephone apparatus, and radio and television broadcast, and wireless communications equipment).</t>
  </si>
  <si>
    <t>3344: Semiconductor and Other Electronic Component Manufacturing</t>
  </si>
  <si>
    <t>Semiconductor and related device manufacturing. 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</si>
  <si>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Printed circuit assembly (electronic assembly) manufacturing. This U.S. industry comprises 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</si>
  <si>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 xml:space="preserve">Other electronic component manufacturing. This industry comprises establishments primarily engaged in manufacturing semiconductors and other components for electronic applications. Examples of products made by these establishments are capacitors, resistors, microprocessors, bare and loaded printed circuit boards, electron tubes, electronic connectors, and computer modems. </t>
  </si>
  <si>
    <t>3345: Navigational, Measuring, Electromedical, and Control Instruments Manufacturing</t>
  </si>
  <si>
    <t>Electromedical and electrotherapeutic apparatus manufacturing. 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</si>
  <si>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Search, detection, and navigation instruments manufacturing. This U.S. industry comprises establishments primarily engaged in manufacturing search, detection, navigation, guidance, aeronautical, and nautical systems and instruments. Examples of products made by these establishments are aircraft instruments (except engine), flight recorders, navigational instruments and systems, radar systems and equipment, and sonar systems and equipment.</t>
  </si>
  <si>
    <t>Automatic environmental control manufacturing. This U.S. industry comprises establishments primarily engaged in manufacturing automatic controls and regulators for applications, such as heating, air-conditioning, refrigeration and appliances.</t>
  </si>
  <si>
    <t>Industrial process variable instruments manufacturing. This U.S. industry comprises 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</si>
  <si>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Totalizing fluid meter and counting device manufacturing. This U.S. industry comprises establishments primarily engaged in manufacturing totalizing (i.e., registering) fluid meters and counting devices. Examples of products made by these establishments are gas consumption meters, water consumption meters, parking meters, taxi meters, motor vehicle gauges, and fare collection equipment.</t>
  </si>
  <si>
    <t>Electricity and signal testing instruments manufacturing. This U.S. industry comprises establishments primarily engaged in manufacturing instruments for measuring and testing the characteristics of electricity and electrical signals. Examples of products made by these establishments are circuit and continuity testers, voltmeters, ohm meters, wattmeters, multimeters, and semiconductor test equipment.</t>
  </si>
  <si>
    <t>Analytical laboratory instrument manufacturing. This U.S. industry comprises establishments primarily engaged in manufacturing instruments and instrumentation systems for laboratory analysis of the chemical or physical composition or concentration of samples of solid, fluid, gaseous, or composite material.</t>
  </si>
  <si>
    <t>Irradiation apparatus manufacturing. This U.S. industry comprises 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</si>
  <si>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 xml:space="preserve">Watch, clock, and other measuring and controlling device manufacturing. This industry comprises establishments primarily engaged in manufacturing navigational, measuring, electromedical, and control instruments. Examples of products made by these establishments are aeronautical instruments, appliance regulators and controls (except switches), laboratory analytical instruments, navigation and guidance systems, and physical properties testing equipment. </t>
  </si>
  <si>
    <t>3343: Audio and Video Equipment Manufacturing</t>
  </si>
  <si>
    <t>Audio and video equipment manufacturing. 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</si>
  <si>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3346: Manufacturing and Reproducing Magnetic and Optical Media</t>
  </si>
  <si>
    <t>Manufacturing and reproducing magnetic and optical media. 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</si>
  <si>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3351: Electric Lighting Equipment Manufacturing</t>
  </si>
  <si>
    <t>Electric lamp bulb and part manufacturing. This industry comprises establishments primarily engaged in manufacturing electric light bulbs and tubes, and parts and components (except glass blanks for electric light bulbs).</t>
  </si>
  <si>
    <t>Lighting fixture manufacturing. This industry comprises establishments primarily engaged in manufacturing electric lighting fixtures (except vehicular), nonelectric lighting equipment, lamp shades (except glass and plastics), and lighting fixture components (except current-carrying wiring devices).</t>
  </si>
  <si>
    <t>3352: Household Appliance Manufacturing</t>
  </si>
  <si>
    <t>Small electrical appliance manufacturing. This industry comprises establishments primarily engaged in manufacturing small electric appliances and electric housewares, household-type fans, household-type vacuum cleaners, and other electric householdtype floor care machines.</t>
  </si>
  <si>
    <t>Other major household appliance manufacturing. This U.S. industry comprises establishments primarily engaged in manufacturing electric and nonelectric major household-type appliances (except cooking equipment, refrigerators, upright and chest freezers, and household-type laundry equipment.</t>
  </si>
  <si>
    <t>3353: Electrical Equipment Manufacturing</t>
  </si>
  <si>
    <t>Power, distribution, and specialty transformer manufacturing. 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</si>
  <si>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Motor and generator manufacturing. This U.S. industry comprises 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 establishments rewinding armatures on a factory basis.</t>
  </si>
  <si>
    <t>Relay and industrial control manufacturing. This U.S. industry comprises establishments primarily engaged in manufacturing relays, motor starters and controllers, and other industrial controls and control accessories.</t>
  </si>
  <si>
    <t>3359: Other Electrical Equipment and Component Manufacturing</t>
  </si>
  <si>
    <t>Communication and energy wire and cable manufacturing. This industry comprises establishments insulating fiber-optic cable, and manufacturing insulated nonferrous wire and cable from nonferrous wire drawn in other establishments.</t>
  </si>
  <si>
    <t>Carbon and graphite product manufacturing. This U.S. industry comprises establishments primarily engaged in manufacturing carbon, graphite, and metal-graphite brushes and brush stock; carbon or graphite electrodes for thermal and electrolytic uses; carbon and graphite fibers; and other carbon, graphite, and metal-graphite products.</t>
  </si>
  <si>
    <t>All other miscellaneous electrical equipment and component manufacturing. This U.S. industry comprises 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</si>
  <si>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3361: Motor Vehicle Manufacturing</t>
  </si>
  <si>
    <t>Automobile manufacturing. This U.S. industry comprises establishments primarily engaged in (1) manufacturing complete automobiles (i.e., body and chassis or unibody) or (2) manufacturing automobile chassis only.</t>
  </si>
  <si>
    <t>Light truck and utility vehicle manufacturing. This U.S. industry comprises establishments primarily engaged in (1) manufacturing complete light trucks and utility vehicles (i.e., body and chassis) or (2) manufacturing light truck and utility vehicle chassis only. Vehicles made include light duty vans, pick-up trucks, minivans, and sport utility vehicles.</t>
  </si>
  <si>
    <t>Heavy duty truck manufacturing. This industry comprises establishments primarily engaged in (1) manufacturing heavy duty truck chassis and assembling complete heavy duty trucks, buses, heavy duty motor homes, and other special purpose heavy duty motor vehicles for highway use or (2) manufacturing heavy duty truck chassis only.</t>
  </si>
  <si>
    <t>3362: Motor Vehicle Body and Trailer Manufacturing</t>
  </si>
  <si>
    <t>Truck trailer manufacturing. This U.S. industry comprises establishments primarily engaged in manufacturing truck trailers, truck trailer chassis, cargo container chassis, detachable trailer bodies, and detachable trailer chassis for sale separately.</t>
  </si>
  <si>
    <t>Travel trailer and camper manufacturing. This U.S. industry comprises establishments primarily engaged in one or more of the following: (1) manufacturing travel trailers and campers designed to attach to motor vehicles; (2) manufacturing pickup coaches (i.e., campers) and caps (i.e., covers) for mounting on pickup trucks; and (3) manufacturing automobile, utility and light-truck trailers. Travel trailers do not have their own motor but are designed to be towed by a motor unit, such as an automobile or a light truck.</t>
  </si>
  <si>
    <t>3363: Motor Vehicle Parts Manufacturing</t>
  </si>
  <si>
    <t>Motor vehicle gasoline engine and engine parts manufacturing. This industry comprises establishments primarily engaged in manufacturing and/or rebuilding motor vehicle gasoline engines, and engine parts, whether or not for vehicular use.</t>
  </si>
  <si>
    <t>Motor vehicle electrical and electronic equipment manufacturing. This industry comprises establishments primarily engaged in (1) manufacturing vehicular lighting and/or (2) manufacturing and/or rebuilding motor vehicle electrical and electronic equipment. The products made can be used for all types of transportation equipment (i.e., aircraft, automobiles, trains, ships).</t>
  </si>
  <si>
    <t>Motor vehicle seating and interior trim manufacturing. This industry comprises establishments primarily engaged in manufacturing motor vehicle seating, seats, seat frames, seat belts, and interior trimmings.</t>
  </si>
  <si>
    <t>Motor vehicle metal stamping. This industry comprises establishments primarily engaged in manufacturing motor vehicle stampings, such as fenders, tops, body parts, trim, and molding.</t>
  </si>
  <si>
    <t>Other motor vehicle parts manufacturing. This industry comprises 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</si>
  <si>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 xml:space="preserve">Motor vehicle steering, suspension component (except spring), and brake systems manufacturing. 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  (a) Motor Vehicle Air-Conditioning Manufacturing, and (b) All Other Motor Vehicle Parts Manufacturing </t>
  </si>
  <si>
    <t>3364: Aerospace Product and Parts Manufacturing</t>
  </si>
  <si>
    <t>Aircraft manufacturing. This U.S. industry comprises establishments primarily engaged in one or more of the following: (1) manufacturing or assembling complete aircraft; (2) developing and making aircraft prototypes; (3) aircraft conversion (i.e., major modifications to systems); and (4) complete aircraft overhaul and rebuilding (i.e., periodic restoration of aircraft to original design specifications).</t>
  </si>
  <si>
    <t>Aircraft engine and engine parts manufacturing. This U.S. industry comprises establishments primarily engaged in one or more of the following: (1) manufacturing aircraft engines and engine parts; (2) developing and making prototypes of aircraft engines and engine parts; (3) aircraft propulsion system conversion (i.e., major modifications to systems); and (4) aircraft propulsion systems overhaul and rebuilding (i.e., periodic restoration of aircraft propulsion system to original design specifications).</t>
  </si>
  <si>
    <t>Other aircraft parts and auxiliary equipment manufacturing. This U.S. industry comprises establishment primarily engaged in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</si>
  <si>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 xml:space="preserve">Propulsion units and parts for space vehicles and guided missiles. This industry comprises establishments primarily engaged in one or more of the following: (1) manufacturing complete aircraft, missiles, or space vehicles; (2) manufacturing aerospace engines, propulsion units, auxiliary equipment or parts; (3) developing and making prototypes of aerospace products; (4) aircraft conversion (i.e., major modifications to systems); and (5) complete aircraft or propulsion systems overhaul and rebuilding (i.e., periodic restoration of aircraft to original design specifications). </t>
  </si>
  <si>
    <t>3365: Railroad Rolling Stock Manufacturing</t>
  </si>
  <si>
    <t>Railroad rolling stock manufacturing. This industry comprises establishments primarily engaged in one or more of the following: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</si>
  <si>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3366: Ship and Boat Building</t>
  </si>
  <si>
    <t>Ship building and repairing. 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</si>
  <si>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3369: Other Transportation Equipment Manufacturing</t>
  </si>
  <si>
    <t>Motorcycle, bicycle, and parts manufacturing. This U.S. industry comprises establishments primarily engaged in manufacturing motorcycles, bicycles, tricycles and similar equipment, and parts.</t>
  </si>
  <si>
    <t>Military armored vehicle, tank, and tank component manufacturing. This U.S. industry comprises establishments primarily engaged in manufacturing complete military armored vehicles, combat tanks, specialized components for combat tanks, and self-propelled weapons.</t>
  </si>
  <si>
    <t>All other transportation equipment manufacturing. This U.S. industry comprises establishments primarily engaged in manufacturing transportation equipment (except motor vehicles, motor vehicle parts, boats, ships, railroad rolling stock, aerospace products, motorcycles, bicycles, armored vehicles and tanks).</t>
  </si>
  <si>
    <t>3371: Household and Institutional Furniture and Kitchen Cabinet Manufacturing</t>
  </si>
  <si>
    <t>Wood kitchen cabinet and countertop manufacturing. This industry comprises establishments primarily engaged in manufacturing wood or plastics laminated on wood kitchen cabinets, bathroom vanities, and countertops (except freestanding). The cabinets and counters may be made on a stock or custom basis.</t>
  </si>
  <si>
    <t>Nonupholstered wood household furniture manufacturing. This U.S. industry comprises 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</si>
  <si>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Institutional furniture manufacturing. This U.S. industry comprises establishments primarily engaged in manufacturing institutional-type furniture (e.g., library, school, theater, and church furniture). Included in this industry are establishments primarily engaged in manufacturing general purpose hospital, laboratory, and dental furniture (e.g., tables, stools, and benches). The furniture may be made on a stock or custom basis and may be assembled or unassembled (i.e., knockdown).</t>
  </si>
  <si>
    <t xml:space="preserve">Other household nonupholstered furniture. This industry comprises establishments primarily engaged in manufacturing (1) metal household-type furniture and freestanding cabinets, or (2) furniture of materials other than wood or metal, such as plastics, reed, rattan, wicker, and fiberglass. The furniture may be made on a stock or custom basis and may be assembled or unassembled (i.e., knockdown). </t>
  </si>
  <si>
    <t>3372: Office Furniture (including Fixtures) Manufacturing</t>
  </si>
  <si>
    <t xml:space="preserve">Showcase, partition, shelving, and locker manufacturing. This industry comprises establishments primarily engaged in manufacturing office furniture and/or office and store fixtures. The furniture may be made on a stock or custom basis and may be assembled or unassembled (i.e., knockdown). </t>
  </si>
  <si>
    <t xml:space="preserve">Office furniture and custom architectural woodwork and millwork manufacturing. This industry comprises establishments primarily engaged in manufacturing office furniture and/or office and store fixtures. The furniture may be made on a stock or custom basis and may be assembled or unassembled (i.e., knockdown). </t>
  </si>
  <si>
    <t>3379: Other Furniture Related Product Manufacturing</t>
  </si>
  <si>
    <t>Other furniture related product manufacturing. This industry group comprises establishments manufacturing furniture related products, such as mattresses, blinds, and shades.</t>
  </si>
  <si>
    <t>3391: Medical Equipment and Supplies Manufacturing</t>
  </si>
  <si>
    <t>Surgical and medical instrument manufacturing. 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</si>
  <si>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Surgical appliance and supplies manufacturing. This U.S. industry comprises establishments primarily engaged in manufacturing surgical appliances and supplies. Examples of products made by these establishments are orthopedic devices, prosthetic appliances, surgical dressings, crutches, surgical sutures, personal industrial safety devices (except protective eyewear), hospital beds, and operating room tables.</t>
  </si>
  <si>
    <t>Dental equipment and supplies manufacturing. This U.S. industry comprises establishments primarily engaged in manufacturing dental equipment and supplies used by dental laboratories and offices of dentists, such as dental chairs, dental instrument delivery systems, dental hand instruments, and dental impression material and dental cements.</t>
  </si>
  <si>
    <t>Ophthalmic goods manufacturing. This U.S. industry comprises establishments primarily engaged in manufacturing ophthalmic goods. Examples of products made by these establishments are prescription eyeglasses (except manufactured in a retail setting), contact lenses, sunglasses, eyeglass frames, and reading glasses made to standard powers, and protective eyewear.</t>
  </si>
  <si>
    <t>Dental laboratories. This U.S. industry comprises establishments primarily engaged in manufacturing dentures, crowns, bridges, and orthodontic appliances customized for individual application.</t>
  </si>
  <si>
    <t>3399: Other Miscellaneous Manufacturing</t>
  </si>
  <si>
    <t>Jewelry and silverware manufacturing. This industry comprises establishments primarily engaged in one or more of the following: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</si>
  <si>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Doll, toy, and game manufacturing. This industry comprises establishments primarily engaged in manufacturing dolls, toys, and games, such as complete dolls, doll parts, doll clothes, action figures, toys, games (including electronic), hobby kits, and children's vehicles (except metal bicycles and tricycles).</t>
  </si>
  <si>
    <t>Office supplies (except paper) manufacturing. This industry comprises establishments primarily engaged in manufacturing office supplies. Examples of products made by these establishments are pens, pencils, felt tip markers, crayons, chalk, pencil sharpeners, staplers, hand operated stamps, modeling clay, and inked ribbons.</t>
  </si>
  <si>
    <t>Sign manufacturing. This industry comprises establishments primarily engaged in manufacturing signs and related displays of all materials (except printing paper and paperboard signs, notices, displays).</t>
  </si>
  <si>
    <t>All other miscellaneous manufacturing. This industry comprises establishments primarily engaged in miscellaneous manufacturing (except medical equipment and supplies, jewelry and flatware, sporting and athletic goods, dolls, toys, games, office supplies (except paper), and signs).</t>
  </si>
  <si>
    <t>3111: Animal Food Manufacturing</t>
  </si>
  <si>
    <t>Dog and cat food manufacturing. This U.S. industry comprises establishments primarily engaged in manufacturing dog and cat food from ingredients, such as grains, oilseed mill products, and meat products.</t>
  </si>
  <si>
    <t>Other animal food manufacturing. This U.S. industry comprises establishments primarily engaged in manufacturing animal food (except dog and cat) from ingredients, such as grains, oilseed mill products, and meat products.</t>
  </si>
  <si>
    <t>3112: Grain and Oilseed Milling</t>
  </si>
  <si>
    <t>Flour milling and malt manufacturing. 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</si>
  <si>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Wet corn milling. This U.S. industry comprises establishments primarily engaged in wet milling corn and other vegetables (except to make ethyl alcohol). Examples of products made in these establishments are corn sweeteners, such as glucose, dextrose, and fructose; corn oil; and starches (except laundry).</t>
  </si>
  <si>
    <t>Fats and oils refining and blending. This U.S. industry comprises establishments primarily engaged in one or more of the following: (1) manufacturing shortening and margarine from purchased fats and oils; (2) refining and/or blending vegetable, oilseed, and tree nut oils from purchased oils; and (3) blending purchased animal fats with purchased vegetable fats.</t>
  </si>
  <si>
    <t>Soybean and other oilseed processing. This U.S. industry comprises establishments primarily engaged in crushing oilseeds and tree nuts, such as soybeans, cottonseeds, linseeds, peanuts, and sunflower seeds. Examples of products produced in these establishments are oilseed oils, cakes, meals, and protein isolates and concentrates.</t>
  </si>
  <si>
    <t>3113: Sugar and Confectionery Product Manufacturing</t>
  </si>
  <si>
    <t>Sugar and confectionery product manufacturing. This industry group comprises (1) establishments that process agricultural inputs, such as sugarcane, beet, and cacao, to give rise to a new product (sugar or chocolate), and (2) those that begin with sugar and chocolate and process these further.</t>
  </si>
  <si>
    <t>3114: Fruit and Vegetable Preserving and Specialty Food Manufacturing</t>
  </si>
  <si>
    <t>Frozen food manufacturing. 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</si>
  <si>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Fruit and vegetable canning, pickling, and drying. This industry comprises establishments primarily engaged in manufacturing canned, pickled, and dried fruits, vegetables, and specialty foods. Establishments in this industry may package the dried or dehydrated ingredients they make with other purchased ingredients. Examples of products made by these establishments are canned juices; canned baby foods; canned soups (except seafood); canned dry beans; canned tomato-based sauces, such as catsup, salsa, chili, spaghetti, barbeque, and tomato paste, pickles, relishes, jams and jellies, dried soup mixes and bullions, and sauerkraut.</t>
  </si>
  <si>
    <t>3115: Dairy Product Manufacturing</t>
  </si>
  <si>
    <t>Dry, condensed, and evaporated dairy product manufacturing. This U.S. industry comprises establishments primarily engaged in manufacturing dry, condensed, and evaporated milk and dairy substitute products.</t>
  </si>
  <si>
    <t xml:space="preserve">Fluid milk and butter manufacturing. This industry group comprises establishments that manufacture dairy products from raw milk, processed milk, and dairy substitutes. </t>
  </si>
  <si>
    <t>Ice cream and frozen dessert manufacturing. This industry comprises establishments primarily engaged in manufacturing ice cream, frozen yogurts, frozen ices, sherbets, frozen tofu, and other frozen desserts (except bakery products).</t>
  </si>
  <si>
    <t>3116: Animal Slaughtering and Processing</t>
  </si>
  <si>
    <t xml:space="preserve">Animal (except poultry) slaughtering, rendering, and processing. This industry comprises establishments primarily engaged in one or more of the following: (1) slaughtering animals; (2) preparing processed meats and meat byproducts; and (3) rendering and/or refining animal fat, bones, and meat scraps. This industry includes establishments primarily engaged in assembly cutting and packing of meats (i.e., boxed meats) from purchased carcasses. </t>
  </si>
  <si>
    <t>3117: Seafood Product Preparation and Packaging</t>
  </si>
  <si>
    <t>Seafood product preparation and packaging. 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</si>
  <si>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3118: Bakeries and Tortilla Manufacturing</t>
  </si>
  <si>
    <t xml:space="preserve">Cookie, cracker, pasta, and tortilla manufacturing. This industry group comprises establishments primarily engaged in one of the following: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 </t>
  </si>
  <si>
    <t>3119: Other Food Manufacturing</t>
  </si>
  <si>
    <t>Snack food manufacturing. 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</si>
  <si>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Coffee and tea manufacturing. This industry comprises establishments primarily engaged in one or more of the following: (1) roasting coffee; (2) manufacturing coffee and tea concentrates (including instant and freeze-dried); (3) blending tea; (4) manufacturing herbal tea; and (5) manufacturing coffee extracts, flavorings, and syrups.</t>
  </si>
  <si>
    <t>Seasoning and dressing manufacturing. This industry comprises establishments primarily engaged in one or more of the following: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</si>
  <si>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All other food manufacturing. This industry comprises 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 establishments primarily engaged in mixing purchased dried and/or dehydrated ingredients including those mixing purchased dried and/or dehydrated ingredients for soup mixes and bouillon.</t>
  </si>
  <si>
    <t>3121: Beverage Manufacturing</t>
  </si>
  <si>
    <t>Soft drink and ice manufacturing. This industry comprises establishments primarily engaged in one or more of the following: (1) manufacturing soft drinks; (2) manufacturing ice; and (3) purifying and bottling water.</t>
  </si>
  <si>
    <t>Breweries. This industry comprises establishments primarily engaged in brewing beer, ale, malt liquors, and nonalcoholic beer.</t>
  </si>
  <si>
    <t>Wineries. This industry comprises establishments primarily engaged in one or more of the following: (1) growing grapes and manufacturing wines and brandies; (2) manufacturing wines and brandies from grapes and other fruits grown elsewhere; and (3) blending wines and brandies.</t>
  </si>
  <si>
    <t>Distilleries. This industry comprises establishments primarily engaged in one or more of the following: (1) distilling potable liquors (except brandies); (2) distilling and blending liquors; and (3) blending and mixing liquors and other ingredients.</t>
  </si>
  <si>
    <t>3122: Tobacco Manufacturing</t>
  </si>
  <si>
    <t>Tobacco product manufacturing. This industry comprises establishments primarily engaged in manufacturing cigarettes, cigars, smoking and chewing tobacco, and reconstituted tobacco.</t>
  </si>
  <si>
    <t>3131: Fiber, Yarn, and Thread Mills</t>
  </si>
  <si>
    <t>Fiber, yarn, and thread mills. This industry comprises establishments primarily engaged in one or more of the following: (1) spinning yarn; (2) manufacturing thread of any fiber; (3) texturizing, throwing, twisting, and winding purchased yarn or manmade fiber filaments; and (4) producing hemp yarn and further processing into rope or bags.</t>
  </si>
  <si>
    <t>3132: Fabric Mills</t>
  </si>
  <si>
    <t>Fabric mills. This industry group comprises (1) Broadwoven Fabric Mills, (2) Narrow Fabric Mills and Schiffli Machine Embroidery, (3) Nonwoven Fabric Mills, and (4) Knit Fabric Mills.</t>
  </si>
  <si>
    <t>3133: Textile and Fabric Finishing and Fabric Coating Mills</t>
  </si>
  <si>
    <t>Textile and fabric finishing and fabric coating mills. This industry group comprises (1) Textile and Fabric Finishing Mills, and (2) Fabric Coating Mills.</t>
  </si>
  <si>
    <t>3141: Textile Furnishings Mills</t>
  </si>
  <si>
    <t>Carpet and rug mills. 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</si>
  <si>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Curtain and linen mills. This industry comprises establishments primarily engaged in manufacturing household textile products, such as curtains, draperies, linens, bedspreads, sheets, tablecloths, towels, and shower curtains, from purchased materials.</t>
  </si>
  <si>
    <t>3149: Other Textile Product Mills</t>
  </si>
  <si>
    <t>Other textile product mills. This industry group comprises establishments primarily engaged in making textile products (except carpets and rugs, curtains and draperies, and other household textile products) from purchased materials.</t>
  </si>
  <si>
    <t>3151: Apparel Knitting Mills</t>
  </si>
  <si>
    <t>Apparel manufacturing. 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</si>
  <si>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3161: Leather and Hide Tanning and Finishing</t>
  </si>
  <si>
    <t>Leather and allied product manufacturing. 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</si>
  <si>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3221: Pulp, Paper, and Paperboard Mills</t>
  </si>
  <si>
    <t>Pulp mills. 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</si>
  <si>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Paper mills. This industry comprises establishments primarily engaged in manufacturing paper from pulp. These establishments may manufacture or purchase pulp. In addition, the establishments may convert the paper they make. The activity of making paper classifies an establishment into this industry regardless of the output.</t>
  </si>
  <si>
    <t>Paperboard mills. This industry comprises establishments primarily engaged in manufacturing paperboard from pulp. These establishments may manufacture or purchase pulp. In addition, the establishments may also convert the paperboard they make.</t>
  </si>
  <si>
    <t>3222: Converted Paper Product Manufacturing</t>
  </si>
  <si>
    <t>Paperboard container manufacturing. 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</si>
  <si>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Paper bag and coated and treated paper manufacturing. This industry comprises establishments primarily engaged in one or more of the following: (1) cutting and coating paper and paperboard; (2) cutting and laminating paper, paperboard, and other flexible materials (except plastics film to plastics film); (3) manufacturing bags, multiwall bags, sacks of paper, metal foil, coated paper, laminates, or coated combinations of paper and foil with plastics film; (4) manufacturing laminated aluminum and other converted metal foils from purchased foils; and (5) surface coating paper or paperboard.</t>
  </si>
  <si>
    <t>Stationery product manufacturing. This industry comprises establishments primarily engaged in converting paper or paperboard into products used for writing, filing, art work, and similar applications.</t>
  </si>
  <si>
    <t>Sanitary paper product manufacturing. This U.S. industry comprises establishments primarily engaged in converting purchased sanitary paper stock or wadding into sanitary paper products, such as facial tissues, handkerchiefs, table napkins, toilet paper, towels, disposable diapers, sanitary napkins, and tampons.</t>
  </si>
  <si>
    <t>All other converted paper product manufacturing. This U.S. industry comprises 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</si>
  <si>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3231: Printing and Related Support Activities</t>
  </si>
  <si>
    <t>Printing. 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</si>
  <si>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Support activities for printing. This industry comprises establishments primarily engaged in performing prepress (e.g., platemaking, typesetting) and postpress services (e.g., book binding) in support of printing activities.</t>
  </si>
  <si>
    <t>3241: Petroleum and Coal Products Manufacturing</t>
  </si>
  <si>
    <t>Petroleum refineries. This industry comprises establishments primarily engaged in refining crude petroleum into refined petroleum. Petroleum refining involves one or more of the following activities: (1) fractionation; (2) straight distillation of crude oil; and (3) cracking.</t>
  </si>
  <si>
    <t>Other petroleum and coal products manufacturing. This industry comprises establishments primarily engaged in manufacturing petroleum products (except asphalt paving, roofing and saturated materials) from refined petroleum or coal products made in coke ovens not integrated with a steel mill.</t>
  </si>
  <si>
    <t>3251: Basic Chemical Manufacturing</t>
  </si>
  <si>
    <t>Petrochemical manufacturing. 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</si>
  <si>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Industrial gas manufacturing. This industry comprises establishments primarily engaged in manufacturing industrial organic and inorganic gases in compressed, liquid, and solid forms.</t>
  </si>
  <si>
    <t>Synthetic dye and pigment manufacturing. This industry comprises establishments primarily engaged in manufacturing synthetic organic and inorganic dyes and pigments, such as lakes and toners (except electrostatic and photographic).</t>
  </si>
  <si>
    <t>Other basic organic chemical manufacturing. This industry comprises establishments primarily engaged in manufacturing basic organic chemicals (except petrochemicals, industrial gases, and synthetic dyes and pigments).</t>
  </si>
  <si>
    <t>3252: Resin, Synthetic Rubber, and Artificial and Synthetic Fibers and Filaments Manufacturing</t>
  </si>
  <si>
    <t>Plastics material and resin manufacturing. This U.S. industry comprises establishments primarily engaged in (1) manufacturing resins, plastics materials, and nonvulcanizable thermoplastic elastomers and mixing and blending resins on a custom basis and/or (2) manufacturing noncustomized synthetic resins.</t>
  </si>
  <si>
    <t xml:space="preserve">Synthetic rubber and artificial and synthetic fibers and filaments manufacturing. This industry group comprises establishments primarily engaged in one of the following: (1) manufacturing synthetic resins, plastics materials, and nonvulcanizable elastomers and mixing and blending resins on a custom basis; (2) manufacturing noncustomized synthetic resins; (3) manufacturing synthetic rubber; (4) manufacturing cellulosic (e.g., rayon, acetate) and noncellulosic (e.g., nylon, polyolefin, polyester) fibers and filaments in the form of monofilament, filament yarn, staple, or tow; or (5) manufacturing and texturizing cellulosic and noncellulosic fibers and filaments. </t>
  </si>
  <si>
    <t>3254: Pharmaceutical and Medicine Manufacturing</t>
  </si>
  <si>
    <t>Medicinal and botanical manufacturing. This U.S. industry comprises establishments primarily engaged in (1) manufacturing uncompounded medicinal chemicals and their derivatives (i.e., generally for use by pharmaceutical preparation manufacturers) and/or (2) grading, grinding, and milling uncompounded botanicals.</t>
  </si>
  <si>
    <t>Pharmaceutical preparation manufacturing. This U.S. industry comprises 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</si>
  <si>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In-vitro diagnostic substance manufacturing. This U.S. industry comprises 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</si>
  <si>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Biological product (except diagnostic) manufacturing. This U.S. industry comprises establishments primarily engaged in manufacturing vaccines, toxoids, blood fractions, and culture media of plant or animal origin (except diagnostic).</t>
  </si>
  <si>
    <t>3253: Pesticide, Fertilizer, and Other Agricultural Chemical Manufacturing</t>
  </si>
  <si>
    <t>Fertilizer manufacturing. This industry group comprises (1) Fertilizer Manufacturing, and (2) Pesticide and Other Agricultural Chemical Manufacturing.</t>
  </si>
  <si>
    <t>3255: Paint, Coating, and Adhesive Manufacturing</t>
  </si>
  <si>
    <t>Paint and coating manufacturing. 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</si>
  <si>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Adhesive manufacturing. This industry comprises establishments primarily engaged in manufacturing adhesives, glues, and caulking compounds.</t>
  </si>
  <si>
    <t>3256: Soap, Cleaning Compound, and Toilet Preparation Manufacturing</t>
  </si>
  <si>
    <t>Soap and cleaning compound manufacturing. This industry comprises establishments primarily engaged in manufacturing and packaging soap and other cleaning compounds, surface active agents, and textile and leather finishing agents used to reduce tension or speed the drying process.</t>
  </si>
  <si>
    <t>Toilet preparation manufacturing. This industry comprises establishments primarily engaged in preparing, blending, compounding, and packaging toilet preparations, such as perfumes, shaving preparations, hair preparations, face creams, lotions (including sunscreens), and other cosmetic preparations.</t>
  </si>
  <si>
    <t>3259: Other Chemical Product and Preparation Manufacturing</t>
  </si>
  <si>
    <t xml:space="preserve">All other chemical product and preparation manufacturing. This industry group comprises 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 </t>
  </si>
  <si>
    <t>3261: Plastics Product Manufacturing</t>
  </si>
  <si>
    <t>Plastics packaging materials and unlaminated film and sheet manufacturing. This industry comprises establishments primarily engaged in (1) converting plastics resins into unsupported plastics film and sheet and/or (2) forming, coating or laminating plastics film and sheet into plastics bags.</t>
  </si>
  <si>
    <t>Plastics pipe, pipe fitting, and unlaminated profile shape manufacturing. This industry comprises establishments primarily engaged in manufacturing plastics pipes and pipe fittings, and plastics profile shapes such as rod, tube, and sausage casings.</t>
  </si>
  <si>
    <t>Laminated plastics plate, sheet (except packaging), and shape manufacturing. This industry comprises establishments primarily engaged in laminating plastics profile shapes such as plate, sheet (except packaging), and rod. The lamination process generally involves bonding or impregnating profiles with plastics resins and compressing them under heat.</t>
  </si>
  <si>
    <t>Other plastics product manufacturing. This industry comprises establishments primarily engaged in manufacturing resilient floor covering and other plastics products (except film, sheet, bags, profile shapes, pipes, pipe fittings, laminates, foam products, and bottles).</t>
  </si>
  <si>
    <t>3262: Rubber Product Manufacturing</t>
  </si>
  <si>
    <t>Other rubber product manufacturing. This industry comprises establishments primarily engaged in manufacturing rubber products (except tires, hoses, and belting) from natural and synthetic rubber.</t>
  </si>
  <si>
    <t>42: Wholesale Trade</t>
  </si>
  <si>
    <t>4231: Motor Vehicle and Motor Vehicle Parts and Supplies Merchant Wholesalers</t>
  </si>
  <si>
    <t>Motor vehicle and motor vehicle parts and supplies. This industry group comprises establishments primarily engaged in the merchant wholesale distribution of automobiles and other motor vehicles, motor vehicle supplies, tires, and new and used parts.</t>
  </si>
  <si>
    <t>4234: Professional and Commercial Equipment and Supplies Merchant Wholesalers</t>
  </si>
  <si>
    <t>Professional and commercial equipment and supplies. 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</si>
  <si>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4236: Household Appliances and Electrical and Electronic Goods Merchant Wholesalers</t>
  </si>
  <si>
    <t>Household appliances and electrical and electronic goods. 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</si>
  <si>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4238: Machinery, Equipment, and Supplies Merchant Wholesalers</t>
  </si>
  <si>
    <t>Machinery, equipment, and supplies. This industry group comprises establishments primarily engaged in the merchant wholesale distribution of construction, mining, farm, garden, industrial, service establishment, and transportation machinery, equipment and supplies.</t>
  </si>
  <si>
    <t xml:space="preserve">Other durable goods merchant wholesalers. </t>
  </si>
  <si>
    <t>4242: Drugs and Druggists Sundries Merchant Wholesalers</t>
  </si>
  <si>
    <t>Drugs and druggists sundries. 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</si>
  <si>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4244: Grocery and Related Product Merchant Wholesalers</t>
  </si>
  <si>
    <t>Grocery and related product wholesalers. 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</si>
  <si>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4247: Petroleum and Petroleum Products Merchant Wholesalers</t>
  </si>
  <si>
    <t>Petroleum and petroleum products.  This industry comprises establishm ents with bulk and non-bulk liquid storage facilities primarily engaged in the merchant wholesale distribution of crude petroleum and petroleum products, including liquefied petroleum gas.</t>
  </si>
  <si>
    <t xml:space="preserve">Other nondurable goods merchant wholesalers. </t>
  </si>
  <si>
    <t>4251: Wholesale Electronic Markets and Agents and Brokers</t>
  </si>
  <si>
    <t>Wholesale electronic markets and agents and brokers. 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</si>
  <si>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44-45: Retail Trade</t>
  </si>
  <si>
    <t>4411: Automobile Dealers</t>
  </si>
  <si>
    <t>Motor vehicle and parts dealers. 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</si>
  <si>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4451: Grocery Stores</t>
  </si>
  <si>
    <t>Food and beverage stores. 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</si>
  <si>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4523: General Merchandise Stores, including Warehouse Clubs and Supercenters</t>
  </si>
  <si>
    <t>4441: Building Material and Supplies Dealers</t>
  </si>
  <si>
    <t xml:space="preserve">Building material and garden equipment and supplies dealers. This industry group comprises (1) Building Material and Supplies Dealers and (2) Lawn and Garden Equipment and Supplies Stores. </t>
  </si>
  <si>
    <t>4461: Health and Personal Care Stores</t>
  </si>
  <si>
    <t xml:space="preserve">Health and personal care stores. This industry group comprises Health and Personal Care Stores. </t>
  </si>
  <si>
    <t>4471: Gasoline Stations</t>
  </si>
  <si>
    <t xml:space="preserve">Gasoline stations. This industry group comprises Gasoline Stations. </t>
  </si>
  <si>
    <t>4481: Clothing Stores</t>
  </si>
  <si>
    <t xml:space="preserve">Clothing and clothing accessories stores. This industry group comprises Clothing and Clothing Accessories Stores. </t>
  </si>
  <si>
    <t>4541: Electronic Shopping and Mail-Order Houses</t>
  </si>
  <si>
    <t xml:space="preserve">Nonstore retailers. This industry group comprises Nonstore Retailers. </t>
  </si>
  <si>
    <t xml:space="preserve">All other retail. This industry group comprises (1) Furniture and Home Furnishings Stores, (2) Electronics and Appliance Stores (3) Sporting Goods, Hobby, Book, and Music Stores, and (4) Miscellaneous Store Retailers (e.g. Florists). </t>
  </si>
  <si>
    <t>48-49: Transportation and Warehousing</t>
  </si>
  <si>
    <t>4859: Other Transit and Ground Passenger Transportation</t>
  </si>
  <si>
    <t>Transit and ground passenger transportation.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</si>
  <si>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4869: Other Pipeline Transportation</t>
  </si>
  <si>
    <t>Pipeline transportation. 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</si>
  <si>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 xml:space="preserve">Scenic and sightseeing transportation and support activities for transportation. 1) Industries in the Scenic and Sightseeing Transportation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   The Scenic and Sightseeing Transportation subsector is separated into three industries based on the mode: land, water, and other.   Activities that are recreational in nature and involve participation by the customer, such as white-water rafting, are generally excluded from this subsector, unless they impose an impact on part of the transportation system. Charter boat fishing, for example, is included in the Scenic and Sightseeing Transportation, Water industry.  2) Industries in the Support Activities for Transportation subsector provide services which support transportation. These services may be provided to transportation carrier establishments or to the general public. This subsector includes a wide array of establishments, including air traffic control services, marine cargo handling, and motor vehicle towing.   The Support Activities for Transportation subsector includes services to transportation but is separated by type of mode serviced. The Support Activities for Rail Transportation industry includes services to the rail industry (e.g., railroad switching and terminal establishments).   Ship repair and maintenance not done in a shipyard are included in Other Support Activities for Water Transportation. An example would be floating drydock services in a harbor.   Excluded from this subsector are establishments primarily engaged in providing factory conversion and overhaul of transportation equipment, which are classified in Subsector 336, Transportation Equipment Manufacturing. Also, establishments primarily engaged in providing rental and leasing of transportation equipment without operator are classified in Subsector 532, Rental and Leasing Services.  </t>
  </si>
  <si>
    <t>51: Information</t>
  </si>
  <si>
    <t>5111: Newspaper, Periodical, Book, and Directory Publishers</t>
  </si>
  <si>
    <t>Newspaper publishers. 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</si>
  <si>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Periodical Publishers. This industry comprises establishments known either as magazine publishers or periodical publishers. These establishments carry out the operations necessary for producing and distributing magazines and other periodicals, such as gathering, writing, and editing articles, and selling and preparing advertisements. These establishments may publish magazines and other periodicals in print or electronic form.</t>
  </si>
  <si>
    <t>Book publishers. This industry comprises establishments known as book publishers. Establishments in this industry carry out design, editing, and marketing activities necessary for producing and distributing books. These establishments may publish books in print, electronic, or audio form.</t>
  </si>
  <si>
    <t xml:space="preserve">Directory, mailing list, and other publishers. This industry group comprises 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 </t>
  </si>
  <si>
    <t>5112: Software Publishers</t>
  </si>
  <si>
    <t xml:space="preserve">Software publishers. 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</si>
  <si>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5121: Motion Picture and Video Industries</t>
  </si>
  <si>
    <t>Motion picture and video industries. 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t>
  </si>
  <si>
    <t>5122: Sound Recording Industries</t>
  </si>
  <si>
    <t>Sound recording industries. This industry group comprises establishments primarily engaged in producing and distributing musical recordings, in publishing music, or in providing sound recording and related services.</t>
  </si>
  <si>
    <t>5151: Radio and Television Broadcasting</t>
  </si>
  <si>
    <t>Radio and television broadcasting. Establishments that both print and publish may fill excess capacity with commercial or job printing. However, the publishing activity is still considered to be the primary activity of these establishments.</t>
  </si>
  <si>
    <t>5152: Cable and Other Subscription Programming</t>
  </si>
  <si>
    <t>Cable and other subscription programming. 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</si>
  <si>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5171: Wired Telecommunications Carriers</t>
  </si>
  <si>
    <t>Wired telecommunications carriers. 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</si>
  <si>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5172: Wireless Telecommunications Carriers (except Satellite)</t>
  </si>
  <si>
    <t>Wireless telecommunications carriers (except satellite). 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</si>
  <si>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5179: Other Telecommunications</t>
  </si>
  <si>
    <t xml:space="preserve">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t>
  </si>
  <si>
    <t>5182: Data Processing, Hosting, and Related Services</t>
  </si>
  <si>
    <t>Data processing, hosting, and related services.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</si>
  <si>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5191: Other Information Services</t>
  </si>
  <si>
    <t>Internet publishing and broadcasting and Web search portals. 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</si>
  <si>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 xml:space="preserve">News syndicates, libraries, archives and all other information services. Industries in the Other Information Services subsector group 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 </t>
  </si>
  <si>
    <t>52: Finance and Insurance</t>
  </si>
  <si>
    <t>5222: Nondepository Credit Intermediation</t>
  </si>
  <si>
    <t xml:space="preserve">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t>
  </si>
  <si>
    <t>5211: Monetary Authorities-Central Bank</t>
  </si>
  <si>
    <t xml:space="preserve">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t>
  </si>
  <si>
    <t>5239: Other Financial Investment Activities</t>
  </si>
  <si>
    <t>Other financial investment activities. This industry group comprises establishments primarily engaged in one of the following: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</si>
  <si>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5231: Securities and Commodity Contracts Intermediation and Brokerage</t>
  </si>
  <si>
    <t xml:space="preserve">Securities and commodity contracts intermediation and brokerage. Industries in the Securities, Commodity Contracts, and Other Financial Investments and Related Activities 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t>
  </si>
  <si>
    <t>5241: Insurance Carriers</t>
  </si>
  <si>
    <t>Direct life insurance carriers. This industry group comprises establishments primarily engaged in initially underwriting (i.e., assuming the risk and assigning premiums) annuities and life insurance policies, disability income insurance policies, and accidental death and dismemberment insurance policies.</t>
  </si>
  <si>
    <t xml:space="preserve">Insurance carriers, except direct life. This industry group comprises establishments primarily engaged in underwriting (assuming the risk, assigning premiums, and so forth) annuities and insurance policies and investing premiums to build up a portfolio of financial assets to be used against future claims. Direct insurance carriers are establishments that are primarily engaged in initially underwriting and assuming the risk of annuities and insurance policies. Reinsurance carriers are establishments that are primarily engaged in assuming all or part of the risk associated with an existing insurance policy (or set of policies) originally underwritten by another insurance carrier. 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 </t>
  </si>
  <si>
    <t>5242: Agencies, Brokerages, and Other Insurance Related Activities</t>
  </si>
  <si>
    <t>Insurance agencies, brokerages, and related activities. This industry group comprises establishments primarily engaged in (1) acting as agents (i.e., brokers) in selling annuities and insurance policies or (2) providing other employee benefits and insurance related services, such as claims adjustment and third party administration.</t>
  </si>
  <si>
    <t>5251: Insurance and Employee Benefit Funds</t>
  </si>
  <si>
    <t>Funds, trusts, and other financial vehicles. 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</si>
  <si>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53: Real Estate and Rental and Leasing</t>
  </si>
  <si>
    <t xml:space="preserve">Other real estate.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t>
  </si>
  <si>
    <t>5321: Automotive Equipment Rental and Leasing</t>
  </si>
  <si>
    <t>Automotive equipment rental and leasing. This industry group comprises establishments primarily engaged in renting or leasing the following types of vehicles: passenger cars and trucks without drivers, and utility trailers. These establishments generally operate from a retail-like facility. Some establishments offer only short-term rental, others only longerterm leases, and some provide both types of services.</t>
  </si>
  <si>
    <t>5324: Commercial and Industrial Machinery and Equipment Rental and Leasing</t>
  </si>
  <si>
    <t>5322: Consumer Goods Rental</t>
  </si>
  <si>
    <t xml:space="preserve">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t>
  </si>
  <si>
    <t>5331: Lessors of Nonfinancial Intangible Assets (except Copyrighted Works)</t>
  </si>
  <si>
    <t>Lessors of nonfinancial intangible assets. 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</si>
  <si>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54: Professional, Scientific, and Technical Services</t>
  </si>
  <si>
    <t>5411: Legal Services</t>
  </si>
  <si>
    <t>Legal services. This industry group comprises (1) Offices of Lawyers, (2) Offices of Notaries, and (3) Other Legal Services including:  (a) Title Abstract and Settlement Offices, and (b) All Other Legal Services.</t>
  </si>
  <si>
    <t>5415: Computer Systems Design and Related Services</t>
  </si>
  <si>
    <t>Custom computer programming services. This U.S. industry comprises establishments primarily engaged in writing, modifying, testing, and supporting software to meet the needs of a particular customer.</t>
  </si>
  <si>
    <t>Computer systems design services. This U.S. industry comprises establishments primarily engaged in planning and designing computer systems that integrate computer hardware, software, and communication technologies. The hardware and software components of the system may be provided by this establishment or company as part of integrated services or may be provided by third parties or vendors. These establishments often install the system and train and support users of the system.</t>
  </si>
  <si>
    <t xml:space="preserve">Other computer related services, including facilities management. This industry comprises establishments primarily engaged in providing expertise in the field of information technologies through one or more of the following activities: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computer-related advice and services. </t>
  </si>
  <si>
    <t>5412: Accounting, Tax Preparation, Bookkeeping, and Payroll Services</t>
  </si>
  <si>
    <t>Accounting, tax preparation, bookkeeping, and payroll services. This industry comprises establishments primarily engaged in providing services, such as auditing of accounting records, designing accounting systems, preparing financial statements, developing budgets, preparing tax returns, processing payrolls, bookkeeping, and billing.</t>
  </si>
  <si>
    <t>5413: Architectural, Engineering, and Related Services</t>
  </si>
  <si>
    <t>Architectural, engineering, and related services. 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</si>
  <si>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5416: Management, Scientific, and Technical Consulting Services</t>
  </si>
  <si>
    <t>Management consulting services. 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</si>
  <si>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 xml:space="preserve">Environmental and other technical consulting services. This industry group comprises (1) Management Consulting Services, (2) Environmental Consulting Services, and (3) Other Scientific and Technical Consulting Services. </t>
  </si>
  <si>
    <t>5417: Scientific Research and Development Services</t>
  </si>
  <si>
    <t>Scientific research and development services. 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</si>
  <si>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5418: Advertising, Public Relations, and Related Services</t>
  </si>
  <si>
    <t>Advertising, public relations, and related services. This industry group comprises (1) Advertising Agencies, (2) Public Relations Agencies, (3) Media Buying Agencies, (4) Media Representatives, (5) Display Advertising, (6) Direct Mail Advertising, (7) Advertising Material Distribution Services, and (8) Other Services Related to Advertising.</t>
  </si>
  <si>
    <t>5414: Specialized Design Services</t>
  </si>
  <si>
    <t>Specialized design services. This industry group comprises establishments providing specialized design services (except architectural, engineering, and computer systems design).</t>
  </si>
  <si>
    <t>5419: Other Professional, Scientific, and Technical Services</t>
  </si>
  <si>
    <t>Photographic services. 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</si>
  <si>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Veterinary services. This industry comprises establishments of licensed veterinary practitioners primarily engaged in the practice of veterinary medicine, dentistry, or surgery for animals; and establishments primarily engaged in providing testing services for licensed veterinary practitioners.</t>
  </si>
  <si>
    <t xml:space="preserve">Marketing research and all other miscellaneous professional, scientific, and technical services. This industry group comprises establishments engaged in professional, scientific, and technical services (except legal services; accounting, tax preparation, bookkeeping, and related services; architectural, engineering, and related services; specialized design services; computer systems design and related services; management, scientific, and technical consulting services; scientific research and development services; and advertising, public relations and related services). </t>
  </si>
  <si>
    <t>55: Management of Companies and Enterprises</t>
  </si>
  <si>
    <t>5511: Management of Companies and Enterprises</t>
  </si>
  <si>
    <t>Management of companies and enterprises. 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</si>
  <si>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56: Administrative and Support</t>
  </si>
  <si>
    <t>5613: Employment Services</t>
  </si>
  <si>
    <t>Employment services. This industry group comprises (1) Employment Placement Agencies and Executive Search Services, (2) Temporary Help Services, and (3) Professional Employer Organizations.</t>
  </si>
  <si>
    <t>5617: Services to Buildings and Dwellings</t>
  </si>
  <si>
    <t>Services to buildings and dwellings. This industry group comprises (1) Exterminating and Pest Control Services, (2) Janitorial Services, (3) Landscaping Services, (4) Carpet and Upholstery Cleaning Services, and (5) Other Services to Buildings and Dwellings.</t>
  </si>
  <si>
    <t>5611: Office Administrative Services</t>
  </si>
  <si>
    <t>Office administrative services. 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</si>
  <si>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5612: Facilities Support Services</t>
  </si>
  <si>
    <t>Facilities support services. 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</si>
  <si>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5614: Business Support Services</t>
  </si>
  <si>
    <t>5615: Travel Arrangement and Reservation Services</t>
  </si>
  <si>
    <t>Travel arrangement and reservation services. This industry group comprises (1) Travel Agencies, (2) Tour Operators, and (3) Other Travel Arrangement and Reservation Services including:  (a) Convention and Visitors Bureaus, and (b) All Other Travel Arrangement and Reservation Services.</t>
  </si>
  <si>
    <t>5616: Investigation and Security Services</t>
  </si>
  <si>
    <t>Investigation and security services. This industry group comprises (1) Investigation, Guard, and Armored Car Services, and (2) Security Systems Services.</t>
  </si>
  <si>
    <t>5619: Other Support Services</t>
  </si>
  <si>
    <t>61: Educational Services</t>
  </si>
  <si>
    <t>6111: Elementary and Secondary Schools</t>
  </si>
  <si>
    <t xml:space="preserve">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t>
  </si>
  <si>
    <t xml:space="preserve">Other educational services.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t>
  </si>
  <si>
    <t>62: Health Care and Social Assistance</t>
  </si>
  <si>
    <t>6211: Offices of Physicians</t>
  </si>
  <si>
    <t>Offices of physicians. 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</si>
  <si>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6212: Offices of Dentists</t>
  </si>
  <si>
    <t>Offices of dentists. 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</si>
  <si>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6213: Offices of Other Health Practitioners</t>
  </si>
  <si>
    <t>6214: Outpatient Care Centers</t>
  </si>
  <si>
    <t>Outpatient care centers. 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</si>
  <si>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6215: Medical and Diagnostic Laboratories</t>
  </si>
  <si>
    <t>Medical and diagnostic laboratories. This industry comprises establishments known as medical and diagnostic laboratories primarily engaged in providing analytic or diagnostic services, including body fluid analysis and diagnostic imaging, generally to the medical profession or to the patient on referral from a health practitioner.</t>
  </si>
  <si>
    <t>6216: Home Health Care Services</t>
  </si>
  <si>
    <t>Home health care services. This industry comprises establishments primarily engaged in providing skilled nursing services in the home, along with a range of the following: personal care services; homemaker and companion services; physical therapy; medical social services; medications; medical equipment and supplies; counseling; 24- hour home care; occupation and vocational therapy; dietary and nutritional services; speech therapy; audiology; and high-tech care, such as intravenous therapy.</t>
  </si>
  <si>
    <t>6219: Other Ambulatory Health Care Services</t>
  </si>
  <si>
    <t>Other ambulatory health care services. This industry group comprises establishments primarily engaged in providing ambulatory health care services (except offices of physicians, dentists, and other health practitioners; outpatient care centers; medical laboratories and diagnostic imaging centers; and home health care providers).</t>
  </si>
  <si>
    <t>6221: General Medical and Surgical Hospitals</t>
  </si>
  <si>
    <t>Hospitals. 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 Establishments in the Hospitals subsector provide inpatient health services, many of which can only be provided using the specialized facilities and equipment that form a significant and integral part of the production process.</t>
  </si>
  <si>
    <t>6231: Nursing Care Facilities (Skilled Nursing Facilities)</t>
  </si>
  <si>
    <t xml:space="preserve">Nursing and community care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</si>
  <si>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6232: Residential Intellectual and Developmental Disability, Mental Health, and Substance Abuse Facilities</t>
  </si>
  <si>
    <t xml:space="preserve">Residential mental retardation, mental health, substance abuse and other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</si>
  <si>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6241: Individual and Family Services</t>
  </si>
  <si>
    <t>Individual and family services. This industry group comprises (1) Child and Youth Services, (2) Services for the Elderly and Persons with Disabilities, and (3) Other Individual and Family Services.</t>
  </si>
  <si>
    <t>6244: Child Day Care Services</t>
  </si>
  <si>
    <t>Child day care services. This industry comprises establishments primarily engaged in providing day care of infants or children. These establishments generally care for preschool children, but may care for older children when they are not in school and may also offer pre-kindergarten educational programs.</t>
  </si>
  <si>
    <t>6242: Community Food and Housing, and Emergency and Other Relief Services</t>
  </si>
  <si>
    <t xml:space="preserve">Community food, housing, and other relief services, including rehabilitation services.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</si>
  <si>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71: Arts, Entertainment, and Recreation</t>
  </si>
  <si>
    <t>7111: Performing Arts Companies</t>
  </si>
  <si>
    <t>Performing arts companies. This industry group comprises establishments primarily engaged in producing live presentations involving the performances of actors and actresses, singers, dancers, musical groups and artists, and other performing artists.</t>
  </si>
  <si>
    <t>7112: Spectator Sports</t>
  </si>
  <si>
    <t>Spectator sports. This industry comprises (1) sports teams or clubs primarily participating in live sporting events before a paying audience; (2) 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 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</si>
  <si>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7115: Independent Artists, Writers, and Performers</t>
  </si>
  <si>
    <t>Independent artists, writers, and performers. This industry comprises 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</si>
  <si>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7113: Promoters of Performing Arts, Sports, and Similar Events</t>
  </si>
  <si>
    <t xml:space="preserve">Promoters of performing arts and sports and agents for public figures. The Arts, Entertainment, and Recreation sector includes a wide range of establishments that operate facilities or provide services to meet varied cultural, entertainment, and recreational interests of their patrons. This sector comprises (1) establishments that are involved in producing, promoting, or participating in live performances, events, or exhibits intended for public viewing; (2) establishments that preserve and exhibit objects and sites of historical, cultural, or educational interest; and (3) establishments that operate facilities or provide services that enable patrons to participate in recreational activities or pursue amusement, hobby, and leisure-time interests.   Some establishments that provide cultural, entertainment, or recreational facilities and services are classified in other sectors. Excluded from this sector are: (1) 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 establishments using transportation equipment to provide recreational and entertainment services, such as those operating sightseeing buses, dinner cruises, or helicopter rides, are classified in Subsector 487, Scenic and Sightseeing Transportation. </t>
  </si>
  <si>
    <t>7121: Museums, Historical Sites, and Similar Institutions</t>
  </si>
  <si>
    <t>Museums, historical sites, zoos, and parks. Industries in the Museums, Historical Sites, and Similar Institutions subsector engage in the preservation and exhibition of objects, sites, and natural wonders of historical, cultural, and/or educational value.</t>
  </si>
  <si>
    <t>7131: Amusement Parks and Arcades</t>
  </si>
  <si>
    <t>7132: Gambling Industries</t>
  </si>
  <si>
    <t>Gambling industries (except casino hotels). This industry group comprises 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</si>
  <si>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7139: Other Amusement and Recreation Industries</t>
  </si>
  <si>
    <t>Other amusement and recreation industries. This industry group comprises (1) Golf Courses and Country Clubs, (2) Skiing Facilities, (3) Marinas, (4) Fitness and Recreational Sports Centers, (5) Bowling Centers, and (6) All Other Amusement and Recreation Industries.</t>
  </si>
  <si>
    <t>72: Accommodation and Food Services</t>
  </si>
  <si>
    <t>7211: Traveler Accommodation</t>
  </si>
  <si>
    <t>Accommodation. Industries in the Accommodation subsector provide lodging or short-term accommodations for travelers, vacationers, and others. There is a wide range of establishments in these industries. Some provide lodging only; while others provide meals, laundry services, and recreational facilities, as well as lodging. Lodging establishments are classified in this subsector even if the provision of complementary services generates more revenue. The types of complementary services provided vary from establishment to establishment. The subsector is organized into three industry groups: (1) traveler accommodation, (2) recreational accommodation, and (3) rooming and boarding houses. The Traveler Accommodation industry group includes establishments that primarily provide traditional types of lodging services. This group includes hotels, motels, and bed and breakfast inns. In addition to lodging, these establishments may provide a range of other services to their guests. The RV (Recreational Vehicle) Parks and Recreational Camps industry group includes establishments that operate lodging facilities primarily designed to accommodate outdoor enthusiasts. Included are travel trailer campsites, recreational vehicle parks, and outdoor adventure retreats. The Rooming and Boarding Houses industry group includes establishments providing temporary or longer-term accommodations, which for the period of occupancy, may serve as a principal residence. Board (i.e., meals) may be provided but is not essential. Establishments that manage short-stay accommodation establishments (e.g., hotels and motels) on a contractual basis are classified in this subsector if they both manage the operation and provide the operating staff. Such establishments are classified based on the type of facility managed and operated.</t>
  </si>
  <si>
    <t>7225: Restaurants and Other Eating Places</t>
  </si>
  <si>
    <t>Full-service restaurants. This industry comprises establishments primarily engaged in providing food services to patrons who order and are served while seated (i.e., waiter/waitress service) and pay after eating. These establishments may provide this type of food service to patrons in combination with selling alcoholic beverages, providing carry out services, or presenting live nontheatrical entertainment.</t>
  </si>
  <si>
    <t>Limited-service restaurants. This U.S. industry comprises establishments primarily engaged in providing food services (except snack and nonalcoholic beverage bars) where patrons generally order or select items and pay before eating. Food and drink may be consumed on premises, taken out, or delivered to the customer's location. Some establishments in this industry may provide these food services in combination with selling alcoholic beverages.</t>
  </si>
  <si>
    <t>7223: Special Food Services</t>
  </si>
  <si>
    <t xml:space="preserve">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t>
  </si>
  <si>
    <t>81: Other Services (except Public Administration)</t>
  </si>
  <si>
    <t>8111: Automotive Repair and Maintenance</t>
  </si>
  <si>
    <t>Automotive repair and maintenance. 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</si>
  <si>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8112: Electronic and Precision Equipment Repair and Maintenance</t>
  </si>
  <si>
    <t>Electronic and precision equipment repair and maintenance. 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</si>
  <si>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8113: Commercial and Industrial Machinery and Equipment (except Automotive and Electronic) Repair and Maintenance</t>
  </si>
  <si>
    <t>Commercial and industrial machinery and equipment repair and maintenance. This industry comprises establishments primarily engaged in the repair and maintenance of commercial and industrial machinery and equipment. 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</si>
  <si>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8114: Personal and Household Goods Repair and Maintenance</t>
  </si>
  <si>
    <t>Personal and household goods repair and maintenance. This industry group comprises (1) Home and Garden Equipment and Appliance Repair and Maintenance, (2) Reupholstery and Furniture Repair, (3) Footwear and Leather Goods Repair, and (4) Other Personal and Household Goods Repair and Maintenance.</t>
  </si>
  <si>
    <t>8121: Personal Care Services</t>
  </si>
  <si>
    <t>Personal care services. This industry group comprises establishments, such as barber and beauty shops, that provide appearance care services to individual consumers.</t>
  </si>
  <si>
    <t>8122: Death Care Services</t>
  </si>
  <si>
    <t>Death care services. This industry group comprises (1) Funeral Homes and Funeral Services, and (2) Cemeteries and Crematories.</t>
  </si>
  <si>
    <t>8123: Drycleaning and Laundry Services</t>
  </si>
  <si>
    <t>Dry-cleaning and laundry services. This industry group comprises (1) Coin-Operated Laundries and Drycleaners, (2) Drycleaning and Laundry Services (except Coin-Operated), and (3) Linen and Uniform Supply.</t>
  </si>
  <si>
    <t>8129: Other Personal Services</t>
  </si>
  <si>
    <t>Other personal services. This industry group comprises establishments primarily engaged in providing personal services (except personal care services, death care services, or drycleaning and laundry services).</t>
  </si>
  <si>
    <t>8131: Religious Organizations</t>
  </si>
  <si>
    <t>Religious organizations. This industry comprises (1) establishments primarily engaged in operating religious organizations, such as churches, religious temples, and monasteries, and/or (2) establishments primarily engaged in administering an organized religion or promoting religious activities.</t>
  </si>
  <si>
    <t>8132: Grantmaking and Giving Services</t>
  </si>
  <si>
    <t xml:space="preserve">Grantmaking, giving, and social advocacy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t>
  </si>
  <si>
    <t>8134: Civic and Social Organizations</t>
  </si>
  <si>
    <t xml:space="preserve">Civic, social, professional, and similar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t>
  </si>
  <si>
    <t>4811: Scheduled Air Transportation</t>
  </si>
  <si>
    <t>Air transportation. Industries in the Air Transportation subsector provide air transportation of passengers and/or cargo using aircraft, such as airplanes and helicopters. The subsector distinguishes scheduled from nonscheduled air transportation. Schedul</t>
  </si>
  <si>
    <t>4821: Rail Transportation</t>
  </si>
  <si>
    <t>Rail transportation. 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</si>
  <si>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4831: Deep Sea, Coastal, and Great Lakes Water Transportation</t>
  </si>
  <si>
    <t>Water transportation.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</si>
  <si>
    <t>4841: General Freight Trucking</t>
  </si>
  <si>
    <t>Truck transportation.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</si>
  <si>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4921: Couriers and Express Delivery Services</t>
  </si>
  <si>
    <t>Couriers and messengers.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</si>
  <si>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4911: Postal Service</t>
  </si>
  <si>
    <t>Postal service.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</si>
  <si>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4931: Warehousing and Storage</t>
  </si>
  <si>
    <t>Warehousing and storage.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</si>
  <si>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Changed?</t>
  </si>
  <si>
    <t>EPA EEIO v1.1</t>
  </si>
  <si>
    <t>kg CO2e/2018$</t>
  </si>
  <si>
    <t>Name changed?</t>
  </si>
  <si>
    <t>Commodity Name (v1.1)</t>
  </si>
  <si>
    <t>Old commodity name (v1.0 - for those where the commodity name changed)</t>
  </si>
  <si>
    <t>1 mmBtu = 10 therm</t>
  </si>
  <si>
    <t>From EPA CCCL (Apr 2022):</t>
  </si>
  <si>
    <t>Included?</t>
  </si>
  <si>
    <t>Excluded</t>
  </si>
  <si>
    <t>Included</t>
  </si>
  <si>
    <t>Summary Commodity EF (kg/$) (including margins)</t>
  </si>
  <si>
    <t>Detailed Commodity EF (kg/$) (including margins)</t>
  </si>
  <si>
    <t>UK Government GHG Conversion Factors for Company Reporting</t>
  </si>
  <si>
    <t>Homeworking</t>
  </si>
  <si>
    <t>Emissions source:</t>
  </si>
  <si>
    <t>Expiry:</t>
  </si>
  <si>
    <t>Factor set:</t>
  </si>
  <si>
    <t>Full set</t>
  </si>
  <si>
    <t>Scope:</t>
  </si>
  <si>
    <t>Version:</t>
  </si>
  <si>
    <t>Year:</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</si>
  <si>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</si>
  <si>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</si>
  <si>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</si>
  <si>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</si>
  <si>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</si>
  <si>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</si>
  <si>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Activity</t>
  </si>
  <si>
    <r>
      <t>Total kg CO</t>
    </r>
    <r>
      <rPr>
        <vertAlign val="subscript"/>
        <sz val="11"/>
        <color indexed="56"/>
        <rFont val="Calibri"/>
        <family val="2"/>
      </rPr>
      <t>2</t>
    </r>
    <r>
      <rPr>
        <sz val="11"/>
        <color indexed="56"/>
        <rFont val="Calibri"/>
        <family val="2"/>
      </rPr>
      <t>e per unit</t>
    </r>
  </si>
  <si>
    <t>Office Equipment</t>
  </si>
  <si>
    <t>per FTE Working Hour</t>
  </si>
  <si>
    <t>Heating</t>
  </si>
  <si>
    <t>Homeworking (office equipment + heating)</t>
  </si>
  <si>
    <t>FAQs</t>
  </si>
  <si>
    <t>How are the homeworking conversion factors derived?</t>
  </si>
  <si>
    <t>The homeworking conversion factors are calculated using the methodology from the Homeworking emission Whitepaper (EcoAct, 2020)</t>
  </si>
  <si>
    <t>For information about how the conversion factors have been derived, please refer to the 'Methodology paper' that accompanies the conversion factors.</t>
  </si>
  <si>
    <t>Add pivot side-by-side to confirm accuracy</t>
  </si>
  <si>
    <t>DEFRA 2022</t>
  </si>
  <si>
    <t>Source: defra 2022, WTT - fuels</t>
  </si>
  <si>
    <t>Electric Power</t>
  </si>
  <si>
    <t>MWh</t>
  </si>
  <si>
    <t>metric ton CO2</t>
  </si>
  <si>
    <t>International Energy Agency (IEA)</t>
  </si>
  <si>
    <t>Regionality Type</t>
  </si>
  <si>
    <t>Regionality Name</t>
  </si>
  <si>
    <t>Source UOM</t>
  </si>
  <si>
    <t>Emission UOM</t>
  </si>
  <si>
    <t>CO2</t>
  </si>
  <si>
    <t>Version</t>
  </si>
  <si>
    <t>IEA T&amp;D losses</t>
  </si>
  <si>
    <r>
      <t xml:space="preserve">Defra WTT electricity </t>
    </r>
    <r>
      <rPr>
        <b/>
        <sz val="11"/>
        <color theme="1"/>
        <rFont val="Arial"/>
        <family val="2"/>
        <scheme val="minor"/>
      </rPr>
      <t>generation</t>
    </r>
  </si>
  <si>
    <r>
      <t xml:space="preserve">Defra WTT electricity </t>
    </r>
    <r>
      <rPr>
        <b/>
        <sz val="11"/>
        <color theme="1"/>
        <rFont val="Arial"/>
        <family val="2"/>
        <scheme val="minor"/>
      </rPr>
      <t>T&amp;D</t>
    </r>
  </si>
  <si>
    <t>Selecting June or July is recommended, as these months are considered representative of the average inflation over the course of the calendar year. If your organization uses a fiscal year reporting period to conduct GHG accounting, it is recommended to pick the halfway point of the fiscal year.</t>
  </si>
  <si>
    <t>Select the corresponding month in 2018 just above "Calculate"</t>
  </si>
  <si>
    <t>For Category 5: Waste</t>
  </si>
  <si>
    <t>Category 3: Fuel and Energy related activities</t>
  </si>
  <si>
    <t>For Cat 1 and 2: PG&amp;S and Capital Goods</t>
  </si>
  <si>
    <t>Custom Emissions</t>
  </si>
  <si>
    <t>Climate Impact check-up tool (with Practice Green Health)</t>
  </si>
  <si>
    <t>EPA's simplified emission calculation tool</t>
  </si>
  <si>
    <t>Supplier-specific method</t>
  </si>
  <si>
    <t>Spend-based method</t>
  </si>
  <si>
    <t>Supplier Name</t>
  </si>
  <si>
    <t>Enter custom emissions factor from supplier (in current year $)</t>
  </si>
  <si>
    <t>Notes</t>
  </si>
  <si>
    <t>Outside sources - use this space to note totals calculated from outside sources</t>
  </si>
  <si>
    <t>Example - Microsoft</t>
  </si>
  <si>
    <t>Specific considerations for the healthcare industry:</t>
  </si>
  <si>
    <t>Custom emissions</t>
  </si>
  <si>
    <t>Waste-type-specific method/Average data method</t>
  </si>
  <si>
    <t>Activity data metric (spend, distance, etc.)</t>
  </si>
  <si>
    <t>Construction - Health care buildings</t>
  </si>
  <si>
    <t>Activity data amount</t>
  </si>
  <si>
    <t>Activity data unit of measure</t>
  </si>
  <si>
    <t>Distance</t>
  </si>
  <si>
    <t>mi</t>
  </si>
  <si>
    <t>Emission Factor (kg CO2e/unit of activity data)</t>
  </si>
  <si>
    <t>Source notes</t>
  </si>
  <si>
    <t>Weight</t>
  </si>
  <si>
    <t>Weight Unit</t>
  </si>
  <si>
    <t>Emission Factor (MTCO2e/unit of weight)</t>
  </si>
  <si>
    <t>Wood</t>
  </si>
  <si>
    <t>Landfill</t>
  </si>
  <si>
    <t>Tonnes</t>
  </si>
  <si>
    <t>Defra Class III Van - Delivery Vehicles, 2022</t>
  </si>
  <si>
    <t>Defra waste disposal factors, 2022</t>
  </si>
  <si>
    <t>Defra business travel - air, 2022</t>
  </si>
  <si>
    <t>Example - Economy non-UK flights</t>
  </si>
  <si>
    <t>For Categories 7 and 9: Homeworking</t>
  </si>
  <si>
    <t>Defra 2022</t>
  </si>
  <si>
    <t>kg CO2e/FTE working hour</t>
  </si>
  <si>
    <t>Table 1. Full-time staff (In-person)</t>
  </si>
  <si>
    <t>Table 2. Part-time Staff (In-person)</t>
  </si>
  <si>
    <t>Number of weeks worked per year</t>
  </si>
  <si>
    <t>Table 1. Inpatient Visits (In-person)</t>
  </si>
  <si>
    <t>Table 2. Outpatient Visits (In-person)</t>
  </si>
  <si>
    <t>Table 3. Telehealth Visits (remote)</t>
  </si>
  <si>
    <t>Use these tables if you have electricity and natural gas usage data</t>
  </si>
  <si>
    <r>
      <rPr>
        <b/>
        <sz val="10"/>
        <rFont val="Arial"/>
        <family val="2"/>
      </rPr>
      <t xml:space="preserve">Tables 1, 2, and 3 - </t>
    </r>
    <r>
      <rPr>
        <sz val="10"/>
        <rFont val="Arial"/>
        <family val="2"/>
      </rPr>
      <t xml:space="preserve">These tables are for tracking full-time staff, part-time staff, and remote workers, respectively. </t>
    </r>
  </si>
  <si>
    <t>Electromedical apparatuses2</t>
  </si>
  <si>
    <t>Include note about level of information they can include</t>
  </si>
  <si>
    <t>Example 2</t>
  </si>
  <si>
    <t>FedEx transport emissions report</t>
  </si>
  <si>
    <t>- Added usage input sections for Categories 8 &amp; 13.</t>
  </si>
  <si>
    <t>Additional options to use supplier-specific method or other external methods now available.</t>
  </si>
  <si>
    <t>N/A</t>
  </si>
  <si>
    <t>Adjustment for T&amp;D losses induced emissions 2022 ed (2020 data)</t>
  </si>
  <si>
    <t>Mixed Paper</t>
  </si>
  <si>
    <t>Table C32. Natural consumption totals and conditional intensities by building activity subcategories,  2018</t>
  </si>
  <si>
    <t>Energy Information Administration (EIA)- Commercial Buildings Energy Consumption Survey (CBECS) Data</t>
  </si>
  <si>
    <t>Table C22. Electricity consumption totals and conditional intensities by building activity subcategories, 2018</t>
  </si>
  <si>
    <r>
      <t>CO</t>
    </r>
    <r>
      <rPr>
        <b/>
        <vertAlign val="subscript"/>
        <sz val="8.5"/>
        <color theme="1"/>
        <rFont val="Arial"/>
        <family val="2"/>
      </rPr>
      <t>2</t>
    </r>
    <r>
      <rPr>
        <b/>
        <sz val="8.5"/>
        <color theme="1"/>
        <rFont val="Arial"/>
        <family val="2"/>
      </rPr>
      <t>e (lb/MWh)</t>
    </r>
  </si>
  <si>
    <t>CO2e (kg/kWh)</t>
  </si>
  <si>
    <t>Office station electricity consumption</t>
  </si>
  <si>
    <t>Watts</t>
  </si>
  <si>
    <t>Number of visits</t>
  </si>
  <si>
    <t>Average length of visit (minutes)</t>
  </si>
  <si>
    <t>1 kg =</t>
  </si>
  <si>
    <t>pounds</t>
  </si>
  <si>
    <t xml:space="preserve">Bureau of Transportation Statistics Commute Mode data by percent by state (2021) </t>
  </si>
  <si>
    <t>Assuming average of passenger car, light-duty truck, and motorcycle</t>
  </si>
  <si>
    <t>Assuming average of passenger car and light-duty truck</t>
  </si>
  <si>
    <t>Source: https://www.epa.gov/system/files/documents/2022-04/ghg_emission_factors_hub.pdf</t>
  </si>
  <si>
    <t>Assuming a 2 person carpool. Using the "drove alone" EF divided by 2</t>
  </si>
  <si>
    <t>Using an average of commuter rail, transit rail, and bus Efs</t>
  </si>
  <si>
    <t>Median round-trip commute (mi)</t>
  </si>
  <si>
    <t>kg CO2e per employee per work day</t>
  </si>
  <si>
    <r>
      <t xml:space="preserve">kg CO2e per employee mile or </t>
    </r>
    <r>
      <rPr>
        <b/>
        <sz val="10"/>
        <color theme="1"/>
        <rFont val="Arial"/>
        <family val="2"/>
        <scheme val="minor"/>
      </rPr>
      <t>per day for "worked at home" (assuming 8-hr work day, 150 Watts per workstation and lighting)</t>
    </r>
  </si>
  <si>
    <t>calculated in column D</t>
  </si>
  <si>
    <t>Assumes 140 Watts per workstation and 10 Watts for lighting, 8 hour work day, and State-specific electricity-based EFs (per DEFRA "homeworking" referenced whitepaper "Homeworking emissions Whitepaper"from EcoAct, page 10)</t>
  </si>
  <si>
    <t>- EF updates applied to EEIO factors for Categories 1, 2, 4, 6, 7, and 15. IEA T&amp;D loss factor used in Category 3 calculation updated. Waste, natural gas, and eGrid CCCL factors confirmed up-to-date.</t>
  </si>
  <si>
    <t>- Added custom sections to Categories 1, 2, 4, 5, 6, and 9.</t>
  </si>
  <si>
    <t>- Incorporated homeworking emissions (electricity only) in Category 7 calculations.</t>
  </si>
  <si>
    <t>annual telehealth visits</t>
  </si>
  <si>
    <r>
      <rPr>
        <b/>
        <sz val="10"/>
        <rFont val="Arial"/>
        <family val="2"/>
      </rPr>
      <t xml:space="preserve">Tables 1, 2, and 3 </t>
    </r>
    <r>
      <rPr>
        <sz val="10"/>
        <rFont val="Arial"/>
        <family val="2"/>
      </rPr>
      <t xml:space="preserve">- Estimate emissions associated with any inpatient and outpatient travel (Tables 1 and 2), and remote Telehealth visits. </t>
    </r>
  </si>
  <si>
    <t>- Added televisit emissions to Category 9, incorporated work-from-home emissions into current Category 7 calculations.</t>
  </si>
  <si>
    <r>
      <rPr>
        <b/>
        <sz val="11"/>
        <color theme="1"/>
        <rFont val="Arial"/>
        <family val="2"/>
        <scheme val="minor"/>
      </rPr>
      <t>1.3.0</t>
    </r>
    <r>
      <rPr>
        <sz val="11"/>
        <color theme="1"/>
        <rFont val="Arial"/>
        <family val="2"/>
        <scheme val="minor"/>
      </rPr>
      <t xml:space="preserve"> - January 2023</t>
    </r>
  </si>
  <si>
    <t>Version 1.3 January 2023</t>
  </si>
  <si>
    <t>» Emissions associated with off-site treatment/disposal of regulated medical/infectious waste and hazardous waste (e.g., biohazard, needles/sharps, pathological and large tissue waste, dual infectious plus hazardous waste, cytotoxic drugs and chemotherapy waste, etc.), should be estimated by reporting related spending under the "Waste management and remediation services" option in the Category 1 and 2 (Goods &amp; Services) worksheet.</t>
  </si>
  <si>
    <t>Note: It is optional to add details to the fields below beyond the emission totals in column H. However, for transparency, it is recommended to include as many details as possible to demonstrate how the calculations were performed.</t>
  </si>
  <si>
    <t>US-HIOA (HICC Oahu)</t>
  </si>
  <si>
    <t>Email</t>
  </si>
  <si>
    <t>You are ready to start calculating! Your next steps are:</t>
  </si>
  <si>
    <t xml:space="preserve">Some clarifications: </t>
  </si>
  <si>
    <t>General information</t>
  </si>
  <si>
    <t>State/Province</t>
  </si>
  <si>
    <t>City</t>
  </si>
  <si>
    <t>Type of health care institution</t>
  </si>
  <si>
    <t>US dollar</t>
  </si>
  <si>
    <t>Option 1</t>
  </si>
  <si>
    <t>Actual Data</t>
  </si>
  <si>
    <t>Option 2</t>
  </si>
  <si>
    <t>Estimated / Data not available</t>
  </si>
  <si>
    <t>Option 3</t>
  </si>
  <si>
    <t>Not Estimated / Complex</t>
  </si>
  <si>
    <t>Option 4</t>
  </si>
  <si>
    <t>1.1</t>
  </si>
  <si>
    <t>Stationary Combustion</t>
  </si>
  <si>
    <t>Emissions (kg)</t>
  </si>
  <si>
    <t>Type of fuel</t>
  </si>
  <si>
    <t>Amount Consumed</t>
  </si>
  <si>
    <r>
      <t>CO</t>
    </r>
    <r>
      <rPr>
        <vertAlign val="subscript"/>
        <sz val="11"/>
        <rFont val="Arial"/>
        <family val="2"/>
        <scheme val="minor"/>
      </rPr>
      <t>2</t>
    </r>
  </si>
  <si>
    <r>
      <t>CH</t>
    </r>
    <r>
      <rPr>
        <vertAlign val="subscript"/>
        <sz val="11"/>
        <rFont val="Arial"/>
        <family val="2"/>
        <scheme val="minor"/>
      </rPr>
      <t>4</t>
    </r>
  </si>
  <si>
    <r>
      <t>N</t>
    </r>
    <r>
      <rPr>
        <vertAlign val="subscript"/>
        <sz val="11"/>
        <rFont val="Arial"/>
        <family val="2"/>
        <scheme val="minor"/>
      </rPr>
      <t>2</t>
    </r>
    <r>
      <rPr>
        <sz val="11"/>
        <rFont val="Arial"/>
        <family val="2"/>
        <scheme val="minor"/>
      </rPr>
      <t>O</t>
    </r>
  </si>
  <si>
    <r>
      <t>CO</t>
    </r>
    <r>
      <rPr>
        <vertAlign val="subscript"/>
        <sz val="11"/>
        <rFont val="Arial"/>
        <family val="2"/>
        <scheme val="minor"/>
      </rPr>
      <t>2</t>
    </r>
    <r>
      <rPr>
        <sz val="11"/>
        <rFont val="Arial"/>
        <family val="2"/>
        <scheme val="minor"/>
      </rPr>
      <t>e</t>
    </r>
  </si>
  <si>
    <r>
      <t>m</t>
    </r>
    <r>
      <rPr>
        <vertAlign val="superscript"/>
        <sz val="11"/>
        <color theme="1"/>
        <rFont val="Arial"/>
        <family val="2"/>
        <scheme val="minor"/>
      </rPr>
      <t>3</t>
    </r>
  </si>
  <si>
    <t>Liter</t>
  </si>
  <si>
    <t>gallon</t>
  </si>
  <si>
    <t xml:space="preserve">kg </t>
  </si>
  <si>
    <t>1.2</t>
  </si>
  <si>
    <t>Instructions</t>
  </si>
  <si>
    <t>Percentage of biodiesel blend in diesel (%)</t>
  </si>
  <si>
    <t>Percentage of bioethanol blend in gasoline (%)</t>
  </si>
  <si>
    <t>1.3</t>
  </si>
  <si>
    <t xml:space="preserve">Fugitive Emissions </t>
  </si>
  <si>
    <t>1.3.1</t>
  </si>
  <si>
    <t>Gas or compound</t>
  </si>
  <si>
    <t>Global warming potential (GWP)</t>
  </si>
  <si>
    <t>Total reload (kg)</t>
  </si>
  <si>
    <t>Emissions (kgCO2e)</t>
  </si>
  <si>
    <t>Type of equipment</t>
  </si>
  <si>
    <t>Emissions (%)</t>
  </si>
  <si>
    <t>1.3.2</t>
  </si>
  <si>
    <t>Emissions in CO2e (kg)</t>
  </si>
  <si>
    <t>N2O/O2 - 50/50 vol</t>
  </si>
  <si>
    <t>N2O: 298; O2:0</t>
  </si>
  <si>
    <t>2.1</t>
  </si>
  <si>
    <t>1 - Enter the quantity of electricity consumed (in kWh) in the appropriate column.</t>
  </si>
  <si>
    <t>Grid electricity</t>
  </si>
  <si>
    <t>Consumed quantity</t>
  </si>
  <si>
    <t>2.2</t>
  </si>
  <si>
    <t>United States &amp; Canada</t>
  </si>
  <si>
    <t>1- Enter the amount of steam, chilled or hot water (in kbtu) in the appropriate row and column.</t>
  </si>
  <si>
    <t>Item</t>
  </si>
  <si>
    <t>Steam</t>
  </si>
  <si>
    <t>kbtu</t>
  </si>
  <si>
    <t>Hot Water</t>
  </si>
  <si>
    <t>Chilled Water- Electric Driven Chiller</t>
  </si>
  <si>
    <t>Chilled Water- Absorption Chiller using Natural Gas</t>
  </si>
  <si>
    <t>Chilled Water- Engine-Driven Chiller using Natural Gas</t>
  </si>
  <si>
    <t>Transport</t>
  </si>
  <si>
    <t>3.2</t>
  </si>
  <si>
    <t>3.3</t>
  </si>
  <si>
    <t>No</t>
  </si>
  <si>
    <t>Type</t>
  </si>
  <si>
    <t>Aux I</t>
  </si>
  <si>
    <t>Aux II</t>
  </si>
  <si>
    <t>Aux Sunburst</t>
  </si>
  <si>
    <t>Aux total emissions circular</t>
  </si>
  <si>
    <t>Aux Total emissions</t>
  </si>
  <si>
    <t>Scope 3 / Without extra supply chain</t>
  </si>
  <si>
    <t>Scope 3 / Only extra supply chain</t>
  </si>
  <si>
    <t>Graphics</t>
  </si>
  <si>
    <t>Metrics</t>
  </si>
  <si>
    <t xml:space="preserve"> </t>
  </si>
  <si>
    <t>Instrucciones</t>
  </si>
  <si>
    <t>Type of equipment (select from the list) (*)</t>
  </si>
  <si>
    <r>
      <t xml:space="preserve">Type of gas </t>
    </r>
    <r>
      <rPr>
        <sz val="10"/>
        <rFont val="Calibri (Cuerpo)_x0000_"/>
      </rPr>
      <t>(select from the list) (*)</t>
    </r>
  </si>
  <si>
    <t>Was this equipment removed?</t>
  </si>
  <si>
    <t xml:space="preserve">Was this equipment refilled in the reporting year? </t>
  </si>
  <si>
    <t>How much was the recharge in kilograms or lb? If you don't know, find the density and convert from liters/gallons to kilograms/lb</t>
  </si>
  <si>
    <t>Global Warming Potential</t>
  </si>
  <si>
    <t>Value</t>
  </si>
  <si>
    <t>Quantity reloaded  (*)</t>
  </si>
  <si>
    <t>Unit (select from the list) (*)</t>
  </si>
  <si>
    <t>Quantity reloaded</t>
  </si>
  <si>
    <t>Freezer</t>
  </si>
  <si>
    <t>HFC-134a</t>
  </si>
  <si>
    <t>Yes</t>
  </si>
  <si>
    <t>Calculations</t>
  </si>
  <si>
    <t>Anesthetic Agent</t>
  </si>
  <si>
    <t>Bottle Size (ml)</t>
  </si>
  <si>
    <t>Number of Bottles</t>
  </si>
  <si>
    <t>Gas</t>
  </si>
  <si>
    <t>Amount of Gas</t>
  </si>
  <si>
    <t>ml</t>
  </si>
  <si>
    <t>liters</t>
  </si>
  <si>
    <t>Density</t>
  </si>
  <si>
    <t>Emissions</t>
  </si>
  <si>
    <t>Bottle Size 1</t>
  </si>
  <si>
    <t>Bottle Size 2</t>
  </si>
  <si>
    <t>Bottle Size 3</t>
  </si>
  <si>
    <t>Density (kg/l)</t>
  </si>
  <si>
    <t>kgCO2e</t>
  </si>
  <si>
    <t>MCF</t>
  </si>
  <si>
    <t>Referencias</t>
  </si>
  <si>
    <t>MSW composition and parameters</t>
  </si>
  <si>
    <t>Cantidad de residuos depositados (kg)</t>
  </si>
  <si>
    <t>(17)</t>
  </si>
  <si>
    <t xml:space="preserve">Material </t>
  </si>
  <si>
    <t>Waste fraction (%) (wf)</t>
  </si>
  <si>
    <t>DOC en residuos humedos (%)</t>
  </si>
  <si>
    <t>Dry matter content in % of wet weight (dm)</t>
  </si>
  <si>
    <t>Total carbon content in % of dry weight (cf)</t>
  </si>
  <si>
    <t>Fraction of fossil carbon in the total carbon (fcf)</t>
  </si>
  <si>
    <t>wf*dm*cf*fcf*of (1)</t>
  </si>
  <si>
    <t>Tipo de disposición</t>
  </si>
  <si>
    <t>Garbage dump</t>
  </si>
  <si>
    <t>Paper/ cardboard</t>
  </si>
  <si>
    <t>(20)</t>
  </si>
  <si>
    <t>(33)</t>
  </si>
  <si>
    <t>Factor de corrección de metano</t>
  </si>
  <si>
    <t>Do not know</t>
  </si>
  <si>
    <t>Textiles</t>
  </si>
  <si>
    <t>Food waste</t>
  </si>
  <si>
    <t>Garden and Park waste</t>
  </si>
  <si>
    <t>Nappies</t>
  </si>
  <si>
    <t>Other</t>
  </si>
  <si>
    <t>k=</t>
  </si>
  <si>
    <t>(18)</t>
  </si>
  <si>
    <t xml:space="preserve">A= Factor de normalización = (1-e(-k))/k = </t>
  </si>
  <si>
    <t>Estimado</t>
  </si>
  <si>
    <t>(1): the oxidation factor (of) is assumed = 1</t>
  </si>
  <si>
    <r>
      <t>DOC</t>
    </r>
    <r>
      <rPr>
        <vertAlign val="subscript"/>
        <sz val="10"/>
        <rFont val="Arial"/>
        <family val="2"/>
        <scheme val="minor"/>
      </rPr>
      <t xml:space="preserve">f  </t>
    </r>
    <r>
      <rPr>
        <sz val="10"/>
        <rFont val="Arial"/>
        <family val="2"/>
        <scheme val="minor"/>
      </rPr>
      <t>[adimensional]=</t>
    </r>
  </si>
  <si>
    <t>(19)</t>
  </si>
  <si>
    <t>16/12 [adimensional]=</t>
  </si>
  <si>
    <t>F [adimensional]=</t>
  </si>
  <si>
    <r>
      <t>Q (kg CH4) = A . k . MSW</t>
    </r>
    <r>
      <rPr>
        <b/>
        <vertAlign val="subscript"/>
        <sz val="10"/>
        <rFont val="Arial"/>
        <family val="2"/>
        <scheme val="minor"/>
      </rPr>
      <t>t</t>
    </r>
    <r>
      <rPr>
        <b/>
        <sz val="10"/>
        <rFont val="Arial"/>
        <family val="2"/>
        <scheme val="minor"/>
      </rPr>
      <t xml:space="preserve"> . MSW</t>
    </r>
    <r>
      <rPr>
        <b/>
        <vertAlign val="subscript"/>
        <sz val="10"/>
        <rFont val="Arial"/>
        <family val="2"/>
        <scheme val="minor"/>
      </rPr>
      <t>f</t>
    </r>
    <r>
      <rPr>
        <b/>
        <sz val="10"/>
        <rFont val="Arial"/>
        <family val="2"/>
        <scheme val="minor"/>
      </rPr>
      <t xml:space="preserve"> . MCF . DOC . DOC</t>
    </r>
    <r>
      <rPr>
        <b/>
        <vertAlign val="subscript"/>
        <sz val="10"/>
        <rFont val="Arial"/>
        <family val="2"/>
        <scheme val="minor"/>
      </rPr>
      <t>f</t>
    </r>
    <r>
      <rPr>
        <b/>
        <sz val="10"/>
        <rFont val="Arial"/>
        <family val="2"/>
        <scheme val="minor"/>
      </rPr>
      <t xml:space="preserve"> . F . 16/12  =</t>
    </r>
  </si>
  <si>
    <t>Año</t>
  </si>
  <si>
    <t>Name of the parameter</t>
  </si>
  <si>
    <t>Source category where this parameter is used</t>
  </si>
  <si>
    <t>Year of the value</t>
  </si>
  <si>
    <t>Reference</t>
  </si>
  <si>
    <t>Additional information (ie. comments, clarifications, etc.)</t>
  </si>
  <si>
    <t>Family/ Type</t>
  </si>
  <si>
    <t>GWP (Global Warming Potential)</t>
  </si>
  <si>
    <t>Classification</t>
  </si>
  <si>
    <t>Density (kg/m3)</t>
  </si>
  <si>
    <t>Comments</t>
  </si>
  <si>
    <t>Fuel oil/Bunker</t>
  </si>
  <si>
    <t>Fuel unit</t>
  </si>
  <si>
    <t>Low heating value [MJ/Kg]</t>
  </si>
  <si>
    <t>EF Mobile Combustion - CO2 [gCO2/MJ]</t>
  </si>
  <si>
    <t>FE Mobile Combustion  -  CH4 [gCH4/MJ]</t>
  </si>
  <si>
    <t>FE Mobile Combustion  -  N2O [gN2O/MJ]</t>
  </si>
  <si>
    <t>EF CO2 [gCO2/(passenger*km)] *</t>
  </si>
  <si>
    <t>EF CH4 [gCH4/(passenger*km)] *</t>
  </si>
  <si>
    <t>EF N2O [gN2O/(passenger*km)] *</t>
  </si>
  <si>
    <t>Compost</t>
  </si>
  <si>
    <t>EF [g gas/Kg de desecho húmedo]</t>
  </si>
  <si>
    <t>Vehicles for business trips</t>
  </si>
  <si>
    <t>Vehicles for the transfer of personnel and patients</t>
  </si>
  <si>
    <t>Service hours</t>
  </si>
  <si>
    <t>Reason to visit</t>
  </si>
  <si>
    <t>Sample period</t>
  </si>
  <si>
    <t>Times factor</t>
  </si>
  <si>
    <t>Type of cooling equipment</t>
  </si>
  <si>
    <t>Grid emission factor</t>
  </si>
  <si>
    <t>T&amp;D losses</t>
  </si>
  <si>
    <t>Biofuel blends</t>
  </si>
  <si>
    <t>Composition of waste by type of material [%]</t>
  </si>
  <si>
    <t>Region</t>
  </si>
  <si>
    <t>GHG sources categories</t>
  </si>
  <si>
    <t>Yes/No</t>
  </si>
  <si>
    <t>SI</t>
  </si>
  <si>
    <t>non SI unit</t>
  </si>
  <si>
    <t>Volume and/or liquid fuels (gasoline, diesel, fuel oil, kerosene, biodiesel)</t>
  </si>
  <si>
    <t>Solid fuels (coal, wood) or activity data (ie. Waste)</t>
  </si>
  <si>
    <t>In situ / Ex situ</t>
  </si>
  <si>
    <t>Inhaler</t>
  </si>
  <si>
    <t>Refrigerant storage capacity / Unit options</t>
  </si>
  <si>
    <t>WIOD Mapping</t>
  </si>
  <si>
    <t>Currency Table</t>
  </si>
  <si>
    <t>District energy</t>
  </si>
  <si>
    <t>Continent/Region</t>
  </si>
  <si>
    <t>Sub-region</t>
  </si>
  <si>
    <t>Value (g/kWh)</t>
  </si>
  <si>
    <t>Value (%)</t>
  </si>
  <si>
    <t>Biodiesel (%)</t>
  </si>
  <si>
    <t>Bioethanol (%)</t>
  </si>
  <si>
    <t>District Steam</t>
  </si>
  <si>
    <t>District Hot Water</t>
  </si>
  <si>
    <t>Pregunto</t>
  </si>
  <si>
    <t>non-SI unit</t>
  </si>
  <si>
    <t>Emissiones per dose (kgCO2e/dose)</t>
  </si>
  <si>
    <t>WIOD Country</t>
  </si>
  <si>
    <t>Country  Code</t>
  </si>
  <si>
    <t>Currency Name</t>
  </si>
  <si>
    <t>Source options</t>
  </si>
  <si>
    <t>CH4</t>
  </si>
  <si>
    <t>-</t>
  </si>
  <si>
    <t>(5)</t>
  </si>
  <si>
    <r>
      <t>m</t>
    </r>
    <r>
      <rPr>
        <vertAlign val="superscript"/>
        <sz val="10"/>
        <color theme="1"/>
        <rFont val="Arial"/>
        <family val="2"/>
        <scheme val="minor"/>
      </rPr>
      <t>3</t>
    </r>
  </si>
  <si>
    <t>Also used as CNG (Compressed Natural Gas) in mobile combustion.</t>
  </si>
  <si>
    <t>Private car (diesel)</t>
  </si>
  <si>
    <t>(8)</t>
  </si>
  <si>
    <t>Medical consultations and outpatient procedures</t>
  </si>
  <si>
    <t>7 days</t>
  </si>
  <si>
    <t>Centralized equipment</t>
  </si>
  <si>
    <t>Asia</t>
  </si>
  <si>
    <t>(CE#8)</t>
  </si>
  <si>
    <t>(CE#25) Middle East &amp; North Africa value.</t>
  </si>
  <si>
    <t>(12)</t>
  </si>
  <si>
    <t>Eastern Asia</t>
  </si>
  <si>
    <t>m3</t>
  </si>
  <si>
    <t>mmBTU</t>
  </si>
  <si>
    <t>(32)</t>
  </si>
  <si>
    <t>liter</t>
  </si>
  <si>
    <t>In situ</t>
  </si>
  <si>
    <t>MDI</t>
  </si>
  <si>
    <t>(34)</t>
  </si>
  <si>
    <t>ROW</t>
  </si>
  <si>
    <t>Afghanistan afghani</t>
  </si>
  <si>
    <t>AFA</t>
  </si>
  <si>
    <t>Geothermal</t>
  </si>
  <si>
    <t>N2O</t>
  </si>
  <si>
    <t>Anesthetic</t>
  </si>
  <si>
    <t>(30)</t>
  </si>
  <si>
    <t>Density at 15ºC and atmosferic pression (1 bar)</t>
  </si>
  <si>
    <t>Liquefied Petroleum Gases (LPG)</t>
  </si>
  <si>
    <t>Private car (gasoline)</t>
  </si>
  <si>
    <t>Internment</t>
  </si>
  <si>
    <t>1 month</t>
  </si>
  <si>
    <t>Extinguisher</t>
  </si>
  <si>
    <t>Europe</t>
  </si>
  <si>
    <t xml:space="preserve">(CE#25) </t>
  </si>
  <si>
    <t>South-Central Asia</t>
  </si>
  <si>
    <t>SCF</t>
  </si>
  <si>
    <t>Ex situ</t>
  </si>
  <si>
    <t>DPI</t>
  </si>
  <si>
    <t>Albanian lek</t>
  </si>
  <si>
    <t>ALL</t>
  </si>
  <si>
    <t>Isoflurane</t>
  </si>
  <si>
    <t>(29)</t>
  </si>
  <si>
    <t>"Motor gasoline" values.</t>
  </si>
  <si>
    <t>Private car (CNG)</t>
  </si>
  <si>
    <t>(24)</t>
  </si>
  <si>
    <t>Se toma "Passenger Car - CNG - Engine Size Unknown". No se encontraron FE para CH4 y N2O.</t>
  </si>
  <si>
    <t>(16)</t>
  </si>
  <si>
    <t>Withdrawal from studies or medication</t>
  </si>
  <si>
    <t>Annual</t>
  </si>
  <si>
    <t>Africa</t>
  </si>
  <si>
    <t>South-Eastern Asia</t>
  </si>
  <si>
    <t>metric ton</t>
  </si>
  <si>
    <t>Algerian dinar</t>
  </si>
  <si>
    <t>DZD</t>
  </si>
  <si>
    <t>Incineration - WTE</t>
  </si>
  <si>
    <t>Sevoflurane</t>
  </si>
  <si>
    <t>Plane - Short</t>
  </si>
  <si>
    <t>(10)</t>
  </si>
  <si>
    <t>Plane</t>
  </si>
  <si>
    <t>Shift request</t>
  </si>
  <si>
    <t>Freezer / Vaccines</t>
  </si>
  <si>
    <t>Oceania</t>
  </si>
  <si>
    <t>(CE#25) East Asia &amp; Pacific value.</t>
  </si>
  <si>
    <t>Western Asia &amp; Middle East</t>
  </si>
  <si>
    <t>Angolan kwanza reajustado</t>
  </si>
  <si>
    <t>AOR</t>
  </si>
  <si>
    <t>Desflurane</t>
  </si>
  <si>
    <t>"Residual Fuel Oil" values.</t>
  </si>
  <si>
    <t>Plane - Medium</t>
  </si>
  <si>
    <t>Emergencies</t>
  </si>
  <si>
    <t>Mini split</t>
  </si>
  <si>
    <t>(CE#25) European Union value.</t>
  </si>
  <si>
    <t>Eastern Africa</t>
  </si>
  <si>
    <t>Argentine peso</t>
  </si>
  <si>
    <t>ARS</t>
  </si>
  <si>
    <t>Solar thermal</t>
  </si>
  <si>
    <t>(31)</t>
  </si>
  <si>
    <t>Kerosene</t>
  </si>
  <si>
    <t>"Other Kerosene" values.</t>
  </si>
  <si>
    <t>Plane - Long</t>
  </si>
  <si>
    <t>Visits</t>
  </si>
  <si>
    <t>Multi Split</t>
  </si>
  <si>
    <t>Middle Africa</t>
  </si>
  <si>
    <t>Armenian dram</t>
  </si>
  <si>
    <t>AMD</t>
  </si>
  <si>
    <t>HFC-23</t>
  </si>
  <si>
    <t>HFC</t>
  </si>
  <si>
    <t>Refrigerant</t>
  </si>
  <si>
    <t>"Other Bituminous Coal" values.</t>
  </si>
  <si>
    <t>(9)</t>
  </si>
  <si>
    <t>Others (meetings, payments, etc.)</t>
  </si>
  <si>
    <t>Refrigerator</t>
  </si>
  <si>
    <t>Americas</t>
  </si>
  <si>
    <t>(CE#25) Caribbean small states value.</t>
  </si>
  <si>
    <t>Northern Africa</t>
  </si>
  <si>
    <t>only for LPG (24)</t>
  </si>
  <si>
    <t>Aruban guilder</t>
  </si>
  <si>
    <t>AWG</t>
  </si>
  <si>
    <t>Do not know it</t>
  </si>
  <si>
    <t>HFC-32</t>
  </si>
  <si>
    <t>"Wood/Wood Waste" values.</t>
  </si>
  <si>
    <t>Long distance bus</t>
  </si>
  <si>
    <t>Refrigerator / Vaccines</t>
  </si>
  <si>
    <t>Southern Africa</t>
  </si>
  <si>
    <t>Australian dollar</t>
  </si>
  <si>
    <t>AUD</t>
  </si>
  <si>
    <t>HFC-41</t>
  </si>
  <si>
    <t>Private SUV or truck (diesel)</t>
  </si>
  <si>
    <t>Vending machine</t>
  </si>
  <si>
    <t>(CE#1)</t>
  </si>
  <si>
    <t>CB#3;CB#4</t>
  </si>
  <si>
    <t>(11)</t>
  </si>
  <si>
    <t>Western Africa</t>
  </si>
  <si>
    <t>Azerbaijanian new manat</t>
  </si>
  <si>
    <t>AZN</t>
  </si>
  <si>
    <t>HFC-125</t>
  </si>
  <si>
    <t>Biogasoline/Bioethanol</t>
  </si>
  <si>
    <t>"Biogasoline" values.</t>
  </si>
  <si>
    <t>Private SUV (gasolina)</t>
  </si>
  <si>
    <t>Eastern Europe</t>
  </si>
  <si>
    <t>Bahamian dollar</t>
  </si>
  <si>
    <t>BSD</t>
  </si>
  <si>
    <t>HFC-134</t>
  </si>
  <si>
    <t xml:space="preserve">(24); (25); (26)  </t>
  </si>
  <si>
    <t>(1)</t>
  </si>
  <si>
    <t>(2)</t>
  </si>
  <si>
    <t>(3)</t>
  </si>
  <si>
    <t>(4)</t>
  </si>
  <si>
    <t>Private SUC or truck (CNG)</t>
  </si>
  <si>
    <t>(24); (8); (8)</t>
  </si>
  <si>
    <t>Northern Europe</t>
  </si>
  <si>
    <t>Bahraini dinar</t>
  </si>
  <si>
    <t>BHD</t>
  </si>
  <si>
    <t>Subway</t>
  </si>
  <si>
    <t>(CE#22)</t>
  </si>
  <si>
    <t>Southern Europe</t>
  </si>
  <si>
    <t>Bangladeshi taka</t>
  </si>
  <si>
    <t>BDT</t>
  </si>
  <si>
    <t>HFC-143</t>
  </si>
  <si>
    <t>Motorbike</t>
  </si>
  <si>
    <t>Western Europe</t>
  </si>
  <si>
    <t>Barbados dollar</t>
  </si>
  <si>
    <t>BBD</t>
  </si>
  <si>
    <t>HFC-143a</t>
  </si>
  <si>
    <t>Taxi</t>
  </si>
  <si>
    <t>Australia and New Zealand</t>
  </si>
  <si>
    <t>Belarusian ruble</t>
  </si>
  <si>
    <t>BYN</t>
  </si>
  <si>
    <t>HFC-152</t>
  </si>
  <si>
    <t>Train</t>
  </si>
  <si>
    <t>Rest of Oceania</t>
  </si>
  <si>
    <t>Belize dollar</t>
  </si>
  <si>
    <t>BZD</t>
  </si>
  <si>
    <t>HFC-152a</t>
  </si>
  <si>
    <t>North America</t>
  </si>
  <si>
    <t>Bermudian dollar</t>
  </si>
  <si>
    <t>BMD</t>
  </si>
  <si>
    <t>HFC-161</t>
  </si>
  <si>
    <t>Central America</t>
  </si>
  <si>
    <t>Bhutan ngultrum</t>
  </si>
  <si>
    <t>BTN</t>
  </si>
  <si>
    <t>HFC-227ea</t>
  </si>
  <si>
    <t>Classification of types of flights</t>
  </si>
  <si>
    <t>From (km)</t>
  </si>
  <si>
    <t>To (km)</t>
  </si>
  <si>
    <t>South America</t>
  </si>
  <si>
    <t>Bolivian boliviano</t>
  </si>
  <si>
    <t>BOB</t>
  </si>
  <si>
    <t>HFC-236cb</t>
  </si>
  <si>
    <t>Short</t>
  </si>
  <si>
    <t>(23)</t>
  </si>
  <si>
    <t>Caribbean</t>
  </si>
  <si>
    <t>Botswana pula</t>
  </si>
  <si>
    <t>BWP</t>
  </si>
  <si>
    <t>HFC-236ea</t>
  </si>
  <si>
    <t>Medium</t>
  </si>
  <si>
    <t>(10) ; (23)</t>
  </si>
  <si>
    <t>Brazilian real</t>
  </si>
  <si>
    <t>BRL</t>
  </si>
  <si>
    <t>HFC-236fa</t>
  </si>
  <si>
    <t>Long</t>
  </si>
  <si>
    <t>No upper limit</t>
  </si>
  <si>
    <t>(CE#7)</t>
  </si>
  <si>
    <t>CB#1</t>
  </si>
  <si>
    <t>British pound</t>
  </si>
  <si>
    <t>GBP</t>
  </si>
  <si>
    <t>HFC-245ca</t>
  </si>
  <si>
    <t>Brunei dollar</t>
  </si>
  <si>
    <t>BND</t>
  </si>
  <si>
    <t>HFC-245fa</t>
  </si>
  <si>
    <t>1 mile =</t>
  </si>
  <si>
    <t>km</t>
  </si>
  <si>
    <t>(CE#25) Portugal value.</t>
  </si>
  <si>
    <t>Bulgarian lev</t>
  </si>
  <si>
    <t>BGN</t>
  </si>
  <si>
    <t>HFC-365mfc</t>
  </si>
  <si>
    <t>Burundi franc</t>
  </si>
  <si>
    <t>BIF</t>
  </si>
  <si>
    <t>HFC-43-10mee</t>
  </si>
  <si>
    <t>Cambodian riel</t>
  </si>
  <si>
    <t>KHR</t>
  </si>
  <si>
    <t>SF6</t>
  </si>
  <si>
    <t>Canadian dollar</t>
  </si>
  <si>
    <t>CAD</t>
  </si>
  <si>
    <t>NF3</t>
  </si>
  <si>
    <t>Cape Verde escudo</t>
  </si>
  <si>
    <t>CVE</t>
  </si>
  <si>
    <t>PFC-14</t>
  </si>
  <si>
    <t>PFC</t>
  </si>
  <si>
    <t>Cayman Islands dollar</t>
  </si>
  <si>
    <t>KYD</t>
  </si>
  <si>
    <t>PFC-116</t>
  </si>
  <si>
    <t>CFA franc BCEAO</t>
  </si>
  <si>
    <t>XOF</t>
  </si>
  <si>
    <t>PFC-218</t>
  </si>
  <si>
    <t>(CE#25) Latin America &amp; Caribbean value.</t>
  </si>
  <si>
    <t>CFA franc BEAC</t>
  </si>
  <si>
    <t>XAF</t>
  </si>
  <si>
    <t>PFC-318</t>
  </si>
  <si>
    <t>(CE#25) Middle East &amp; North Africa</t>
  </si>
  <si>
    <t>CFP franc</t>
  </si>
  <si>
    <t>XPF</t>
  </si>
  <si>
    <t>PFC-3-1-10</t>
  </si>
  <si>
    <t>Chilean peso</t>
  </si>
  <si>
    <t>CLP</t>
  </si>
  <si>
    <t>PFC-4-1-12</t>
  </si>
  <si>
    <t>(CE#25) South Asia value.</t>
  </si>
  <si>
    <t>Chinese yuan renminbi</t>
  </si>
  <si>
    <t>CNY</t>
  </si>
  <si>
    <t>PFC-5-1-14</t>
  </si>
  <si>
    <t>Colombian peso</t>
  </si>
  <si>
    <t>COP</t>
  </si>
  <si>
    <t>PFC-9-1-18</t>
  </si>
  <si>
    <t>Comoros franc</t>
  </si>
  <si>
    <t>KMF</t>
  </si>
  <si>
    <t>Trifluoromethyl Sulfur pentafluoride</t>
  </si>
  <si>
    <t>Congolese franc</t>
  </si>
  <si>
    <t>CDF</t>
  </si>
  <si>
    <t>Perfluorocyclopropane</t>
  </si>
  <si>
    <t>(CE#12)</t>
  </si>
  <si>
    <t>Costa Rican colon</t>
  </si>
  <si>
    <t>CRC</t>
  </si>
  <si>
    <t>R-11</t>
  </si>
  <si>
    <t>CFC</t>
  </si>
  <si>
    <t>Croatian kuna</t>
  </si>
  <si>
    <t>HRK</t>
  </si>
  <si>
    <t>R-12</t>
  </si>
  <si>
    <t>(5) ; (26)</t>
  </si>
  <si>
    <t>Cuban peso</t>
  </si>
  <si>
    <t>CUP</t>
  </si>
  <si>
    <t>R-22</t>
  </si>
  <si>
    <t>HCFC</t>
  </si>
  <si>
    <t>Bulgaria</t>
  </si>
  <si>
    <t>Czech koruna</t>
  </si>
  <si>
    <t>CZK</t>
  </si>
  <si>
    <t>R-44</t>
  </si>
  <si>
    <t>Burkina Faso</t>
  </si>
  <si>
    <t>Danish krone</t>
  </si>
  <si>
    <t>DKK</t>
  </si>
  <si>
    <t>R-123</t>
  </si>
  <si>
    <t>Burundi</t>
  </si>
  <si>
    <t>(CE#25) Sub-Saharan Africa value.</t>
  </si>
  <si>
    <t>Djibouti franc</t>
  </si>
  <si>
    <t>DJF</t>
  </si>
  <si>
    <t>R-290</t>
  </si>
  <si>
    <t>HC</t>
  </si>
  <si>
    <t>(51)</t>
  </si>
  <si>
    <t>Propane</t>
  </si>
  <si>
    <t>Cambodia</t>
  </si>
  <si>
    <t>Dominican peso</t>
  </si>
  <si>
    <t>DOP</t>
  </si>
  <si>
    <t>R-400</t>
  </si>
  <si>
    <t>Compuesto*</t>
  </si>
  <si>
    <t>(5) ; (6)</t>
  </si>
  <si>
    <t>Cameroon</t>
  </si>
  <si>
    <t>East Caribbean dollar</t>
  </si>
  <si>
    <t>XCD</t>
  </si>
  <si>
    <t>R-401A</t>
  </si>
  <si>
    <t>Canada-Alberta (AB)</t>
  </si>
  <si>
    <t>(CE#23)</t>
  </si>
  <si>
    <t>kgCO2e/kbtu</t>
  </si>
  <si>
    <t>CH#1</t>
  </si>
  <si>
    <t>Egyptian pound</t>
  </si>
  <si>
    <t>EGP</t>
  </si>
  <si>
    <t>R-401B</t>
  </si>
  <si>
    <t>Canada-British Columbia (BC)</t>
  </si>
  <si>
    <t>El Salvador colon</t>
  </si>
  <si>
    <t>SVC</t>
  </si>
  <si>
    <t>R-401C</t>
  </si>
  <si>
    <t>Canada-Manitoba (MT)</t>
  </si>
  <si>
    <t>Eritrean nakfa</t>
  </si>
  <si>
    <t>ERN</t>
  </si>
  <si>
    <t>R-402A</t>
  </si>
  <si>
    <t>Canada-New Brunswick (NB)</t>
  </si>
  <si>
    <t>Estonian kroon</t>
  </si>
  <si>
    <t>EEK</t>
  </si>
  <si>
    <t>R-402B</t>
  </si>
  <si>
    <t>Canada-Newfoundland and Labrador (NL)</t>
  </si>
  <si>
    <t>Ethiopian birr</t>
  </si>
  <si>
    <t>ETB</t>
  </si>
  <si>
    <t>R-403A</t>
  </si>
  <si>
    <t>Canada-Nova Scotia (NS)</t>
  </si>
  <si>
    <t>EU euro</t>
  </si>
  <si>
    <t>EUR</t>
  </si>
  <si>
    <t>R-403B</t>
  </si>
  <si>
    <t>Canada-Northwest Territories (NT)</t>
  </si>
  <si>
    <t>Fiji dollar</t>
  </si>
  <si>
    <t>FJD</t>
  </si>
  <si>
    <t>R-404A</t>
  </si>
  <si>
    <t>Canada-Nunavut (NU)</t>
  </si>
  <si>
    <t>Gambian dalasi</t>
  </si>
  <si>
    <t>GMD</t>
  </si>
  <si>
    <t>R-406A</t>
  </si>
  <si>
    <t>Canada-Ontario (ON)</t>
  </si>
  <si>
    <t>Georgian lari</t>
  </si>
  <si>
    <t>GEL</t>
  </si>
  <si>
    <t>R-407A</t>
  </si>
  <si>
    <t>Canada-Prince Edward Island (PE)</t>
  </si>
  <si>
    <t>Ghanaian new cedi</t>
  </si>
  <si>
    <t>GHS</t>
  </si>
  <si>
    <t>R-407B</t>
  </si>
  <si>
    <t>Canada-Quebec (QC)</t>
  </si>
  <si>
    <t>Gibraltar pound</t>
  </si>
  <si>
    <t>GIP</t>
  </si>
  <si>
    <t>R-407C</t>
  </si>
  <si>
    <t>Canada-Saskatchewan (SK)</t>
  </si>
  <si>
    <t>Gold franc</t>
  </si>
  <si>
    <t>XFO</t>
  </si>
  <si>
    <t>R-407D</t>
  </si>
  <si>
    <t>Canada-Yukon Territory (YT)</t>
  </si>
  <si>
    <t>Guatemalan quetzal</t>
  </si>
  <si>
    <t>GTQ</t>
  </si>
  <si>
    <t>R-407E</t>
  </si>
  <si>
    <t>Canary Islands (Spain)</t>
  </si>
  <si>
    <t>Guinean franc</t>
  </si>
  <si>
    <t>GNF</t>
  </si>
  <si>
    <t>R-407F</t>
  </si>
  <si>
    <t>Cape Verde</t>
  </si>
  <si>
    <t>Guyana dollar</t>
  </si>
  <si>
    <t>GYD</t>
  </si>
  <si>
    <t>R-408A</t>
  </si>
  <si>
    <t>Cayman Islands</t>
  </si>
  <si>
    <t>Haitian gourde</t>
  </si>
  <si>
    <t>HTG</t>
  </si>
  <si>
    <t>R-409A</t>
  </si>
  <si>
    <t>Central African Republic</t>
  </si>
  <si>
    <t>Honduran lempira</t>
  </si>
  <si>
    <t>HNL</t>
  </si>
  <si>
    <t>R-409B</t>
  </si>
  <si>
    <t>Chad</t>
  </si>
  <si>
    <t>Hong Kong SAR dollar</t>
  </si>
  <si>
    <t>HKD</t>
  </si>
  <si>
    <t>R-410A</t>
  </si>
  <si>
    <t>Channel Islands</t>
  </si>
  <si>
    <t>Hungarian forint</t>
  </si>
  <si>
    <t>HUF</t>
  </si>
  <si>
    <t>R-410B</t>
  </si>
  <si>
    <t>Chile</t>
  </si>
  <si>
    <t>(CE#11)</t>
  </si>
  <si>
    <t>Icelandic krona</t>
  </si>
  <si>
    <t>ISK</t>
  </si>
  <si>
    <t>R-411A</t>
  </si>
  <si>
    <t>China</t>
  </si>
  <si>
    <t>(CE#13)</t>
  </si>
  <si>
    <t>CB#5</t>
  </si>
  <si>
    <t>Indian rupee</t>
  </si>
  <si>
    <t>INR</t>
  </si>
  <si>
    <t>R-411B</t>
  </si>
  <si>
    <t>Colombia</t>
  </si>
  <si>
    <t>(CE#2)</t>
  </si>
  <si>
    <t>Indonesian rupiah</t>
  </si>
  <si>
    <t>IDR</t>
  </si>
  <si>
    <t>R-412A</t>
  </si>
  <si>
    <t>Comoros</t>
  </si>
  <si>
    <t>Iranian rial</t>
  </si>
  <si>
    <t>IRR</t>
  </si>
  <si>
    <t>R-413A</t>
  </si>
  <si>
    <t>Congo. Democratic Republic of</t>
  </si>
  <si>
    <t>Iraqi dinar</t>
  </si>
  <si>
    <t>IQD</t>
  </si>
  <si>
    <t>R-414A</t>
  </si>
  <si>
    <t>Congo. Republic of</t>
  </si>
  <si>
    <t>Israeli new shekel</t>
  </si>
  <si>
    <t>ILS</t>
  </si>
  <si>
    <t>R-414B</t>
  </si>
  <si>
    <t>Cook Islands</t>
  </si>
  <si>
    <t>Jamaican dollar</t>
  </si>
  <si>
    <t>JMD</t>
  </si>
  <si>
    <t>R-415A</t>
  </si>
  <si>
    <t>Costa Rica</t>
  </si>
  <si>
    <t>(CE#3)</t>
  </si>
  <si>
    <t>(13)</t>
  </si>
  <si>
    <t>Japanese yen</t>
  </si>
  <si>
    <t>JPY</t>
  </si>
  <si>
    <t>R-415B</t>
  </si>
  <si>
    <t>Côte d'Ivoire</t>
  </si>
  <si>
    <t>Jordanian dinar</t>
  </si>
  <si>
    <t>JOD</t>
  </si>
  <si>
    <t>R-416A</t>
  </si>
  <si>
    <t>Croatia</t>
  </si>
  <si>
    <t>Kazakh tenge</t>
  </si>
  <si>
    <t>KZT</t>
  </si>
  <si>
    <t>R-417A</t>
  </si>
  <si>
    <t>Cuba</t>
  </si>
  <si>
    <t>Kenyan shilling</t>
  </si>
  <si>
    <t>KES</t>
  </si>
  <si>
    <t>R-417B</t>
  </si>
  <si>
    <t>Curaçao (Netherlands)</t>
  </si>
  <si>
    <t>Kuwaiti dinar</t>
  </si>
  <si>
    <t>KWD</t>
  </si>
  <si>
    <t>R-417C</t>
  </si>
  <si>
    <t>Cyprus</t>
  </si>
  <si>
    <t>Kyrgyz som</t>
  </si>
  <si>
    <t>KGS</t>
  </si>
  <si>
    <t>R-418A</t>
  </si>
  <si>
    <t>Czechia</t>
  </si>
  <si>
    <t>Lao kip</t>
  </si>
  <si>
    <t>LAK</t>
  </si>
  <si>
    <t>R-419A</t>
  </si>
  <si>
    <t>Denmark</t>
  </si>
  <si>
    <t>Latvian lats</t>
  </si>
  <si>
    <t>LVL</t>
  </si>
  <si>
    <t>R-419B</t>
  </si>
  <si>
    <t>Djibouti</t>
  </si>
  <si>
    <t>Lebanese pound</t>
  </si>
  <si>
    <t>LBP</t>
  </si>
  <si>
    <t>R-420A</t>
  </si>
  <si>
    <t>Dominica</t>
  </si>
  <si>
    <t>Lesotho loti</t>
  </si>
  <si>
    <t>LSL</t>
  </si>
  <si>
    <t>R-421A</t>
  </si>
  <si>
    <t>Dominican Republic</t>
  </si>
  <si>
    <t>Liberian dollar</t>
  </si>
  <si>
    <t>LRD</t>
  </si>
  <si>
    <t>R-421B</t>
  </si>
  <si>
    <t>Ecuador</t>
  </si>
  <si>
    <t>Libyan dinar</t>
  </si>
  <si>
    <t>LYD</t>
  </si>
  <si>
    <t>R-422A</t>
  </si>
  <si>
    <t>Egypt</t>
  </si>
  <si>
    <t>Lithuanian litas</t>
  </si>
  <si>
    <t>LTL</t>
  </si>
  <si>
    <t>R-422B</t>
  </si>
  <si>
    <t>El Salvador</t>
  </si>
  <si>
    <t>Macao SAR pataca</t>
  </si>
  <si>
    <t>MOP</t>
  </si>
  <si>
    <t>R-422C</t>
  </si>
  <si>
    <t>Equatorial Guinea</t>
  </si>
  <si>
    <t>Macedonian denar</t>
  </si>
  <si>
    <t>MKD</t>
  </si>
  <si>
    <t>R-422D</t>
  </si>
  <si>
    <t>Eritrea</t>
  </si>
  <si>
    <t>Malagasy ariary</t>
  </si>
  <si>
    <t>MGA</t>
  </si>
  <si>
    <t>R-422E</t>
  </si>
  <si>
    <t>Estonia</t>
  </si>
  <si>
    <t>Malawi kwacha</t>
  </si>
  <si>
    <t>MWK</t>
  </si>
  <si>
    <t>R-423A</t>
  </si>
  <si>
    <t>Eswatini</t>
  </si>
  <si>
    <t>Malaysian ringgit</t>
  </si>
  <si>
    <t>MYR</t>
  </si>
  <si>
    <t>R-424A</t>
  </si>
  <si>
    <t>Ethiopia</t>
  </si>
  <si>
    <t>Maldivian rufiyaa</t>
  </si>
  <si>
    <t>MVR</t>
  </si>
  <si>
    <t>R-425A</t>
  </si>
  <si>
    <t>Faroe Islands (Denmark)</t>
  </si>
  <si>
    <t>Mauritanian ouguiya</t>
  </si>
  <si>
    <t>MRO</t>
  </si>
  <si>
    <t>R-426A</t>
  </si>
  <si>
    <t>Fiji</t>
  </si>
  <si>
    <t>Mauritius rupee</t>
  </si>
  <si>
    <t>MUR</t>
  </si>
  <si>
    <t>R-427A</t>
  </si>
  <si>
    <t>Finland</t>
  </si>
  <si>
    <t>Mexican peso</t>
  </si>
  <si>
    <t>MXN</t>
  </si>
  <si>
    <t>R-428A</t>
  </si>
  <si>
    <t>France</t>
  </si>
  <si>
    <t>Moldovan leu</t>
  </si>
  <si>
    <t>MDL</t>
  </si>
  <si>
    <t>R-429A</t>
  </si>
  <si>
    <t>French Guiana</t>
  </si>
  <si>
    <t>Mongolian tugrik</t>
  </si>
  <si>
    <t>MNT</t>
  </si>
  <si>
    <t>R-430A</t>
  </si>
  <si>
    <t>French Polynesia</t>
  </si>
  <si>
    <t>Moroccan dirham</t>
  </si>
  <si>
    <t>MAD</t>
  </si>
  <si>
    <t>R-431A</t>
  </si>
  <si>
    <t>Gabon</t>
  </si>
  <si>
    <t>Mozambique new metical</t>
  </si>
  <si>
    <t>MZN</t>
  </si>
  <si>
    <t>R-432A</t>
  </si>
  <si>
    <t>Gambia</t>
  </si>
  <si>
    <t>Myanmar kyat</t>
  </si>
  <si>
    <t>MMK</t>
  </si>
  <si>
    <t>R-433A</t>
  </si>
  <si>
    <t>Namibian dollar</t>
  </si>
  <si>
    <t>NAD</t>
  </si>
  <si>
    <t>R-434A</t>
  </si>
  <si>
    <t>Germany</t>
  </si>
  <si>
    <t>Nepalese rupee</t>
  </si>
  <si>
    <t>NPR</t>
  </si>
  <si>
    <t>R-435A</t>
  </si>
  <si>
    <t>Ghana</t>
  </si>
  <si>
    <t>Netherlands Antillian guilder</t>
  </si>
  <si>
    <t>ANG</t>
  </si>
  <si>
    <t>R-436A</t>
  </si>
  <si>
    <t>Greece</t>
  </si>
  <si>
    <t>New Zealand dollar</t>
  </si>
  <si>
    <t>NZD</t>
  </si>
  <si>
    <t>R-436B</t>
  </si>
  <si>
    <t>Greenland</t>
  </si>
  <si>
    <t>(CE#25) World value.</t>
  </si>
  <si>
    <t>Nicaraguan cordoba oro</t>
  </si>
  <si>
    <t>NIO</t>
  </si>
  <si>
    <t>R-437A</t>
  </si>
  <si>
    <t>Grenada</t>
  </si>
  <si>
    <t>Nigerian naira</t>
  </si>
  <si>
    <t>NGN</t>
  </si>
  <si>
    <t>R-438A</t>
  </si>
  <si>
    <t>Guadeloupe (France)</t>
  </si>
  <si>
    <t>North Korean won</t>
  </si>
  <si>
    <t>KPW</t>
  </si>
  <si>
    <t>R-439A</t>
  </si>
  <si>
    <t>Guam</t>
  </si>
  <si>
    <t>Norwegian krone</t>
  </si>
  <si>
    <t>NOK</t>
  </si>
  <si>
    <t>R-440A</t>
  </si>
  <si>
    <t>Guatemala</t>
  </si>
  <si>
    <t>(CE#4)</t>
  </si>
  <si>
    <t>Omani rial</t>
  </si>
  <si>
    <t>OMR</t>
  </si>
  <si>
    <t>R-441A</t>
  </si>
  <si>
    <t>Guinea</t>
  </si>
  <si>
    <t>Pakistani rupee</t>
  </si>
  <si>
    <t>PKR</t>
  </si>
  <si>
    <t>R-442A</t>
  </si>
  <si>
    <t>Guinea-Bissau</t>
  </si>
  <si>
    <t>Panamanian balboa</t>
  </si>
  <si>
    <t>PAB</t>
  </si>
  <si>
    <t>R-443A</t>
  </si>
  <si>
    <t>Guyana</t>
  </si>
  <si>
    <t>Papua New Guinea kina</t>
  </si>
  <si>
    <t>PGK</t>
  </si>
  <si>
    <t>R-444A</t>
  </si>
  <si>
    <t>Haiti</t>
  </si>
  <si>
    <t>Paraguayan guarani</t>
  </si>
  <si>
    <t>PYG</t>
  </si>
  <si>
    <t>R-445A</t>
  </si>
  <si>
    <t>Honduras</t>
  </si>
  <si>
    <t>CB#2</t>
  </si>
  <si>
    <t>Peruvian nuevo sol</t>
  </si>
  <si>
    <t>PEN</t>
  </si>
  <si>
    <t>R-500</t>
  </si>
  <si>
    <t>Hong Kong (China)</t>
  </si>
  <si>
    <t>Philippine peso</t>
  </si>
  <si>
    <t>PHP</t>
  </si>
  <si>
    <t>R-501</t>
  </si>
  <si>
    <t>Hungary</t>
  </si>
  <si>
    <t>Polish zloty</t>
  </si>
  <si>
    <t>PLN</t>
  </si>
  <si>
    <t>R-502</t>
  </si>
  <si>
    <t>Iceland</t>
  </si>
  <si>
    <t>Qatari rial</t>
  </si>
  <si>
    <t>QAR</t>
  </si>
  <si>
    <t>R-503</t>
  </si>
  <si>
    <t>India</t>
  </si>
  <si>
    <t>(CE#14;CE#10)</t>
  </si>
  <si>
    <t>Romanian new leu</t>
  </si>
  <si>
    <t>RON</t>
  </si>
  <si>
    <t>R-504</t>
  </si>
  <si>
    <t>Indonesia</t>
  </si>
  <si>
    <t>(CE#15)</t>
  </si>
  <si>
    <t>Russian ruble</t>
  </si>
  <si>
    <t>RUB</t>
  </si>
  <si>
    <t>R-505</t>
  </si>
  <si>
    <t>Iran</t>
  </si>
  <si>
    <t>Rwandan franc</t>
  </si>
  <si>
    <t>RWF</t>
  </si>
  <si>
    <t>R-506</t>
  </si>
  <si>
    <t>Iraq</t>
  </si>
  <si>
    <t>Saint Helena pound</t>
  </si>
  <si>
    <t>SHP</t>
  </si>
  <si>
    <t>R-507 o R-507A</t>
  </si>
  <si>
    <t>Ireland</t>
  </si>
  <si>
    <t>Samoan tala</t>
  </si>
  <si>
    <t>WST</t>
  </si>
  <si>
    <t>R-508A</t>
  </si>
  <si>
    <t>Isle of Man</t>
  </si>
  <si>
    <t>Sao Tome and Principe dobra</t>
  </si>
  <si>
    <t>STD</t>
  </si>
  <si>
    <t>R-508B</t>
  </si>
  <si>
    <t>Israel</t>
  </si>
  <si>
    <t>Saudi riyal</t>
  </si>
  <si>
    <t>R-509 o R-509A</t>
  </si>
  <si>
    <t>Italy</t>
  </si>
  <si>
    <t>Serbian dinar</t>
  </si>
  <si>
    <t>RSD</t>
  </si>
  <si>
    <t>R-510A</t>
  </si>
  <si>
    <t>Jamaica</t>
  </si>
  <si>
    <t>Seychelles rupee</t>
  </si>
  <si>
    <t>SCR</t>
  </si>
  <si>
    <t>R-511A</t>
  </si>
  <si>
    <t>Japan</t>
  </si>
  <si>
    <t>(CE#16)</t>
  </si>
  <si>
    <t>Sierra Leone leone</t>
  </si>
  <si>
    <t>SLL</t>
  </si>
  <si>
    <t>R-512A</t>
  </si>
  <si>
    <t>Jordan</t>
  </si>
  <si>
    <t>Singapore dollar</t>
  </si>
  <si>
    <t>SGD</t>
  </si>
  <si>
    <t>R-600</t>
  </si>
  <si>
    <t>(28)</t>
  </si>
  <si>
    <t>Butane</t>
  </si>
  <si>
    <t>Kazakhstan</t>
  </si>
  <si>
    <t>Solomon Islands dollar</t>
  </si>
  <si>
    <t>SBD</t>
  </si>
  <si>
    <t>R-600a</t>
  </si>
  <si>
    <t>(27)</t>
  </si>
  <si>
    <t>Kenya</t>
  </si>
  <si>
    <t>Somali shilling</t>
  </si>
  <si>
    <t>SOS</t>
  </si>
  <si>
    <t>R-717</t>
  </si>
  <si>
    <t>Ammonia.</t>
  </si>
  <si>
    <t>Kiribati</t>
  </si>
  <si>
    <t>South African rand</t>
  </si>
  <si>
    <t>ZAR</t>
  </si>
  <si>
    <t>R-718</t>
  </si>
  <si>
    <t>Water. It is not considered as an anthropogenic GHG.</t>
  </si>
  <si>
    <t>Korea (North). Dem. People's Rep. of</t>
  </si>
  <si>
    <t>South Korean won</t>
  </si>
  <si>
    <t>KRW</t>
  </si>
  <si>
    <t>R-1234YF</t>
  </si>
  <si>
    <t>HFO</t>
  </si>
  <si>
    <t>Korea (South). Republic of</t>
  </si>
  <si>
    <t>(CE#17)</t>
  </si>
  <si>
    <t>Korea (the Republic of)</t>
  </si>
  <si>
    <t>Sri Lanka rupee</t>
  </si>
  <si>
    <t>LKR</t>
  </si>
  <si>
    <t>R-1234ZE</t>
  </si>
  <si>
    <t>Kosovo</t>
  </si>
  <si>
    <t>Sudanese pound</t>
  </si>
  <si>
    <t>SDG</t>
  </si>
  <si>
    <t>R-1233ZD</t>
  </si>
  <si>
    <t>HFCO</t>
  </si>
  <si>
    <t>Kuwait</t>
  </si>
  <si>
    <t>Suriname dollar</t>
  </si>
  <si>
    <t>SRD</t>
  </si>
  <si>
    <t>Note: GWP value for 100-years horizon.</t>
  </si>
  <si>
    <t>Kyrgyzstan</t>
  </si>
  <si>
    <t>Swaziland lilangeni</t>
  </si>
  <si>
    <t>SZL</t>
  </si>
  <si>
    <t>Compound of more than one gas.</t>
  </si>
  <si>
    <t>Laos</t>
  </si>
  <si>
    <t>Swedish krona</t>
  </si>
  <si>
    <t>SEK</t>
  </si>
  <si>
    <t>Latvia</t>
  </si>
  <si>
    <t>Swiss franc</t>
  </si>
  <si>
    <t>CHF</t>
  </si>
  <si>
    <t>Lebanon</t>
  </si>
  <si>
    <t>Syrian pound</t>
  </si>
  <si>
    <t>SYP</t>
  </si>
  <si>
    <t>Lesotho</t>
  </si>
  <si>
    <t>Taiwan New dollar</t>
  </si>
  <si>
    <t>TWD</t>
  </si>
  <si>
    <t>Liberia</t>
  </si>
  <si>
    <t>Tajik somoni</t>
  </si>
  <si>
    <t>TJS</t>
  </si>
  <si>
    <t>Libya</t>
  </si>
  <si>
    <t>Tanzanian shilling</t>
  </si>
  <si>
    <t>TZS</t>
  </si>
  <si>
    <t>Liechtenstein</t>
  </si>
  <si>
    <t>Thai baht</t>
  </si>
  <si>
    <t>THB</t>
  </si>
  <si>
    <t>Lithuania</t>
  </si>
  <si>
    <t>Tongan pa'anga</t>
  </si>
  <si>
    <t>TOP</t>
  </si>
  <si>
    <t>Luxembourg</t>
  </si>
  <si>
    <t>Trinidad and Tobago dollar</t>
  </si>
  <si>
    <t>TTD</t>
  </si>
  <si>
    <t>Macao (China)</t>
  </si>
  <si>
    <t>Tunisian dinar</t>
  </si>
  <si>
    <t>TND</t>
  </si>
  <si>
    <t>Macedonia. North</t>
  </si>
  <si>
    <t>Turkish lira</t>
  </si>
  <si>
    <t>TRY</t>
  </si>
  <si>
    <t>Madagascar</t>
  </si>
  <si>
    <t>Turkmen new manat</t>
  </si>
  <si>
    <t>TMT</t>
  </si>
  <si>
    <t>Madeira (Portugal)</t>
  </si>
  <si>
    <t>UAE dirham</t>
  </si>
  <si>
    <t>AED</t>
  </si>
  <si>
    <t>Malawi</t>
  </si>
  <si>
    <t>Uganda new shilling</t>
  </si>
  <si>
    <t>UGX</t>
  </si>
  <si>
    <t>Malaysia</t>
  </si>
  <si>
    <t>Ukrainian hryvnia</t>
  </si>
  <si>
    <t>UAH</t>
  </si>
  <si>
    <t>Maldives</t>
  </si>
  <si>
    <t>Uruguayan peso uruguayo</t>
  </si>
  <si>
    <t>UYU</t>
  </si>
  <si>
    <t>Mali</t>
  </si>
  <si>
    <t>USD</t>
  </si>
  <si>
    <t>Malta</t>
  </si>
  <si>
    <t>Uzbekistani sum</t>
  </si>
  <si>
    <t>UZS</t>
  </si>
  <si>
    <t>Marshall Islands</t>
  </si>
  <si>
    <t>Vanuatu vatu</t>
  </si>
  <si>
    <t>VUV</t>
  </si>
  <si>
    <t>Martinique (France)</t>
  </si>
  <si>
    <t>Venezuelan bolivar fuerte</t>
  </si>
  <si>
    <t>VEF</t>
  </si>
  <si>
    <t>Mauritania</t>
  </si>
  <si>
    <t>Vietnamese dong</t>
  </si>
  <si>
    <t>VND</t>
  </si>
  <si>
    <t>Mauritius</t>
  </si>
  <si>
    <t>Yemeni rial</t>
  </si>
  <si>
    <t>YER</t>
  </si>
  <si>
    <t>Mayotte (France)</t>
  </si>
  <si>
    <t>Zambian kwacha</t>
  </si>
  <si>
    <t>ZMK</t>
  </si>
  <si>
    <t>Mexico</t>
  </si>
  <si>
    <t>(CE#5)</t>
  </si>
  <si>
    <t>(14)</t>
  </si>
  <si>
    <t>Zimbabwe dollar</t>
  </si>
  <si>
    <t>ZWL</t>
  </si>
  <si>
    <t>Micronesia</t>
  </si>
  <si>
    <t>Local currency</t>
  </si>
  <si>
    <t>Moldova</t>
  </si>
  <si>
    <t>Monaco</t>
  </si>
  <si>
    <t>Mongolia</t>
  </si>
  <si>
    <t>Montenegro</t>
  </si>
  <si>
    <t>Montserrat</t>
  </si>
  <si>
    <t>Morocco</t>
  </si>
  <si>
    <t>Mozambique</t>
  </si>
  <si>
    <t>Myanmar</t>
  </si>
  <si>
    <t>Namibia</t>
  </si>
  <si>
    <t>Nauru</t>
  </si>
  <si>
    <t>Nepal</t>
  </si>
  <si>
    <t>Netherlands</t>
  </si>
  <si>
    <t>Netherlands (the)</t>
  </si>
  <si>
    <t>Netherlands Antilles</t>
  </si>
  <si>
    <t>New Caledonia (France)</t>
  </si>
  <si>
    <t>New Zealand</t>
  </si>
  <si>
    <t>Nicaragua</t>
  </si>
  <si>
    <t>Niger</t>
  </si>
  <si>
    <t>Nigeria</t>
  </si>
  <si>
    <t>Niue</t>
  </si>
  <si>
    <t>Northern Mariana Islands (U.S.)</t>
  </si>
  <si>
    <t>Norway</t>
  </si>
  <si>
    <t>Oman</t>
  </si>
  <si>
    <t>Pakistan</t>
  </si>
  <si>
    <t>Palau</t>
  </si>
  <si>
    <t>Panama</t>
  </si>
  <si>
    <t>Papua New Guinea</t>
  </si>
  <si>
    <t>Paraguay</t>
  </si>
  <si>
    <t>Peru</t>
  </si>
  <si>
    <t>Philippines</t>
  </si>
  <si>
    <t>Poland</t>
  </si>
  <si>
    <t>Portugal</t>
  </si>
  <si>
    <t>Puerto Rico (U.S.)</t>
  </si>
  <si>
    <t>Qatar</t>
  </si>
  <si>
    <t>Reunion (France)</t>
  </si>
  <si>
    <t>Romania</t>
  </si>
  <si>
    <t>Russian Federation</t>
  </si>
  <si>
    <t>(CE#18)</t>
  </si>
  <si>
    <t>Russian Federation (the)</t>
  </si>
  <si>
    <t>Rwanda</t>
  </si>
  <si>
    <t>Saint Helena (U.K.)</t>
  </si>
  <si>
    <t>Saint Kitts and Nevis</t>
  </si>
  <si>
    <t>Saint Lucia</t>
  </si>
  <si>
    <t>Saint Martin (France)</t>
  </si>
  <si>
    <t>Saint Pierre and Miquelon (France)</t>
  </si>
  <si>
    <t>Saint Vincent and Grenadines</t>
  </si>
  <si>
    <t>Samoa</t>
  </si>
  <si>
    <t>San Marino</t>
  </si>
  <si>
    <t>Sao Tomé &amp; Principe</t>
  </si>
  <si>
    <t>Saudi Arabia</t>
  </si>
  <si>
    <t>(CE#19)</t>
  </si>
  <si>
    <t>Senegal</t>
  </si>
  <si>
    <t>Serbia</t>
  </si>
  <si>
    <t>Seychelles</t>
  </si>
  <si>
    <t>Sierra Leone</t>
  </si>
  <si>
    <t>Singapore</t>
  </si>
  <si>
    <t>Sint Martin (Netherlands)</t>
  </si>
  <si>
    <t>Slovakia</t>
  </si>
  <si>
    <t>Slovenia</t>
  </si>
  <si>
    <t>Solomon Islands</t>
  </si>
  <si>
    <t>Somalia</t>
  </si>
  <si>
    <t>South Africa</t>
  </si>
  <si>
    <t>(CE#20)</t>
  </si>
  <si>
    <t>South Sudan</t>
  </si>
  <si>
    <t>Spain</t>
  </si>
  <si>
    <t>Sri Lanka</t>
  </si>
  <si>
    <t>Sudan</t>
  </si>
  <si>
    <t>Suriname</t>
  </si>
  <si>
    <t>Sweden</t>
  </si>
  <si>
    <t>Switzerland</t>
  </si>
  <si>
    <t>Syrian Arab Republic</t>
  </si>
  <si>
    <t>Taiwan</t>
  </si>
  <si>
    <t>Taiwan (Province of China)</t>
  </si>
  <si>
    <t>Tajikistan</t>
  </si>
  <si>
    <t>Tanzania</t>
  </si>
  <si>
    <t>Thailand</t>
  </si>
  <si>
    <t>Timor-Leste</t>
  </si>
  <si>
    <t>Togo</t>
  </si>
  <si>
    <t>Tonga</t>
  </si>
  <si>
    <t>Trinidad and Tobago</t>
  </si>
  <si>
    <t>Tunisia</t>
  </si>
  <si>
    <t>Turkey</t>
  </si>
  <si>
    <t>(CE#21)</t>
  </si>
  <si>
    <t>Turkmenistan</t>
  </si>
  <si>
    <t>Turks and Caicos Islands (U.K.)</t>
  </si>
  <si>
    <t>Tuvalu</t>
  </si>
  <si>
    <t>Uganda</t>
  </si>
  <si>
    <t>Ukraine</t>
  </si>
  <si>
    <t>United Arab Emirates</t>
  </si>
  <si>
    <t>United Kingdom</t>
  </si>
  <si>
    <t>(CE#9)</t>
  </si>
  <si>
    <t>United Kingdom of Great Britain and Northern Ireland (the)</t>
  </si>
  <si>
    <t>Uruguay</t>
  </si>
  <si>
    <t>(CE#6)</t>
  </si>
  <si>
    <t>(15)</t>
  </si>
  <si>
    <t>US-AKGD (ASCC Alaska Grid)</t>
  </si>
  <si>
    <t>(CE#24)</t>
  </si>
  <si>
    <t>US-AKMS (ASCC Miscellaneous)</t>
  </si>
  <si>
    <t>US-AZNM (WECC Southwest)</t>
  </si>
  <si>
    <t>US-CAMX (WECC California)</t>
  </si>
  <si>
    <t>US-ERCT (ERCOT All)</t>
  </si>
  <si>
    <t>US-FRCC (FRCC All)</t>
  </si>
  <si>
    <t>US-HIMS (HICC Miscellaneous)</t>
  </si>
  <si>
    <t>US-MROE (MRO East)</t>
  </si>
  <si>
    <t>US-MROW (MRO West)</t>
  </si>
  <si>
    <t>US-NEWE (NPCC New England)</t>
  </si>
  <si>
    <t>US-NWPP (WECC Northwest)</t>
  </si>
  <si>
    <t>US-NYCW (NPCC NYC/Westchester)</t>
  </si>
  <si>
    <t>US-NYLI (NPCC Long Island)</t>
  </si>
  <si>
    <t>US-NYUP (NPCC Upstate NY)</t>
  </si>
  <si>
    <t>US-RFCE (RFC East)</t>
  </si>
  <si>
    <t>US-RFCM (RFC Michigan)</t>
  </si>
  <si>
    <t>US-RFCW (RFC West)</t>
  </si>
  <si>
    <t>US-RMPA (WECC Rockies)</t>
  </si>
  <si>
    <t>US-SPNO (SPP North)</t>
  </si>
  <si>
    <t>US-SPSO (SPP South)</t>
  </si>
  <si>
    <t>US-SRMV (SERC Mississippi Valley)</t>
  </si>
  <si>
    <t>US-SRMW (SERC Midwest)</t>
  </si>
  <si>
    <t>US-SRSO (SERC South)</t>
  </si>
  <si>
    <t>US-SRTV (SERC Tennessee Valley)</t>
  </si>
  <si>
    <t>US-SRVC (SERC Virginia/Carolina)</t>
  </si>
  <si>
    <t>Uzbekistan</t>
  </si>
  <si>
    <t>Vanatu</t>
  </si>
  <si>
    <t>Venezuela</t>
  </si>
  <si>
    <t>Vietnam</t>
  </si>
  <si>
    <t>Virgin Islands (U.S.)</t>
  </si>
  <si>
    <t>West Bank and Gaza</t>
  </si>
  <si>
    <t>Yemen</t>
  </si>
  <si>
    <t>Zambia</t>
  </si>
  <si>
    <t>Zanzibar (Tanzania)</t>
  </si>
  <si>
    <t>(CE#25) Tanzania value.</t>
  </si>
  <si>
    <t>Zimbabwe</t>
  </si>
  <si>
    <t>#</t>
  </si>
  <si>
    <t>Institution / Organization</t>
  </si>
  <si>
    <t>Document / Dataset</t>
  </si>
  <si>
    <t>Section / Table</t>
  </si>
  <si>
    <t>Date</t>
  </si>
  <si>
    <t>URL</t>
  </si>
  <si>
    <t>IPCC</t>
  </si>
  <si>
    <t>2006 Guidelines. Volume 2. Chapter 1</t>
  </si>
  <si>
    <t>Table 1.2</t>
  </si>
  <si>
    <t>http://www.ipcc-nggip.iges.or.jp/public/2006gl/spanish/index.html</t>
  </si>
  <si>
    <t>2006 Guidelines. Volume 2. Chapter 2</t>
  </si>
  <si>
    <t>Table 2.4</t>
  </si>
  <si>
    <t>2006 Guidelines. Volume 2. Chapter 3</t>
  </si>
  <si>
    <t>Table 3.2.1</t>
  </si>
  <si>
    <t>Table 3.2.2</t>
  </si>
  <si>
    <t>Fourth Assessment Report</t>
  </si>
  <si>
    <t>Table 2.14</t>
  </si>
  <si>
    <t>https://www.ipcc.ch/publications_and_data/ar4/wg1/en/ch2s2-10-2.html</t>
  </si>
  <si>
    <t>Values corresponding to 100 years time horizon.</t>
  </si>
  <si>
    <t>ASHRAE</t>
  </si>
  <si>
    <t>Standard 34 - Designation and Safety Classification of Refrigerants</t>
  </si>
  <si>
    <t>Secretaría de Energía (actualmente Ministerio de Energía y Minería)</t>
  </si>
  <si>
    <t>Resolución 660/2015</t>
  </si>
  <si>
    <t>http://servicios.infoleg.gob.ar/infolegInternet/anexos/250000-254999/251066/norma.htm</t>
  </si>
  <si>
    <t>World Resources Institute / GHG Protocol</t>
  </si>
  <si>
    <t>GHG Emission Factors Compilation</t>
  </si>
  <si>
    <t>Table 14</t>
  </si>
  <si>
    <t>https://ghgprotocol.org/calculation-tools</t>
  </si>
  <si>
    <t>Table 18</t>
  </si>
  <si>
    <t>Department for Environment, Food and Rural Affairs and Department of Energy and Climate Change of UK.</t>
  </si>
  <si>
    <t>Defra Standard Set</t>
  </si>
  <si>
    <t>Business travel- air</t>
  </si>
  <si>
    <t>1. Average passenger values. Uplift effect (8%) was removed.
2. Radiative force effect (+90%) was removed in CO2 emission factor as there are still uncertanties regarding this effect.
3. Global Warming Potential was corrected in Methane and Nitrous Oxide emission factors.
4. Using a conservative approach, as the emission factor for medium trips was zero for Methane, long trips value was adopted.</t>
  </si>
  <si>
    <t>Ministerio de Ambiente y Desarrollo Sustentable</t>
  </si>
  <si>
    <t>Tercera Comunicación Nacional a la Convención Marco de Naciones Unidas sobre Cambio Climático</t>
  </si>
  <si>
    <t>http://unfccc.int/resource/docs/natc/argnc3s.pdf</t>
  </si>
  <si>
    <t>2006 Guidelines. Volume 5. Chapter 2</t>
  </si>
  <si>
    <t>Table 2.3</t>
  </si>
  <si>
    <t>1. As there are not default values for "Como las guías no ofrecen valores por defecto para las fracciones "Nappies" y "Garden and park waste", the average between Argentina, Costa Rica and Mexico values was adopted, unless for Australia and New Zeland where due to the values of the other categories, the remaining percentage had to be divided in equal shares and allocated among the categories without information.
2. When there was not information for a given category, the remaning percetage (to fulfill 100%) was divided in equal shares and allocated to these categories.</t>
  </si>
  <si>
    <t>Ministerio de Ambiente y Energía</t>
  </si>
  <si>
    <t>Inventario Nacional de GEIs y absorción de carbono</t>
  </si>
  <si>
    <t>Table 5.2</t>
  </si>
  <si>
    <t>http://unfccc.int/resource/docs/natc/crinir2.pdf</t>
  </si>
  <si>
    <t>Secretaría de Medio Ambiente y Recursos Naturales</t>
  </si>
  <si>
    <t>Quinta Comunicación Nacional a la Convención Marco de Naciones Unidas sobre Cambio Climático</t>
  </si>
  <si>
    <t>http://unfccc.int/resource/docs/natc/mexnc5s.pdf</t>
  </si>
  <si>
    <t>Ministerio de Vivienda, Ordenamiento Territorial y Medio Ambiente</t>
  </si>
  <si>
    <t>Segundo Informe Bienal a la CMNUCC sobre el Cambio Climático. Anexos al Capítulo 2.</t>
  </si>
  <si>
    <t>Table 36</t>
  </si>
  <si>
    <t>2017</t>
  </si>
  <si>
    <t>http://unfccc.int/files/national_reports/non-annex_i_parties/biennial_update_reports/submitted_burs/application/pdf/43207915_uruguay-bur2-1-2-anexo_capitulo_2_-_bur_2_uy.pdf</t>
  </si>
  <si>
    <t xml:space="preserve">For plastic, department average values (17%) was adopted. </t>
  </si>
  <si>
    <t>2006 Guidelines. Volume 5. Chapter 4</t>
  </si>
  <si>
    <t>Table 4.1</t>
  </si>
  <si>
    <t>Wet weight basis values.</t>
  </si>
  <si>
    <t>2006 Guidelines. Volume 5. Chapter 3</t>
  </si>
  <si>
    <t>Table 3.1</t>
  </si>
  <si>
    <t>Table 3.3</t>
  </si>
  <si>
    <t>For each temperature interval, average default value between wet and dry zone was adopted for the category "Bulk waste".</t>
  </si>
  <si>
    <t>Section 3.2.3</t>
  </si>
  <si>
    <t>Table 2.6</t>
  </si>
  <si>
    <t>Programa Brasileiro GHG Protocol</t>
  </si>
  <si>
    <t>Ferramenta do Programa Brasileiro GHG Protocol. Versão 2016.2</t>
  </si>
  <si>
    <t>Viagens a negocios</t>
  </si>
  <si>
    <t>Tables 1 y 15</t>
  </si>
  <si>
    <t>Resolución 6/2010 - Establécense las especificaciones de calidad que deberá cumplir el biodiesel.</t>
  </si>
  <si>
    <t>Anexo</t>
  </si>
  <si>
    <t>http://servicios.infoleg.gob.ar/infolegInternet/anexos/160000-164999/163911/norma.htm</t>
  </si>
  <si>
    <t>Average value.</t>
  </si>
  <si>
    <t>Green House Gas Protocol</t>
  </si>
  <si>
    <t>Global Warming Potential Values</t>
  </si>
  <si>
    <t>https://www.ghgprotocol.org/sites/default/files/ghgp/Global-Warming-Potential-Values%20%28Feb%2016%202016%29_1.pdf</t>
  </si>
  <si>
    <t>UN Enviroment</t>
  </si>
  <si>
    <t>GWP-ODP Calculator</t>
  </si>
  <si>
    <t>https://www.unenvironment.org/ozonaction/gwp-odp-calculator</t>
  </si>
  <si>
    <t>Cuarto Informe de Evaluación</t>
  </si>
  <si>
    <t>Table 2.15</t>
  </si>
  <si>
    <t>International Anesthesia Research Society</t>
  </si>
  <si>
    <t>Life Cycle Greenhouse Gas Emissions of Anesthetic Drugs</t>
  </si>
  <si>
    <t>Table 1</t>
  </si>
  <si>
    <t>BOC</t>
  </si>
  <si>
    <t>Medical nitrous oxide / Medical Gas Data Sheet</t>
  </si>
  <si>
    <t>https://www.boconline.co.uk/en/images/medical_nitrous_oxide_tcm410-55835.pdf</t>
  </si>
  <si>
    <t>Medical carbon dioxide / Medical Gas Data Sheet</t>
  </si>
  <si>
    <t>https://www.bochealthcare.co.uk/en/images/HLC_506810-MGDS%20Medical%20carbon%20dioxide%28web%29_tcm409-61147.pdf</t>
  </si>
  <si>
    <t>EPA</t>
  </si>
  <si>
    <t>Simplified GHG Emissions Calculator Version 5</t>
  </si>
  <si>
    <t>Heat content &amp; Unit Convertions</t>
  </si>
  <si>
    <t>Pound to gram equivalence: 1lb = 453.592g</t>
  </si>
  <si>
    <t>National Institute for Health and Care Excellence</t>
  </si>
  <si>
    <t>Patient decision aid / Inhalers for asthma</t>
  </si>
  <si>
    <t>https://www.nice.org.uk/guidance/ng80/resources/inhalers-for-asthma-patient-decision-aid-pdf-6727144573</t>
  </si>
  <si>
    <t>WIOD</t>
  </si>
  <si>
    <t>WIOD ID</t>
  </si>
  <si>
    <t xml:space="preserve">The high level descriptions of the WIOD Carbon Intensities.  </t>
  </si>
  <si>
    <t xml:space="preserve">The Country that is being used in the mapping followed by the values of the Intensities in Kg of Co2e per $  </t>
  </si>
  <si>
    <t>How WIOD is mapped to the modified EORA 26, showing the EORA IDs</t>
  </si>
  <si>
    <t>EORA ID</t>
  </si>
  <si>
    <t>The high level descriptions of the Modified Eora 26 Carbon Intensities.
Eora 26 was modified for HCWH by removing the last 3 categories "Private Households", "Others" and "Re-export &amp; Re-import" and replacing these with "Drugs", "Medical Devices" and "Medical Consumables".</t>
  </si>
  <si>
    <t>The values of the Intensities in $ per Kg of Co2e</t>
  </si>
  <si>
    <t>How WIOD is mapped to the modified Eora 26, showing the WIOD IDs</t>
  </si>
  <si>
    <t>Notes on the Mapping for WIOD to modified Eora 26
*Where a mapping is based on an average, if the WIOD factor is zero it is ignored and the average is taken of the remaining factors</t>
  </si>
  <si>
    <t>to Eora</t>
  </si>
  <si>
    <t>Modified Eora 26</t>
  </si>
  <si>
    <t>KgCo2e/$</t>
  </si>
  <si>
    <t>Crop and animal production, hunting and related service activities</t>
  </si>
  <si>
    <t>Agriculture</t>
  </si>
  <si>
    <t>Forestry and logging</t>
  </si>
  <si>
    <t>Fishing</t>
  </si>
  <si>
    <t>Fishing and aquaculture</t>
  </si>
  <si>
    <t>Mining and Quarrying</t>
  </si>
  <si>
    <t>Mining and quarrying</t>
  </si>
  <si>
    <t>Food &amp; Beverages</t>
  </si>
  <si>
    <t>Manufacture of food products, beverages and tobacco products</t>
  </si>
  <si>
    <t>Textiles and Wearing Apparel</t>
  </si>
  <si>
    <t>Manufacture of textiles, wearing apparel and leather products</t>
  </si>
  <si>
    <t>5,26</t>
  </si>
  <si>
    <t>Wood and Paper</t>
  </si>
  <si>
    <t>7,8</t>
  </si>
  <si>
    <t>The average of WIOD 7 and 8*</t>
  </si>
  <si>
    <t>Manufacture of wood and of products of wood and cork, except furniture; manufacture of articles of straw and plaiting materials</t>
  </si>
  <si>
    <t>Petroleum, Chemical and Non-Metallic Mineral Products</t>
  </si>
  <si>
    <t>10,11,14</t>
  </si>
  <si>
    <t>The average of WIOD 10, 11 and 14*</t>
  </si>
  <si>
    <t>Manufacture of paper and paper products</t>
  </si>
  <si>
    <t>Metal Products</t>
  </si>
  <si>
    <t>15,16</t>
  </si>
  <si>
    <t>The average of WIOD 15 and 16*</t>
  </si>
  <si>
    <t>Printing and reproduction of recorded media</t>
  </si>
  <si>
    <t>Electrical and Machinery</t>
  </si>
  <si>
    <t>17,18,19</t>
  </si>
  <si>
    <t>The average of WIOD 17, 18 and 19*</t>
  </si>
  <si>
    <t xml:space="preserve">Manufacture of coke and refined petroleum products </t>
  </si>
  <si>
    <t>Transport Equipment</t>
  </si>
  <si>
    <t>20,21</t>
  </si>
  <si>
    <t>The average of WIOD 20 and 21*</t>
  </si>
  <si>
    <t xml:space="preserve">Manufacture of chemicals and chemical products </t>
  </si>
  <si>
    <t>Other Manufacturing</t>
  </si>
  <si>
    <t>Manufacture of basic pharmaceutical products and pharmaceutical preparations</t>
  </si>
  <si>
    <t>Waste, Recycling, treatment</t>
  </si>
  <si>
    <t>Manufacture of rubber and plastic products</t>
  </si>
  <si>
    <t>25,26</t>
  </si>
  <si>
    <t>Electricity, Gas and Water</t>
  </si>
  <si>
    <t>24,25</t>
  </si>
  <si>
    <t>Only used Electricity Value (24) Since very different to water</t>
  </si>
  <si>
    <t>Manufacture of other non-metallic mineral products</t>
  </si>
  <si>
    <t>Manufacture of basic metals</t>
  </si>
  <si>
    <t>Maintenance and Repair</t>
  </si>
  <si>
    <t>Manufacture of fabricated metal products, except machinery and equipment</t>
  </si>
  <si>
    <t>8,26</t>
  </si>
  <si>
    <t>Wholesale Trade</t>
  </si>
  <si>
    <t>28,29</t>
  </si>
  <si>
    <t>The average of WIOD 28 and 29*</t>
  </si>
  <si>
    <t>Manufacture of computer, electronic and optical products</t>
  </si>
  <si>
    <t>Retail Trade</t>
  </si>
  <si>
    <t>Manufacture of electrical equipment</t>
  </si>
  <si>
    <t>Hotels and Restraurants</t>
  </si>
  <si>
    <t>Manufacture of machinery and equipment n.e.c.</t>
  </si>
  <si>
    <t>31,32,33</t>
  </si>
  <si>
    <t>The average of WIOD 31, 32 and 33*</t>
  </si>
  <si>
    <t>Manufacture of motor vehicles, trailers and semi-trailers</t>
  </si>
  <si>
    <t>Post and Telecommunications</t>
  </si>
  <si>
    <t>35,39</t>
  </si>
  <si>
    <t>The average of WIOD 35 and 39*</t>
  </si>
  <si>
    <t>Manufacture of other transport equipment</t>
  </si>
  <si>
    <t>Financial Intermediation and Business Activities</t>
  </si>
  <si>
    <t>41,42,43</t>
  </si>
  <si>
    <t>The average of WIOD 41, 42 and 43*</t>
  </si>
  <si>
    <t>Manufacture of furniture; other manufacturing</t>
  </si>
  <si>
    <t>Public Administration</t>
  </si>
  <si>
    <t>Repair and installation of machinery and equipment</t>
  </si>
  <si>
    <t>Education, Health and Other Services</t>
  </si>
  <si>
    <t>52,53,54</t>
  </si>
  <si>
    <t>The average of WIOD 52, 53 and 54*</t>
  </si>
  <si>
    <t>Electricity, gas, steam and air conditioning supply</t>
  </si>
  <si>
    <t>Drugs</t>
  </si>
  <si>
    <t>If zero use ROW figure</t>
  </si>
  <si>
    <t>Water collection, treatment and supply</t>
  </si>
  <si>
    <t>Medical Devices</t>
  </si>
  <si>
    <t>13,17,20</t>
  </si>
  <si>
    <t>The average of WIOD 13, 17 and 20*</t>
  </si>
  <si>
    <t xml:space="preserve">Sewerage; waste collection, treatment and disposal activities; materials recovery; remediation activities and other waste management services </t>
  </si>
  <si>
    <t>Medical Consumables</t>
  </si>
  <si>
    <t>6,13,16</t>
  </si>
  <si>
    <t>The average of WIOD 6, 13 and 16*</t>
  </si>
  <si>
    <t>Wholesale and retail trade and repair of motor vehicles and motorcycles</t>
  </si>
  <si>
    <t>Rest of world figure for drugs used for any country that does not have a drugs WIOD figure</t>
  </si>
  <si>
    <t>Wholesale trade, except of motor vehicles and motorcycles</t>
  </si>
  <si>
    <t>Retail trade, except of motor vehicles and motorcycles</t>
  </si>
  <si>
    <t>Land transport and transport via pipelines</t>
  </si>
  <si>
    <t>Water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</si>
  <si>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</si>
  <si>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</si>
  <si>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</si>
  <si>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</si>
  <si>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</si>
  <si>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</si>
  <si>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</si>
  <si>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</si>
  <si>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</si>
  <si>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</si>
  <si>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</si>
  <si>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</si>
  <si>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Advertising and market research</t>
  </si>
  <si>
    <t>Other professional, scientific and technical activities; veterinary activities</t>
  </si>
  <si>
    <t>Administrative and support service activities</t>
  </si>
  <si>
    <t>Public administration and defence; compulsory social security</t>
  </si>
  <si>
    <t>Education</t>
  </si>
  <si>
    <t>Human health and social work activities</t>
  </si>
  <si>
    <t>Other service activities</t>
  </si>
  <si>
    <t>Activities of households as employers; undifferentiated goods- and services-producing activities of households for own use</t>
  </si>
  <si>
    <t>Activities of extraterritorial organizations and bodies</t>
  </si>
  <si>
    <t>Version tracker</t>
  </si>
  <si>
    <t>August 2020</t>
  </si>
  <si>
    <t>First global version: incorporation of grid emission factors for all countries, biofuel blends for countries for which information was found, along with the possibility of manual entry, and average values ​​of the waste composition of the IPCC (in the file "countries" there is more information about the literature review carried out to collect these data).
Incorporation of stationary (coal and fuel oil/bunker) and mobile (CNG) combustion fuels. Separation of anesthetic gases. Incorporation of means of transport (private CNG car and private CNG van) in employee transfers and work trips. Incorporation of the patient travel category. Incorporation within the tool of the forms of anesthetics and refrigerant gases.
Incorporation of notation keys and classification of establishments (auxiliary columns with blank content to be able to display and add results). Incorporation of new graphs of results.
Removed linkage with power tool, macros and coverage levels.</t>
  </si>
  <si>
    <t>December 2020</t>
  </si>
  <si>
    <t>This version includes the modifications done after the tool piloting carried out for feedback during the second semester of 2020. Main changes are:
* Waste categories as scope 1 or 3
* New categories of sources (Inhalers and T&amp;D losses)</t>
  </si>
  <si>
    <t>December 2021</t>
  </si>
  <si>
    <t>First version merged with hotspot/scope3 supply chain tool prepared to be pilot for feedback.</t>
  </si>
  <si>
    <t>March 2022</t>
  </si>
  <si>
    <t>Steam category inclusion with emission factors for US &amp; Canada. The rest of the countries can estimate the emissions by entering their specific parameters or the emission values.</t>
  </si>
  <si>
    <t>May 2022</t>
  </si>
  <si>
    <t>Second version merged with hotspot/scope3 supply chain tool prepared after pilot feedback.</t>
  </si>
  <si>
    <t>Health Care Emissions Impact Calculator-Facility</t>
  </si>
  <si>
    <t>Go back to Scope 1 and 2 Data</t>
  </si>
  <si>
    <t>Quantity delivered (pounds)</t>
  </si>
  <si>
    <t>Total Adjusted Patient Days</t>
  </si>
  <si>
    <t>3- Contact information:</t>
  </si>
  <si>
    <t>1- Complete the information required for Facility or System Data</t>
  </si>
  <si>
    <t xml:space="preserve">Street Address </t>
  </si>
  <si>
    <t>Zip code/Postal code</t>
  </si>
  <si>
    <t>Administrative-Only</t>
  </si>
  <si>
    <t>Academic Medical Center</t>
  </si>
  <si>
    <t>Ambulatory Surgery Center</t>
  </si>
  <si>
    <t>Community Hospital</t>
  </si>
  <si>
    <t>Health System</t>
  </si>
  <si>
    <t>Laboratory</t>
  </si>
  <si>
    <t>Long-Term Care Hospital</t>
  </si>
  <si>
    <t>Medical Office Building</t>
  </si>
  <si>
    <t>Outpatient Center</t>
  </si>
  <si>
    <t>Specialty Hospital</t>
  </si>
  <si>
    <t>Academic Medical Center w/ Onsite Research</t>
  </si>
  <si>
    <t>Total Patient Days</t>
  </si>
  <si>
    <t>Annual demographic data for the health care organization</t>
  </si>
  <si>
    <t>Number of Staffed Beds (annual average)</t>
  </si>
  <si>
    <t>Gross floor area (building square footage)</t>
  </si>
  <si>
    <t>Hours of operation [hrs/ day]</t>
  </si>
  <si>
    <t>Number of Operating Rooms</t>
  </si>
  <si>
    <t>Total Outpatient Visits</t>
  </si>
  <si>
    <t>Name of Facility</t>
  </si>
  <si>
    <t>GHG Emissions by Source</t>
  </si>
  <si>
    <t>Not Occurring</t>
  </si>
  <si>
    <t>Emissions in this category are estimated based on extrapolated data. Please indicate estimation methodology in the Parameters tab.</t>
  </si>
  <si>
    <t>Emissions in this category are from utility bills or invoices.</t>
  </si>
  <si>
    <t>Emissions not calculated or data is unavailable.</t>
  </si>
  <si>
    <t>The activity or process does not exist within this facility.</t>
  </si>
  <si>
    <r>
      <rPr>
        <b/>
        <sz val="11"/>
        <color theme="1"/>
        <rFont val="Arial"/>
        <family val="2"/>
        <scheme val="minor"/>
      </rPr>
      <t xml:space="preserve">Clarification. </t>
    </r>
    <r>
      <rPr>
        <sz val="11"/>
        <color theme="1"/>
        <rFont val="Arial"/>
        <family val="2"/>
        <scheme val="minor"/>
      </rPr>
      <t>CO</t>
    </r>
    <r>
      <rPr>
        <vertAlign val="subscript"/>
        <sz val="11"/>
        <color theme="1"/>
        <rFont val="Arial"/>
        <family val="2"/>
        <scheme val="minor"/>
      </rPr>
      <t>2</t>
    </r>
    <r>
      <rPr>
        <sz val="11"/>
        <color theme="1"/>
        <rFont val="Arial"/>
        <family val="2"/>
        <scheme val="minor"/>
      </rPr>
      <t xml:space="preserve"> emissions from biofuels (biodiesel, bioethanol, firewood, etc.) are considered neutral in net terms (the amount of CO</t>
    </r>
    <r>
      <rPr>
        <vertAlign val="subscript"/>
        <sz val="11"/>
        <color theme="1"/>
        <rFont val="Arial"/>
        <family val="2"/>
        <scheme val="minor"/>
      </rPr>
      <t>2</t>
    </r>
    <r>
      <rPr>
        <sz val="11"/>
        <color theme="1"/>
        <rFont val="Arial"/>
        <family val="2"/>
        <scheme val="minor"/>
      </rPr>
      <t xml:space="preserve"> that biomass has captured throughout its life is equal to the amount that it then emits when burned) and that is why they are not counted, but are expressed as zero.</t>
    </r>
  </si>
  <si>
    <t>Please indicate the type of data for this source category:</t>
  </si>
  <si>
    <t>2 - Select the unit for each fuel from the dropdown menu in the "Unit" column.</t>
  </si>
  <si>
    <t>For generator testing</t>
  </si>
  <si>
    <t>EF Stationary Combustion - CO2 [gCO2/MJ]</t>
  </si>
  <si>
    <t>EF Stationary Combustion -  CH4 [gCH4/MJ]</t>
  </si>
  <si>
    <t>EF Stationary Combustion -  N2O [gN2O/MJ]</t>
  </si>
  <si>
    <t>Title</t>
  </si>
  <si>
    <t>2- Select the year of the greenhouse gas (GHG) inventory to be calculated</t>
  </si>
  <si>
    <t>- Cells where you need to enter data are in green</t>
  </si>
  <si>
    <t xml:space="preserve">- Cells where you do not have to enter data are in grey </t>
  </si>
  <si>
    <t>Short description of boundaries defined for this GHG inventory (Equity-financial-operational boundary, facilities included or excluded)</t>
  </si>
  <si>
    <t>Full Time Employees (FTEs)</t>
  </si>
  <si>
    <t>Density [Kg/fuel unit]; LPG [kg/liter]</t>
  </si>
  <si>
    <t>1 - Enter the amount of fuel used by the facility for each type of fuel in the "Amount Consumed" column. If any type of fuel is not used, leave the respective cell empty.</t>
  </si>
  <si>
    <t>3 - If the vehicle uses CNG (Compressed Natural Gas) complete the information in the "Natural Gas" category.</t>
  </si>
  <si>
    <t>1 - Complete each of the columns with the requested information. Only data with with a (*) are needed to estimate emissions. The rest of the data will provide you more information on this source to better define mitigation actions afterwards.</t>
  </si>
  <si>
    <t>2 - The columns "Type of equipment", "Gas used", "Was this equipment removed?", "Was this equipment refilled in the reporting year?" and "Unit" are completed through drop-down lists.</t>
  </si>
  <si>
    <t>Number of maintenance visits in the reporting year</t>
  </si>
  <si>
    <t>Refrigerator Capacity</t>
  </si>
  <si>
    <r>
      <t>Serial Nº/ Internal ID N</t>
    </r>
    <r>
      <rPr>
        <vertAlign val="superscript"/>
        <sz val="12"/>
        <color theme="1"/>
        <rFont val="Arial"/>
        <family val="2"/>
        <scheme val="minor"/>
      </rPr>
      <t>o</t>
    </r>
  </si>
  <si>
    <t>Date of Service</t>
  </si>
  <si>
    <t>Location &amp; Description</t>
  </si>
  <si>
    <t>Capacity</t>
  </si>
  <si>
    <t>Type of vehicle/transport</t>
  </si>
  <si>
    <t>Inhaled Anesthetic Gases</t>
  </si>
  <si>
    <t>In this section, the GHG emissions for inhaled anesthetic gases are calculated.</t>
  </si>
  <si>
    <t>Actual quantities considering biofuel percentage blends</t>
  </si>
  <si>
    <t>Enter below the values you consider correct:</t>
  </si>
  <si>
    <t>4 - Select the unit for each fuel from the dropdown menu in the "Unit" column.</t>
  </si>
  <si>
    <t>Complete "Anesthetic Gases" sheet</t>
  </si>
  <si>
    <r>
      <t>Emissions in CO</t>
    </r>
    <r>
      <rPr>
        <vertAlign val="subscript"/>
        <sz val="11"/>
        <color theme="1"/>
        <rFont val="Arial"/>
        <family val="2"/>
        <scheme val="minor"/>
      </rPr>
      <t>2</t>
    </r>
    <r>
      <rPr>
        <sz val="11"/>
        <color theme="1"/>
        <rFont val="Arial"/>
        <family val="2"/>
        <scheme val="minor"/>
      </rPr>
      <t>e (kg)</t>
    </r>
  </si>
  <si>
    <r>
      <t>Emissions (kgCO</t>
    </r>
    <r>
      <rPr>
        <vertAlign val="subscript"/>
        <sz val="11"/>
        <color theme="1"/>
        <rFont val="Arial"/>
        <family val="2"/>
        <scheme val="minor"/>
      </rPr>
      <t>2</t>
    </r>
    <r>
      <rPr>
        <sz val="11"/>
        <color theme="1"/>
        <rFont val="Arial"/>
        <family val="2"/>
        <scheme val="minor"/>
      </rPr>
      <t>e)</t>
    </r>
  </si>
  <si>
    <t xml:space="preserve">This section calculates emissions that result from the production of district steam, hot water or chilled water. </t>
  </si>
  <si>
    <t>1- Please enter data for each type of district energy source.This calculation uses conversion factors specific to the US &amp; Canada .</t>
  </si>
  <si>
    <t>1000 pounds</t>
  </si>
  <si>
    <t>District Energy</t>
  </si>
  <si>
    <t>ton-hour</t>
  </si>
  <si>
    <t>Unit Options</t>
  </si>
  <si>
    <t>therms (US)</t>
  </si>
  <si>
    <t>CCF</t>
  </si>
  <si>
    <t>States and Provinces (US and Canada)</t>
  </si>
  <si>
    <t>US - Alabama</t>
  </si>
  <si>
    <t>US - Alaska</t>
  </si>
  <si>
    <t>US - Arizona</t>
  </si>
  <si>
    <t>Scope 3 Summary</t>
  </si>
  <si>
    <t>assume US Average</t>
  </si>
  <si>
    <t xml:space="preserve">Below some graphics are presented for Scope 1 and 2 emissions only. </t>
  </si>
  <si>
    <t>Total MTCO2e GHG Emissions for Scope 1,2,3</t>
  </si>
  <si>
    <t>Scope 1 and 2 Tabs</t>
  </si>
  <si>
    <t>Scope 3 Tabs</t>
  </si>
  <si>
    <t>If you would like to learn more about calculating your GHG emissions, check out these resources:</t>
  </si>
  <si>
    <t>EPA GHG Emissions Overview</t>
  </si>
  <si>
    <t>Greenhouse Gas Protocol</t>
  </si>
  <si>
    <t>.</t>
  </si>
  <si>
    <r>
      <t xml:space="preserve">Before entering the requested data for each source, please indicate the type of data. Emissions will </t>
    </r>
    <r>
      <rPr>
        <b/>
        <i/>
        <sz val="11"/>
        <color theme="1"/>
        <rFont val="Arial"/>
        <family val="2"/>
        <scheme val="minor"/>
      </rPr>
      <t>not</t>
    </r>
    <r>
      <rPr>
        <i/>
        <sz val="11"/>
        <color theme="1"/>
        <rFont val="Arial"/>
        <family val="2"/>
        <scheme val="minor"/>
      </rPr>
      <t xml:space="preserve"> calculate without selecting an option for each source.                                      The possible options and their explanations are detailed below:</t>
    </r>
  </si>
  <si>
    <t>Launch of the 1st version of the Health Care Emissions Impact Calculator for US Health Systems</t>
  </si>
  <si>
    <t>Health Care Emissions Calculator-Facility</t>
  </si>
  <si>
    <t>April 2023</t>
  </si>
  <si>
    <t>Type of facility</t>
  </si>
  <si>
    <t>Density (kg/Lb)</t>
  </si>
  <si>
    <t>Fuel Oil #2</t>
  </si>
  <si>
    <t>GHG total emissions (MTCO2e) Scope 1, 2 and 3</t>
  </si>
  <si>
    <t>Scope 1 and 2 GHG Emissions</t>
  </si>
  <si>
    <t>Welcome to the GHG calculation tool for healthcare institutions developed by Health Care Without Harm and Practice Greenhealth for a U.S. Health System or Facility. The calculator is going to calculate the GHG emissions for all Scope 1, 2, and 3 activities that fall under an organization's operational, financial or equity boundary.</t>
  </si>
  <si>
    <t>1- Select your US region</t>
  </si>
  <si>
    <t>2- Then complete the information requested in Scope 1, 2 and 3 Data.</t>
  </si>
  <si>
    <t>3- When you have finished completing the Scope 1,2 and 3 Data, you can see the results of the GHG Inventory in the Results &amp; Summary tab and the Scope 3 Summary tab.</t>
  </si>
  <si>
    <t>Scope 1 emissions are those that occur from sources that are owned or controlled by the health care facility. Examples include: Emissions due to combustion in boilers, water heaters or generators, fleet vehicles fuel use (owned or leased), the use of inhaled anesthetics including nitrous oxide, or refrigerant leaks in air conditioning or refrigeration systems.</t>
  </si>
  <si>
    <t>In this section, the GHG emissions resulting from the burning of fossil fuels in stationary processes are calculated. Stationary combustion is that which occurs in devices that do not move, like boilers, hot water tanks, stoves, water heaters, backup generators, onsite waste incineration, autoclaves, etc.</t>
  </si>
  <si>
    <t>In this section, the GHG emissions resulting from fuel combustion for fleet vehicles belonging to (owned or leased) the facility are calculated. These vehicles can be cars, light-duty or heavy-duty trucks, shuttle buses, owned ambulances or helicopters. Note: For contracted services such as ambulance service or medical evacuation helicopter service, emissions should be tracked in Scope 3 Category 4 Upstream Transportation and Distribution. Employee commute to work is tracked in Scope 3 Category 7 and transportation of patients can be tracked in Scope 3 Category 9.</t>
  </si>
  <si>
    <r>
      <t xml:space="preserve">Clarifications: </t>
    </r>
    <r>
      <rPr>
        <sz val="10"/>
        <color theme="1"/>
        <rFont val="Arial"/>
        <family val="2"/>
        <scheme val="minor"/>
      </rPr>
      <t>CO</t>
    </r>
    <r>
      <rPr>
        <vertAlign val="subscript"/>
        <sz val="10"/>
        <color theme="1"/>
        <rFont val="Arial"/>
        <family val="2"/>
        <scheme val="minor"/>
      </rPr>
      <t>2</t>
    </r>
    <r>
      <rPr>
        <sz val="10"/>
        <color theme="1"/>
        <rFont val="Arial"/>
        <family val="2"/>
        <scheme val="minor"/>
      </rPr>
      <t xml:space="preserve"> emissions from biofuels (biodiesel, bioethanol, firewood, etc.) are considered neutral in net terms (the amount of CO</t>
    </r>
    <r>
      <rPr>
        <vertAlign val="subscript"/>
        <sz val="10"/>
        <color theme="1"/>
        <rFont val="Arial"/>
        <family val="2"/>
        <scheme val="minor"/>
      </rPr>
      <t>2</t>
    </r>
    <r>
      <rPr>
        <sz val="10"/>
        <color theme="1"/>
        <rFont val="Arial"/>
        <family val="2"/>
        <scheme val="minor"/>
      </rPr>
      <t xml:space="preserve"> that biomass has captured throughout its life is equal to the amount that it then emits when burned) and for that reason they are not reported and are expressed as zero.On the other hand, if in your region has a mandatory blend of biodiesel and / or bioethanol in fuels, the calculator will automatically divide the amount of fuel entered in each of the parts of the mixture (gasoline / bioethanol; diesel / biodiesel). </t>
    </r>
  </si>
  <si>
    <t>2 - Enter the amounts of gasoline and diesel consumed by the organization's vehicles in the column "Amount consumed". If any fuel is not used, leave the respective cell unfilled.</t>
  </si>
  <si>
    <t>In this section, the GHG emissions for unintentional (fugitive) emissions (due to charges, recharges (due to leaks) of gases used for cooling (refrigeration, freezers), HVAC equipment and fire surpression devices are calculated.</t>
  </si>
  <si>
    <t>1 - Complete the "Anesthetic gases" form (by clicking on the gray button on the right). With this information, the calculator will automatically calculate the emissions related to this category.</t>
  </si>
  <si>
    <t xml:space="preserve">Scope 2 emissions are those that result from the generation of energy purchased by the organization. Typically, this category refers to purchased electricity and district fuels such as purchased steam, hot water or chilled water. The energy is produced by a provider (3rd party) at their own location and transported to the healthcare facility.These emissions do not occur physically at the organization, but rather where the energy is generated. </t>
  </si>
  <si>
    <t xml:space="preserve">1 - For each of the anesthetic gases, indicate the number of bottles purchased for each container size. </t>
  </si>
  <si>
    <r>
      <t>2- In N</t>
    </r>
    <r>
      <rPr>
        <vertAlign val="subscript"/>
        <sz val="11"/>
        <color theme="1"/>
        <rFont val="Arial"/>
        <family val="2"/>
        <scheme val="minor"/>
      </rPr>
      <t>2</t>
    </r>
    <r>
      <rPr>
        <sz val="11"/>
        <color theme="1"/>
        <rFont val="Arial"/>
        <family val="2"/>
        <scheme val="minor"/>
      </rPr>
      <t>O, N</t>
    </r>
    <r>
      <rPr>
        <vertAlign val="subscript"/>
        <sz val="11"/>
        <color theme="1"/>
        <rFont val="Arial"/>
        <family val="2"/>
        <scheme val="minor"/>
      </rPr>
      <t>2</t>
    </r>
    <r>
      <rPr>
        <sz val="11"/>
        <color theme="1"/>
        <rFont val="Arial"/>
        <family val="2"/>
        <scheme val="minor"/>
      </rPr>
      <t>O/O</t>
    </r>
    <r>
      <rPr>
        <vertAlign val="subscript"/>
        <sz val="11"/>
        <color theme="1"/>
        <rFont val="Arial"/>
        <family val="2"/>
        <scheme val="minor"/>
      </rPr>
      <t>2</t>
    </r>
    <r>
      <rPr>
        <sz val="11"/>
        <color theme="1"/>
        <rFont val="Arial"/>
        <family val="2"/>
        <scheme val="minor"/>
      </rPr>
      <t xml:space="preserve"> and CO</t>
    </r>
    <r>
      <rPr>
        <vertAlign val="subscript"/>
        <sz val="11"/>
        <color theme="1"/>
        <rFont val="Arial"/>
        <family val="2"/>
        <scheme val="minor"/>
      </rPr>
      <t>2</t>
    </r>
    <r>
      <rPr>
        <sz val="11"/>
        <color theme="1"/>
        <rFont val="Arial"/>
        <family val="2"/>
        <scheme val="minor"/>
      </rPr>
      <t xml:space="preserve"> fields, entered directly the total quantity delivered in pounds.</t>
    </r>
  </si>
  <si>
    <t>Completing this sheet is highly recommended, even though the information it requests is not directly used by the calculator to estimate emissions.</t>
  </si>
  <si>
    <t xml:space="preserve">At first it may appear to be a labor intensive activity without any concrete results, but having metadata (unit, year, reference, category) for each value used to estimate GHG footprint will be helpful when repeating this activity in subsequent years in order to ensure transparency and accuracy of calculations. </t>
  </si>
  <si>
    <t>Practice Greenhealth Membership Info</t>
  </si>
  <si>
    <t>Complete "Refrigerants" sheet</t>
  </si>
  <si>
    <t>1 - Complete the "Refrigerants" form (by clicking on the gray button on the right) with the information of the refrigeration equipment of your organization. With this information, the calculator will automatically calculate the emissions related to this category.</t>
  </si>
  <si>
    <t>1 - In the US, the mandatory minimums for 2021 according to the EPA's Renewable Fuel Standard were 5% biodiesel blend and 10% bioethanol blend. If these values ​​do not correspond to the current regulations in your country or you purchase fuels with other higher mixing percentages, you can modify the values manually in the green cells below.</t>
  </si>
  <si>
    <t>Ethanol Blend in gasoline</t>
  </si>
  <si>
    <t>Ethanol explained - use of ethanol - U.S. Energy Information Administration (EIA)</t>
  </si>
  <si>
    <t>Biodiesel Blend in Diesel Fuel</t>
  </si>
  <si>
    <t>Biofuels explained - use and supply - U.S. Energy Information Administration (EIA)</t>
  </si>
  <si>
    <t>Scope 1 Mobile Fleet Combustion</t>
  </si>
  <si>
    <t>EPA Egrid Power Profiler</t>
  </si>
  <si>
    <t>For assistance in determining your utility region, go to:</t>
  </si>
  <si>
    <t>Puerto Rico should choose the SPP South region. Other facilities</t>
  </si>
  <si>
    <t>outside the US that are uncertain of their region, please select grid MRO East</t>
  </si>
  <si>
    <t xml:space="preserve">This section estimates the GHG emissions that result from the generation of electricity. It is important to note that this calculator uses the location-based method to calculate Scope 2 emissions. This means that all emissions are related to the utility grid you selected on row 5 of the Instructions tab. Some facilities choose to use a market-based approach for Scope 2 energy and that may result in their Scope 2 emissions having a lower emissions factor than the US region they are located in. </t>
  </si>
  <si>
    <t>Mobile Combustion</t>
  </si>
  <si>
    <t>Refrigerants and Fire Suppression</t>
  </si>
  <si>
    <t>Purchased Electricity</t>
  </si>
  <si>
    <t>Purchased Steam, Hot and Chilled Water</t>
  </si>
  <si>
    <t>If you are still in need of support, resources or guidance in order to develop your GHG inventory or GHG reduction action plan, consider becoming a Practice Greenhealth partner.</t>
  </si>
  <si>
    <t>Scope 1 and 2 Emissions:</t>
  </si>
  <si>
    <t>Scope 3 Emissions:</t>
  </si>
  <si>
    <t>Click here for more information on determining an organizational boundary for GHG inventory</t>
  </si>
  <si>
    <t>GWP of Waste Anesthetic Gases</t>
  </si>
  <si>
    <t>Scope 1 Fugitive Emissions / Anesthetic Gases</t>
  </si>
  <si>
    <t>Understanding Global Warming Potentials | US EPA</t>
  </si>
  <si>
    <t>*If you only have system-level data, this calculator will meet all your needs. Simply enter system-level data for each of the activities or categories in this calculator. If you want to track individual facility-level data, duplicate this excel calculator as many as 300 times and store all of your facility-level data files in one folder. You will then be able to import all of your individual facility data files into the Health Care Emissions Impact Calculator- System excel sheet in order to see your total organization's GHG emissions.</t>
  </si>
  <si>
    <t>Scope 2 Summary Table (Egrid Power Profiler)</t>
  </si>
  <si>
    <t>Scope 2 emissions</t>
  </si>
  <si>
    <t>Summary Data | US EPA</t>
  </si>
  <si>
    <t>Updated Scope 2 emission factors per region to 2021 EPA data set</t>
  </si>
  <si>
    <t>June 2023</t>
  </si>
  <si>
    <t>ALL INFORMATION BELOW PERTAINS TO UPDATES OR CHANGES TO THE CLIMATE IMPACT CHECKUP TOOL</t>
  </si>
  <si>
    <t xml:space="preserve">*Scope 1 and 2 calculations are a part of the Climate Impact Checkup tool. </t>
  </si>
  <si>
    <t xml:space="preserve">*Scope 3 tool was developed by Engie Impact and Health Care Without Harm.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</si>
</sst>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44" formatCode="_(&quot;$&quot;* #,##0.00_);_(&quot;$&quot;* \(#,##0.00\);_(&quot;$&quot;* &quot;-&quot;??_);_(@_)"/>
    <numFmt numFmtId="43" formatCode="_(* #,##0.00_);_(* \(#,##0.00\);_(* &quot;-&quot;??_);_(@_)"/>
    <numFmt numFmtId="164" formatCode="0.0%"/>
    <numFmt numFmtId="165" formatCode="&quot;$&quot;#,##0.00"/>
    <numFmt numFmtId="166" formatCode="0.000"/>
    <numFmt numFmtId="167" formatCode="0.00000000"/>
    <numFmt numFmtId="168" formatCode="0.0000000"/>
    <numFmt numFmtId="169" formatCode="0.000000"/>
    <numFmt numFmtId="170" formatCode="0.00000"/>
    <numFmt numFmtId="171" formatCode="0.0000"/>
    <numFmt numFmtId="172" formatCode="#,##0.0_);\(#,##0.0\)"/>
    <numFmt numFmtId="173" formatCode="#,##0.00000"/>
    <numFmt numFmtId="174" formatCode="#,##0.0000"/>
    <numFmt numFmtId="175" formatCode="#,##0.000"/>
    <numFmt numFmtId="176" formatCode="#,##0.000000000"/>
    <numFmt numFmtId="177" formatCode="#,##0.0000000"/>
    <numFmt numFmtId="178" formatCode="_(&quot;$&quot;* #,##0_);_(&quot;$&quot;* \(#,##0\);_(&quot;$&quot;* &quot;-&quot;??_);_(@_)"/>
    <numFmt numFmtId="179" formatCode="0.0"/>
    <numFmt numFmtId="180" formatCode="#,##0.0"/>
    <numFmt numFmtId="181" formatCode="General_)"/>
    <numFmt numFmtId="182" formatCode="_(* #,##0.000_);_(* \(#,##0.000\);_(* &quot;-&quot;??_);_(@_)"/>
    <numFmt numFmtId="183" formatCode="_(* #,##0.0_);_(* \(#,##0.0\);_(* &quot;-&quot;??_);_(@_)"/>
    <numFmt numFmtId="184" formatCode="_-* #,##0.00_-;\-* #,##0.00_-;_-* &quot;-&quot;??_-;_-@_-"/>
    <numFmt numFmtId="185" formatCode="_(* #,##0_);_(* \(#,##0\);_(* &quot;-&quot;??_);_(@_)"/>
    <numFmt numFmtId="186" formatCode="_-* #,##0_-;\-* #,##0_-;_-* &quot;-&quot;??_-;_-@_-"/>
    <numFmt numFmtId="187" formatCode="_-[$$-409]* #,##0_ ;_-[$$-409]* \-#,##0\ ;_-[$$-409]* &quot;-&quot;??_ ;_-@_ "/>
    <numFmt numFmtId="188" formatCode="_-* #,##0.0_-;\-* #,##0.0_-;_-* &quot;-&quot;??_-;_-@_-"/>
    <numFmt numFmtId="189" formatCode="_-* #,##0.000_-;\-* #,##0.000_-;_-* &quot;-&quot;??_-;_-@_-"/>
    <numFmt numFmtId="190" formatCode="_-* #,##0.0000_-;\-* #,##0.0000_-;_-* &quot;-&quot;??_-;_-@_-"/>
    <numFmt numFmtId="191" formatCode="_-* #,##0.00000_-;\-* #,##0.00000_-;_-* &quot;-&quot;??_-;_-@_-"/>
    <numFmt numFmtId="192" formatCode="_-* #,##0.000_-;\-* #,##0.000_-;_-* &quot;-&quot;???_-;_-@_-"/>
    <numFmt numFmtId="193" formatCode="#,##0.000000"/>
  </numFmts>
  <fonts count="178">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i/>
      <sz val="11"/>
      <color theme="1"/>
      <name val="Arial"/>
      <family val="2"/>
      <scheme val="minor"/>
    </font>
    <font>
      <b/>
      <i/>
      <sz val="14"/>
      <color theme="1"/>
      <name val="Arial"/>
      <family val="2"/>
      <scheme val="minor"/>
    </font>
    <font>
      <sz val="8"/>
      <name val="Arial"/>
      <family val="2"/>
      <scheme val="minor"/>
    </font>
    <font>
      <b/>
      <sz val="11"/>
      <color theme="1"/>
      <name val="Arial"/>
      <family val="2"/>
    </font>
    <font>
      <b/>
      <i/>
      <sz val="11"/>
      <name val="Arial"/>
      <family val="2"/>
      <scheme val="minor"/>
    </font>
    <font>
      <b/>
      <sz val="11"/>
      <color rgb="FF053D5F"/>
      <name val="Arial"/>
      <family val="2"/>
      <scheme val="minor"/>
    </font>
    <font>
      <sz val="11"/>
      <color rgb="FF053D5F"/>
      <name val="Arial"/>
      <family val="2"/>
      <scheme val="minor"/>
    </font>
    <font>
      <i/>
      <sz val="11"/>
      <color rgb="FF053D5F"/>
      <name val="Arial"/>
      <family val="2"/>
      <scheme val="minor"/>
    </font>
    <font>
      <b/>
      <vertAlign val="superscript"/>
      <sz val="11"/>
      <color indexed="56"/>
      <name val="Calibri"/>
      <family val="2"/>
    </font>
    <font>
      <sz val="11"/>
      <color rgb="FFFF0000"/>
      <name val="Arial"/>
      <family val="2"/>
      <scheme val="minor"/>
    </font>
    <font>
      <sz val="11"/>
      <name val="Arial"/>
      <family val="2"/>
      <scheme val="minor"/>
    </font>
    <font>
      <b/>
      <sz val="16"/>
      <color theme="1"/>
      <name val="Arial"/>
      <family val="2"/>
      <scheme val="minor"/>
    </font>
    <font>
      <u/>
      <sz val="11"/>
      <color theme="10"/>
      <name val="Arial"/>
      <family val="2"/>
      <scheme val="minor"/>
    </font>
    <font>
      <b/>
      <sz val="22"/>
      <color theme="0"/>
      <name val="Arial"/>
      <family val="2"/>
      <scheme val="minor"/>
    </font>
    <font>
      <b/>
      <i/>
      <sz val="20"/>
      <name val="Arial"/>
      <family val="2"/>
      <scheme val="minor"/>
    </font>
    <font>
      <b/>
      <i/>
      <sz val="11"/>
      <color theme="1"/>
      <name val="Arial"/>
      <family val="2"/>
      <scheme val="minor"/>
    </font>
    <font>
      <b/>
      <i/>
      <sz val="11"/>
      <color rgb="FFFF0000"/>
      <name val="Arial"/>
      <family val="2"/>
      <scheme val="minor"/>
    </font>
    <font>
      <sz val="11"/>
      <color rgb="FF0000FF"/>
      <name val="Arial"/>
      <family val="2"/>
      <scheme val="minor"/>
    </font>
    <font>
      <u/>
      <sz val="14"/>
      <color theme="10"/>
      <name val="Arial"/>
      <family val="2"/>
      <scheme val="minor"/>
    </font>
    <font>
      <u/>
      <sz val="11"/>
      <color theme="1"/>
      <name val="Arial"/>
      <family val="2"/>
      <scheme val="minor"/>
    </font>
    <font>
      <b/>
      <sz val="10"/>
      <name val="Arial"/>
      <family val="2"/>
    </font>
    <font>
      <sz val="10"/>
      <name val="Arial"/>
      <family val="2"/>
    </font>
    <font>
      <b/>
      <i/>
      <sz val="16"/>
      <color theme="1"/>
      <name val="Arial"/>
      <family val="2"/>
      <scheme val="minor"/>
    </font>
    <font>
      <b/>
      <sz val="14"/>
      <color theme="1"/>
      <name val="Arial"/>
      <family val="2"/>
      <scheme val="minor"/>
    </font>
    <font>
      <b/>
      <i/>
      <sz val="10"/>
      <name val="Arial"/>
      <family val="2"/>
    </font>
    <font>
      <b/>
      <u/>
      <sz val="10"/>
      <name val="Arial"/>
      <family val="2"/>
    </font>
    <font>
      <i/>
      <sz val="11"/>
      <color rgb="FFFF0000"/>
      <name val="Arial"/>
      <family val="2"/>
      <scheme val="minor"/>
    </font>
    <font>
      <i/>
      <u/>
      <sz val="11"/>
      <color theme="10"/>
      <name val="Arial"/>
      <family val="2"/>
      <scheme val="minor"/>
    </font>
    <font>
      <sz val="8"/>
      <name val="Times New Roman Bold"/>
      <family val="2"/>
    </font>
    <font>
      <i/>
      <sz val="9"/>
      <color theme="1"/>
      <name val="Arial"/>
      <family val="2"/>
      <scheme val="minor"/>
    </font>
    <font>
      <sz val="8"/>
      <name val="Arial Bold"/>
      <family val="2"/>
    </font>
    <font>
      <sz val="8"/>
      <name val="Arial"/>
      <family val="2"/>
    </font>
    <font>
      <sz val="10"/>
      <color rgb="FF828386"/>
      <name val="Times New Roman"/>
      <family val="2"/>
    </font>
    <font>
      <b/>
      <sz val="14"/>
      <name val="Arial"/>
      <family val="2"/>
      <scheme val="minor"/>
    </font>
    <font>
      <sz val="9"/>
      <name val="Arial"/>
      <family val="2"/>
    </font>
    <font>
      <b/>
      <sz val="9"/>
      <name val="Arial"/>
      <family val="2"/>
    </font>
    <font>
      <vertAlign val="superscript"/>
      <sz val="9"/>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1"/>
      <color theme="0"/>
      <name val="Arial"/>
      <family val="2"/>
      <scheme val="minor"/>
    </font>
    <font>
      <b/>
      <i/>
      <sz val="11"/>
      <color rgb="FF00B0F0"/>
      <name val="Arial"/>
      <family val="2"/>
      <scheme val="minor"/>
    </font>
    <font>
      <i/>
      <sz val="10"/>
      <name val="Arial"/>
      <family val="2"/>
    </font>
    <font>
      <sz val="10"/>
      <name val="Verdana"/>
      <family val="2"/>
    </font>
    <font>
      <b/>
      <vertAlign val="subscript"/>
      <sz val="10"/>
      <name val="Arial"/>
      <family val="2"/>
    </font>
    <font>
      <sz val="9"/>
      <color theme="1"/>
      <name val="Arial"/>
      <family val="2"/>
      <scheme val="minor"/>
    </font>
    <font>
      <sz val="10"/>
      <color theme="1"/>
      <name val="Arial"/>
      <family val="2"/>
      <scheme val="minor"/>
    </font>
    <font>
      <b/>
      <sz val="10"/>
      <color theme="1"/>
      <name val="Arial"/>
      <family val="2"/>
      <scheme val="minor"/>
    </font>
    <font>
      <b/>
      <vertAlign val="superscript"/>
      <sz val="10"/>
      <color theme="1"/>
      <name val="Arial"/>
      <family val="2"/>
      <scheme val="minor"/>
    </font>
    <font>
      <b/>
      <sz val="12"/>
      <color theme="4"/>
      <name val="Arial"/>
      <family val="2"/>
      <scheme val="minor"/>
    </font>
    <font>
      <u/>
      <sz val="11"/>
      <color theme="6"/>
      <name val="Calibri"/>
      <family val="2"/>
    </font>
    <font>
      <b/>
      <sz val="9"/>
      <color theme="1"/>
      <name val="Arial"/>
      <family val="2"/>
      <scheme val="minor"/>
    </font>
    <font>
      <u/>
      <sz val="10"/>
      <color theme="4"/>
      <name val="Arial"/>
      <family val="2"/>
      <scheme val="minor"/>
    </font>
    <font>
      <sz val="11"/>
      <color rgb="FF9C6500"/>
      <name val="Arial"/>
      <family val="2"/>
      <scheme val="minor"/>
    </font>
    <font>
      <b/>
      <sz val="18"/>
      <color theme="3"/>
      <name val="Arial"/>
      <family val="2"/>
      <scheme val="major"/>
    </font>
    <font>
      <b/>
      <sz val="10"/>
      <color rgb="FF0000FF"/>
      <name val="Arial"/>
      <family val="2"/>
    </font>
    <font>
      <vertAlign val="subscript"/>
      <sz val="10"/>
      <name val="Arial"/>
      <family val="2"/>
    </font>
    <font>
      <i/>
      <sz val="10"/>
      <color theme="1"/>
      <name val="Arial"/>
      <family val="2"/>
      <scheme val="minor"/>
    </font>
    <font>
      <b/>
      <i/>
      <sz val="18"/>
      <color theme="1"/>
      <name val="Arial"/>
      <family val="2"/>
      <scheme val="minor"/>
    </font>
    <font>
      <sz val="10"/>
      <color rgb="FFFF0000"/>
      <name val="Arial"/>
      <family val="2"/>
      <scheme val="minor"/>
    </font>
    <font>
      <b/>
      <u/>
      <sz val="12"/>
      <color theme="0"/>
      <name val="Arial"/>
      <family val="2"/>
      <scheme val="minor"/>
    </font>
    <font>
      <b/>
      <sz val="11"/>
      <color rgb="FFFF0000"/>
      <name val="Arial"/>
      <family val="2"/>
      <scheme val="minor"/>
    </font>
    <font>
      <b/>
      <sz val="16"/>
      <color theme="0"/>
      <name val="Arial"/>
      <family val="2"/>
      <scheme val="minor"/>
    </font>
    <font>
      <i/>
      <sz val="11"/>
      <color theme="2" tint="-0.499984740745262"/>
      <name val="Arial"/>
      <family val="2"/>
      <scheme val="minor"/>
    </font>
    <font>
      <sz val="10"/>
      <color theme="1"/>
      <name val="Calibri"/>
      <family val="2"/>
    </font>
    <font>
      <b/>
      <sz val="11"/>
      <color rgb="FF0000FF"/>
      <name val="Arial"/>
      <family val="2"/>
      <scheme val="minor"/>
    </font>
    <font>
      <i/>
      <sz val="11"/>
      <color rgb="FF0000FF"/>
      <name val="Arial"/>
      <family val="2"/>
      <scheme val="minor"/>
    </font>
    <font>
      <b/>
      <sz val="12"/>
      <color theme="0"/>
      <name val="Arial"/>
      <family val="2"/>
      <scheme val="minor"/>
    </font>
    <font>
      <i/>
      <sz val="10"/>
      <color rgb="FFFF0000"/>
      <name val="Arial"/>
      <family val="2"/>
      <scheme val="minor"/>
    </font>
    <font>
      <b/>
      <sz val="11"/>
      <color rgb="FFFFFF00"/>
      <name val="Arial"/>
      <family val="2"/>
      <scheme val="minor"/>
    </font>
    <font>
      <b/>
      <sz val="11"/>
      <color rgb="FFFF0000"/>
      <name val="Arial"/>
      <family val="2"/>
      <scheme val="major"/>
    </font>
    <font>
      <i/>
      <sz val="10"/>
      <color rgb="FF0000FF"/>
      <name val="Arial"/>
      <family val="2"/>
      <scheme val="minor"/>
    </font>
    <font>
      <b/>
      <i/>
      <sz val="10"/>
      <color theme="1"/>
      <name val="Arial"/>
      <family val="2"/>
      <scheme val="minor"/>
    </font>
    <font>
      <b/>
      <i/>
      <sz val="11"/>
      <name val="Calibri"/>
      <family val="2"/>
    </font>
    <font>
      <sz val="11"/>
      <color rgb="FF000000"/>
      <name val="Calibri"/>
      <family val="2"/>
    </font>
    <font>
      <b/>
      <sz val="12"/>
      <color theme="1"/>
      <name val="Arial"/>
      <family val="2"/>
      <scheme val="minor"/>
    </font>
    <font>
      <b/>
      <sz val="12"/>
      <color theme="1"/>
      <name val="Calibri"/>
      <family val="2"/>
    </font>
    <font>
      <b/>
      <sz val="12"/>
      <color theme="1"/>
      <name val="Arial"/>
      <family val="2"/>
    </font>
    <font>
      <sz val="9"/>
      <color indexed="81"/>
      <name val="Tahoma"/>
      <family val="2"/>
    </font>
    <font>
      <sz val="12"/>
      <color theme="1"/>
      <name val="Arial"/>
      <family val="2"/>
      <scheme val="minor"/>
    </font>
    <font>
      <b/>
      <vertAlign val="superscript"/>
      <sz val="11"/>
      <color theme="1"/>
      <name val="Arial"/>
      <family val="2"/>
      <scheme val="minor"/>
    </font>
    <font>
      <b/>
      <u/>
      <sz val="11"/>
      <color theme="1"/>
      <name val="Arial"/>
      <family val="2"/>
      <scheme val="minor"/>
    </font>
    <font>
      <b/>
      <i/>
      <sz val="14"/>
      <color rgb="FF0000FF"/>
      <name val="Arial"/>
      <family val="2"/>
      <scheme val="minor"/>
    </font>
    <font>
      <b/>
      <i/>
      <sz val="14"/>
      <color rgb="FF00B050"/>
      <name val="Arial"/>
      <family val="2"/>
      <scheme val="minor"/>
    </font>
    <font>
      <b/>
      <sz val="10"/>
      <color rgb="FF00B050"/>
      <name val="Arial"/>
      <family val="2"/>
    </font>
    <font>
      <i/>
      <sz val="9"/>
      <color rgb="FF0000FF"/>
      <name val="Arial"/>
      <family val="2"/>
      <scheme val="minor"/>
    </font>
    <font>
      <u/>
      <sz val="10"/>
      <name val="Arial"/>
      <family val="2"/>
    </font>
    <font>
      <b/>
      <sz val="10"/>
      <color rgb="FF00B0F0"/>
      <name val="Arial"/>
      <family val="2"/>
    </font>
    <font>
      <b/>
      <i/>
      <sz val="12"/>
      <color theme="0"/>
      <name val="Arial"/>
      <family val="2"/>
      <scheme val="minor"/>
    </font>
    <font>
      <sz val="11"/>
      <color theme="1"/>
      <name val="Arial"/>
      <family val="2"/>
    </font>
    <font>
      <b/>
      <sz val="13.5"/>
      <color theme="1"/>
      <name val="Arial"/>
      <family val="2"/>
      <scheme val="minor"/>
    </font>
    <font>
      <b/>
      <sz val="11"/>
      <name val="Arial"/>
      <family val="2"/>
      <scheme val="minor"/>
    </font>
    <font>
      <i/>
      <sz val="11"/>
      <name val="Calibri"/>
      <family val="2"/>
    </font>
    <font>
      <sz val="10"/>
      <color theme="1"/>
      <name val="Arial"/>
      <family val="2"/>
    </font>
    <font>
      <i/>
      <sz val="8"/>
      <name val="Arial"/>
      <family val="2"/>
      <scheme val="minor"/>
    </font>
    <font>
      <b/>
      <sz val="16"/>
      <name val="Arial"/>
      <family val="2"/>
      <scheme val="minor"/>
    </font>
    <font>
      <u/>
      <sz val="11"/>
      <color indexed="12"/>
      <name val="Calibri"/>
      <family val="2"/>
    </font>
    <font>
      <u/>
      <sz val="10"/>
      <color theme="10"/>
      <name val="Calibri"/>
      <family val="2"/>
    </font>
    <font>
      <sz val="4"/>
      <color rgb="FF053D5F"/>
      <name val="Arial"/>
      <family val="2"/>
      <scheme val="minor"/>
    </font>
    <font>
      <b/>
      <sz val="10"/>
      <color rgb="FF053D5F"/>
      <name val="Arial"/>
      <family val="2"/>
      <scheme val="minor"/>
    </font>
    <font>
      <sz val="10"/>
      <color rgb="FF053D5F"/>
      <name val="Arial"/>
      <family val="2"/>
      <scheme val="minor"/>
    </font>
    <font>
      <b/>
      <u/>
      <sz val="12"/>
      <color rgb="FF053D5F"/>
      <name val="Arial"/>
      <family val="2"/>
      <scheme val="minor"/>
    </font>
    <font>
      <sz val="11"/>
      <color rgb="FF002060"/>
      <name val="Arial"/>
      <family val="2"/>
      <scheme val="minor"/>
    </font>
    <font>
      <b/>
      <sz val="10"/>
      <color theme="1"/>
      <name val="Arial"/>
      <family val="2"/>
    </font>
    <font>
      <vertAlign val="subscript"/>
      <sz val="11"/>
      <color indexed="56"/>
      <name val="Calibri"/>
      <family val="2"/>
    </font>
    <font>
      <sz val="11"/>
      <color indexed="56"/>
      <name val="Calibri"/>
      <family val="2"/>
    </font>
    <font>
      <b/>
      <i/>
      <sz val="11"/>
      <color theme="4" tint="-0.499984740745262"/>
      <name val="Arial"/>
      <family val="2"/>
      <scheme val="minor"/>
    </font>
    <font>
      <sz val="11"/>
      <color theme="2" tint="-0.499984740745262"/>
      <name val="Arial"/>
      <family val="2"/>
      <scheme val="minor"/>
    </font>
    <font>
      <u/>
      <sz val="10"/>
      <color indexed="12"/>
      <name val="Arial"/>
      <family val="2"/>
    </font>
    <font>
      <sz val="12"/>
      <color theme="1"/>
      <name val="Arial"/>
      <family val="2"/>
      <charset val="129"/>
      <scheme val="minor"/>
    </font>
    <font>
      <b/>
      <sz val="8.5"/>
      <color theme="1"/>
      <name val="Arial"/>
      <family val="2"/>
    </font>
    <font>
      <b/>
      <vertAlign val="subscript"/>
      <sz val="8.5"/>
      <color theme="1"/>
      <name val="Arial"/>
      <family val="2"/>
    </font>
    <font>
      <sz val="8.5"/>
      <color theme="1"/>
      <name val="Arial"/>
      <family val="2"/>
    </font>
    <font>
      <sz val="11"/>
      <name val="Calibri"/>
      <family val="2"/>
    </font>
    <font>
      <sz val="11"/>
      <color rgb="FF333333"/>
      <name val="Calibri"/>
      <family val="2"/>
    </font>
    <font>
      <sz val="18"/>
      <color theme="0"/>
      <name val="Arial"/>
      <family val="2"/>
      <scheme val="minor"/>
    </font>
    <font>
      <sz val="10"/>
      <color rgb="FF3F3F76"/>
      <name val="Arial"/>
      <family val="2"/>
      <scheme val="minor"/>
    </font>
    <font>
      <sz val="14"/>
      <color theme="1"/>
      <name val="Arial"/>
      <family val="2"/>
      <scheme val="minor"/>
    </font>
    <font>
      <vertAlign val="subscript"/>
      <sz val="11"/>
      <name val="Arial"/>
      <family val="2"/>
      <scheme val="minor"/>
    </font>
    <font>
      <vertAlign val="superscript"/>
      <sz val="11"/>
      <color theme="1"/>
      <name val="Arial"/>
      <family val="2"/>
      <scheme val="minor"/>
    </font>
    <font>
      <sz val="13"/>
      <color theme="1"/>
      <name val="Arial"/>
      <family val="2"/>
      <scheme val="minor"/>
    </font>
    <font>
      <sz val="10"/>
      <name val="Arial"/>
      <family val="2"/>
      <scheme val="minor"/>
    </font>
    <font>
      <sz val="11"/>
      <color theme="1"/>
      <name val="Calibri"/>
      <family val="2"/>
    </font>
    <font>
      <b/>
      <sz val="11"/>
      <color rgb="FFFF0000"/>
      <name val="Calibri"/>
      <family val="2"/>
    </font>
    <font>
      <b/>
      <sz val="11"/>
      <color rgb="FFFF0000"/>
      <name val="Arial"/>
      <family val="2"/>
    </font>
    <font>
      <i/>
      <sz val="11"/>
      <name val="Arial"/>
      <family val="2"/>
      <scheme val="minor"/>
    </font>
    <font>
      <b/>
      <sz val="11"/>
      <color rgb="FF3F3F76"/>
      <name val="Arial"/>
      <family val="2"/>
      <scheme val="minor"/>
    </font>
    <font>
      <i/>
      <sz val="11"/>
      <color rgb="FF3F3F76"/>
      <name val="Arial"/>
      <family val="2"/>
      <scheme val="minor"/>
    </font>
    <font>
      <i/>
      <sz val="10"/>
      <name val="Arial"/>
      <family val="2"/>
      <scheme val="minor"/>
    </font>
    <font>
      <b/>
      <sz val="24"/>
      <color theme="0"/>
      <name val="Arial"/>
      <family val="2"/>
      <scheme val="minor"/>
    </font>
    <font>
      <sz val="13"/>
      <name val="Arial"/>
      <family val="2"/>
      <scheme val="minor"/>
    </font>
    <font>
      <sz val="13"/>
      <color theme="0"/>
      <name val="Arial"/>
      <family val="2"/>
      <scheme val="minor"/>
    </font>
    <font>
      <sz val="10"/>
      <color theme="0"/>
      <name val="Arial"/>
      <family val="2"/>
      <scheme val="minor"/>
    </font>
    <font>
      <sz val="12"/>
      <name val="Arial"/>
      <family val="2"/>
      <scheme val="minor"/>
    </font>
    <font>
      <sz val="12"/>
      <color theme="1" tint="0.249977111117893"/>
      <name val="Arial"/>
      <family val="2"/>
      <scheme val="minor"/>
    </font>
    <font>
      <i/>
      <sz val="12"/>
      <name val="Arial"/>
      <family val="2"/>
      <scheme val="minor"/>
    </font>
    <font>
      <b/>
      <sz val="20"/>
      <color theme="0"/>
      <name val="Arial"/>
      <family val="2"/>
      <scheme val="minor"/>
    </font>
    <font>
      <sz val="20"/>
      <color theme="0"/>
      <name val="Arial"/>
      <family val="2"/>
      <scheme val="minor"/>
    </font>
    <font>
      <sz val="18"/>
      <color theme="1"/>
      <name val="Arial"/>
      <family val="2"/>
      <scheme val="minor"/>
    </font>
    <font>
      <sz val="20"/>
      <name val="Arial"/>
      <family val="2"/>
      <scheme val="minor"/>
    </font>
    <font>
      <b/>
      <sz val="17"/>
      <color theme="0"/>
      <name val="Arial"/>
      <family val="2"/>
      <scheme val="minor"/>
    </font>
    <font>
      <b/>
      <sz val="14"/>
      <color theme="0"/>
      <name val="Arial"/>
      <family val="2"/>
      <scheme val="minor"/>
    </font>
    <font>
      <sz val="10"/>
      <name val="Calibri (Cuerpo)_x0000_"/>
    </font>
    <font>
      <vertAlign val="subscript"/>
      <sz val="10"/>
      <name val="Arial"/>
      <family val="2"/>
      <scheme val="minor"/>
    </font>
    <font>
      <b/>
      <sz val="10"/>
      <name val="Arial"/>
      <family val="2"/>
      <scheme val="minor"/>
    </font>
    <font>
      <b/>
      <vertAlign val="subscript"/>
      <sz val="10"/>
      <name val="Arial"/>
      <family val="2"/>
      <scheme val="minor"/>
    </font>
    <font>
      <vertAlign val="superscript"/>
      <sz val="10"/>
      <color theme="1"/>
      <name val="Arial"/>
      <family val="2"/>
      <scheme val="minor"/>
    </font>
    <font>
      <sz val="10"/>
      <color rgb="FF000000"/>
      <name val="Calibri"/>
      <family val="2"/>
    </font>
    <font>
      <sz val="10"/>
      <color indexed="8"/>
      <name val="Arial"/>
      <family val="2"/>
      <scheme val="minor"/>
    </font>
    <font>
      <u/>
      <sz val="10"/>
      <color indexed="12"/>
      <name val="Arial"/>
      <family val="2"/>
      <scheme val="minor"/>
    </font>
    <font>
      <sz val="12"/>
      <color rgb="FF000000"/>
      <name val="Arial"/>
      <family val="2"/>
      <scheme val="minor"/>
    </font>
    <font>
      <sz val="11"/>
      <color rgb="FF000000"/>
      <name val="Arial"/>
      <family val="2"/>
      <scheme val="minor"/>
    </font>
    <font>
      <u/>
      <sz val="11"/>
      <color indexed="12"/>
      <name val="Arial"/>
      <family val="2"/>
    </font>
    <font>
      <vertAlign val="subscript"/>
      <sz val="11"/>
      <color theme="1"/>
      <name val="Arial"/>
      <family val="2"/>
      <scheme val="minor"/>
    </font>
    <font>
      <vertAlign val="subscript"/>
      <sz val="10"/>
      <color theme="1"/>
      <name val="Arial"/>
      <family val="2"/>
      <scheme val="minor"/>
    </font>
    <font>
      <vertAlign val="superscript"/>
      <sz val="12"/>
      <color theme="1"/>
      <name val="Arial"/>
      <family val="2"/>
      <scheme val="minor"/>
    </font>
    <font>
      <sz val="12"/>
      <name val="Calibri"/>
      <family val="2"/>
    </font>
    <font>
      <b/>
      <i/>
      <sz val="12"/>
      <name val="Arial"/>
      <family val="2"/>
      <scheme val="minor"/>
    </font>
    <font>
      <b/>
      <sz val="20"/>
      <color theme="4" tint="-0.249977111117893"/>
      <name val="Arial"/>
      <family val="2"/>
      <scheme val="minor"/>
    </font>
    <font>
      <b/>
      <sz val="16"/>
      <color theme="4" tint="-0.249977111117893"/>
      <name val="Arial"/>
      <family val="2"/>
      <scheme val="minor"/>
    </font>
    <font>
      <b/>
      <sz val="18"/>
      <color theme="4" tint="-0.249977111117893"/>
      <name val="Arial"/>
      <family val="2"/>
      <scheme val="minor"/>
    </font>
    <font>
      <b/>
      <i/>
      <sz val="12"/>
      <color theme="1"/>
      <name val="Arial"/>
      <family val="2"/>
      <scheme val="minor"/>
    </font>
    <font>
      <b/>
      <sz val="12"/>
      <color rgb="FF000000"/>
      <name val="Arial"/>
      <family val="2"/>
      <scheme val="minor"/>
    </font>
    <font>
      <b/>
      <u/>
      <sz val="11"/>
      <color theme="10"/>
      <name val="Arial"/>
      <family val="2"/>
      <scheme val="minor"/>
    </font>
    <font>
      <b/>
      <u/>
      <sz val="12"/>
      <color theme="10"/>
      <name val="Arial"/>
      <family val="2"/>
      <scheme val="minor"/>
    </font>
    <font>
      <b/>
      <sz val="18"/>
      <color rgb="FF0070C0"/>
      <name val="Arial"/>
      <family val="2"/>
      <scheme val="minor"/>
    </font>
    <font>
      <b/>
      <u/>
      <sz val="18"/>
      <color theme="10"/>
      <name val="Arial"/>
      <family val="2"/>
      <scheme val="minor"/>
    </font>
  </fonts>
  <fills count="88">
    <fill>
      <patternFill patternType="none"/>
    </fill>
    <fill>
      <patternFill patternType="gray125"/>
    </fill>
    <fill>
      <patternFill patternType="solid">
        <fgColor rgb="FF00B0F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DF2FF"/>
        <bgColor indexed="64"/>
      </patternFill>
    </fill>
    <fill>
      <patternFill patternType="solid">
        <fgColor theme="0"/>
        <bgColor indexed="64"/>
      </patternFill>
    </fill>
    <fill>
      <patternFill patternType="solid">
        <fgColor rgb="FFD9D9D9"/>
        <bgColor indexed="64"/>
      </patternFill>
    </fill>
    <fill>
      <patternFill patternType="gray125">
        <bgColor theme="0"/>
      </patternFill>
    </fill>
    <fill>
      <patternFill patternType="solid">
        <fgColor theme="9"/>
        <bgColor indexed="64"/>
      </patternFill>
    </fill>
    <fill>
      <patternFill patternType="solid">
        <fgColor theme="0" tint="-0.14999847407452621"/>
        <bgColor theme="0" tint="-0.14999847407452621"/>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249977111117893"/>
        <bgColor indexed="64"/>
      </patternFill>
    </fill>
    <fill>
      <patternFill patternType="solid">
        <fgColor indexed="22"/>
        <bgColor indexed="64"/>
      </patternFill>
    </fill>
    <fill>
      <patternFill patternType="solid">
        <fgColor theme="3"/>
        <bgColor indexed="64"/>
      </patternFill>
    </fill>
    <fill>
      <patternFill patternType="solid">
        <fgColor theme="2"/>
        <bgColor indexed="64"/>
      </patternFill>
    </fill>
    <fill>
      <patternFill patternType="solid">
        <fgColor theme="5"/>
        <bgColor indexed="64"/>
      </patternFill>
    </fill>
    <fill>
      <patternFill patternType="solid">
        <fgColor rgb="FFFFFF00"/>
        <bgColor theme="4" tint="0.79998168889431442"/>
      </patternFill>
    </fill>
    <fill>
      <patternFill patternType="solid">
        <fgColor theme="8" tint="0.39997558519241921"/>
        <bgColor theme="4" tint="0.79998168889431442"/>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CC"/>
        <bgColor indexed="64"/>
      </patternFill>
    </fill>
    <fill>
      <patternFill patternType="solid">
        <fgColor rgb="FFCDF2FF"/>
        <bgColor rgb="FF000000"/>
      </patternFill>
    </fill>
    <fill>
      <patternFill patternType="solid">
        <fgColor rgb="FFFFFFFF"/>
        <bgColor rgb="FF000000"/>
      </patternFill>
    </fill>
    <fill>
      <patternFill patternType="solid">
        <fgColor theme="8" tint="0.59999389629810485"/>
        <bgColor theme="4" tint="0.79998168889431442"/>
      </patternFill>
    </fill>
    <fill>
      <patternFill patternType="solid">
        <fgColor rgb="FFFFFF00"/>
        <bgColor theme="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EBF1DE"/>
        <bgColor indexed="64"/>
      </patternFill>
    </fill>
    <fill>
      <patternFill patternType="solid">
        <fgColor rgb="FF33CCFF"/>
        <bgColor indexed="64"/>
      </patternFill>
    </fill>
    <fill>
      <patternFill patternType="solid">
        <fgColor theme="2" tint="-0.249977111117893"/>
        <bgColor indexed="64"/>
      </patternFill>
    </fill>
    <fill>
      <patternFill patternType="darkUp"/>
    </fill>
    <fill>
      <patternFill patternType="solid">
        <fgColor rgb="FF007EA7"/>
        <bgColor indexed="64"/>
      </patternFill>
    </fill>
    <fill>
      <patternFill patternType="solid">
        <fgColor rgb="FFDAF6FF"/>
        <bgColor indexed="64"/>
      </patternFill>
    </fill>
    <fill>
      <patternFill patternType="darkDown"/>
    </fill>
    <fill>
      <patternFill patternType="solid">
        <fgColor rgb="FFFEEAE2"/>
        <bgColor indexed="64"/>
      </patternFill>
    </fill>
    <fill>
      <patternFill patternType="darkUp">
        <bgColor theme="0"/>
      </patternFill>
    </fill>
    <fill>
      <patternFill patternType="solid">
        <fgColor rgb="FF679436"/>
        <bgColor indexed="64"/>
      </patternFill>
    </fill>
    <fill>
      <patternFill patternType="solid">
        <fgColor rgb="FFE5F1D8"/>
        <bgColor indexed="64"/>
      </patternFill>
    </fill>
    <fill>
      <patternFill patternType="solid">
        <fgColor rgb="FFF5F5F5"/>
        <bgColor indexed="64"/>
      </patternFill>
    </fill>
    <fill>
      <patternFill patternType="solid">
        <fgColor theme="9" tint="0.79998168889431442"/>
        <bgColor indexed="64"/>
      </patternFill>
    </fill>
    <fill>
      <patternFill patternType="solid">
        <fgColor rgb="FFA9D08E"/>
        <bgColor indexed="64"/>
      </patternFill>
    </fill>
    <fill>
      <patternFill patternType="solid">
        <fgColor theme="3" tint="0.79998168889431442"/>
        <bgColor indexed="64"/>
      </patternFill>
    </fill>
    <fill>
      <patternFill patternType="solid">
        <fgColor rgb="FF92D050"/>
        <bgColor indexed="64"/>
      </patternFill>
    </fill>
    <fill>
      <patternFill patternType="solid">
        <fgColor theme="3" tint="0.39997558519241921"/>
        <bgColor indexed="64"/>
      </patternFill>
    </fill>
    <fill>
      <patternFill patternType="solid">
        <fgColor rgb="FFCCECFF"/>
        <bgColor indexed="64"/>
      </patternFill>
    </fill>
    <fill>
      <patternFill patternType="solid">
        <fgColor rgb="FFD2E7D6"/>
        <bgColor indexed="64"/>
      </patternFill>
    </fill>
    <fill>
      <patternFill patternType="solid">
        <fgColor rgb="FFFFA101"/>
        <bgColor indexed="64"/>
      </patternFill>
    </fill>
    <fill>
      <patternFill patternType="solid">
        <fgColor rgb="FF9BE686"/>
        <bgColor indexed="64"/>
      </patternFill>
    </fill>
    <fill>
      <patternFill patternType="solid">
        <fgColor rgb="FF6DCEF9"/>
        <bgColor indexed="64"/>
      </patternFill>
    </fill>
    <fill>
      <patternFill patternType="solid">
        <fgColor rgb="FFFFC000"/>
        <bgColor indexed="64"/>
      </patternFill>
    </fill>
  </fills>
  <borders count="15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auto="1"/>
      </left>
      <right style="dashed">
        <color auto="1"/>
      </right>
      <top style="dashed">
        <color auto="1"/>
      </top>
      <bottom style="dashed">
        <color auto="1"/>
      </bottom>
      <diagonal/>
    </border>
    <border>
      <left/>
      <right style="thin">
        <color indexed="64"/>
      </right>
      <top/>
      <bottom style="thin">
        <color indexed="64"/>
      </bottom>
      <diagonal/>
    </border>
    <border>
      <left style="thick">
        <color rgb="FF053D5F"/>
      </left>
      <right style="thick">
        <color rgb="FF053D5F"/>
      </right>
      <top style="thick">
        <color rgb="FF053D5F"/>
      </top>
      <bottom style="thick">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right/>
      <top style="thin">
        <color theme="1"/>
      </top>
      <bottom style="thin">
        <color theme="1"/>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right/>
      <top style="dotted">
        <color indexed="64"/>
      </top>
      <bottom/>
      <diagonal/>
    </border>
    <border>
      <left style="dotted">
        <color indexed="64"/>
      </left>
      <right style="dotted">
        <color indexed="64"/>
      </right>
      <top style="dotted">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theme="4" tint="0.39997558519241921"/>
      </left>
      <right style="thin">
        <color theme="4" tint="0.39997558519241921"/>
      </right>
      <top style="thin">
        <color theme="4" tint="0.39997558519241921"/>
      </top>
      <bottom/>
      <diagonal/>
    </border>
    <border>
      <left/>
      <right/>
      <top/>
      <bottom style="dashed">
        <color theme="0" tint="-0.24994659260841701"/>
      </bottom>
      <diagonal/>
    </border>
    <border>
      <left/>
      <right/>
      <top/>
      <bottom style="thin">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top/>
      <bottom style="thin">
        <color theme="0" tint="-0.24994659260841701"/>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rgb="FF0000FF"/>
      </left>
      <right style="medium">
        <color rgb="FF0000FF"/>
      </right>
      <top style="medium">
        <color rgb="FF0000FF"/>
      </top>
      <bottom style="thin">
        <color rgb="FF0000FF"/>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style="thin">
        <color rgb="FF0000FF"/>
      </top>
      <bottom style="medium">
        <color rgb="FF0000FF"/>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auto="1"/>
      </bottom>
      <diagonal/>
    </border>
    <border>
      <left/>
      <right/>
      <top/>
      <bottom style="dotted">
        <color indexed="64"/>
      </bottom>
      <diagonal/>
    </border>
    <border>
      <left/>
      <right/>
      <top style="thin">
        <color theme="4" tint="0.3999755851924192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right/>
      <top style="medium">
        <color theme="0"/>
      </top>
      <bottom style="medium">
        <color theme="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medium">
        <color theme="0"/>
      </top>
      <bottom style="medium">
        <color theme="0"/>
      </bottom>
      <diagonal/>
    </border>
    <border>
      <left/>
      <right style="hair">
        <color indexed="64"/>
      </right>
      <top style="medium">
        <color theme="0"/>
      </top>
      <bottom style="medium">
        <color theme="0"/>
      </bottom>
      <diagonal/>
    </border>
    <border>
      <left style="hair">
        <color indexed="64"/>
      </left>
      <right style="hair">
        <color indexed="64"/>
      </right>
      <top style="hair">
        <color indexed="64"/>
      </top>
      <bottom/>
      <diagonal/>
    </border>
    <border>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indexed="64"/>
      </left>
      <right/>
      <top style="thin">
        <color theme="4" tint="0.39997558519241921"/>
      </top>
      <bottom/>
      <diagonal/>
    </border>
    <border>
      <left style="thin">
        <color theme="4" tint="0.39997558519241921"/>
      </left>
      <right/>
      <top style="thin">
        <color indexed="64"/>
      </top>
      <bottom/>
      <diagonal/>
    </border>
    <border>
      <left/>
      <right/>
      <top style="thin">
        <color auto="1"/>
      </top>
      <bottom/>
      <diagonal/>
    </border>
    <border>
      <left style="thin">
        <color theme="4" tint="0.39997558519241921"/>
      </left>
      <right style="thin">
        <color theme="4" tint="0.39997558519241921"/>
      </right>
      <top style="thin">
        <color auto="1"/>
      </top>
      <bottom/>
      <diagonal/>
    </border>
    <border>
      <left/>
      <right/>
      <top style="thin">
        <color theme="1"/>
      </top>
      <bottom/>
      <diagonal/>
    </border>
    <border>
      <left/>
      <right style="thin">
        <color theme="4" tint="0.39997558519241921"/>
      </right>
      <top style="thin">
        <color indexed="64"/>
      </top>
      <bottom style="thin">
        <color indexed="64"/>
      </bottom>
      <diagonal/>
    </border>
    <border>
      <left style="thin">
        <color indexed="64"/>
      </left>
      <right style="thin">
        <color theme="4" tint="0.39997558519241921"/>
      </right>
      <top style="thin">
        <color theme="4" tint="0.39997558519241921"/>
      </top>
      <bottom/>
      <diagonal/>
    </border>
    <border>
      <left/>
      <right style="thin">
        <color theme="4" tint="0.39997558519241921"/>
      </right>
      <top style="thin">
        <color indexed="64"/>
      </top>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right/>
      <top style="double">
        <color rgb="FF053D5F"/>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theme="1" tint="0.39997558519241921"/>
      </left>
      <right style="thin">
        <color theme="1" tint="0.39997558519241921"/>
      </right>
      <top style="thin">
        <color theme="1" tint="0.39997558519241921"/>
      </top>
      <bottom style="thin">
        <color theme="1" tint="0.39997558519241921"/>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top/>
      <bottom style="thin">
        <color theme="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indexed="64"/>
      </top>
      <bottom style="thin">
        <color indexed="64"/>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rgb="FF7F7F7F"/>
      </left>
      <right/>
      <top/>
      <bottom style="thin">
        <color rgb="FF7F7F7F"/>
      </bottom>
      <diagonal/>
    </border>
    <border>
      <left/>
      <right/>
      <top style="thin">
        <color theme="0"/>
      </top>
      <bottom style="thin">
        <color theme="0"/>
      </bottom>
      <diagonal/>
    </border>
    <border>
      <left/>
      <right/>
      <top style="thin">
        <color theme="0"/>
      </top>
      <bottom/>
      <diagonal/>
    </border>
    <border>
      <left style="thin">
        <color rgb="FF7F7F7F"/>
      </left>
      <right style="thin">
        <color rgb="FF7F7F7F"/>
      </right>
      <top/>
      <bottom style="thin">
        <color rgb="FF7F7F7F"/>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s>
  <cellStyleXfs count="70">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xf numFmtId="0" fontId="25" fillId="0" borderId="0"/>
    <xf numFmtId="0" fontId="41" fillId="0" borderId="29" applyNumberFormat="0" applyFill="0" applyAlignment="0" applyProtection="0"/>
    <xf numFmtId="0" fontId="42" fillId="0" borderId="30" applyNumberFormat="0" applyFill="0" applyAlignment="0" applyProtection="0"/>
    <xf numFmtId="0" fontId="43" fillId="0" borderId="31" applyNumberFormat="0" applyFill="0" applyAlignment="0" applyProtection="0"/>
    <xf numFmtId="0" fontId="43" fillId="0" borderId="0" applyNumberFormat="0" applyFill="0" applyBorder="0" applyAlignment="0" applyProtection="0"/>
    <xf numFmtId="0" fontId="44" fillId="15" borderId="0" applyNumberFormat="0" applyBorder="0" applyAlignment="0" applyProtection="0"/>
    <xf numFmtId="0" fontId="45" fillId="16" borderId="0" applyNumberFormat="0" applyBorder="0" applyAlignment="0" applyProtection="0"/>
    <xf numFmtId="0" fontId="46" fillId="18" borderId="32" applyNumberFormat="0" applyAlignment="0" applyProtection="0"/>
    <xf numFmtId="0" fontId="47" fillId="19" borderId="33" applyNumberFormat="0" applyAlignment="0" applyProtection="0"/>
    <xf numFmtId="0" fontId="48" fillId="19" borderId="32" applyNumberFormat="0" applyAlignment="0" applyProtection="0"/>
    <xf numFmtId="0" fontId="49" fillId="0" borderId="34" applyNumberFormat="0" applyFill="0" applyAlignment="0" applyProtection="0"/>
    <xf numFmtId="0" fontId="2" fillId="20" borderId="35" applyNumberFormat="0" applyAlignment="0" applyProtection="0"/>
    <xf numFmtId="0" fontId="13" fillId="0" borderId="0" applyNumberFormat="0" applyFill="0" applyBorder="0" applyAlignment="0" applyProtection="0"/>
    <xf numFmtId="0" fontId="1" fillId="21" borderId="36" applyNumberFormat="0" applyFont="0" applyAlignment="0" applyProtection="0"/>
    <xf numFmtId="0" fontId="50" fillId="0" borderId="0" applyNumberFormat="0" applyFill="0" applyBorder="0" applyAlignment="0" applyProtection="0"/>
    <xf numFmtId="0" fontId="3" fillId="0" borderId="37" applyNumberFormat="0" applyFill="0" applyAlignment="0" applyProtection="0"/>
    <xf numFmtId="0" fontId="5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5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4" fillId="0" borderId="0"/>
    <xf numFmtId="0" fontId="56" fillId="0" borderId="51" applyNumberFormat="0" applyFont="0" applyProtection="0">
      <alignment wrapText="1"/>
    </xf>
    <xf numFmtId="0" fontId="60" fillId="0" borderId="0" applyNumberFormat="0" applyProtection="0">
      <alignment horizontal="left"/>
    </xf>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37" borderId="0" applyNumberFormat="0" applyBorder="0" applyAlignment="0" applyProtection="0"/>
    <xf numFmtId="0" fontId="51" fillId="41" borderId="0" applyNumberFormat="0" applyBorder="0" applyAlignment="0" applyProtection="0"/>
    <xf numFmtId="0" fontId="51" fillId="45" borderId="0" applyNumberFormat="0" applyBorder="0" applyAlignment="0" applyProtection="0"/>
    <xf numFmtId="0" fontId="61" fillId="0" borderId="0" applyNumberFormat="0" applyFill="0" applyBorder="0" applyAlignment="0" applyProtection="0">
      <alignment vertical="top"/>
      <protection locked="0"/>
    </xf>
    <xf numFmtId="0" fontId="56" fillId="0" borderId="0" applyNumberFormat="0" applyFill="0" applyBorder="0" applyAlignment="0" applyProtection="0"/>
    <xf numFmtId="0" fontId="56" fillId="0" borderId="0" applyNumberFormat="0" applyProtection="0">
      <alignment vertical="top" wrapText="1"/>
    </xf>
    <xf numFmtId="0" fontId="56" fillId="0" borderId="53" applyNumberFormat="0" applyProtection="0">
      <alignment vertical="top" wrapText="1"/>
    </xf>
    <xf numFmtId="0" fontId="62" fillId="0" borderId="29" applyNumberFormat="0" applyProtection="0">
      <alignment wrapText="1"/>
    </xf>
    <xf numFmtId="0" fontId="62" fillId="0" borderId="54" applyNumberFormat="0" applyProtection="0">
      <alignment horizontal="left" wrapText="1"/>
    </xf>
    <xf numFmtId="0" fontId="63" fillId="0" borderId="0" applyNumberFormat="0" applyFill="0" applyBorder="0" applyAlignment="0" applyProtection="0">
      <alignment vertical="top"/>
      <protection locked="0"/>
    </xf>
    <xf numFmtId="0" fontId="64" fillId="17" borderId="0" applyNumberFormat="0" applyBorder="0" applyAlignment="0" applyProtection="0"/>
    <xf numFmtId="0" fontId="25" fillId="0" borderId="0"/>
    <xf numFmtId="0" fontId="62" fillId="0" borderId="55" applyNumberFormat="0" applyProtection="0">
      <alignment wrapText="1"/>
    </xf>
    <xf numFmtId="0" fontId="56" fillId="0" borderId="56" applyNumberFormat="0" applyFont="0" applyFill="0" applyProtection="0">
      <alignment wrapText="1"/>
    </xf>
    <xf numFmtId="0" fontId="62" fillId="0" borderId="57" applyNumberFormat="0" applyFill="0" applyProtection="0">
      <alignment wrapText="1"/>
    </xf>
    <xf numFmtId="0" fontId="65" fillId="0" borderId="0" applyNumberFormat="0" applyFill="0" applyBorder="0" applyAlignment="0" applyProtection="0"/>
    <xf numFmtId="0" fontId="75" fillId="0" borderId="0"/>
    <xf numFmtId="0" fontId="1" fillId="0" borderId="0"/>
    <xf numFmtId="0" fontId="1" fillId="0" borderId="0"/>
    <xf numFmtId="0" fontId="104" fillId="0" borderId="0"/>
    <xf numFmtId="0" fontId="107" fillId="0" borderId="0" applyNumberFormat="0" applyFill="0" applyBorder="0" applyAlignment="0" applyProtection="0">
      <alignment vertical="top"/>
      <protection locked="0"/>
    </xf>
    <xf numFmtId="184" fontId="1" fillId="0" borderId="0" applyFont="0" applyFill="0" applyBorder="0" applyAlignment="0" applyProtection="0"/>
    <xf numFmtId="0" fontId="119" fillId="0" borderId="0" applyNumberFormat="0" applyFill="0" applyBorder="0" applyAlignment="0" applyProtection="0">
      <alignment vertical="top"/>
      <protection locked="0"/>
    </xf>
    <xf numFmtId="0" fontId="90" fillId="0" borderId="0"/>
    <xf numFmtId="0" fontId="120" fillId="0" borderId="0"/>
  </cellStyleXfs>
  <cellXfs count="1246">
    <xf numFmtId="0" fontId="0" fillId="0" borderId="0" xfId="0"/>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left" vertical="center"/>
    </xf>
    <xf numFmtId="0" fontId="0" fillId="0" borderId="0" xfId="0" applyAlignment="1">
      <alignment wrapText="1"/>
    </xf>
    <xf numFmtId="0" fontId="3" fillId="0" borderId="0" xfId="0" applyFont="1" applyAlignment="1">
      <alignment vertical="center"/>
    </xf>
    <xf numFmtId="0" fontId="3" fillId="0" borderId="0" xfId="0" applyFont="1" applyAlignment="1">
      <alignment vertical="center" wrapText="1"/>
    </xf>
    <xf numFmtId="164" fontId="0" fillId="0" borderId="0" xfId="2" applyNumberFormat="1" applyFont="1"/>
    <xf numFmtId="165" fontId="0" fillId="0" borderId="0" xfId="1" applyNumberFormat="1" applyFont="1"/>
    <xf numFmtId="0" fontId="4" fillId="0" borderId="0" xfId="0" applyFont="1"/>
    <xf numFmtId="0" fontId="3" fillId="0" borderId="0" xfId="0" applyFont="1"/>
    <xf numFmtId="0" fontId="0" fillId="0" borderId="0" xfId="0" applyAlignment="1">
      <alignment horizontal="left"/>
    </xf>
    <xf numFmtId="166" fontId="0" fillId="0" borderId="0" xfId="0" applyNumberFormat="1" applyAlignment="1">
      <alignment horizontal="left" vertical="center"/>
    </xf>
    <xf numFmtId="166" fontId="0" fillId="0" borderId="0" xfId="0" applyNumberFormat="1"/>
    <xf numFmtId="0" fontId="2" fillId="2" borderId="0" xfId="0" applyFont="1" applyFill="1" applyAlignment="1">
      <alignment horizontal="left" vertical="center" wrapText="1"/>
    </xf>
    <xf numFmtId="0" fontId="0" fillId="4" borderId="2" xfId="0" applyFill="1" applyBorder="1"/>
    <xf numFmtId="0" fontId="5" fillId="0" borderId="0" xfId="0" applyFont="1"/>
    <xf numFmtId="3" fontId="0" fillId="0" borderId="0" xfId="0" applyNumberFormat="1"/>
    <xf numFmtId="0" fontId="3" fillId="0" borderId="3" xfId="0" applyFont="1" applyBorder="1"/>
    <xf numFmtId="4" fontId="0" fillId="0" borderId="0" xfId="0" applyNumberFormat="1"/>
    <xf numFmtId="39" fontId="0" fillId="0" borderId="0" xfId="0" applyNumberFormat="1"/>
    <xf numFmtId="172" fontId="8" fillId="8" borderId="5" xfId="3" applyNumberFormat="1" applyFont="1" applyFill="1" applyBorder="1" applyAlignment="1" applyProtection="1">
      <alignment horizontal="center" vertical="center"/>
    </xf>
    <xf numFmtId="0" fontId="0" fillId="9" borderId="0" xfId="0" applyFill="1"/>
    <xf numFmtId="0" fontId="9" fillId="9" borderId="6" xfId="0" applyFont="1" applyFill="1" applyBorder="1" applyAlignment="1">
      <alignment horizontal="center"/>
    </xf>
    <xf numFmtId="0" fontId="10" fillId="10" borderId="7" xfId="0" applyFont="1" applyFill="1" applyBorder="1" applyAlignment="1">
      <alignment horizontal="center"/>
    </xf>
    <xf numFmtId="0" fontId="10" fillId="10" borderId="7" xfId="0" applyFont="1" applyFill="1" applyBorder="1"/>
    <xf numFmtId="171" fontId="10" fillId="11" borderId="8" xfId="0" applyNumberFormat="1" applyFont="1" applyFill="1" applyBorder="1" applyAlignment="1">
      <alignment vertical="center"/>
    </xf>
    <xf numFmtId="166" fontId="10" fillId="9" borderId="9" xfId="0" applyNumberFormat="1" applyFont="1" applyFill="1" applyBorder="1" applyAlignment="1">
      <alignment horizontal="center"/>
    </xf>
    <xf numFmtId="170" fontId="10" fillId="9" borderId="9" xfId="0" applyNumberFormat="1" applyFont="1" applyFill="1" applyBorder="1" applyAlignment="1">
      <alignment horizontal="center"/>
    </xf>
    <xf numFmtId="170" fontId="10" fillId="9" borderId="10" xfId="0" applyNumberFormat="1" applyFont="1" applyFill="1" applyBorder="1" applyAlignment="1">
      <alignment horizontal="center"/>
    </xf>
    <xf numFmtId="1" fontId="10" fillId="9" borderId="11" xfId="0" applyNumberFormat="1" applyFont="1" applyFill="1" applyBorder="1" applyAlignment="1">
      <alignment horizontal="center"/>
    </xf>
    <xf numFmtId="171" fontId="10" fillId="11" borderId="12" xfId="0" applyNumberFormat="1" applyFont="1" applyFill="1" applyBorder="1" applyAlignment="1">
      <alignment vertical="center"/>
    </xf>
    <xf numFmtId="170" fontId="10" fillId="9" borderId="12" xfId="0" applyNumberFormat="1" applyFont="1" applyFill="1" applyBorder="1" applyAlignment="1">
      <alignment horizontal="center"/>
    </xf>
    <xf numFmtId="170" fontId="10" fillId="9" borderId="13" xfId="0" applyNumberFormat="1" applyFont="1" applyFill="1" applyBorder="1" applyAlignment="1">
      <alignment horizontal="center"/>
    </xf>
    <xf numFmtId="170" fontId="10" fillId="9" borderId="11" xfId="0" applyNumberFormat="1" applyFont="1" applyFill="1" applyBorder="1" applyAlignment="1">
      <alignment horizontal="center"/>
    </xf>
    <xf numFmtId="1" fontId="10" fillId="9" borderId="13" xfId="0" applyNumberFormat="1" applyFont="1" applyFill="1" applyBorder="1" applyAlignment="1">
      <alignment horizontal="center"/>
    </xf>
    <xf numFmtId="2" fontId="10" fillId="9" borderId="11" xfId="0" applyNumberFormat="1" applyFont="1" applyFill="1" applyBorder="1" applyAlignment="1">
      <alignment horizontal="center"/>
    </xf>
    <xf numFmtId="170" fontId="10" fillId="9" borderId="14" xfId="0" applyNumberFormat="1" applyFont="1" applyFill="1" applyBorder="1" applyAlignment="1">
      <alignment horizontal="center"/>
    </xf>
    <xf numFmtId="167" fontId="10" fillId="9" borderId="15" xfId="0" applyNumberFormat="1" applyFont="1" applyFill="1" applyBorder="1" applyAlignment="1">
      <alignment horizontal="center"/>
    </xf>
    <xf numFmtId="170" fontId="10" fillId="9" borderId="15" xfId="0" applyNumberFormat="1" applyFont="1" applyFill="1" applyBorder="1" applyAlignment="1">
      <alignment horizontal="center"/>
    </xf>
    <xf numFmtId="171" fontId="10" fillId="11" borderId="16" xfId="0" applyNumberFormat="1" applyFont="1" applyFill="1" applyBorder="1" applyAlignment="1">
      <alignment vertical="center"/>
    </xf>
    <xf numFmtId="0" fontId="11" fillId="9" borderId="6" xfId="0" applyFont="1" applyFill="1" applyBorder="1"/>
    <xf numFmtId="168" fontId="10" fillId="9" borderId="10" xfId="0" applyNumberFormat="1" applyFont="1" applyFill="1" applyBorder="1" applyAlignment="1">
      <alignment horizontal="center"/>
    </xf>
    <xf numFmtId="166" fontId="10" fillId="9" borderId="12" xfId="0" applyNumberFormat="1" applyFont="1" applyFill="1" applyBorder="1" applyAlignment="1">
      <alignment horizontal="center"/>
    </xf>
    <xf numFmtId="2" fontId="10" fillId="9" borderId="12" xfId="0" applyNumberFormat="1" applyFont="1" applyFill="1" applyBorder="1" applyAlignment="1">
      <alignment horizontal="center"/>
    </xf>
    <xf numFmtId="171" fontId="10" fillId="9" borderId="13" xfId="0" applyNumberFormat="1" applyFont="1" applyFill="1" applyBorder="1" applyAlignment="1">
      <alignment horizontal="center"/>
    </xf>
    <xf numFmtId="166" fontId="10" fillId="9" borderId="11" xfId="0" applyNumberFormat="1" applyFont="1" applyFill="1" applyBorder="1" applyAlignment="1">
      <alignment horizontal="center"/>
    </xf>
    <xf numFmtId="171" fontId="10" fillId="9" borderId="12" xfId="0" applyNumberFormat="1" applyFont="1" applyFill="1" applyBorder="1" applyAlignment="1">
      <alignment horizontal="center"/>
    </xf>
    <xf numFmtId="171" fontId="10" fillId="9" borderId="11" xfId="0" applyNumberFormat="1" applyFont="1" applyFill="1" applyBorder="1" applyAlignment="1">
      <alignment horizontal="center"/>
    </xf>
    <xf numFmtId="169" fontId="10" fillId="9" borderId="13" xfId="0" applyNumberFormat="1" applyFont="1" applyFill="1" applyBorder="1" applyAlignment="1">
      <alignment horizontal="center"/>
    </xf>
    <xf numFmtId="168" fontId="10" fillId="9" borderId="12" xfId="0" applyNumberFormat="1" applyFont="1" applyFill="1" applyBorder="1" applyAlignment="1">
      <alignment horizontal="center"/>
    </xf>
    <xf numFmtId="2" fontId="10" fillId="9" borderId="14" xfId="0" applyNumberFormat="1" applyFont="1" applyFill="1" applyBorder="1" applyAlignment="1">
      <alignment horizontal="center"/>
    </xf>
    <xf numFmtId="171" fontId="10" fillId="9" borderId="15" xfId="0" applyNumberFormat="1" applyFont="1" applyFill="1" applyBorder="1" applyAlignment="1">
      <alignment horizontal="center"/>
    </xf>
    <xf numFmtId="166" fontId="10" fillId="9" borderId="15" xfId="0" applyNumberFormat="1" applyFont="1" applyFill="1" applyBorder="1" applyAlignment="1">
      <alignment horizontal="center"/>
    </xf>
    <xf numFmtId="1" fontId="10" fillId="9" borderId="15" xfId="0" applyNumberFormat="1" applyFont="1" applyFill="1" applyBorder="1" applyAlignment="1">
      <alignment horizontal="center"/>
    </xf>
    <xf numFmtId="4" fontId="10" fillId="9" borderId="9" xfId="0" applyNumberFormat="1" applyFont="1" applyFill="1" applyBorder="1" applyAlignment="1">
      <alignment horizontal="center"/>
    </xf>
    <xf numFmtId="173" fontId="10" fillId="9" borderId="9" xfId="0" applyNumberFormat="1" applyFont="1" applyFill="1" applyBorder="1" applyAlignment="1">
      <alignment horizontal="center"/>
    </xf>
    <xf numFmtId="3" fontId="10" fillId="9" borderId="10" xfId="0" applyNumberFormat="1" applyFont="1" applyFill="1" applyBorder="1" applyAlignment="1">
      <alignment horizontal="center"/>
    </xf>
    <xf numFmtId="174" fontId="10" fillId="9" borderId="11" xfId="0" applyNumberFormat="1" applyFont="1" applyFill="1" applyBorder="1" applyAlignment="1">
      <alignment horizontal="center"/>
    </xf>
    <xf numFmtId="173" fontId="10" fillId="9" borderId="12" xfId="0" applyNumberFormat="1" applyFont="1" applyFill="1" applyBorder="1" applyAlignment="1">
      <alignment horizontal="center"/>
    </xf>
    <xf numFmtId="4" fontId="10" fillId="9" borderId="13" xfId="0" applyNumberFormat="1" applyFont="1" applyFill="1" applyBorder="1" applyAlignment="1">
      <alignment horizontal="center"/>
    </xf>
    <xf numFmtId="173" fontId="10" fillId="9" borderId="11" xfId="0" applyNumberFormat="1" applyFont="1" applyFill="1" applyBorder="1" applyAlignment="1">
      <alignment horizontal="center"/>
    </xf>
    <xf numFmtId="175" fontId="10" fillId="9" borderId="12" xfId="0" applyNumberFormat="1" applyFont="1" applyFill="1" applyBorder="1" applyAlignment="1">
      <alignment horizontal="center"/>
    </xf>
    <xf numFmtId="3" fontId="10" fillId="9" borderId="13" xfId="0" applyNumberFormat="1" applyFont="1" applyFill="1" applyBorder="1" applyAlignment="1">
      <alignment horizontal="center"/>
    </xf>
    <xf numFmtId="175" fontId="10" fillId="9" borderId="11" xfId="0" applyNumberFormat="1" applyFont="1" applyFill="1" applyBorder="1" applyAlignment="1">
      <alignment horizontal="center"/>
    </xf>
    <xf numFmtId="3" fontId="10" fillId="9" borderId="12" xfId="0" applyNumberFormat="1" applyFont="1" applyFill="1" applyBorder="1" applyAlignment="1">
      <alignment horizontal="center"/>
    </xf>
    <xf numFmtId="4" fontId="10" fillId="9" borderId="12" xfId="0" applyNumberFormat="1" applyFont="1" applyFill="1" applyBorder="1" applyAlignment="1">
      <alignment horizontal="center"/>
    </xf>
    <xf numFmtId="176" fontId="10" fillId="9" borderId="14" xfId="0" applyNumberFormat="1" applyFont="1" applyFill="1" applyBorder="1" applyAlignment="1">
      <alignment horizontal="center"/>
    </xf>
    <xf numFmtId="177" fontId="10" fillId="9" borderId="15" xfId="0" applyNumberFormat="1" applyFont="1" applyFill="1" applyBorder="1" applyAlignment="1">
      <alignment horizontal="center"/>
    </xf>
    <xf numFmtId="176" fontId="10" fillId="9" borderId="15" xfId="0" applyNumberFormat="1" applyFont="1" applyFill="1" applyBorder="1" applyAlignment="1">
      <alignment horizontal="center"/>
    </xf>
    <xf numFmtId="0" fontId="0" fillId="0" borderId="4" xfId="0" applyBorder="1"/>
    <xf numFmtId="0" fontId="15" fillId="2" borderId="0" xfId="0" applyFont="1" applyFill="1" applyAlignment="1">
      <alignment vertical="center"/>
    </xf>
    <xf numFmtId="0" fontId="3" fillId="0" borderId="0" xfId="0" applyFont="1" applyAlignment="1">
      <alignment horizontal="center"/>
    </xf>
    <xf numFmtId="0" fontId="2" fillId="2" borderId="17" xfId="0" applyFont="1" applyFill="1" applyBorder="1" applyAlignment="1">
      <alignment horizontal="left" vertical="center" wrapText="1"/>
    </xf>
    <xf numFmtId="166" fontId="0" fillId="13" borderId="0" xfId="0" applyNumberFormat="1" applyFill="1" applyAlignment="1">
      <alignment horizontal="left" vertical="center"/>
    </xf>
    <xf numFmtId="0" fontId="0" fillId="9" borderId="0" xfId="0" applyFill="1" applyAlignment="1">
      <alignment vertical="center"/>
    </xf>
    <xf numFmtId="0" fontId="18" fillId="9" borderId="0" xfId="0" applyFont="1" applyFill="1" applyAlignment="1">
      <alignment vertical="center"/>
    </xf>
    <xf numFmtId="0" fontId="0" fillId="9" borderId="0" xfId="0" applyFill="1" applyAlignment="1">
      <alignment vertical="top"/>
    </xf>
    <xf numFmtId="0" fontId="0" fillId="9" borderId="0" xfId="0" applyFill="1" applyAlignment="1">
      <alignment horizontal="left" vertical="center"/>
    </xf>
    <xf numFmtId="0" fontId="16" fillId="0" borderId="0" xfId="4" applyAlignment="1">
      <alignment vertical="center"/>
    </xf>
    <xf numFmtId="0" fontId="19" fillId="9" borderId="0" xfId="0" applyFont="1" applyFill="1" applyAlignment="1">
      <alignment horizontal="left" vertical="center" indent="2"/>
    </xf>
    <xf numFmtId="0" fontId="20" fillId="0" borderId="0" xfId="0" applyFont="1" applyAlignment="1">
      <alignment horizontal="right"/>
    </xf>
    <xf numFmtId="0" fontId="21" fillId="0" borderId="0" xfId="0" applyFont="1"/>
    <xf numFmtId="0" fontId="22" fillId="0" borderId="0" xfId="4" applyFont="1"/>
    <xf numFmtId="0" fontId="13" fillId="0" borderId="0" xfId="0" applyFont="1"/>
    <xf numFmtId="0" fontId="0" fillId="0" borderId="0" xfId="0" applyAlignment="1">
      <alignment horizontal="right" wrapText="1"/>
    </xf>
    <xf numFmtId="0" fontId="24" fillId="9" borderId="0" xfId="0" applyFont="1" applyFill="1"/>
    <xf numFmtId="171" fontId="0" fillId="9" borderId="0" xfId="0" applyNumberFormat="1" applyFill="1"/>
    <xf numFmtId="0" fontId="25" fillId="9" borderId="0" xfId="0" quotePrefix="1" applyFont="1" applyFill="1" applyAlignment="1">
      <alignment horizontal="left" indent="1"/>
    </xf>
    <xf numFmtId="0" fontId="25" fillId="9" borderId="0" xfId="0" quotePrefix="1" applyFont="1" applyFill="1" applyAlignment="1">
      <alignment horizontal="left" indent="3"/>
    </xf>
    <xf numFmtId="4" fontId="0" fillId="0" borderId="0" xfId="0" applyNumberFormat="1" applyAlignment="1">
      <alignment horizontal="center"/>
    </xf>
    <xf numFmtId="4" fontId="0" fillId="0" borderId="25" xfId="0" applyNumberFormat="1" applyBorder="1" applyAlignment="1">
      <alignment horizontal="center"/>
    </xf>
    <xf numFmtId="0" fontId="0" fillId="0" borderId="0" xfId="0" applyAlignment="1">
      <alignment horizontal="center"/>
    </xf>
    <xf numFmtId="0" fontId="3" fillId="9" borderId="0" xfId="0" applyFont="1" applyFill="1" applyAlignment="1">
      <alignment vertical="center"/>
    </xf>
    <xf numFmtId="4" fontId="23" fillId="0" borderId="25" xfId="0" applyNumberFormat="1" applyFont="1" applyBorder="1" applyAlignment="1">
      <alignment horizontal="center"/>
    </xf>
    <xf numFmtId="4" fontId="4" fillId="0" borderId="0" xfId="0" applyNumberFormat="1" applyFont="1" applyAlignment="1">
      <alignment horizontal="left"/>
    </xf>
    <xf numFmtId="0" fontId="0" fillId="9" borderId="0" xfId="0" applyFill="1" applyAlignment="1">
      <alignment horizontal="center"/>
    </xf>
    <xf numFmtId="0" fontId="15" fillId="0" borderId="0" xfId="0" applyFont="1" applyAlignment="1">
      <alignment horizontal="left" vertical="center" wrapText="1"/>
    </xf>
    <xf numFmtId="0" fontId="15" fillId="0" borderId="0" xfId="0" applyFont="1" applyAlignment="1">
      <alignment horizontal="left" vertical="center"/>
    </xf>
    <xf numFmtId="0" fontId="31" fillId="0" borderId="0" xfId="4" applyFont="1" applyAlignment="1"/>
    <xf numFmtId="0" fontId="32" fillId="0" borderId="0" xfId="5" applyFont="1"/>
    <xf numFmtId="0" fontId="3" fillId="0" borderId="18" xfId="0" applyFont="1" applyBorder="1" applyAlignment="1">
      <alignment vertical="center"/>
    </xf>
    <xf numFmtId="0" fontId="3" fillId="0" borderId="18" xfId="0" applyFont="1" applyBorder="1" applyAlignment="1">
      <alignment horizontal="center" vertical="center" wrapText="1"/>
    </xf>
    <xf numFmtId="0" fontId="3" fillId="0" borderId="18" xfId="0" applyFont="1" applyBorder="1"/>
    <xf numFmtId="166" fontId="0" fillId="0" borderId="0" xfId="0" applyNumberFormat="1" applyAlignment="1">
      <alignment horizontal="center"/>
    </xf>
    <xf numFmtId="0" fontId="33" fillId="0" borderId="0" xfId="0" applyFont="1"/>
    <xf numFmtId="0" fontId="34" fillId="0" borderId="0" xfId="0" applyFont="1"/>
    <xf numFmtId="0" fontId="34" fillId="0" borderId="0" xfId="0" applyFont="1" applyAlignment="1">
      <alignment horizontal="center" vertical="center"/>
    </xf>
    <xf numFmtId="0" fontId="35" fillId="0" borderId="4" xfId="0" applyFont="1" applyBorder="1"/>
    <xf numFmtId="166" fontId="35" fillId="0" borderId="4" xfId="0" applyNumberFormat="1" applyFont="1" applyBorder="1"/>
    <xf numFmtId="166" fontId="14" fillId="8" borderId="4" xfId="1" applyNumberFormat="1" applyFont="1" applyFill="1" applyBorder="1" applyAlignment="1" applyProtection="1">
      <alignment horizontal="center" vertical="center"/>
    </xf>
    <xf numFmtId="0" fontId="36" fillId="0" borderId="0" xfId="5" applyFont="1"/>
    <xf numFmtId="2" fontId="0" fillId="0" borderId="0" xfId="0" applyNumberFormat="1"/>
    <xf numFmtId="0" fontId="26" fillId="9" borderId="0" xfId="0" applyFont="1" applyFill="1" applyAlignment="1">
      <alignment horizontal="right" vertical="center"/>
    </xf>
    <xf numFmtId="44" fontId="37" fillId="8" borderId="5" xfId="1" applyFont="1" applyFill="1" applyBorder="1" applyAlignment="1">
      <alignment horizontal="center" vertical="center"/>
    </xf>
    <xf numFmtId="0" fontId="27" fillId="9" borderId="0" xfId="0" applyFont="1" applyFill="1" applyAlignment="1">
      <alignment horizontal="center" vertical="center"/>
    </xf>
    <xf numFmtId="0" fontId="3" fillId="9" borderId="18" xfId="0" applyFont="1" applyFill="1" applyBorder="1"/>
    <xf numFmtId="0" fontId="0" fillId="9" borderId="18" xfId="0" applyFill="1" applyBorder="1"/>
    <xf numFmtId="0" fontId="0" fillId="9" borderId="18" xfId="0" applyFill="1" applyBorder="1" applyAlignment="1">
      <alignment horizontal="center"/>
    </xf>
    <xf numFmtId="0" fontId="4" fillId="9" borderId="0" xfId="0" applyFont="1" applyFill="1" applyAlignment="1">
      <alignment horizontal="left" vertical="center"/>
    </xf>
    <xf numFmtId="0" fontId="38" fillId="0" borderId="0" xfId="0" applyFont="1" applyAlignment="1">
      <alignment vertical="top" wrapText="1"/>
    </xf>
    <xf numFmtId="4" fontId="52" fillId="0" borderId="0" xfId="0" applyNumberFormat="1" applyFont="1" applyAlignment="1">
      <alignment horizontal="left"/>
    </xf>
    <xf numFmtId="3" fontId="0" fillId="0" borderId="27" xfId="0" applyNumberFormat="1" applyBorder="1" applyAlignment="1">
      <alignment horizontal="center"/>
    </xf>
    <xf numFmtId="0" fontId="3" fillId="0" borderId="4" xfId="0" applyFont="1" applyBorder="1" applyAlignment="1">
      <alignment horizontal="right"/>
    </xf>
    <xf numFmtId="0" fontId="3" fillId="6" borderId="4" xfId="0" applyFont="1" applyFill="1" applyBorder="1" applyAlignment="1">
      <alignment horizontal="center"/>
    </xf>
    <xf numFmtId="3" fontId="0" fillId="0" borderId="4" xfId="0" applyNumberFormat="1" applyBorder="1" applyAlignment="1">
      <alignment horizontal="center"/>
    </xf>
    <xf numFmtId="0" fontId="3" fillId="6" borderId="4" xfId="0" applyFont="1" applyFill="1" applyBorder="1" applyAlignment="1">
      <alignment horizontal="center" wrapText="1"/>
    </xf>
    <xf numFmtId="2" fontId="25" fillId="46" borderId="0" xfId="39" applyNumberFormat="1" applyFont="1" applyFill="1" applyAlignment="1">
      <alignment vertical="center"/>
    </xf>
    <xf numFmtId="43" fontId="25" fillId="0" borderId="4" xfId="3" applyFont="1" applyBorder="1" applyAlignment="1">
      <alignment horizontal="right"/>
    </xf>
    <xf numFmtId="0" fontId="25" fillId="0" borderId="4" xfId="0" applyFont="1" applyBorder="1" applyAlignment="1">
      <alignment horizontal="right"/>
    </xf>
    <xf numFmtId="2" fontId="25" fillId="0" borderId="4" xfId="0" applyNumberFormat="1" applyFont="1" applyBorder="1" applyAlignment="1">
      <alignment horizontal="right"/>
    </xf>
    <xf numFmtId="2" fontId="24" fillId="6" borderId="4" xfId="39" applyNumberFormat="1" applyFont="1" applyFill="1" applyBorder="1" applyAlignment="1">
      <alignment horizontal="center" vertical="center" wrapText="1"/>
    </xf>
    <xf numFmtId="181" fontId="25" fillId="0" borderId="4" xfId="0" applyNumberFormat="1" applyFont="1" applyBorder="1"/>
    <xf numFmtId="0" fontId="57" fillId="0" borderId="4" xfId="40" applyFont="1" applyBorder="1">
      <alignment wrapText="1"/>
    </xf>
    <xf numFmtId="180" fontId="57" fillId="0" borderId="4" xfId="40" applyNumberFormat="1" applyFont="1" applyBorder="1" applyAlignment="1">
      <alignment horizontal="right" wrapText="1"/>
    </xf>
    <xf numFmtId="0" fontId="57" fillId="0" borderId="4" xfId="40" applyFont="1" applyBorder="1" applyAlignment="1">
      <alignment horizontal="left" wrapText="1" indent="1"/>
    </xf>
    <xf numFmtId="0" fontId="24" fillId="47" borderId="59" xfId="0" applyFont="1" applyFill="1" applyBorder="1"/>
    <xf numFmtId="0" fontId="24" fillId="48" borderId="63" xfId="0" applyFont="1" applyFill="1" applyBorder="1" applyAlignment="1">
      <alignment horizontal="center"/>
    </xf>
    <xf numFmtId="0" fontId="24" fillId="48" borderId="64" xfId="0" applyFont="1" applyFill="1" applyBorder="1" applyAlignment="1">
      <alignment horizontal="center" vertical="center" wrapText="1"/>
    </xf>
    <xf numFmtId="0" fontId="24" fillId="48" borderId="65" xfId="0" applyFont="1" applyFill="1" applyBorder="1" applyAlignment="1">
      <alignment horizontal="center" vertical="center" wrapText="1"/>
    </xf>
    <xf numFmtId="0" fontId="24" fillId="48" borderId="66" xfId="0" applyFont="1" applyFill="1" applyBorder="1" applyAlignment="1">
      <alignment horizontal="center" vertical="center" wrapText="1"/>
    </xf>
    <xf numFmtId="0" fontId="24" fillId="48" borderId="63" xfId="0" applyFont="1" applyFill="1" applyBorder="1" applyAlignment="1">
      <alignment horizontal="center" wrapText="1"/>
    </xf>
    <xf numFmtId="0" fontId="24" fillId="48" borderId="67" xfId="0" applyFont="1" applyFill="1" applyBorder="1" applyAlignment="1">
      <alignment horizontal="center" vertical="center" wrapText="1"/>
    </xf>
    <xf numFmtId="0" fontId="24" fillId="48" borderId="68" xfId="0" applyFont="1" applyFill="1" applyBorder="1" applyAlignment="1">
      <alignment horizontal="center" vertical="center" wrapText="1"/>
    </xf>
    <xf numFmtId="0" fontId="24" fillId="48" borderId="69" xfId="0" applyFont="1" applyFill="1" applyBorder="1" applyAlignment="1">
      <alignment horizontal="center" vertical="center" wrapText="1"/>
    </xf>
    <xf numFmtId="0" fontId="25" fillId="46" borderId="4" xfId="0" applyFont="1" applyFill="1" applyBorder="1"/>
    <xf numFmtId="183" fontId="25" fillId="0" borderId="4" xfId="3" applyNumberFormat="1" applyFont="1" applyFill="1" applyBorder="1"/>
    <xf numFmtId="182" fontId="25" fillId="0" borderId="4" xfId="3" applyNumberFormat="1" applyFont="1" applyFill="1" applyBorder="1"/>
    <xf numFmtId="0" fontId="66" fillId="46" borderId="70" xfId="56" applyFont="1" applyFill="1" applyBorder="1" applyAlignment="1">
      <alignment horizontal="center" wrapText="1"/>
    </xf>
    <xf numFmtId="0" fontId="30" fillId="0" borderId="0" xfId="0" applyFont="1"/>
    <xf numFmtId="0" fontId="16" fillId="0" borderId="0" xfId="4"/>
    <xf numFmtId="3" fontId="58" fillId="0" borderId="0" xfId="0" applyNumberFormat="1" applyFont="1"/>
    <xf numFmtId="3" fontId="58" fillId="0" borderId="52" xfId="0" applyNumberFormat="1" applyFont="1" applyBorder="1"/>
    <xf numFmtId="3" fontId="58" fillId="0" borderId="58" xfId="0" applyNumberFormat="1" applyFont="1" applyBorder="1"/>
    <xf numFmtId="3" fontId="58" fillId="0" borderId="28" xfId="0" applyNumberFormat="1" applyFont="1" applyBorder="1" applyAlignment="1">
      <alignment horizontal="left" wrapText="1"/>
    </xf>
    <xf numFmtId="3" fontId="58" fillId="0" borderId="4" xfId="0" applyNumberFormat="1" applyFont="1" applyBorder="1" applyAlignment="1">
      <alignment horizontal="left" wrapText="1"/>
    </xf>
    <xf numFmtId="3" fontId="58" fillId="0" borderId="0" xfId="0" applyNumberFormat="1" applyFont="1" applyAlignment="1">
      <alignment horizontal="left"/>
    </xf>
    <xf numFmtId="3" fontId="58" fillId="0" borderId="0" xfId="0" applyNumberFormat="1" applyFont="1" applyAlignment="1">
      <alignment horizontal="left" wrapText="1"/>
    </xf>
    <xf numFmtId="0" fontId="66" fillId="46" borderId="71" xfId="56" applyFont="1" applyFill="1" applyBorder="1" applyAlignment="1">
      <alignment horizontal="center"/>
    </xf>
    <xf numFmtId="0" fontId="66" fillId="46" borderId="72" xfId="56" applyFont="1" applyFill="1" applyBorder="1" applyAlignment="1">
      <alignment horizontal="center"/>
    </xf>
    <xf numFmtId="0" fontId="25" fillId="46" borderId="38" xfId="56" applyFill="1" applyBorder="1" applyAlignment="1">
      <alignment horizontal="center" vertical="center"/>
    </xf>
    <xf numFmtId="0" fontId="25" fillId="46" borderId="41" xfId="56" applyFill="1" applyBorder="1" applyAlignment="1">
      <alignment horizontal="center" vertical="center"/>
    </xf>
    <xf numFmtId="0" fontId="24" fillId="47" borderId="0" xfId="0" applyFont="1" applyFill="1" applyAlignment="1">
      <alignment horizontal="center"/>
    </xf>
    <xf numFmtId="182" fontId="25" fillId="0" borderId="0" xfId="3" applyNumberFormat="1" applyFont="1" applyFill="1" applyBorder="1"/>
    <xf numFmtId="0" fontId="25" fillId="46" borderId="28" xfId="0" applyFont="1" applyFill="1" applyBorder="1"/>
    <xf numFmtId="183" fontId="25" fillId="0" borderId="28" xfId="3" applyNumberFormat="1" applyFont="1" applyFill="1" applyBorder="1"/>
    <xf numFmtId="182" fontId="25" fillId="0" borderId="28" xfId="3" applyNumberFormat="1" applyFont="1" applyFill="1" applyBorder="1"/>
    <xf numFmtId="0" fontId="24" fillId="46" borderId="26" xfId="0" applyFont="1" applyFill="1" applyBorder="1"/>
    <xf numFmtId="183" fontId="24" fillId="0" borderId="48" xfId="3" applyNumberFormat="1" applyFont="1" applyFill="1" applyBorder="1"/>
    <xf numFmtId="182" fontId="24" fillId="0" borderId="48" xfId="3" applyNumberFormat="1" applyFont="1" applyFill="1" applyBorder="1"/>
    <xf numFmtId="182" fontId="24" fillId="0" borderId="24" xfId="3" applyNumberFormat="1" applyFont="1" applyFill="1" applyBorder="1"/>
    <xf numFmtId="0" fontId="25" fillId="0" borderId="0" xfId="0" quotePrefix="1" applyFont="1" applyAlignment="1">
      <alignment horizontal="left" indent="1"/>
    </xf>
    <xf numFmtId="0" fontId="68" fillId="0" borderId="0" xfId="0" applyFont="1"/>
    <xf numFmtId="0" fontId="15" fillId="9" borderId="18" xfId="0" applyFont="1" applyFill="1" applyBorder="1" applyAlignment="1">
      <alignment horizontal="left" vertical="center" indent="1"/>
    </xf>
    <xf numFmtId="0" fontId="27" fillId="9" borderId="0" xfId="0" applyFont="1" applyFill="1" applyAlignment="1">
      <alignment vertical="top" wrapText="1"/>
    </xf>
    <xf numFmtId="0" fontId="57" fillId="0" borderId="22" xfId="0" applyFont="1" applyBorder="1" applyAlignment="1">
      <alignment vertical="center" wrapText="1"/>
    </xf>
    <xf numFmtId="0" fontId="57" fillId="0" borderId="0" xfId="0" applyFont="1"/>
    <xf numFmtId="0" fontId="57" fillId="9" borderId="0" xfId="0" applyFont="1" applyFill="1"/>
    <xf numFmtId="0" fontId="57" fillId="0" borderId="20" xfId="0" applyFont="1" applyBorder="1" applyAlignment="1">
      <alignment vertical="center" wrapText="1"/>
    </xf>
    <xf numFmtId="0" fontId="57" fillId="9" borderId="74" xfId="0" applyFont="1" applyFill="1" applyBorder="1" applyAlignment="1">
      <alignment horizontal="left" vertical="center" wrapText="1"/>
    </xf>
    <xf numFmtId="0" fontId="70" fillId="0" borderId="20" xfId="0" applyFont="1" applyBorder="1" applyAlignment="1">
      <alignment vertical="center" wrapText="1"/>
    </xf>
    <xf numFmtId="0" fontId="57" fillId="0" borderId="20" xfId="0" applyFont="1" applyBorder="1" applyAlignment="1">
      <alignment vertical="center"/>
    </xf>
    <xf numFmtId="0" fontId="58" fillId="9" borderId="0" xfId="0" applyFont="1" applyFill="1" applyAlignment="1">
      <alignment vertical="center"/>
    </xf>
    <xf numFmtId="0" fontId="0" fillId="0" borderId="26" xfId="0" applyBorder="1" applyAlignment="1">
      <alignment horizontal="right"/>
    </xf>
    <xf numFmtId="3" fontId="3" fillId="0" borderId="4" xfId="0" applyNumberFormat="1" applyFont="1" applyBorder="1" applyAlignment="1">
      <alignment horizontal="center"/>
    </xf>
    <xf numFmtId="0" fontId="0" fillId="0" borderId="4" xfId="0" applyBorder="1" applyAlignment="1">
      <alignment horizontal="center"/>
    </xf>
    <xf numFmtId="0" fontId="3" fillId="0" borderId="3" xfId="0" applyFont="1" applyBorder="1" applyAlignment="1">
      <alignment horizontal="center"/>
    </xf>
    <xf numFmtId="0" fontId="3" fillId="6" borderId="4" xfId="0" applyFont="1" applyFill="1" applyBorder="1" applyAlignment="1">
      <alignment horizontal="right"/>
    </xf>
    <xf numFmtId="0" fontId="72" fillId="0" borderId="0" xfId="0" applyFont="1"/>
    <xf numFmtId="0" fontId="0" fillId="49" borderId="0" xfId="0" applyFill="1" applyAlignment="1">
      <alignment vertical="center"/>
    </xf>
    <xf numFmtId="0" fontId="17" fillId="49" borderId="0" xfId="0" applyFont="1" applyFill="1" applyAlignment="1">
      <alignment vertical="center"/>
    </xf>
    <xf numFmtId="0" fontId="71" fillId="12" borderId="21" xfId="4" applyFont="1" applyFill="1" applyBorder="1" applyAlignment="1">
      <alignment horizontal="left" vertical="center" indent="1"/>
    </xf>
    <xf numFmtId="0" fontId="71" fillId="51" borderId="73" xfId="4" applyNumberFormat="1" applyFont="1" applyFill="1" applyBorder="1" applyAlignment="1" applyProtection="1">
      <alignment horizontal="left" vertical="center" indent="1"/>
      <protection locked="0"/>
    </xf>
    <xf numFmtId="0" fontId="71" fillId="51" borderId="74" xfId="4" applyNumberFormat="1" applyFont="1" applyFill="1" applyBorder="1" applyAlignment="1" applyProtection="1">
      <alignment horizontal="left" vertical="center" indent="1"/>
      <protection locked="0"/>
    </xf>
    <xf numFmtId="0" fontId="71" fillId="51" borderId="74" xfId="4" applyFont="1" applyFill="1" applyBorder="1" applyAlignment="1">
      <alignment horizontal="left" vertical="center" indent="1"/>
    </xf>
    <xf numFmtId="0" fontId="71" fillId="51" borderId="75" xfId="4" applyFont="1" applyFill="1" applyBorder="1" applyAlignment="1">
      <alignment horizontal="left" vertical="center" indent="1"/>
    </xf>
    <xf numFmtId="0" fontId="71" fillId="12" borderId="76" xfId="4" applyFont="1" applyFill="1" applyBorder="1" applyAlignment="1">
      <alignment horizontal="left" vertical="center" indent="1"/>
    </xf>
    <xf numFmtId="0" fontId="71" fillId="12" borderId="74" xfId="4" applyFont="1" applyFill="1" applyBorder="1" applyAlignment="1">
      <alignment horizontal="left" vertical="center" indent="1"/>
    </xf>
    <xf numFmtId="0" fontId="73" fillId="49" borderId="0" xfId="0" applyFont="1" applyFill="1" applyAlignment="1">
      <alignment vertical="center"/>
    </xf>
    <xf numFmtId="0" fontId="51" fillId="49" borderId="0" xfId="0" applyFont="1" applyFill="1"/>
    <xf numFmtId="0" fontId="24" fillId="50" borderId="0" xfId="0" applyFont="1" applyFill="1"/>
    <xf numFmtId="0" fontId="0" fillId="50" borderId="0" xfId="0" applyFill="1"/>
    <xf numFmtId="0" fontId="25" fillId="50" borderId="0" xfId="0" quotePrefix="1" applyFont="1" applyFill="1" applyAlignment="1">
      <alignment horizontal="left" indent="1"/>
    </xf>
    <xf numFmtId="0" fontId="2" fillId="49" borderId="0" xfId="0" applyFont="1" applyFill="1" applyAlignment="1">
      <alignment horizontal="center"/>
    </xf>
    <xf numFmtId="0" fontId="2" fillId="49" borderId="0" xfId="0" applyFont="1" applyFill="1"/>
    <xf numFmtId="0" fontId="2" fillId="49" borderId="0" xfId="0" applyFont="1" applyFill="1" applyAlignment="1">
      <alignment wrapText="1"/>
    </xf>
    <xf numFmtId="0" fontId="0" fillId="2" borderId="0" xfId="0" applyFill="1"/>
    <xf numFmtId="0" fontId="0" fillId="49" borderId="0" xfId="0" applyFill="1"/>
    <xf numFmtId="0" fontId="29" fillId="50" borderId="0" xfId="0" applyFont="1" applyFill="1"/>
    <xf numFmtId="0" fontId="2" fillId="49" borderId="0" xfId="0" applyFont="1" applyFill="1" applyAlignment="1">
      <alignment horizontal="center" wrapText="1"/>
    </xf>
    <xf numFmtId="0" fontId="51" fillId="49" borderId="0" xfId="0" applyFont="1" applyFill="1" applyAlignment="1">
      <alignment vertical="center"/>
    </xf>
    <xf numFmtId="39" fontId="0" fillId="50" borderId="0" xfId="0" applyNumberFormat="1" applyFill="1"/>
    <xf numFmtId="0" fontId="0" fillId="50" borderId="0" xfId="0" applyFill="1" applyAlignment="1">
      <alignment wrapText="1"/>
    </xf>
    <xf numFmtId="0" fontId="25" fillId="50" borderId="0" xfId="0" quotePrefix="1" applyFont="1" applyFill="1" applyAlignment="1">
      <alignment horizontal="left" indent="3"/>
    </xf>
    <xf numFmtId="0" fontId="53" fillId="50" borderId="0" xfId="0" quotePrefix="1" applyFont="1" applyFill="1" applyAlignment="1">
      <alignment horizontal="left" indent="3"/>
    </xf>
    <xf numFmtId="0" fontId="53" fillId="50" borderId="0" xfId="0" quotePrefix="1" applyFont="1" applyFill="1" applyAlignment="1">
      <alignment horizontal="left" indent="1"/>
    </xf>
    <xf numFmtId="0" fontId="74" fillId="50" borderId="3" xfId="0" applyFont="1" applyFill="1" applyBorder="1"/>
    <xf numFmtId="3" fontId="74" fillId="50" borderId="3" xfId="0" applyNumberFormat="1" applyFont="1" applyFill="1" applyBorder="1"/>
    <xf numFmtId="178" fontId="74" fillId="50" borderId="3" xfId="0" applyNumberFormat="1" applyFont="1" applyFill="1" applyBorder="1"/>
    <xf numFmtId="3" fontId="74" fillId="50" borderId="3" xfId="0" applyNumberFormat="1" applyFont="1" applyFill="1" applyBorder="1" applyAlignment="1">
      <alignment horizontal="center"/>
    </xf>
    <xf numFmtId="0" fontId="74" fillId="50" borderId="3" xfId="0" applyFont="1" applyFill="1" applyBorder="1" applyAlignment="1">
      <alignment horizontal="center"/>
    </xf>
    <xf numFmtId="44" fontId="74" fillId="50" borderId="3" xfId="0" applyNumberFormat="1" applyFont="1" applyFill="1" applyBorder="1"/>
    <xf numFmtId="37" fontId="74" fillId="50" borderId="3" xfId="0" applyNumberFormat="1" applyFont="1" applyFill="1" applyBorder="1" applyAlignment="1">
      <alignment horizontal="center"/>
    </xf>
    <xf numFmtId="5" fontId="74" fillId="50" borderId="3" xfId="0" applyNumberFormat="1" applyFont="1" applyFill="1" applyBorder="1"/>
    <xf numFmtId="0" fontId="0" fillId="4" borderId="1" xfId="0" applyFill="1" applyBorder="1"/>
    <xf numFmtId="0" fontId="0" fillId="0" borderId="4" xfId="0" pivotButton="1" applyBorder="1"/>
    <xf numFmtId="0" fontId="0" fillId="0" borderId="4" xfId="0" applyBorder="1" applyAlignment="1">
      <alignment wrapText="1"/>
    </xf>
    <xf numFmtId="0" fontId="0" fillId="0" borderId="4" xfId="0" applyBorder="1" applyAlignment="1">
      <alignment horizontal="left"/>
    </xf>
    <xf numFmtId="0" fontId="0" fillId="0" borderId="47" xfId="0" applyBorder="1"/>
    <xf numFmtId="0" fontId="0" fillId="14" borderId="0" xfId="0" applyFill="1"/>
    <xf numFmtId="0" fontId="0" fillId="4" borderId="1" xfId="0" quotePrefix="1" applyFill="1" applyBorder="1"/>
    <xf numFmtId="0" fontId="0" fillId="4" borderId="77" xfId="0" applyFill="1" applyBorder="1"/>
    <xf numFmtId="0" fontId="2" fillId="3" borderId="45" xfId="0" applyFont="1" applyFill="1" applyBorder="1"/>
    <xf numFmtId="0" fontId="0" fillId="14" borderId="47" xfId="0" applyFill="1" applyBorder="1"/>
    <xf numFmtId="0" fontId="0" fillId="0" borderId="1" xfId="0" applyBorder="1"/>
    <xf numFmtId="0" fontId="3" fillId="54" borderId="0" xfId="0" applyFont="1" applyFill="1" applyAlignment="1">
      <alignment wrapText="1"/>
    </xf>
    <xf numFmtId="0" fontId="0" fillId="4" borderId="1" xfId="0" quotePrefix="1" applyFill="1" applyBorder="1" applyAlignment="1">
      <alignment wrapText="1"/>
    </xf>
    <xf numFmtId="0" fontId="3" fillId="53" borderId="0" xfId="0" applyFont="1" applyFill="1" applyAlignment="1">
      <alignment wrapText="1"/>
    </xf>
    <xf numFmtId="0" fontId="0" fillId="4" borderId="47" xfId="0" applyFill="1" applyBorder="1" applyAlignment="1">
      <alignment wrapText="1"/>
    </xf>
    <xf numFmtId="0" fontId="0" fillId="0" borderId="47" xfId="0" applyBorder="1" applyAlignment="1">
      <alignment wrapText="1"/>
    </xf>
    <xf numFmtId="0" fontId="0" fillId="14" borderId="47" xfId="0" applyFill="1" applyBorder="1" applyAlignment="1">
      <alignment wrapText="1"/>
    </xf>
    <xf numFmtId="0" fontId="21" fillId="0" borderId="0" xfId="0" applyFont="1" applyAlignment="1">
      <alignment wrapText="1"/>
    </xf>
    <xf numFmtId="0" fontId="0" fillId="4" borderId="0" xfId="0" quotePrefix="1" applyFill="1"/>
    <xf numFmtId="0" fontId="78" fillId="51" borderId="4" xfId="4" applyNumberFormat="1" applyFont="1" applyFill="1" applyBorder="1" applyAlignment="1" applyProtection="1">
      <alignment horizontal="left" vertical="center" indent="1"/>
      <protection locked="0"/>
    </xf>
    <xf numFmtId="0" fontId="78" fillId="12" borderId="4" xfId="4" applyFont="1" applyFill="1" applyBorder="1" applyAlignment="1">
      <alignment horizontal="left" vertical="center" indent="1"/>
    </xf>
    <xf numFmtId="0" fontId="78" fillId="12" borderId="21" xfId="4" applyFont="1" applyFill="1" applyBorder="1" applyAlignment="1">
      <alignment horizontal="left" vertical="center" indent="1"/>
    </xf>
    <xf numFmtId="0" fontId="3" fillId="6" borderId="4" xfId="0" applyFont="1" applyFill="1" applyBorder="1"/>
    <xf numFmtId="3" fontId="0" fillId="5" borderId="4" xfId="0" applyNumberFormat="1" applyFill="1" applyBorder="1" applyAlignment="1" applyProtection="1">
      <alignment horizontal="center"/>
      <protection locked="0"/>
    </xf>
    <xf numFmtId="0" fontId="0" fillId="0" borderId="19" xfId="0" applyBorder="1" applyAlignment="1" applyProtection="1">
      <alignment horizontal="center"/>
      <protection locked="0"/>
    </xf>
    <xf numFmtId="0" fontId="0" fillId="0" borderId="19" xfId="0" applyBorder="1" applyAlignment="1" applyProtection="1">
      <alignment horizontal="center" vertical="center"/>
      <protection locked="0"/>
    </xf>
    <xf numFmtId="0" fontId="14" fillId="50" borderId="3" xfId="0" applyFont="1" applyFill="1" applyBorder="1" applyProtection="1">
      <protection locked="0"/>
    </xf>
    <xf numFmtId="178" fontId="14" fillId="50" borderId="3" xfId="0" applyNumberFormat="1" applyFont="1" applyFill="1" applyBorder="1" applyProtection="1">
      <protection locked="0"/>
    </xf>
    <xf numFmtId="0" fontId="0" fillId="50" borderId="3" xfId="0" applyFill="1" applyBorder="1" applyProtection="1">
      <protection locked="0"/>
    </xf>
    <xf numFmtId="3" fontId="0" fillId="50" borderId="3" xfId="0" applyNumberFormat="1" applyFill="1" applyBorder="1" applyProtection="1">
      <protection locked="0"/>
    </xf>
    <xf numFmtId="178" fontId="0" fillId="50" borderId="3" xfId="0" applyNumberFormat="1" applyFill="1" applyBorder="1" applyProtection="1">
      <protection locked="0"/>
    </xf>
    <xf numFmtId="4" fontId="0" fillId="50" borderId="3" xfId="0" applyNumberFormat="1" applyFill="1" applyBorder="1" applyAlignment="1" applyProtection="1">
      <alignment horizontal="center"/>
      <protection locked="0"/>
    </xf>
    <xf numFmtId="44" fontId="0" fillId="50" borderId="3" xfId="0" applyNumberFormat="1" applyFill="1" applyBorder="1" applyProtection="1">
      <protection locked="0"/>
    </xf>
    <xf numFmtId="3" fontId="0" fillId="50" borderId="3" xfId="0" applyNumberFormat="1" applyFill="1" applyBorder="1" applyAlignment="1" applyProtection="1">
      <alignment horizontal="center"/>
      <protection locked="0"/>
    </xf>
    <xf numFmtId="0" fontId="0" fillId="50" borderId="3" xfId="0" applyFill="1" applyBorder="1" applyAlignment="1" applyProtection="1">
      <alignment horizontal="center"/>
      <protection locked="0"/>
    </xf>
    <xf numFmtId="37" fontId="0" fillId="50" borderId="3" xfId="0" applyNumberFormat="1" applyFill="1" applyBorder="1" applyAlignment="1" applyProtection="1">
      <alignment horizontal="center"/>
      <protection locked="0"/>
    </xf>
    <xf numFmtId="5" fontId="14" fillId="50" borderId="3" xfId="0" applyNumberFormat="1" applyFont="1" applyFill="1" applyBorder="1" applyProtection="1">
      <protection locked="0"/>
    </xf>
    <xf numFmtId="0" fontId="0" fillId="4" borderId="82" xfId="0" applyFill="1" applyBorder="1"/>
    <xf numFmtId="0" fontId="20" fillId="0" borderId="0" xfId="0" applyFont="1"/>
    <xf numFmtId="0" fontId="81" fillId="0" borderId="0" xfId="0" applyFont="1" applyAlignment="1">
      <alignment horizontal="left" indent="2"/>
    </xf>
    <xf numFmtId="0" fontId="81" fillId="0" borderId="0" xfId="0" applyFont="1" applyAlignment="1">
      <alignment horizontal="left" wrapText="1" indent="2"/>
    </xf>
    <xf numFmtId="0" fontId="28" fillId="50" borderId="0" xfId="0" quotePrefix="1" applyFont="1" applyFill="1" applyAlignment="1">
      <alignment horizontal="left" indent="1"/>
    </xf>
    <xf numFmtId="0" fontId="28" fillId="50" borderId="0" xfId="0" quotePrefix="1" applyFont="1" applyFill="1" applyAlignment="1">
      <alignment horizontal="left" indent="3"/>
    </xf>
    <xf numFmtId="0" fontId="8" fillId="0" borderId="0" xfId="0" applyFont="1"/>
    <xf numFmtId="0" fontId="0" fillId="0" borderId="28" xfId="0" applyBorder="1"/>
    <xf numFmtId="44" fontId="14" fillId="50" borderId="3" xfId="0" applyNumberFormat="1" applyFont="1" applyFill="1" applyBorder="1" applyProtection="1">
      <protection locked="0"/>
    </xf>
    <xf numFmtId="0" fontId="74" fillId="0" borderId="3" xfId="0" applyFont="1" applyBorder="1" applyAlignment="1">
      <alignment horizontal="center"/>
    </xf>
    <xf numFmtId="39" fontId="74" fillId="0" borderId="3" xfId="0" applyNumberFormat="1" applyFont="1" applyBorder="1" applyAlignment="1">
      <alignment horizontal="center"/>
    </xf>
    <xf numFmtId="39" fontId="0" fillId="0" borderId="3" xfId="0" applyNumberFormat="1" applyBorder="1" applyAlignment="1">
      <alignment horizontal="center"/>
    </xf>
    <xf numFmtId="4" fontId="74" fillId="0" borderId="3" xfId="0" applyNumberFormat="1" applyFont="1" applyBorder="1" applyAlignment="1">
      <alignment horizontal="center"/>
    </xf>
    <xf numFmtId="4" fontId="14" fillId="0" borderId="3" xfId="0" applyNumberFormat="1" applyFont="1" applyBorder="1" applyAlignment="1">
      <alignment horizontal="center"/>
    </xf>
    <xf numFmtId="4" fontId="0" fillId="0" borderId="27" xfId="0" applyNumberFormat="1" applyBorder="1" applyAlignment="1">
      <alignment horizontal="center"/>
    </xf>
    <xf numFmtId="3" fontId="74" fillId="0" borderId="3" xfId="0" applyNumberFormat="1" applyFont="1" applyBorder="1" applyAlignment="1">
      <alignment horizontal="center"/>
    </xf>
    <xf numFmtId="3" fontId="14" fillId="0" borderId="3" xfId="0" applyNumberFormat="1" applyFont="1" applyBorder="1" applyAlignment="1">
      <alignment horizontal="center"/>
    </xf>
    <xf numFmtId="4" fontId="0" fillId="0" borderId="3" xfId="0" applyNumberFormat="1" applyBorder="1" applyAlignment="1">
      <alignment horizontal="center"/>
    </xf>
    <xf numFmtId="3" fontId="0" fillId="0" borderId="3" xfId="0" applyNumberFormat="1" applyBorder="1" applyAlignment="1">
      <alignment horizontal="center"/>
    </xf>
    <xf numFmtId="37" fontId="74" fillId="0" borderId="3" xfId="0" applyNumberFormat="1" applyFont="1" applyBorder="1" applyAlignment="1">
      <alignment horizontal="center"/>
    </xf>
    <xf numFmtId="37" fontId="0" fillId="0" borderId="3" xfId="0" applyNumberFormat="1" applyBorder="1" applyAlignment="1">
      <alignment horizontal="center"/>
    </xf>
    <xf numFmtId="0" fontId="2" fillId="55" borderId="17" xfId="0" applyFont="1" applyFill="1" applyBorder="1" applyAlignment="1">
      <alignment horizontal="left" vertical="center" wrapText="1"/>
    </xf>
    <xf numFmtId="0" fontId="2" fillId="56" borderId="17" xfId="0" applyFont="1" applyFill="1" applyBorder="1" applyAlignment="1">
      <alignment horizontal="left" vertical="center" wrapText="1"/>
    </xf>
    <xf numFmtId="0" fontId="74" fillId="0" borderId="3" xfId="0" applyFont="1" applyBorder="1"/>
    <xf numFmtId="166" fontId="74" fillId="0" borderId="3" xfId="0" applyNumberFormat="1" applyFont="1" applyBorder="1" applyAlignment="1">
      <alignment horizontal="center"/>
    </xf>
    <xf numFmtId="166" fontId="14" fillId="0" borderId="3" xfId="0" applyNumberFormat="1" applyFont="1" applyBorder="1" applyAlignment="1">
      <alignment horizontal="center"/>
    </xf>
    <xf numFmtId="0" fontId="2" fillId="3" borderId="50" xfId="0" applyFont="1" applyFill="1" applyBorder="1" applyAlignment="1">
      <alignment wrapText="1"/>
    </xf>
    <xf numFmtId="0" fontId="14" fillId="0" borderId="4" xfId="0" quotePrefix="1" applyFont="1" applyBorder="1" applyAlignment="1">
      <alignment wrapText="1"/>
    </xf>
    <xf numFmtId="0" fontId="14" fillId="0" borderId="4" xfId="0" applyFont="1" applyBorder="1" applyAlignment="1">
      <alignment wrapText="1"/>
    </xf>
    <xf numFmtId="0" fontId="0" fillId="4" borderId="47" xfId="0" applyFill="1" applyBorder="1"/>
    <xf numFmtId="0" fontId="0" fillId="0" borderId="0" xfId="0" quotePrefix="1" applyAlignment="1">
      <alignment horizontal="center"/>
    </xf>
    <xf numFmtId="0" fontId="0" fillId="14" borderId="0" xfId="0" applyFill="1" applyAlignment="1">
      <alignment horizontal="center"/>
    </xf>
    <xf numFmtId="0" fontId="0" fillId="14" borderId="0" xfId="0" quotePrefix="1" applyFill="1" applyAlignment="1">
      <alignment horizontal="center"/>
    </xf>
    <xf numFmtId="0" fontId="14" fillId="14" borderId="4" xfId="0" applyFont="1" applyFill="1" applyBorder="1" applyAlignment="1">
      <alignment wrapText="1"/>
    </xf>
    <xf numFmtId="49" fontId="0" fillId="0" borderId="0" xfId="0" applyNumberFormat="1" applyAlignment="1">
      <alignment horizontal="center"/>
    </xf>
    <xf numFmtId="49" fontId="0" fillId="14" borderId="0" xfId="0" applyNumberFormat="1" applyFill="1" applyAlignment="1">
      <alignment horizontal="center"/>
    </xf>
    <xf numFmtId="49" fontId="0" fillId="14" borderId="0" xfId="0" quotePrefix="1" applyNumberFormat="1" applyFill="1" applyAlignment="1">
      <alignment horizontal="center"/>
    </xf>
    <xf numFmtId="49" fontId="0" fillId="4" borderId="1" xfId="0" applyNumberFormat="1" applyFill="1" applyBorder="1"/>
    <xf numFmtId="0" fontId="0" fillId="14" borderId="4" xfId="0" applyFill="1" applyBorder="1" applyAlignment="1">
      <alignment wrapText="1"/>
    </xf>
    <xf numFmtId="0" fontId="14" fillId="57" borderId="4" xfId="0" quotePrefix="1" applyFont="1" applyFill="1" applyBorder="1" applyAlignment="1">
      <alignment wrapText="1"/>
    </xf>
    <xf numFmtId="0" fontId="0" fillId="57" borderId="4" xfId="0" applyFill="1" applyBorder="1" applyAlignment="1">
      <alignment wrapText="1"/>
    </xf>
    <xf numFmtId="0" fontId="2" fillId="2" borderId="4" xfId="0" applyFont="1" applyFill="1" applyBorder="1" applyAlignment="1">
      <alignment horizontal="left" vertical="center" wrapText="1"/>
    </xf>
    <xf numFmtId="0" fontId="3" fillId="6" borderId="4" xfId="0" applyFont="1" applyFill="1" applyBorder="1" applyAlignment="1">
      <alignment wrapText="1"/>
    </xf>
    <xf numFmtId="0" fontId="13" fillId="0" borderId="26" xfId="0" applyFont="1" applyBorder="1" applyAlignment="1">
      <alignment horizontal="right"/>
    </xf>
    <xf numFmtId="3" fontId="13" fillId="0" borderId="4" xfId="0" applyNumberFormat="1" applyFont="1" applyBorder="1" applyAlignment="1">
      <alignment horizontal="center"/>
    </xf>
    <xf numFmtId="3" fontId="3" fillId="6" borderId="4" xfId="0" applyNumberFormat="1" applyFont="1" applyFill="1" applyBorder="1" applyAlignment="1">
      <alignment horizontal="center"/>
    </xf>
    <xf numFmtId="0" fontId="82" fillId="0" borderId="0" xfId="0" applyFont="1"/>
    <xf numFmtId="3" fontId="0" fillId="0" borderId="27" xfId="0" applyNumberFormat="1" applyBorder="1" applyAlignment="1">
      <alignment horizontal="center" vertical="center"/>
    </xf>
    <xf numFmtId="3" fontId="74" fillId="0" borderId="3" xfId="0" applyNumberFormat="1" applyFont="1" applyBorder="1"/>
    <xf numFmtId="0" fontId="56" fillId="0" borderId="0" xfId="0" applyFont="1"/>
    <xf numFmtId="0" fontId="56" fillId="0" borderId="4" xfId="0" applyFont="1" applyBorder="1" applyAlignment="1">
      <alignment wrapText="1"/>
    </xf>
    <xf numFmtId="0" fontId="56" fillId="0" borderId="4" xfId="0" applyFont="1" applyBorder="1"/>
    <xf numFmtId="182" fontId="39" fillId="0" borderId="4" xfId="3" applyNumberFormat="1" applyFont="1" applyFill="1" applyBorder="1"/>
    <xf numFmtId="0" fontId="62" fillId="0" borderId="4" xfId="0" applyFont="1" applyBorder="1" applyAlignment="1">
      <alignment wrapText="1"/>
    </xf>
    <xf numFmtId="0" fontId="83" fillId="0" borderId="0" xfId="0" applyFont="1"/>
    <xf numFmtId="0" fontId="85" fillId="59" borderId="0" xfId="0" applyFont="1" applyFill="1"/>
    <xf numFmtId="0" fontId="86" fillId="0" borderId="0" xfId="0" applyFont="1"/>
    <xf numFmtId="0" fontId="0" fillId="0" borderId="4" xfId="0" pivotButton="1" applyBorder="1" applyAlignment="1">
      <alignment wrapText="1"/>
    </xf>
    <xf numFmtId="3" fontId="13" fillId="0" borderId="27" xfId="0" applyNumberFormat="1" applyFont="1" applyBorder="1" applyAlignment="1" applyProtection="1">
      <alignment horizontal="center"/>
      <protection locked="0"/>
    </xf>
    <xf numFmtId="10" fontId="74" fillId="0" borderId="3" xfId="2" applyNumberFormat="1" applyFont="1" applyFill="1" applyBorder="1" applyAlignment="1" applyProtection="1">
      <alignment horizontal="center"/>
    </xf>
    <xf numFmtId="9" fontId="74" fillId="50" borderId="3" xfId="2" applyFont="1" applyFill="1" applyBorder="1"/>
    <xf numFmtId="9" fontId="14" fillId="50" borderId="3" xfId="2" applyFont="1" applyFill="1" applyBorder="1" applyProtection="1">
      <protection locked="0"/>
    </xf>
    <xf numFmtId="0" fontId="0" fillId="0" borderId="0" xfId="0" applyAlignment="1">
      <alignment horizontal="center" vertical="center"/>
    </xf>
    <xf numFmtId="0" fontId="57" fillId="0" borderId="0" xfId="0" applyFont="1" applyAlignment="1">
      <alignment wrapText="1"/>
    </xf>
    <xf numFmtId="0" fontId="16" fillId="0" borderId="0" xfId="4" applyAlignment="1">
      <alignment horizontal="left" vertical="center" indent="1"/>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0" xfId="0" applyAlignment="1">
      <alignment horizontal="left" vertical="center" wrapText="1"/>
    </xf>
    <xf numFmtId="0" fontId="3" fillId="6" borderId="26" xfId="0" applyFont="1" applyFill="1" applyBorder="1" applyAlignment="1">
      <alignment horizontal="left" vertical="center" wrapText="1"/>
    </xf>
    <xf numFmtId="0" fontId="3" fillId="6" borderId="48" xfId="0" applyFont="1" applyFill="1" applyBorder="1" applyAlignment="1">
      <alignment horizontal="center" vertical="center" wrapText="1"/>
    </xf>
    <xf numFmtId="0" fontId="3" fillId="6" borderId="27" xfId="0" applyFont="1" applyFill="1" applyBorder="1" applyAlignment="1">
      <alignment horizontal="left" vertical="center"/>
    </xf>
    <xf numFmtId="0" fontId="3" fillId="6" borderId="38" xfId="0" applyFont="1" applyFill="1" applyBorder="1" applyAlignment="1">
      <alignment horizontal="left" vertical="center" wrapText="1"/>
    </xf>
    <xf numFmtId="0" fontId="90" fillId="0" borderId="39" xfId="0" applyFont="1" applyBorder="1" applyAlignment="1">
      <alignment horizontal="center" vertical="center"/>
    </xf>
    <xf numFmtId="0" fontId="57" fillId="0" borderId="40" xfId="0" applyFont="1" applyBorder="1" applyAlignment="1">
      <alignment wrapText="1"/>
    </xf>
    <xf numFmtId="0" fontId="3" fillId="6" borderId="84" xfId="0" applyFont="1" applyFill="1" applyBorder="1" applyAlignment="1">
      <alignment horizontal="left" vertical="center" wrapText="1"/>
    </xf>
    <xf numFmtId="0" fontId="57" fillId="0" borderId="85" xfId="0" applyFont="1" applyBorder="1" applyAlignment="1">
      <alignment wrapText="1"/>
    </xf>
    <xf numFmtId="0" fontId="3" fillId="6" borderId="41" xfId="0" applyFont="1" applyFill="1" applyBorder="1" applyAlignment="1">
      <alignment horizontal="left" vertical="center" wrapText="1"/>
    </xf>
    <xf numFmtId="0" fontId="0" fillId="0" borderId="42" xfId="0" applyBorder="1" applyAlignment="1">
      <alignment horizontal="center" vertical="center"/>
    </xf>
    <xf numFmtId="0" fontId="57" fillId="0" borderId="43" xfId="0" applyFont="1" applyBorder="1" applyAlignment="1">
      <alignment wrapText="1"/>
    </xf>
    <xf numFmtId="0" fontId="92" fillId="0" borderId="0" xfId="0" applyFont="1" applyAlignment="1">
      <alignment horizontal="left" vertical="center" wrapText="1"/>
    </xf>
    <xf numFmtId="0" fontId="77" fillId="0" borderId="0" xfId="0" applyFont="1" applyAlignment="1">
      <alignment horizontal="left" wrapText="1"/>
    </xf>
    <xf numFmtId="0" fontId="21" fillId="57" borderId="4" xfId="0" applyFont="1" applyFill="1" applyBorder="1"/>
    <xf numFmtId="0" fontId="21" fillId="57" borderId="4" xfId="0" applyFont="1" applyFill="1" applyBorder="1" applyAlignment="1">
      <alignment horizontal="left"/>
    </xf>
    <xf numFmtId="0" fontId="21" fillId="57" borderId="4" xfId="0" applyFont="1" applyFill="1" applyBorder="1" applyAlignment="1">
      <alignment wrapText="1"/>
    </xf>
    <xf numFmtId="0" fontId="21" fillId="0" borderId="4" xfId="0" applyFont="1" applyBorder="1"/>
    <xf numFmtId="0" fontId="21" fillId="0" borderId="4" xfId="0" applyFont="1" applyBorder="1" applyAlignment="1">
      <alignment horizontal="left"/>
    </xf>
    <xf numFmtId="0" fontId="21" fillId="0" borderId="4" xfId="0" applyFont="1" applyBorder="1" applyAlignment="1">
      <alignment wrapText="1"/>
    </xf>
    <xf numFmtId="0" fontId="14" fillId="0" borderId="4" xfId="0" applyFont="1" applyBorder="1"/>
    <xf numFmtId="0" fontId="14" fillId="0" borderId="4" xfId="0" applyFont="1" applyBorder="1" applyAlignment="1">
      <alignment horizontal="left"/>
    </xf>
    <xf numFmtId="0" fontId="0" fillId="4" borderId="0" xfId="0" applyFill="1"/>
    <xf numFmtId="0" fontId="14" fillId="57" borderId="4" xfId="0" applyFont="1" applyFill="1" applyBorder="1" applyAlignment="1">
      <alignment wrapText="1"/>
    </xf>
    <xf numFmtId="0" fontId="0" fillId="57" borderId="0" xfId="0" applyFill="1" applyAlignment="1">
      <alignment wrapText="1"/>
    </xf>
    <xf numFmtId="0" fontId="14" fillId="50" borderId="0" xfId="0" applyFont="1" applyFill="1" applyProtection="1">
      <protection locked="0"/>
    </xf>
    <xf numFmtId="0" fontId="3" fillId="0" borderId="86" xfId="0" applyFont="1" applyBorder="1" applyAlignment="1">
      <alignment horizontal="center"/>
    </xf>
    <xf numFmtId="0" fontId="0" fillId="0" borderId="4" xfId="0" quotePrefix="1" applyBorder="1"/>
    <xf numFmtId="0" fontId="0" fillId="0" borderId="0" xfId="0" quotePrefix="1"/>
    <xf numFmtId="0" fontId="21" fillId="57" borderId="68" xfId="0" quotePrefix="1" applyFont="1" applyFill="1" applyBorder="1"/>
    <xf numFmtId="0" fontId="51" fillId="49" borderId="0" xfId="0" applyFont="1" applyFill="1" applyAlignment="1">
      <alignment wrapText="1"/>
    </xf>
    <xf numFmtId="0" fontId="4" fillId="0" borderId="0" xfId="0" applyFont="1" applyAlignment="1">
      <alignment wrapText="1"/>
    </xf>
    <xf numFmtId="0" fontId="2" fillId="49" borderId="88" xfId="0" applyFont="1" applyFill="1" applyBorder="1" applyAlignment="1">
      <alignment horizontal="center"/>
    </xf>
    <xf numFmtId="0" fontId="2" fillId="49" borderId="89" xfId="0" applyFont="1" applyFill="1" applyBorder="1"/>
    <xf numFmtId="0" fontId="2" fillId="49" borderId="89" xfId="0" applyFont="1" applyFill="1" applyBorder="1" applyAlignment="1">
      <alignment wrapText="1"/>
    </xf>
    <xf numFmtId="178" fontId="14" fillId="50" borderId="93" xfId="0" applyNumberFormat="1" applyFont="1" applyFill="1" applyBorder="1" applyProtection="1">
      <protection locked="0"/>
    </xf>
    <xf numFmtId="4" fontId="14" fillId="0" borderId="93" xfId="0" applyNumberFormat="1" applyFont="1" applyBorder="1" applyAlignment="1">
      <alignment horizontal="center"/>
    </xf>
    <xf numFmtId="4" fontId="51" fillId="49" borderId="0" xfId="0" applyNumberFormat="1" applyFont="1" applyFill="1"/>
    <xf numFmtId="4" fontId="0" fillId="50" borderId="0" xfId="0" applyNumberFormat="1" applyFill="1"/>
    <xf numFmtId="4" fontId="13" fillId="0" borderId="0" xfId="0" applyNumberFormat="1" applyFont="1"/>
    <xf numFmtId="4" fontId="0" fillId="9" borderId="0" xfId="0" applyNumberFormat="1" applyFill="1"/>
    <xf numFmtId="4" fontId="2" fillId="49" borderId="90" xfId="0" applyNumberFormat="1" applyFont="1" applyFill="1" applyBorder="1"/>
    <xf numFmtId="0" fontId="0" fillId="0" borderId="0" xfId="0" applyAlignment="1">
      <alignment horizontal="right"/>
    </xf>
    <xf numFmtId="3" fontId="0" fillId="0" borderId="0" xfId="0" applyNumberFormat="1" applyAlignment="1">
      <alignment horizontal="center"/>
    </xf>
    <xf numFmtId="0" fontId="78" fillId="12" borderId="81" xfId="4" applyFont="1" applyFill="1" applyBorder="1" applyAlignment="1">
      <alignment vertical="center"/>
    </xf>
    <xf numFmtId="0" fontId="14" fillId="0" borderId="3" xfId="0" applyFont="1" applyBorder="1" applyAlignment="1">
      <alignment wrapText="1"/>
    </xf>
    <xf numFmtId="0" fontId="14" fillId="0" borderId="0" xfId="0" applyFont="1" applyAlignment="1">
      <alignment wrapText="1"/>
    </xf>
    <xf numFmtId="170" fontId="74" fillId="0" borderId="3" xfId="0" applyNumberFormat="1" applyFont="1" applyBorder="1" applyAlignment="1">
      <alignment horizontal="center"/>
    </xf>
    <xf numFmtId="0" fontId="0" fillId="0" borderId="78" xfId="0" applyBorder="1"/>
    <xf numFmtId="0" fontId="57" fillId="0" borderId="0" xfId="0" applyFont="1" applyAlignment="1">
      <alignment horizontal="left" indent="1"/>
    </xf>
    <xf numFmtId="170" fontId="14" fillId="0" borderId="3" xfId="0" applyNumberFormat="1" applyFont="1" applyBorder="1" applyAlignment="1">
      <alignment horizontal="center"/>
    </xf>
    <xf numFmtId="3" fontId="14" fillId="0" borderId="3" xfId="0" applyNumberFormat="1" applyFont="1" applyBorder="1"/>
    <xf numFmtId="0" fontId="57" fillId="0" borderId="0" xfId="0" quotePrefix="1" applyFont="1" applyAlignment="1">
      <alignment horizontal="left" indent="1"/>
    </xf>
    <xf numFmtId="0" fontId="14" fillId="0" borderId="3" xfId="0" applyFont="1" applyBorder="1" applyAlignment="1">
      <alignment horizontal="center"/>
    </xf>
    <xf numFmtId="39" fontId="14" fillId="0" borderId="3" xfId="0" applyNumberFormat="1" applyFont="1" applyBorder="1" applyAlignment="1">
      <alignment horizontal="center"/>
    </xf>
    <xf numFmtId="3" fontId="14" fillId="50" borderId="3" xfId="0" applyNumberFormat="1" applyFont="1" applyFill="1" applyBorder="1" applyProtection="1">
      <protection locked="0"/>
    </xf>
    <xf numFmtId="0" fontId="14" fillId="0" borderId="3" xfId="0" applyFont="1" applyBorder="1"/>
    <xf numFmtId="0" fontId="74" fillId="50" borderId="86" xfId="0" applyFont="1" applyFill="1" applyBorder="1" applyAlignment="1">
      <alignment horizontal="left" vertical="center"/>
    </xf>
    <xf numFmtId="0" fontId="74" fillId="0" borderId="86" xfId="0" applyFont="1" applyBorder="1" applyAlignment="1">
      <alignment horizontal="left" vertical="center" wrapText="1"/>
    </xf>
    <xf numFmtId="178" fontId="74" fillId="50" borderId="86" xfId="0" applyNumberFormat="1" applyFont="1" applyFill="1" applyBorder="1" applyAlignment="1">
      <alignment horizontal="center" vertical="center"/>
    </xf>
    <xf numFmtId="4" fontId="74" fillId="0" borderId="86" xfId="0" applyNumberFormat="1" applyFont="1" applyBorder="1" applyAlignment="1">
      <alignment horizontal="center" vertical="center"/>
    </xf>
    <xf numFmtId="0" fontId="3" fillId="4" borderId="0" xfId="0" applyFont="1" applyFill="1"/>
    <xf numFmtId="0" fontId="57" fillId="0" borderId="4" xfId="0" applyFont="1" applyBorder="1"/>
    <xf numFmtId="0" fontId="60" fillId="0" borderId="0" xfId="41" applyAlignment="1"/>
    <xf numFmtId="0" fontId="57" fillId="0" borderId="4" xfId="40" applyFont="1" applyBorder="1" applyAlignment="1">
      <alignment horizontal="left" wrapText="1" indent="2"/>
    </xf>
    <xf numFmtId="0" fontId="99" fillId="49" borderId="0" xfId="0" applyFont="1" applyFill="1" applyAlignment="1">
      <alignment horizontal="left" vertical="center"/>
    </xf>
    <xf numFmtId="0" fontId="3" fillId="0" borderId="26" xfId="0" applyFont="1" applyBorder="1" applyAlignment="1">
      <alignment horizontal="right"/>
    </xf>
    <xf numFmtId="0" fontId="74" fillId="50" borderId="3" xfId="0" applyFont="1" applyFill="1" applyBorder="1" applyProtection="1">
      <protection locked="0"/>
    </xf>
    <xf numFmtId="4" fontId="74" fillId="50" borderId="3" xfId="0" applyNumberFormat="1" applyFont="1" applyFill="1" applyBorder="1" applyAlignment="1" applyProtection="1">
      <alignment horizontal="center"/>
      <protection locked="0"/>
    </xf>
    <xf numFmtId="10" fontId="14" fillId="0" borderId="3" xfId="2" applyNumberFormat="1" applyFont="1" applyFill="1" applyBorder="1" applyAlignment="1" applyProtection="1">
      <alignment horizontal="center"/>
    </xf>
    <xf numFmtId="0" fontId="0" fillId="0" borderId="0" xfId="0" applyAlignment="1">
      <alignment vertical="center"/>
    </xf>
    <xf numFmtId="0" fontId="100" fillId="0" borderId="0" xfId="0" applyFont="1" applyAlignment="1">
      <alignment vertical="center"/>
    </xf>
    <xf numFmtId="0" fontId="7" fillId="0" borderId="0" xfId="0" applyFont="1" applyAlignment="1">
      <alignment vertical="center"/>
    </xf>
    <xf numFmtId="0" fontId="101" fillId="0" borderId="0" xfId="0" applyFont="1"/>
    <xf numFmtId="1" fontId="0" fillId="50" borderId="3" xfId="0" applyNumberFormat="1" applyFill="1" applyBorder="1" applyAlignment="1" applyProtection="1">
      <alignment horizontal="center"/>
      <protection locked="0"/>
    </xf>
    <xf numFmtId="0" fontId="100" fillId="0" borderId="0" xfId="0" quotePrefix="1" applyFont="1" applyAlignment="1">
      <alignment vertical="center"/>
    </xf>
    <xf numFmtId="0" fontId="3" fillId="0" borderId="0" xfId="0" applyFont="1" applyAlignment="1">
      <alignment horizontal="center" wrapText="1"/>
    </xf>
    <xf numFmtId="171" fontId="0" fillId="0" borderId="0" xfId="0" applyNumberFormat="1"/>
    <xf numFmtId="171" fontId="0" fillId="0" borderId="4" xfId="0" applyNumberFormat="1" applyBorder="1"/>
    <xf numFmtId="171" fontId="0" fillId="14" borderId="4" xfId="0" applyNumberFormat="1" applyFill="1" applyBorder="1"/>
    <xf numFmtId="0" fontId="3" fillId="4" borderId="4" xfId="0" applyFont="1" applyFill="1" applyBorder="1"/>
    <xf numFmtId="0" fontId="3" fillId="4" borderId="4" xfId="0" applyFont="1" applyFill="1" applyBorder="1" applyAlignment="1">
      <alignment wrapText="1"/>
    </xf>
    <xf numFmtId="0" fontId="2" fillId="55" borderId="17" xfId="0" applyFont="1" applyFill="1" applyBorder="1" applyAlignment="1">
      <alignment horizontal="center" wrapText="1"/>
    </xf>
    <xf numFmtId="0" fontId="2" fillId="56" borderId="17" xfId="0" applyFont="1" applyFill="1" applyBorder="1" applyAlignment="1">
      <alignment horizontal="center" wrapText="1"/>
    </xf>
    <xf numFmtId="0" fontId="2" fillId="2" borderId="17" xfId="0" applyFont="1" applyFill="1" applyBorder="1" applyAlignment="1">
      <alignment horizontal="center" wrapText="1"/>
    </xf>
    <xf numFmtId="166" fontId="0" fillId="13" borderId="0" xfId="0" applyNumberFormat="1" applyFill="1" applyAlignment="1">
      <alignment horizontal="center"/>
    </xf>
    <xf numFmtId="0" fontId="21" fillId="0" borderId="4" xfId="0" applyFont="1" applyBorder="1" applyAlignment="1">
      <alignment horizontal="center"/>
    </xf>
    <xf numFmtId="9" fontId="0" fillId="0" borderId="0" xfId="2" applyFont="1" applyAlignment="1">
      <alignment horizontal="center"/>
    </xf>
    <xf numFmtId="0" fontId="21" fillId="0" borderId="0" xfId="0" applyFont="1" applyAlignment="1">
      <alignment horizontal="center"/>
    </xf>
    <xf numFmtId="0" fontId="21" fillId="0" borderId="4" xfId="0" pivotButton="1" applyFont="1" applyBorder="1" applyAlignment="1">
      <alignment horizontal="center" wrapText="1"/>
    </xf>
    <xf numFmtId="0" fontId="102" fillId="47" borderId="80" xfId="0" applyFont="1" applyFill="1" applyBorder="1"/>
    <xf numFmtId="0" fontId="102" fillId="47" borderId="4" xfId="0" applyFont="1" applyFill="1" applyBorder="1"/>
    <xf numFmtId="0" fontId="102" fillId="47" borderId="4" xfId="0" applyFont="1" applyFill="1" applyBorder="1" applyAlignment="1">
      <alignment wrapText="1"/>
    </xf>
    <xf numFmtId="0" fontId="0" fillId="0" borderId="28" xfId="0" applyBorder="1" applyAlignment="1">
      <alignment wrapText="1"/>
    </xf>
    <xf numFmtId="0" fontId="0" fillId="0" borderId="82" xfId="0" applyBorder="1"/>
    <xf numFmtId="0" fontId="2" fillId="3" borderId="96" xfId="0" applyFont="1" applyFill="1" applyBorder="1"/>
    <xf numFmtId="0" fontId="2" fillId="3" borderId="77" xfId="0" applyFont="1" applyFill="1" applyBorder="1"/>
    <xf numFmtId="0" fontId="2" fillId="3" borderId="83" xfId="0" applyFont="1" applyFill="1" applyBorder="1"/>
    <xf numFmtId="0" fontId="0" fillId="4" borderId="65" xfId="0" applyFill="1" applyBorder="1"/>
    <xf numFmtId="0" fontId="0" fillId="4" borderId="97" xfId="0" applyFill="1" applyBorder="1"/>
    <xf numFmtId="0" fontId="0" fillId="4" borderId="83" xfId="0" applyFill="1" applyBorder="1"/>
    <xf numFmtId="0" fontId="0" fillId="0" borderId="98" xfId="0" applyBorder="1"/>
    <xf numFmtId="0" fontId="0" fillId="0" borderId="77" xfId="0" applyBorder="1"/>
    <xf numFmtId="0" fontId="0" fillId="0" borderId="83" xfId="0" applyBorder="1"/>
    <xf numFmtId="0" fontId="0" fillId="4" borderId="96" xfId="0" applyFill="1" applyBorder="1"/>
    <xf numFmtId="0" fontId="0" fillId="0" borderId="96" xfId="0" applyBorder="1"/>
    <xf numFmtId="0" fontId="0" fillId="0" borderId="46" xfId="0" applyBorder="1"/>
    <xf numFmtId="0" fontId="0" fillId="0" borderId="95" xfId="0" applyBorder="1"/>
    <xf numFmtId="0" fontId="0" fillId="0" borderId="97" xfId="0" applyBorder="1"/>
    <xf numFmtId="0" fontId="0" fillId="4" borderId="45" xfId="0" applyFill="1" applyBorder="1"/>
    <xf numFmtId="0" fontId="0" fillId="0" borderId="45" xfId="0" applyBorder="1"/>
    <xf numFmtId="0" fontId="2" fillId="3" borderId="50" xfId="0" applyFont="1" applyFill="1" applyBorder="1"/>
    <xf numFmtId="0" fontId="0" fillId="4" borderId="50" xfId="0" applyFill="1" applyBorder="1"/>
    <xf numFmtId="0" fontId="0" fillId="0" borderId="50" xfId="0" applyBorder="1"/>
    <xf numFmtId="0" fontId="0" fillId="4" borderId="50" xfId="0" applyFill="1" applyBorder="1" applyAlignment="1">
      <alignment horizontal="left"/>
    </xf>
    <xf numFmtId="0" fontId="0" fillId="0" borderId="50" xfId="0" applyBorder="1" applyAlignment="1">
      <alignment horizontal="left"/>
    </xf>
    <xf numFmtId="0" fontId="0" fillId="0" borderId="45" xfId="0" applyBorder="1" applyAlignment="1">
      <alignment horizontal="left"/>
    </xf>
    <xf numFmtId="0" fontId="0" fillId="0" borderId="2" xfId="0" applyBorder="1"/>
    <xf numFmtId="0" fontId="0" fillId="14" borderId="96" xfId="0" applyFill="1" applyBorder="1"/>
    <xf numFmtId="0" fontId="0" fillId="4" borderId="100" xfId="0" applyFill="1" applyBorder="1"/>
    <xf numFmtId="0" fontId="0" fillId="0" borderId="80" xfId="0" applyBorder="1"/>
    <xf numFmtId="0" fontId="3" fillId="0" borderId="101" xfId="0" applyFont="1" applyBorder="1"/>
    <xf numFmtId="0" fontId="102" fillId="61" borderId="97" xfId="0" applyFont="1" applyFill="1" applyBorder="1"/>
    <xf numFmtId="0" fontId="2" fillId="3" borderId="65" xfId="0" applyFont="1" applyFill="1" applyBorder="1"/>
    <xf numFmtId="0" fontId="2" fillId="3" borderId="65" xfId="0" applyFont="1" applyFill="1" applyBorder="1" applyAlignment="1">
      <alignment horizontal="left" wrapText="1"/>
    </xf>
    <xf numFmtId="0" fontId="2" fillId="3" borderId="103" xfId="0" applyFont="1" applyFill="1" applyBorder="1"/>
    <xf numFmtId="0" fontId="0" fillId="4" borderId="99" xfId="0" applyFill="1" applyBorder="1"/>
    <xf numFmtId="0" fontId="0" fillId="4" borderId="104" xfId="0" applyFill="1" applyBorder="1"/>
    <xf numFmtId="0" fontId="0" fillId="0" borderId="104" xfId="0" applyBorder="1"/>
    <xf numFmtId="0" fontId="0" fillId="52" borderId="97" xfId="0" applyFill="1" applyBorder="1"/>
    <xf numFmtId="0" fontId="0" fillId="60" borderId="97" xfId="0" applyFill="1" applyBorder="1"/>
    <xf numFmtId="0" fontId="0" fillId="14" borderId="104" xfId="0" applyFill="1" applyBorder="1"/>
    <xf numFmtId="0" fontId="0" fillId="4" borderId="95" xfId="0" applyFill="1" applyBorder="1"/>
    <xf numFmtId="0" fontId="0" fillId="0" borderId="102" xfId="0" applyBorder="1"/>
    <xf numFmtId="0" fontId="0" fillId="0" borderId="18" xfId="0" applyBorder="1" applyAlignment="1">
      <alignment wrapText="1"/>
    </xf>
    <xf numFmtId="0" fontId="0" fillId="0" borderId="6" xfId="0" applyBorder="1" applyAlignment="1">
      <alignment wrapText="1"/>
    </xf>
    <xf numFmtId="0" fontId="0" fillId="62" borderId="0" xfId="0" applyFill="1"/>
    <xf numFmtId="0" fontId="3" fillId="62" borderId="0" xfId="0" applyFont="1" applyFill="1" applyAlignment="1">
      <alignment wrapText="1"/>
    </xf>
    <xf numFmtId="0" fontId="3" fillId="62" borderId="0" xfId="0" applyFont="1" applyFill="1" applyAlignment="1">
      <alignment horizontal="center"/>
    </xf>
    <xf numFmtId="0" fontId="2" fillId="0" borderId="0" xfId="0" applyFont="1"/>
    <xf numFmtId="0" fontId="6" fillId="9" borderId="18" xfId="64" applyFont="1" applyFill="1" applyBorder="1"/>
    <xf numFmtId="0" fontId="10" fillId="9" borderId="0" xfId="64" applyFont="1" applyFill="1"/>
    <xf numFmtId="0" fontId="108" fillId="0" borderId="0" xfId="65" applyFont="1" applyAlignment="1" applyProtection="1"/>
    <xf numFmtId="0" fontId="13" fillId="9" borderId="0" xfId="64" applyFont="1" applyFill="1"/>
    <xf numFmtId="0" fontId="109" fillId="9" borderId="0" xfId="64" applyFont="1" applyFill="1"/>
    <xf numFmtId="0" fontId="110" fillId="6" borderId="8" xfId="64" applyFont="1" applyFill="1" applyBorder="1" applyAlignment="1">
      <alignment horizontal="left" vertical="center" wrapText="1"/>
    </xf>
    <xf numFmtId="0" fontId="111" fillId="9" borderId="10" xfId="64" applyFont="1" applyFill="1" applyBorder="1" applyAlignment="1">
      <alignment horizontal="left" vertical="center" wrapText="1"/>
    </xf>
    <xf numFmtId="0" fontId="110" fillId="6" borderId="8" xfId="64" applyFont="1" applyFill="1" applyBorder="1" applyAlignment="1">
      <alignment horizontal="left" vertical="center"/>
    </xf>
    <xf numFmtId="14" fontId="111" fillId="9" borderId="10" xfId="64" applyNumberFormat="1" applyFont="1" applyFill="1" applyBorder="1" applyAlignment="1">
      <alignment horizontal="left" vertical="center"/>
    </xf>
    <xf numFmtId="0" fontId="110" fillId="6" borderId="14" xfId="64" applyFont="1" applyFill="1" applyBorder="1" applyAlignment="1">
      <alignment horizontal="left" vertical="center" wrapText="1"/>
    </xf>
    <xf numFmtId="0" fontId="111" fillId="9" borderId="16" xfId="64" applyFont="1" applyFill="1" applyBorder="1" applyAlignment="1">
      <alignment horizontal="left" vertical="center" wrapText="1"/>
    </xf>
    <xf numFmtId="0" fontId="110" fillId="6" borderId="14" xfId="64" applyFont="1" applyFill="1" applyBorder="1" applyAlignment="1">
      <alignment horizontal="left" vertical="center"/>
    </xf>
    <xf numFmtId="179" fontId="111" fillId="9" borderId="16" xfId="64" applyNumberFormat="1" applyFont="1" applyFill="1" applyBorder="1" applyAlignment="1">
      <alignment horizontal="left"/>
    </xf>
    <xf numFmtId="1" fontId="111" fillId="9" borderId="16" xfId="64" applyNumberFormat="1" applyFont="1" applyFill="1" applyBorder="1" applyAlignment="1">
      <alignment horizontal="left"/>
    </xf>
    <xf numFmtId="0" fontId="10" fillId="9" borderId="0" xfId="64" applyFont="1" applyFill="1" applyAlignment="1">
      <alignment vertical="top" wrapText="1"/>
    </xf>
    <xf numFmtId="0" fontId="10" fillId="9" borderId="0" xfId="64" applyFont="1" applyFill="1" applyAlignment="1">
      <alignment horizontal="left" vertical="top" wrapText="1"/>
    </xf>
    <xf numFmtId="0" fontId="113" fillId="9" borderId="0" xfId="64" applyFont="1" applyFill="1"/>
    <xf numFmtId="0" fontId="1" fillId="9" borderId="0" xfId="64" applyFont="1" applyFill="1"/>
    <xf numFmtId="0" fontId="104" fillId="9" borderId="0" xfId="64" applyFill="1"/>
    <xf numFmtId="0" fontId="114" fillId="9" borderId="0" xfId="64" applyFont="1" applyFill="1"/>
    <xf numFmtId="0" fontId="113" fillId="0" borderId="12" xfId="64" applyFont="1" applyBorder="1"/>
    <xf numFmtId="0" fontId="113" fillId="10" borderId="12" xfId="64" applyFont="1" applyFill="1" applyBorder="1"/>
    <xf numFmtId="170" fontId="113" fillId="0" borderId="12" xfId="64" applyNumberFormat="1" applyFont="1" applyBorder="1" applyAlignment="1">
      <alignment horizontal="center"/>
    </xf>
    <xf numFmtId="0" fontId="11" fillId="9" borderId="0" xfId="64" applyFont="1" applyFill="1" applyAlignment="1">
      <alignment vertical="top"/>
    </xf>
    <xf numFmtId="0" fontId="104" fillId="0" borderId="0" xfId="64"/>
    <xf numFmtId="0" fontId="113" fillId="9" borderId="0" xfId="64" applyFont="1" applyFill="1" applyAlignment="1">
      <alignment vertical="top"/>
    </xf>
    <xf numFmtId="0" fontId="112" fillId="9" borderId="0" xfId="64" applyFont="1" applyFill="1" applyAlignment="1">
      <alignment vertical="top"/>
    </xf>
    <xf numFmtId="0" fontId="10" fillId="9" borderId="0" xfId="64" applyFont="1" applyFill="1" applyAlignment="1">
      <alignment vertical="top"/>
    </xf>
    <xf numFmtId="0" fontId="13" fillId="0" borderId="0" xfId="64" applyFont="1"/>
    <xf numFmtId="0" fontId="10" fillId="0" borderId="0" xfId="64" applyFont="1"/>
    <xf numFmtId="0" fontId="3" fillId="0" borderId="0" xfId="0" applyFont="1" applyAlignment="1">
      <alignment horizontal="left"/>
    </xf>
    <xf numFmtId="0" fontId="103" fillId="0" borderId="0" xfId="0" applyFont="1" applyAlignment="1">
      <alignment vertical="center"/>
    </xf>
    <xf numFmtId="0" fontId="14" fillId="0" borderId="4" xfId="10" applyFont="1" applyFill="1" applyBorder="1" applyAlignment="1" applyProtection="1">
      <alignment horizontal="left"/>
    </xf>
    <xf numFmtId="0" fontId="14" fillId="0" borderId="81" xfId="10" applyFont="1" applyFill="1" applyBorder="1" applyAlignment="1" applyProtection="1">
      <alignment horizontal="left"/>
      <protection locked="0"/>
    </xf>
    <xf numFmtId="170" fontId="14" fillId="0" borderId="81" xfId="10" applyNumberFormat="1" applyFont="1" applyFill="1" applyBorder="1" applyAlignment="1" applyProtection="1">
      <alignment horizontal="left"/>
      <protection locked="0"/>
    </xf>
    <xf numFmtId="0" fontId="14" fillId="0" borderId="4" xfId="10" applyFont="1" applyFill="1" applyBorder="1" applyProtection="1"/>
    <xf numFmtId="0" fontId="14" fillId="0" borderId="81" xfId="10" applyFont="1" applyFill="1" applyBorder="1"/>
    <xf numFmtId="0" fontId="3" fillId="50" borderId="0" xfId="0" applyFont="1" applyFill="1"/>
    <xf numFmtId="0" fontId="3" fillId="50" borderId="0" xfId="0" applyFont="1" applyFill="1" applyAlignment="1">
      <alignment wrapText="1"/>
    </xf>
    <xf numFmtId="0" fontId="84" fillId="58" borderId="5" xfId="0" applyFont="1" applyFill="1" applyBorder="1" applyAlignment="1">
      <alignment horizontal="left" vertical="center"/>
    </xf>
    <xf numFmtId="0" fontId="3" fillId="0" borderId="0" xfId="0" applyFont="1" applyAlignment="1">
      <alignment wrapText="1"/>
    </xf>
    <xf numFmtId="0" fontId="76" fillId="0" borderId="0" xfId="0" applyFont="1"/>
    <xf numFmtId="166" fontId="74" fillId="50" borderId="86" xfId="0" applyNumberFormat="1" applyFont="1" applyFill="1" applyBorder="1" applyAlignment="1">
      <alignment horizontal="center" vertical="center" wrapText="1"/>
    </xf>
    <xf numFmtId="4" fontId="14" fillId="0" borderId="86" xfId="0" applyNumberFormat="1" applyFont="1" applyBorder="1" applyAlignment="1">
      <alignment horizontal="center" vertical="center"/>
    </xf>
    <xf numFmtId="0" fontId="74" fillId="50" borderId="86" xfId="0" applyFont="1" applyFill="1" applyBorder="1" applyAlignment="1">
      <alignment horizontal="left" vertical="center" wrapText="1"/>
    </xf>
    <xf numFmtId="3" fontId="4" fillId="0" borderId="0" xfId="0" applyNumberFormat="1" applyFont="1" applyAlignment="1">
      <alignment horizontal="left"/>
    </xf>
    <xf numFmtId="0" fontId="19" fillId="0" borderId="0" xfId="0" applyFont="1"/>
    <xf numFmtId="0" fontId="14" fillId="0" borderId="26" xfId="0" applyFont="1" applyBorder="1" applyAlignment="1">
      <alignment horizontal="right"/>
    </xf>
    <xf numFmtId="3" fontId="14" fillId="0" borderId="27" xfId="0" applyNumberFormat="1" applyFont="1" applyBorder="1" applyAlignment="1" applyProtection="1">
      <alignment horizontal="center"/>
      <protection locked="0"/>
    </xf>
    <xf numFmtId="43" fontId="74" fillId="50" borderId="3" xfId="3" applyFont="1" applyFill="1" applyBorder="1"/>
    <xf numFmtId="43" fontId="74" fillId="50" borderId="3" xfId="3" applyFont="1" applyFill="1" applyBorder="1" applyAlignment="1">
      <alignment horizontal="left"/>
    </xf>
    <xf numFmtId="43" fontId="74" fillId="50" borderId="3" xfId="3" applyFont="1" applyFill="1" applyBorder="1" applyProtection="1">
      <protection locked="0"/>
    </xf>
    <xf numFmtId="0" fontId="3" fillId="6" borderId="0" xfId="0" applyFont="1" applyFill="1"/>
    <xf numFmtId="183" fontId="0" fillId="0" borderId="0" xfId="3" applyNumberFormat="1" applyFont="1"/>
    <xf numFmtId="0" fontId="0" fillId="64" borderId="0" xfId="0" applyFill="1"/>
    <xf numFmtId="0" fontId="13" fillId="64" borderId="0" xfId="0" applyFont="1" applyFill="1"/>
    <xf numFmtId="0" fontId="0" fillId="14" borderId="4" xfId="0" applyFill="1" applyBorder="1"/>
    <xf numFmtId="0" fontId="2" fillId="56" borderId="4" xfId="0" applyFont="1" applyFill="1" applyBorder="1" applyAlignment="1">
      <alignment horizontal="left" vertical="center" wrapText="1"/>
    </xf>
    <xf numFmtId="171" fontId="2" fillId="56" borderId="4" xfId="0" applyNumberFormat="1" applyFont="1" applyFill="1" applyBorder="1" applyAlignment="1">
      <alignment horizontal="left" vertical="center" wrapText="1"/>
    </xf>
    <xf numFmtId="0" fontId="2" fillId="55" borderId="4" xfId="0" applyFont="1" applyFill="1" applyBorder="1" applyAlignment="1">
      <alignment horizontal="left" vertical="center" wrapText="1"/>
    </xf>
    <xf numFmtId="0" fontId="14" fillId="50" borderId="86" xfId="0" applyFont="1" applyFill="1" applyBorder="1" applyAlignment="1" applyProtection="1">
      <alignment horizontal="left" vertical="center"/>
      <protection locked="0"/>
    </xf>
    <xf numFmtId="4" fontId="14" fillId="50" borderId="86" xfId="0" applyNumberFormat="1" applyFont="1" applyFill="1" applyBorder="1" applyAlignment="1" applyProtection="1">
      <alignment horizontal="center" vertical="center"/>
      <protection locked="0"/>
    </xf>
    <xf numFmtId="0" fontId="14" fillId="50" borderId="86" xfId="0" applyFont="1" applyFill="1" applyBorder="1" applyAlignment="1" applyProtection="1">
      <alignment horizontal="left" vertical="center" wrapText="1"/>
      <protection locked="0"/>
    </xf>
    <xf numFmtId="178" fontId="14" fillId="50" borderId="86" xfId="0" applyNumberFormat="1" applyFont="1" applyFill="1" applyBorder="1" applyAlignment="1" applyProtection="1">
      <alignment horizontal="center" vertical="center"/>
      <protection locked="0"/>
    </xf>
    <xf numFmtId="166" fontId="14" fillId="50" borderId="86" xfId="0" applyNumberFormat="1" applyFont="1" applyFill="1" applyBorder="1" applyAlignment="1" applyProtection="1">
      <alignment horizontal="center" vertical="center" wrapText="1"/>
      <protection locked="0"/>
    </xf>
    <xf numFmtId="4" fontId="14" fillId="50" borderId="3" xfId="0" applyNumberFormat="1" applyFont="1" applyFill="1" applyBorder="1" applyAlignment="1" applyProtection="1">
      <alignment horizontal="center"/>
      <protection locked="0"/>
    </xf>
    <xf numFmtId="0" fontId="14" fillId="50" borderId="3" xfId="0" applyFont="1" applyFill="1" applyBorder="1" applyAlignment="1" applyProtection="1">
      <alignment horizontal="center"/>
      <protection locked="0"/>
    </xf>
    <xf numFmtId="39" fontId="14" fillId="50" borderId="3" xfId="0" applyNumberFormat="1" applyFont="1" applyFill="1" applyBorder="1" applyAlignment="1" applyProtection="1">
      <alignment horizontal="center"/>
      <protection locked="0"/>
    </xf>
    <xf numFmtId="3" fontId="14" fillId="50" borderId="3" xfId="0" applyNumberFormat="1" applyFont="1" applyFill="1" applyBorder="1" applyAlignment="1" applyProtection="1">
      <alignment horizontal="center"/>
      <protection locked="0"/>
    </xf>
    <xf numFmtId="43" fontId="14" fillId="50" borderId="3" xfId="3" applyFont="1" applyFill="1" applyBorder="1" applyProtection="1">
      <protection locked="0"/>
    </xf>
    <xf numFmtId="166" fontId="14" fillId="50" borderId="3" xfId="0" applyNumberFormat="1" applyFont="1" applyFill="1" applyBorder="1" applyAlignment="1" applyProtection="1">
      <alignment horizontal="center"/>
      <protection locked="0"/>
    </xf>
    <xf numFmtId="43" fontId="14" fillId="50" borderId="3" xfId="3" applyFont="1" applyFill="1" applyBorder="1" applyAlignment="1" applyProtection="1">
      <alignment horizontal="center"/>
      <protection locked="0"/>
    </xf>
    <xf numFmtId="181" fontId="24" fillId="3" borderId="67" xfId="0" applyNumberFormat="1" applyFont="1" applyFill="1" applyBorder="1"/>
    <xf numFmtId="0" fontId="100" fillId="0" borderId="0" xfId="0" applyFont="1"/>
    <xf numFmtId="180" fontId="121" fillId="65" borderId="4" xfId="0" applyNumberFormat="1" applyFont="1" applyFill="1" applyBorder="1" applyAlignment="1">
      <alignment horizontal="center" vertical="center" wrapText="1"/>
    </xf>
    <xf numFmtId="180" fontId="123" fillId="0" borderId="4" xfId="0" applyNumberFormat="1" applyFont="1" applyBorder="1"/>
    <xf numFmtId="180" fontId="123" fillId="0" borderId="28" xfId="0" applyNumberFormat="1" applyFont="1" applyBorder="1"/>
    <xf numFmtId="166" fontId="14" fillId="0" borderId="93" xfId="0" applyNumberFormat="1" applyFont="1" applyBorder="1" applyAlignment="1">
      <alignment horizontal="center"/>
    </xf>
    <xf numFmtId="4" fontId="0" fillId="0" borderId="114" xfId="0" applyNumberFormat="1" applyBorder="1" applyAlignment="1">
      <alignment horizontal="center" vertical="center"/>
    </xf>
    <xf numFmtId="4" fontId="0" fillId="0" borderId="24" xfId="0" applyNumberFormat="1" applyBorder="1" applyAlignment="1">
      <alignment horizontal="center" vertical="center"/>
    </xf>
    <xf numFmtId="0" fontId="0" fillId="0" borderId="113" xfId="0" applyBorder="1" applyAlignment="1">
      <alignment horizontal="left" vertical="center" wrapText="1"/>
    </xf>
    <xf numFmtId="0" fontId="0" fillId="0" borderId="23" xfId="0" applyBorder="1" applyAlignment="1">
      <alignment horizontal="left" vertical="center"/>
    </xf>
    <xf numFmtId="0" fontId="4" fillId="0" borderId="0" xfId="0" applyFont="1" applyAlignment="1">
      <alignment horizontal="left"/>
    </xf>
    <xf numFmtId="0" fontId="38" fillId="0" borderId="4" xfId="56" applyFont="1" applyBorder="1" applyAlignment="1">
      <alignment horizontal="left" vertical="top"/>
    </xf>
    <xf numFmtId="0" fontId="124" fillId="0" borderId="0" xfId="56" applyFont="1" applyAlignment="1">
      <alignment vertical="top"/>
    </xf>
    <xf numFmtId="166" fontId="0" fillId="66" borderId="0" xfId="0" applyNumberFormat="1" applyFill="1" applyAlignment="1">
      <alignment horizontal="center"/>
    </xf>
    <xf numFmtId="0" fontId="15" fillId="0" borderId="0" xfId="0" applyFont="1" applyAlignment="1">
      <alignment vertical="center"/>
    </xf>
    <xf numFmtId="0" fontId="3" fillId="0" borderId="116" xfId="0" applyFont="1" applyBorder="1" applyAlignment="1">
      <alignment vertical="center"/>
    </xf>
    <xf numFmtId="0" fontId="3" fillId="0" borderId="116" xfId="0" applyFont="1" applyBorder="1" applyAlignment="1">
      <alignment vertical="center" wrapText="1"/>
    </xf>
    <xf numFmtId="0" fontId="3" fillId="0" borderId="116" xfId="5" applyFont="1" applyBorder="1" applyAlignment="1">
      <alignment vertical="center" wrapText="1"/>
    </xf>
    <xf numFmtId="0" fontId="3" fillId="14" borderId="116" xfId="0" applyFont="1" applyFill="1" applyBorder="1" applyAlignment="1">
      <alignment horizontal="center" vertical="center" wrapText="1"/>
    </xf>
    <xf numFmtId="0" fontId="0" fillId="0" borderId="116" xfId="0" applyBorder="1"/>
    <xf numFmtId="2" fontId="14" fillId="8" borderId="116" xfId="1" applyNumberFormat="1" applyFont="1" applyFill="1" applyBorder="1" applyAlignment="1" applyProtection="1">
      <alignment horizontal="center" vertical="center"/>
    </xf>
    <xf numFmtId="179" fontId="0" fillId="0" borderId="116" xfId="0" applyNumberFormat="1" applyBorder="1"/>
    <xf numFmtId="0" fontId="3" fillId="0" borderId="116" xfId="0" applyFont="1" applyBorder="1"/>
    <xf numFmtId="0" fontId="3" fillId="0" borderId="116" xfId="0" applyFont="1" applyBorder="1" applyAlignment="1">
      <alignment wrapText="1"/>
    </xf>
    <xf numFmtId="0" fontId="3" fillId="14" borderId="116" xfId="0" applyFont="1" applyFill="1" applyBorder="1" applyAlignment="1">
      <alignment horizontal="left" wrapText="1"/>
    </xf>
    <xf numFmtId="0" fontId="124" fillId="0" borderId="116" xfId="56" applyFont="1" applyBorder="1" applyAlignment="1">
      <alignment horizontal="left" vertical="top"/>
    </xf>
    <xf numFmtId="10" fontId="125" fillId="0" borderId="116" xfId="56" applyNumberFormat="1" applyFont="1" applyBorder="1" applyAlignment="1">
      <alignment horizontal="center" vertical="center"/>
    </xf>
    <xf numFmtId="2" fontId="14" fillId="8" borderId="116" xfId="1" applyNumberFormat="1" applyFont="1" applyFill="1" applyBorder="1" applyAlignment="1">
      <alignment horizontal="center" vertical="center"/>
    </xf>
    <xf numFmtId="174" fontId="118" fillId="0" borderId="3" xfId="0" applyNumberFormat="1" applyFont="1" applyBorder="1" applyAlignment="1">
      <alignment horizontal="center"/>
    </xf>
    <xf numFmtId="185" fontId="74" fillId="50" borderId="3" xfId="3" applyNumberFormat="1" applyFont="1" applyFill="1" applyBorder="1"/>
    <xf numFmtId="185" fontId="0" fillId="50" borderId="3" xfId="3" applyNumberFormat="1" applyFont="1" applyFill="1" applyBorder="1" applyProtection="1">
      <protection locked="0"/>
    </xf>
    <xf numFmtId="3" fontId="14" fillId="0" borderId="27" xfId="0" applyNumberFormat="1" applyFont="1" applyBorder="1" applyAlignment="1" applyProtection="1">
      <alignment horizontal="center"/>
      <protection hidden="1"/>
    </xf>
    <xf numFmtId="0" fontId="51" fillId="9" borderId="0" xfId="0" applyFont="1" applyFill="1" applyAlignment="1">
      <alignment vertical="center"/>
    </xf>
    <xf numFmtId="0" fontId="126" fillId="9" borderId="0" xfId="0" applyFont="1" applyFill="1" applyAlignment="1">
      <alignment horizontal="center" vertical="center"/>
    </xf>
    <xf numFmtId="0" fontId="4" fillId="9" borderId="0" xfId="0" applyFont="1" applyFill="1" applyAlignment="1">
      <alignment horizontal="left" vertical="center" wrapText="1"/>
    </xf>
    <xf numFmtId="0" fontId="3" fillId="9" borderId="0" xfId="0" applyFont="1" applyFill="1" applyAlignment="1">
      <alignment horizontal="center" vertical="center"/>
    </xf>
    <xf numFmtId="0" fontId="4" fillId="9" borderId="0" xfId="0" applyFont="1" applyFill="1"/>
    <xf numFmtId="0" fontId="19" fillId="9" borderId="0" xfId="0" applyFont="1" applyFill="1" applyAlignment="1">
      <alignment horizontal="right"/>
    </xf>
    <xf numFmtId="49" fontId="0" fillId="9" borderId="0" xfId="0" applyNumberFormat="1" applyFill="1"/>
    <xf numFmtId="0" fontId="0" fillId="68" borderId="4" xfId="0" applyFill="1" applyBorder="1"/>
    <xf numFmtId="0" fontId="3" fillId="9" borderId="0" xfId="0" applyFont="1" applyFill="1" applyAlignment="1">
      <alignment horizontal="left" vertical="center" wrapText="1"/>
    </xf>
    <xf numFmtId="0" fontId="0" fillId="9" borderId="0" xfId="0" applyFill="1" applyAlignment="1">
      <alignment vertical="center" wrapText="1"/>
    </xf>
    <xf numFmtId="0" fontId="0" fillId="9" borderId="0" xfId="0" applyFill="1" applyAlignment="1">
      <alignment horizontal="right"/>
    </xf>
    <xf numFmtId="0" fontId="119" fillId="9" borderId="0" xfId="67" applyFill="1" applyAlignment="1" applyProtection="1">
      <protection locked="0"/>
    </xf>
    <xf numFmtId="0" fontId="119" fillId="9" borderId="0" xfId="67" applyFill="1" applyAlignment="1" applyProtection="1">
      <alignment vertical="center"/>
      <protection locked="0"/>
    </xf>
    <xf numFmtId="0" fontId="30" fillId="9" borderId="0" xfId="0" applyFont="1" applyFill="1" applyAlignment="1">
      <alignment horizontal="right" wrapText="1"/>
    </xf>
    <xf numFmtId="0" fontId="43" fillId="9" borderId="0" xfId="0" applyFont="1" applyFill="1" applyAlignment="1">
      <alignment vertical="top"/>
    </xf>
    <xf numFmtId="3" fontId="0" fillId="9" borderId="0" xfId="0" applyNumberFormat="1" applyFill="1"/>
    <xf numFmtId="0" fontId="86" fillId="9" borderId="0" xfId="0" applyFont="1" applyFill="1"/>
    <xf numFmtId="0" fontId="4" fillId="9" borderId="0" xfId="0" applyFont="1" applyFill="1" applyAlignment="1">
      <alignment horizontal="center"/>
    </xf>
    <xf numFmtId="0" fontId="15" fillId="69" borderId="0" xfId="0" applyFont="1" applyFill="1"/>
    <xf numFmtId="0" fontId="0" fillId="69" borderId="0" xfId="0" applyFill="1"/>
    <xf numFmtId="0" fontId="15" fillId="0" borderId="0" xfId="0" applyFont="1"/>
    <xf numFmtId="0" fontId="128" fillId="70" borderId="120" xfId="0" applyFont="1" applyFill="1" applyBorder="1" applyAlignment="1">
      <alignment horizontal="right"/>
    </xf>
    <xf numFmtId="0" fontId="128" fillId="70" borderId="120" xfId="0" applyFont="1" applyFill="1" applyBorder="1"/>
    <xf numFmtId="0" fontId="0" fillId="70" borderId="120" xfId="0" applyFill="1" applyBorder="1"/>
    <xf numFmtId="0" fontId="4" fillId="0" borderId="0" xfId="0" applyFont="1" applyAlignment="1">
      <alignment horizontal="left" wrapText="1"/>
    </xf>
    <xf numFmtId="0" fontId="57" fillId="0" borderId="0" xfId="0" applyFont="1" applyAlignment="1">
      <alignment horizontal="left" wrapText="1"/>
    </xf>
    <xf numFmtId="0" fontId="3" fillId="0" borderId="0" xfId="0" applyFont="1" applyAlignment="1">
      <alignment horizontal="right"/>
    </xf>
    <xf numFmtId="49" fontId="4" fillId="0" borderId="0" xfId="0" applyNumberFormat="1" applyFont="1" applyAlignment="1">
      <alignment horizontal="left" vertical="center" wrapText="1"/>
    </xf>
    <xf numFmtId="0" fontId="0" fillId="70" borderId="4" xfId="0" applyFill="1" applyBorder="1" applyAlignment="1">
      <alignment horizontal="center" vertical="center"/>
    </xf>
    <xf numFmtId="0" fontId="102" fillId="63" borderId="4" xfId="0" applyFont="1" applyFill="1" applyBorder="1" applyAlignment="1">
      <alignment horizontal="left" vertical="center" indent="1"/>
    </xf>
    <xf numFmtId="0" fontId="102" fillId="68" borderId="4" xfId="0" applyFont="1" applyFill="1" applyBorder="1" applyAlignment="1">
      <alignment horizontal="center"/>
    </xf>
    <xf numFmtId="175" fontId="102" fillId="63" borderId="4" xfId="0" applyNumberFormat="1" applyFont="1" applyFill="1" applyBorder="1" applyAlignment="1">
      <alignment horizontal="center" vertical="center"/>
    </xf>
    <xf numFmtId="0" fontId="0" fillId="71" borderId="46" xfId="0" applyFill="1" applyBorder="1"/>
    <xf numFmtId="0" fontId="0" fillId="71" borderId="47" xfId="0" applyFill="1" applyBorder="1"/>
    <xf numFmtId="0" fontId="0" fillId="0" borderId="4" xfId="0" applyBorder="1" applyAlignment="1">
      <alignment vertical="center" wrapText="1"/>
    </xf>
    <xf numFmtId="166" fontId="0" fillId="0" borderId="4" xfId="0" applyNumberFormat="1" applyBorder="1" applyAlignment="1">
      <alignment horizontal="center"/>
    </xf>
    <xf numFmtId="0" fontId="0" fillId="0" borderId="81" xfId="0" applyBorder="1" applyAlignment="1">
      <alignment horizontal="center" vertical="center"/>
    </xf>
    <xf numFmtId="0" fontId="57" fillId="70" borderId="120" xfId="0" applyFont="1" applyFill="1" applyBorder="1" applyAlignment="1">
      <alignment vertical="center" wrapText="1"/>
    </xf>
    <xf numFmtId="0" fontId="57" fillId="0" borderId="0" xfId="0" applyFont="1" applyAlignment="1">
      <alignment vertical="center" wrapText="1"/>
    </xf>
    <xf numFmtId="0" fontId="57" fillId="0" borderId="0" xfId="0" applyFont="1" applyAlignment="1">
      <alignment horizontal="left" vertical="center" wrapText="1"/>
    </xf>
    <xf numFmtId="0" fontId="19" fillId="0" borderId="0" xfId="0" applyFont="1" applyAlignment="1">
      <alignment horizontal="left" wrapText="1"/>
    </xf>
    <xf numFmtId="0" fontId="0" fillId="70" borderId="4" xfId="0" applyFill="1" applyBorder="1" applyAlignment="1">
      <alignment horizontal="center" vertical="center" wrapText="1"/>
    </xf>
    <xf numFmtId="0" fontId="0" fillId="70" borderId="4" xfId="0" applyFill="1" applyBorder="1" applyAlignment="1">
      <alignment horizontal="right" vertical="center"/>
    </xf>
    <xf numFmtId="164" fontId="0" fillId="0" borderId="4" xfId="2" applyNumberFormat="1" applyFont="1" applyBorder="1" applyAlignment="1">
      <alignment horizontal="center" vertical="center"/>
    </xf>
    <xf numFmtId="0" fontId="102" fillId="63" borderId="4" xfId="0" applyFont="1" applyFill="1" applyBorder="1" applyAlignment="1">
      <alignment horizontal="right" vertical="center" indent="1"/>
    </xf>
    <xf numFmtId="0" fontId="102" fillId="68" borderId="28" xfId="0" applyFont="1" applyFill="1" applyBorder="1" applyAlignment="1">
      <alignment horizontal="center"/>
    </xf>
    <xf numFmtId="166" fontId="102" fillId="63" borderId="4" xfId="66" applyNumberFormat="1" applyFont="1" applyFill="1" applyBorder="1" applyAlignment="1">
      <alignment horizontal="center" vertical="center"/>
    </xf>
    <xf numFmtId="2" fontId="0" fillId="0" borderId="4" xfId="0" applyNumberFormat="1" applyBorder="1" applyAlignment="1">
      <alignment horizontal="center"/>
    </xf>
    <xf numFmtId="0" fontId="0" fillId="0" borderId="47" xfId="0" applyBorder="1" applyAlignment="1">
      <alignment horizontal="center"/>
    </xf>
    <xf numFmtId="171" fontId="0" fillId="0" borderId="4" xfId="0" applyNumberFormat="1" applyBorder="1" applyAlignment="1">
      <alignment horizontal="center"/>
    </xf>
    <xf numFmtId="0" fontId="131" fillId="70" borderId="120" xfId="0" applyFont="1" applyFill="1" applyBorder="1" applyAlignment="1">
      <alignment horizontal="right"/>
    </xf>
    <xf numFmtId="0" fontId="131" fillId="70" borderId="120" xfId="0" applyFont="1" applyFill="1" applyBorder="1" applyAlignment="1">
      <alignment horizontal="left" indent="1"/>
    </xf>
    <xf numFmtId="0" fontId="128" fillId="0" borderId="0" xfId="0" applyFont="1"/>
    <xf numFmtId="0" fontId="4" fillId="0" borderId="0" xfId="0" applyFont="1" applyAlignment="1">
      <alignment vertical="center" wrapText="1"/>
    </xf>
    <xf numFmtId="0" fontId="2" fillId="20" borderId="35" xfId="16" applyAlignment="1" applyProtection="1">
      <alignment horizontal="center" vertical="center" wrapText="1"/>
      <protection locked="0"/>
    </xf>
    <xf numFmtId="0" fontId="102" fillId="68" borderId="81" xfId="0" applyFont="1" applyFill="1" applyBorder="1" applyAlignment="1">
      <alignment horizontal="center"/>
    </xf>
    <xf numFmtId="3" fontId="102" fillId="63" borderId="4" xfId="0" applyNumberFormat="1" applyFont="1" applyFill="1" applyBorder="1" applyAlignment="1">
      <alignment horizontal="center" vertical="center"/>
    </xf>
    <xf numFmtId="3" fontId="14" fillId="0" borderId="4" xfId="0" applyNumberFormat="1" applyFont="1" applyBorder="1" applyAlignment="1">
      <alignment horizontal="center" vertical="center"/>
    </xf>
    <xf numFmtId="3" fontId="14" fillId="0" borderId="0" xfId="0" applyNumberFormat="1" applyFont="1" applyAlignment="1">
      <alignment horizontal="center" vertical="center"/>
    </xf>
    <xf numFmtId="9" fontId="102" fillId="63" borderId="4" xfId="2" applyFont="1" applyFill="1" applyBorder="1" applyAlignment="1">
      <alignment horizontal="center" vertical="center"/>
    </xf>
    <xf numFmtId="0" fontId="132" fillId="46" borderId="4" xfId="0" applyFont="1" applyFill="1" applyBorder="1" applyAlignment="1">
      <alignment horizontal="left" vertical="center" wrapText="1"/>
    </xf>
    <xf numFmtId="164" fontId="14" fillId="0" borderId="4" xfId="2" applyNumberFormat="1" applyFont="1" applyBorder="1" applyAlignment="1" applyProtection="1">
      <alignment horizontal="center" vertical="center"/>
    </xf>
    <xf numFmtId="0" fontId="4" fillId="0" borderId="0" xfId="0" applyFont="1" applyAlignment="1">
      <alignment horizontal="right" vertical="center" wrapText="1"/>
    </xf>
    <xf numFmtId="49" fontId="4" fillId="0" borderId="0" xfId="0" applyNumberFormat="1" applyFont="1" applyAlignment="1">
      <alignment vertical="center" wrapText="1"/>
    </xf>
    <xf numFmtId="0" fontId="0" fillId="70" borderId="28" xfId="0" applyFill="1" applyBorder="1" applyAlignment="1">
      <alignment horizontal="center" vertical="center"/>
    </xf>
    <xf numFmtId="0" fontId="0" fillId="70" borderId="68" xfId="0" applyFill="1" applyBorder="1" applyAlignment="1">
      <alignment horizontal="center" vertical="center"/>
    </xf>
    <xf numFmtId="0" fontId="0" fillId="70" borderId="81" xfId="0" applyFill="1" applyBorder="1" applyAlignment="1">
      <alignment horizontal="center" vertical="center"/>
    </xf>
    <xf numFmtId="166" fontId="102" fillId="63" borderId="4" xfId="0" applyNumberFormat="1" applyFont="1" applyFill="1" applyBorder="1" applyAlignment="1">
      <alignment horizontal="center" vertical="center"/>
    </xf>
    <xf numFmtId="175" fontId="14" fillId="0" borderId="4" xfId="66" applyNumberFormat="1" applyFont="1" applyBorder="1" applyAlignment="1">
      <alignment horizontal="center" vertical="center"/>
    </xf>
    <xf numFmtId="0" fontId="132" fillId="0" borderId="4" xfId="0" applyFont="1" applyBorder="1" applyAlignment="1">
      <alignment horizontal="left" vertical="center"/>
    </xf>
    <xf numFmtId="0" fontId="128" fillId="72" borderId="0" xfId="0" applyFont="1" applyFill="1" applyAlignment="1">
      <alignment horizontal="right"/>
    </xf>
    <xf numFmtId="0" fontId="128" fillId="72" borderId="0" xfId="0" applyFont="1" applyFill="1"/>
    <xf numFmtId="0" fontId="0" fillId="72" borderId="0" xfId="0" applyFill="1"/>
    <xf numFmtId="0" fontId="0" fillId="72" borderId="4" xfId="0" applyFill="1" applyBorder="1" applyAlignment="1">
      <alignment horizontal="center" vertical="center"/>
    </xf>
    <xf numFmtId="0" fontId="0" fillId="72" borderId="4" xfId="0" applyFill="1" applyBorder="1" applyAlignment="1">
      <alignment horizontal="center" vertical="center" wrapText="1"/>
    </xf>
    <xf numFmtId="0" fontId="0" fillId="0" borderId="0" xfId="0" applyAlignment="1">
      <alignment horizontal="center" vertical="center" wrapText="1"/>
    </xf>
    <xf numFmtId="49" fontId="19" fillId="0" borderId="0" xfId="0" applyNumberFormat="1" applyFont="1" applyAlignment="1">
      <alignment horizontal="left" vertical="center" wrapText="1"/>
    </xf>
    <xf numFmtId="0" fontId="3" fillId="63" borderId="4" xfId="0" applyFont="1" applyFill="1" applyBorder="1" applyAlignment="1">
      <alignment horizontal="right" vertical="center"/>
    </xf>
    <xf numFmtId="0" fontId="0" fillId="68" borderId="4" xfId="0" applyFill="1" applyBorder="1" applyAlignment="1">
      <alignment horizontal="center" vertical="center"/>
    </xf>
    <xf numFmtId="0" fontId="0" fillId="73" borderId="4" xfId="0" applyFill="1" applyBorder="1" applyAlignment="1">
      <alignment horizontal="center" vertical="center"/>
    </xf>
    <xf numFmtId="166" fontId="133" fillId="63" borderId="125" xfId="0" applyNumberFormat="1" applyFont="1" applyFill="1" applyBorder="1" applyAlignment="1">
      <alignment horizontal="center"/>
    </xf>
    <xf numFmtId="0" fontId="0" fillId="0" borderId="4" xfId="0" applyBorder="1" applyAlignment="1">
      <alignment horizontal="left" vertical="center" wrapText="1"/>
    </xf>
    <xf numFmtId="0" fontId="133" fillId="0" borderId="125" xfId="0" applyFont="1" applyBorder="1" applyAlignment="1">
      <alignment horizontal="center"/>
    </xf>
    <xf numFmtId="175" fontId="133" fillId="0" borderId="125" xfId="0" applyNumberFormat="1" applyFont="1" applyBorder="1" applyAlignment="1">
      <alignment horizontal="center"/>
    </xf>
    <xf numFmtId="0" fontId="134" fillId="0" borderId="0" xfId="0" applyFont="1"/>
    <xf numFmtId="0" fontId="135" fillId="0" borderId="0" xfId="0" applyFont="1"/>
    <xf numFmtId="0" fontId="133" fillId="0" borderId="0" xfId="0" applyFont="1"/>
    <xf numFmtId="0" fontId="134" fillId="0" borderId="0" xfId="0" applyFont="1" applyAlignment="1">
      <alignment horizontal="center"/>
    </xf>
    <xf numFmtId="166" fontId="133" fillId="0" borderId="0" xfId="0" applyNumberFormat="1" applyFont="1" applyAlignment="1">
      <alignment horizontal="center"/>
    </xf>
    <xf numFmtId="49" fontId="57" fillId="0" borderId="4" xfId="0" applyNumberFormat="1" applyFont="1" applyBorder="1" applyAlignment="1">
      <alignment vertical="center"/>
    </xf>
    <xf numFmtId="0" fontId="57" fillId="0" borderId="4" xfId="0" applyFont="1" applyBorder="1" applyAlignment="1">
      <alignment horizontal="center"/>
    </xf>
    <xf numFmtId="0" fontId="0" fillId="0" borderId="0" xfId="0" applyAlignment="1">
      <alignment vertical="center" wrapText="1"/>
    </xf>
    <xf numFmtId="0" fontId="138" fillId="0" borderId="0" xfId="12" applyFont="1" applyFill="1" applyBorder="1"/>
    <xf numFmtId="49" fontId="68" fillId="63" borderId="4" xfId="0" applyNumberFormat="1" applyFont="1" applyFill="1" applyBorder="1" applyAlignment="1">
      <alignment horizontal="center" vertical="center" wrapText="1"/>
    </xf>
    <xf numFmtId="0" fontId="14" fillId="9" borderId="0" xfId="0" applyFont="1" applyFill="1" applyAlignment="1">
      <alignment horizontal="right" vertical="center"/>
    </xf>
    <xf numFmtId="0" fontId="0" fillId="9" borderId="0" xfId="0" applyFill="1" applyAlignment="1">
      <alignment horizontal="center" vertical="center"/>
    </xf>
    <xf numFmtId="0" fontId="51" fillId="9" borderId="0" xfId="0" applyFont="1" applyFill="1"/>
    <xf numFmtId="0" fontId="14" fillId="67" borderId="0" xfId="0" applyFont="1" applyFill="1" applyAlignment="1">
      <alignment horizontal="right" vertical="center"/>
    </xf>
    <xf numFmtId="0" fontId="51" fillId="67" borderId="0" xfId="0" applyFont="1" applyFill="1" applyAlignment="1">
      <alignment vertical="center"/>
    </xf>
    <xf numFmtId="0" fontId="51" fillId="0" borderId="0" xfId="0" applyFont="1"/>
    <xf numFmtId="0" fontId="73" fillId="67" borderId="0" xfId="0" applyFont="1" applyFill="1" applyAlignment="1">
      <alignment vertical="center"/>
    </xf>
    <xf numFmtId="0" fontId="141" fillId="76" borderId="120" xfId="0" applyFont="1" applyFill="1" applyBorder="1" applyAlignment="1">
      <alignment horizontal="right" vertical="center"/>
    </xf>
    <xf numFmtId="186" fontId="27" fillId="76" borderId="120" xfId="0" applyNumberFormat="1" applyFont="1" applyFill="1" applyBorder="1" applyAlignment="1">
      <alignment vertical="center"/>
    </xf>
    <xf numFmtId="9" fontId="27" fillId="76" borderId="120" xfId="2" applyFont="1" applyFill="1" applyBorder="1" applyAlignment="1">
      <alignment vertical="center"/>
    </xf>
    <xf numFmtId="0" fontId="142" fillId="9" borderId="0" xfId="0" applyFont="1" applyFill="1"/>
    <xf numFmtId="0" fontId="142" fillId="0" borderId="0" xfId="0" applyFont="1"/>
    <xf numFmtId="0" fontId="14" fillId="69" borderId="127" xfId="0" applyFont="1" applyFill="1" applyBorder="1" applyAlignment="1">
      <alignment horizontal="right" vertical="center"/>
    </xf>
    <xf numFmtId="0" fontId="86" fillId="69" borderId="127" xfId="0" applyFont="1" applyFill="1" applyBorder="1" applyAlignment="1">
      <alignment vertical="center"/>
    </xf>
    <xf numFmtId="186" fontId="90" fillId="69" borderId="127" xfId="66" applyNumberFormat="1" applyFont="1" applyFill="1" applyBorder="1" applyAlignment="1">
      <alignment vertical="center"/>
    </xf>
    <xf numFmtId="184" fontId="90" fillId="69" borderId="127" xfId="66" applyFont="1" applyFill="1" applyBorder="1" applyAlignment="1">
      <alignment vertical="center"/>
    </xf>
    <xf numFmtId="164" fontId="90" fillId="69" borderId="127" xfId="2" applyNumberFormat="1" applyFont="1" applyFill="1" applyBorder="1" applyAlignment="1">
      <alignment vertical="center"/>
    </xf>
    <xf numFmtId="0" fontId="143" fillId="9" borderId="0" xfId="0" applyFont="1" applyFill="1" applyAlignment="1">
      <alignment horizontal="center" vertical="center"/>
    </xf>
    <xf numFmtId="0" fontId="90" fillId="70" borderId="127" xfId="0" applyFont="1" applyFill="1" applyBorder="1" applyAlignment="1">
      <alignment horizontal="right" vertical="center"/>
    </xf>
    <xf numFmtId="0" fontId="90" fillId="70" borderId="127" xfId="0" applyFont="1" applyFill="1" applyBorder="1" applyAlignment="1">
      <alignment horizontal="left" vertical="center" wrapText="1"/>
    </xf>
    <xf numFmtId="186" fontId="90" fillId="70" borderId="127" xfId="66" applyNumberFormat="1" applyFont="1" applyFill="1" applyBorder="1" applyAlignment="1">
      <alignment vertical="center"/>
    </xf>
    <xf numFmtId="184" fontId="90" fillId="70" borderId="127" xfId="66" applyFont="1" applyFill="1" applyBorder="1" applyAlignment="1">
      <alignment horizontal="right" vertical="center"/>
    </xf>
    <xf numFmtId="164" fontId="90" fillId="70" borderId="127" xfId="2" applyNumberFormat="1" applyFont="1" applyFill="1" applyBorder="1" applyAlignment="1">
      <alignment vertical="center"/>
    </xf>
    <xf numFmtId="0" fontId="51" fillId="9" borderId="0" xfId="0" applyFont="1" applyFill="1" applyAlignment="1">
      <alignment wrapText="1"/>
    </xf>
    <xf numFmtId="0" fontId="144" fillId="70" borderId="127" xfId="0" applyFont="1" applyFill="1" applyBorder="1" applyAlignment="1">
      <alignment horizontal="right" vertical="center"/>
    </xf>
    <xf numFmtId="0" fontId="14" fillId="70" borderId="127" xfId="0" applyFont="1" applyFill="1" applyBorder="1" applyAlignment="1">
      <alignment horizontal="right" vertical="center"/>
    </xf>
    <xf numFmtId="0" fontId="14" fillId="70" borderId="127" xfId="0" applyFont="1" applyFill="1" applyBorder="1" applyAlignment="1">
      <alignment horizontal="left" vertical="center" wrapText="1" indent="1"/>
    </xf>
    <xf numFmtId="186" fontId="145" fillId="70" borderId="127" xfId="66" applyNumberFormat="1" applyFont="1" applyFill="1" applyBorder="1" applyAlignment="1">
      <alignment vertical="center"/>
    </xf>
    <xf numFmtId="184" fontId="1" fillId="70" borderId="127" xfId="66" applyFont="1" applyFill="1" applyBorder="1" applyAlignment="1">
      <alignment horizontal="right" vertical="center"/>
    </xf>
    <xf numFmtId="164" fontId="1" fillId="70" borderId="127" xfId="2" applyNumberFormat="1" applyFont="1" applyFill="1" applyBorder="1" applyAlignment="1">
      <alignment vertical="center"/>
    </xf>
    <xf numFmtId="0" fontId="0" fillId="70" borderId="127" xfId="0" applyFill="1" applyBorder="1" applyAlignment="1">
      <alignment horizontal="left" vertical="center" wrapText="1" indent="1"/>
    </xf>
    <xf numFmtId="188" fontId="1" fillId="70" borderId="127" xfId="66" applyNumberFormat="1" applyFont="1" applyFill="1" applyBorder="1" applyAlignment="1">
      <alignment horizontal="right" vertical="center"/>
    </xf>
    <xf numFmtId="0" fontId="0" fillId="70" borderId="127" xfId="0" quotePrefix="1" applyFill="1" applyBorder="1" applyAlignment="1">
      <alignment horizontal="left" vertical="center" wrapText="1" indent="1"/>
    </xf>
    <xf numFmtId="0" fontId="57" fillId="70" borderId="0" xfId="0" applyFont="1" applyFill="1" applyAlignment="1">
      <alignment horizontal="left" vertical="center" wrapText="1" indent="2"/>
    </xf>
    <xf numFmtId="188" fontId="57" fillId="70" borderId="127" xfId="66" applyNumberFormat="1" applyFont="1" applyFill="1" applyBorder="1" applyAlignment="1">
      <alignment horizontal="right" vertical="center"/>
    </xf>
    <xf numFmtId="164" fontId="57" fillId="70" borderId="127" xfId="2" applyNumberFormat="1" applyFont="1" applyFill="1" applyBorder="1" applyAlignment="1">
      <alignment vertical="center"/>
    </xf>
    <xf numFmtId="0" fontId="57" fillId="70" borderId="127" xfId="0" applyFont="1" applyFill="1" applyBorder="1" applyAlignment="1">
      <alignment horizontal="left" vertical="center" wrapText="1" indent="2"/>
    </xf>
    <xf numFmtId="186" fontId="90" fillId="70" borderId="0" xfId="66" applyNumberFormat="1" applyFont="1" applyFill="1" applyBorder="1" applyAlignment="1">
      <alignment vertical="center"/>
    </xf>
    <xf numFmtId="188" fontId="57" fillId="70" borderId="0" xfId="66" applyNumberFormat="1" applyFont="1" applyFill="1" applyBorder="1" applyAlignment="1">
      <alignment horizontal="right" vertical="center"/>
    </xf>
    <xf numFmtId="0" fontId="90" fillId="72" borderId="127" xfId="0" applyFont="1" applyFill="1" applyBorder="1" applyAlignment="1">
      <alignment horizontal="right" vertical="center"/>
    </xf>
    <xf numFmtId="0" fontId="90" fillId="72" borderId="127" xfId="0" applyFont="1" applyFill="1" applyBorder="1" applyAlignment="1">
      <alignment horizontal="left" vertical="center" wrapText="1"/>
    </xf>
    <xf numFmtId="186" fontId="90" fillId="72" borderId="127" xfId="66" applyNumberFormat="1" applyFont="1" applyFill="1" applyBorder="1" applyAlignment="1">
      <alignment vertical="center"/>
    </xf>
    <xf numFmtId="184" fontId="90" fillId="72" borderId="127" xfId="66" applyFont="1" applyFill="1" applyBorder="1" applyAlignment="1">
      <alignment horizontal="right" vertical="center"/>
    </xf>
    <xf numFmtId="164" fontId="90" fillId="72" borderId="127" xfId="2" applyNumberFormat="1" applyFont="1" applyFill="1" applyBorder="1" applyAlignment="1">
      <alignment vertical="center"/>
    </xf>
    <xf numFmtId="0" fontId="14" fillId="74" borderId="127" xfId="0" applyFont="1" applyFill="1" applyBorder="1" applyAlignment="1">
      <alignment horizontal="right" vertical="center"/>
    </xf>
    <xf numFmtId="0" fontId="86" fillId="74" borderId="127" xfId="0" applyFont="1" applyFill="1" applyBorder="1" applyAlignment="1">
      <alignment vertical="center" wrapText="1"/>
    </xf>
    <xf numFmtId="186" fontId="90" fillId="74" borderId="127" xfId="66" applyNumberFormat="1" applyFont="1" applyFill="1" applyBorder="1" applyAlignment="1">
      <alignment vertical="center"/>
    </xf>
    <xf numFmtId="184" fontId="90" fillId="74" borderId="127" xfId="66" applyFont="1" applyFill="1" applyBorder="1" applyAlignment="1">
      <alignment horizontal="right" vertical="center"/>
    </xf>
    <xf numFmtId="164" fontId="90" fillId="74" borderId="127" xfId="2" applyNumberFormat="1" applyFont="1" applyFill="1" applyBorder="1" applyAlignment="1">
      <alignment vertical="center"/>
    </xf>
    <xf numFmtId="0" fontId="90" fillId="75" borderId="127" xfId="0" applyFont="1" applyFill="1" applyBorder="1" applyAlignment="1">
      <alignment horizontal="right" vertical="center"/>
    </xf>
    <xf numFmtId="0" fontId="90" fillId="75" borderId="127" xfId="0" applyFont="1" applyFill="1" applyBorder="1" applyAlignment="1">
      <alignment horizontal="left" vertical="center" wrapText="1"/>
    </xf>
    <xf numFmtId="186" fontId="90" fillId="75" borderId="127" xfId="66" applyNumberFormat="1" applyFont="1" applyFill="1" applyBorder="1" applyAlignment="1">
      <alignment vertical="center"/>
    </xf>
    <xf numFmtId="184" fontId="90" fillId="75" borderId="127" xfId="66" applyFont="1" applyFill="1" applyBorder="1" applyAlignment="1">
      <alignment horizontal="right" vertical="center"/>
    </xf>
    <xf numFmtId="164" fontId="90" fillId="75" borderId="127" xfId="2" applyNumberFormat="1" applyFont="1" applyFill="1" applyBorder="1" applyAlignment="1">
      <alignment vertical="center"/>
    </xf>
    <xf numFmtId="0" fontId="90" fillId="75" borderId="0" xfId="0" applyFont="1" applyFill="1" applyAlignment="1">
      <alignment horizontal="right" vertical="center"/>
    </xf>
    <xf numFmtId="186" fontId="90" fillId="75" borderId="0" xfId="66" applyNumberFormat="1" applyFont="1" applyFill="1" applyBorder="1" applyAlignment="1">
      <alignment vertical="center"/>
    </xf>
    <xf numFmtId="0" fontId="90" fillId="75" borderId="0" xfId="0" applyFont="1" applyFill="1" applyAlignment="1">
      <alignment horizontal="left" vertical="center" wrapText="1"/>
    </xf>
    <xf numFmtId="0" fontId="14" fillId="75" borderId="127" xfId="0" applyFont="1" applyFill="1" applyBorder="1" applyAlignment="1">
      <alignment horizontal="right" vertical="center"/>
    </xf>
    <xf numFmtId="164" fontId="1" fillId="75" borderId="127" xfId="2" applyNumberFormat="1" applyFont="1" applyFill="1" applyBorder="1" applyAlignment="1">
      <alignment vertical="center"/>
    </xf>
    <xf numFmtId="184" fontId="51" fillId="9" borderId="0" xfId="0" applyNumberFormat="1" applyFont="1" applyFill="1"/>
    <xf numFmtId="164" fontId="57" fillId="75" borderId="127" xfId="2" applyNumberFormat="1" applyFont="1" applyFill="1" applyBorder="1" applyAlignment="1">
      <alignment vertical="center"/>
    </xf>
    <xf numFmtId="186" fontId="90" fillId="75" borderId="128" xfId="66" applyNumberFormat="1" applyFont="1" applyFill="1" applyBorder="1" applyAlignment="1">
      <alignment vertical="center"/>
    </xf>
    <xf numFmtId="0" fontId="0" fillId="9" borderId="0" xfId="0" applyFill="1" applyAlignment="1">
      <alignment horizontal="left" vertical="center" wrapText="1" indent="2"/>
    </xf>
    <xf numFmtId="186" fontId="90" fillId="9" borderId="0" xfId="66" applyNumberFormat="1" applyFont="1" applyFill="1" applyBorder="1" applyAlignment="1">
      <alignment vertical="center"/>
    </xf>
    <xf numFmtId="184" fontId="57" fillId="9" borderId="0" xfId="66" applyFont="1" applyFill="1" applyBorder="1" applyAlignment="1">
      <alignment horizontal="right" vertical="center"/>
    </xf>
    <xf numFmtId="164" fontId="57" fillId="9" borderId="0" xfId="2" applyNumberFormat="1" applyFont="1" applyFill="1" applyBorder="1" applyAlignment="1">
      <alignment vertical="center"/>
    </xf>
    <xf numFmtId="0" fontId="146" fillId="9" borderId="0" xfId="0" applyFont="1" applyFill="1" applyAlignment="1">
      <alignment horizontal="left" vertical="center" wrapText="1"/>
    </xf>
    <xf numFmtId="0" fontId="17" fillId="67" borderId="0" xfId="35" applyFont="1" applyFill="1" applyAlignment="1">
      <alignment vertical="center"/>
    </xf>
    <xf numFmtId="0" fontId="149" fillId="9" borderId="0" xfId="0" applyFont="1" applyFill="1" applyAlignment="1">
      <alignment vertical="center"/>
    </xf>
    <xf numFmtId="3" fontId="51" fillId="9" borderId="0" xfId="0" applyNumberFormat="1" applyFont="1" applyFill="1" applyAlignment="1">
      <alignment horizontal="center" vertical="center"/>
    </xf>
    <xf numFmtId="9" fontId="51" fillId="9" borderId="0" xfId="2" applyFont="1" applyFill="1"/>
    <xf numFmtId="0" fontId="0" fillId="9" borderId="65" xfId="0" applyFill="1" applyBorder="1"/>
    <xf numFmtId="0" fontId="27" fillId="9" borderId="99" xfId="0" applyFont="1" applyFill="1" applyBorder="1" applyAlignment="1">
      <alignment vertical="center"/>
    </xf>
    <xf numFmtId="0" fontId="0" fillId="9" borderId="99" xfId="0" applyFill="1" applyBorder="1"/>
    <xf numFmtId="0" fontId="3" fillId="9" borderId="99" xfId="0" applyFont="1" applyFill="1" applyBorder="1" applyAlignment="1">
      <alignment horizontal="center" vertical="center" wrapText="1"/>
    </xf>
    <xf numFmtId="0" fontId="3" fillId="9" borderId="99" xfId="0" applyFont="1" applyFill="1" applyBorder="1" applyAlignment="1">
      <alignment horizontal="center" vertical="center"/>
    </xf>
    <xf numFmtId="0" fontId="2" fillId="9" borderId="0" xfId="0" applyFont="1" applyFill="1" applyAlignment="1">
      <alignment vertical="center"/>
    </xf>
    <xf numFmtId="0" fontId="2" fillId="9" borderId="0" xfId="0" applyFont="1" applyFill="1" applyAlignment="1">
      <alignment horizontal="center" vertical="center" wrapText="1"/>
    </xf>
    <xf numFmtId="3" fontId="0" fillId="9" borderId="0" xfId="0" applyNumberFormat="1" applyFill="1" applyAlignment="1">
      <alignment horizontal="center" vertical="center"/>
    </xf>
    <xf numFmtId="9" fontId="0" fillId="9" borderId="0" xfId="2" applyFont="1" applyFill="1" applyAlignment="1" applyProtection="1">
      <alignment horizontal="center" vertical="center"/>
    </xf>
    <xf numFmtId="0" fontId="90" fillId="0" borderId="0" xfId="68"/>
    <xf numFmtId="0" fontId="90" fillId="0" borderId="0" xfId="68" applyAlignment="1">
      <alignment horizontal="center"/>
    </xf>
    <xf numFmtId="0" fontId="90" fillId="0" borderId="0" xfId="68" applyAlignment="1">
      <alignment horizontal="center" vertical="top"/>
    </xf>
    <xf numFmtId="0" fontId="152" fillId="20" borderId="35" xfId="16" applyFont="1" applyAlignment="1" applyProtection="1">
      <alignment horizontal="center" vertical="center" wrapText="1"/>
      <protection locked="0"/>
    </xf>
    <xf numFmtId="0" fontId="128" fillId="70" borderId="0" xfId="0" applyFont="1" applyFill="1" applyAlignment="1">
      <alignment horizontal="right"/>
    </xf>
    <xf numFmtId="0" fontId="128" fillId="70" borderId="0" xfId="0" applyFont="1" applyFill="1"/>
    <xf numFmtId="0" fontId="128" fillId="70" borderId="0" xfId="68" applyFont="1" applyFill="1"/>
    <xf numFmtId="0" fontId="90" fillId="70" borderId="4" xfId="68" applyFill="1" applyBorder="1" applyAlignment="1">
      <alignment horizontal="center" vertical="center" wrapText="1"/>
    </xf>
    <xf numFmtId="0" fontId="86" fillId="0" borderId="0" xfId="68" applyFont="1" applyAlignment="1">
      <alignment horizontal="center" vertical="center" wrapText="1"/>
    </xf>
    <xf numFmtId="0" fontId="57" fillId="0" borderId="4" xfId="68" applyFont="1" applyBorder="1" applyAlignment="1">
      <alignment horizontal="center" vertical="center"/>
    </xf>
    <xf numFmtId="0" fontId="57" fillId="0" borderId="0" xfId="68" applyFont="1" applyAlignment="1">
      <alignment horizontal="center" vertical="center"/>
    </xf>
    <xf numFmtId="0" fontId="120" fillId="0" borderId="0" xfId="69"/>
    <xf numFmtId="0" fontId="128" fillId="0" borderId="0" xfId="68" applyFont="1"/>
    <xf numFmtId="0" fontId="90" fillId="0" borderId="0" xfId="69" applyFont="1"/>
    <xf numFmtId="0" fontId="86" fillId="0" borderId="0" xfId="69" applyFont="1"/>
    <xf numFmtId="0" fontId="128" fillId="0" borderId="0" xfId="69" applyFont="1"/>
    <xf numFmtId="49" fontId="132" fillId="78" borderId="4" xfId="0" applyNumberFormat="1" applyFont="1" applyFill="1" applyBorder="1" applyAlignment="1">
      <alignment horizontal="center" vertical="center"/>
    </xf>
    <xf numFmtId="49" fontId="139" fillId="78" borderId="4" xfId="0" applyNumberFormat="1" applyFont="1" applyFill="1" applyBorder="1" applyAlignment="1">
      <alignment horizontal="center" vertical="center"/>
    </xf>
    <xf numFmtId="0" fontId="57" fillId="79" borderId="0" xfId="0" applyFont="1" applyFill="1" applyAlignment="1">
      <alignment vertical="center" wrapText="1"/>
    </xf>
    <xf numFmtId="0" fontId="68" fillId="50" borderId="0" xfId="0" applyFont="1" applyFill="1" applyAlignment="1">
      <alignment horizontal="right" vertical="center"/>
    </xf>
    <xf numFmtId="0" fontId="68" fillId="0" borderId="4" xfId="0" applyFont="1" applyBorder="1" applyAlignment="1">
      <alignment horizontal="left" vertical="center"/>
    </xf>
    <xf numFmtId="0" fontId="132" fillId="0" borderId="4" xfId="0" applyFont="1" applyBorder="1" applyAlignment="1">
      <alignment horizontal="center" vertical="center"/>
    </xf>
    <xf numFmtId="49" fontId="139" fillId="63" borderId="4" xfId="0" applyNumberFormat="1" applyFont="1" applyFill="1" applyBorder="1" applyAlignment="1">
      <alignment horizontal="center" vertical="center"/>
    </xf>
    <xf numFmtId="49" fontId="132" fillId="78" borderId="4" xfId="0" applyNumberFormat="1" applyFont="1" applyFill="1" applyBorder="1" applyAlignment="1">
      <alignment horizontal="center" vertical="center" wrapText="1"/>
    </xf>
    <xf numFmtId="0" fontId="57" fillId="79" borderId="0" xfId="0" applyFont="1" applyFill="1" applyAlignment="1">
      <alignment wrapText="1"/>
    </xf>
    <xf numFmtId="0" fontId="68" fillId="50" borderId="0" xfId="0" applyFont="1" applyFill="1" applyAlignment="1">
      <alignment horizontal="right"/>
    </xf>
    <xf numFmtId="0" fontId="68" fillId="0" borderId="4" xfId="0" applyFont="1" applyBorder="1" applyAlignment="1">
      <alignment horizontal="left"/>
    </xf>
    <xf numFmtId="0" fontId="132" fillId="0" borderId="4" xfId="0" applyFont="1" applyBorder="1" applyAlignment="1">
      <alignment horizontal="center"/>
    </xf>
    <xf numFmtId="9" fontId="57" fillId="0" borderId="4" xfId="2" applyFont="1" applyBorder="1" applyAlignment="1">
      <alignment horizontal="center"/>
    </xf>
    <xf numFmtId="0" fontId="132" fillId="0" borderId="0" xfId="0" applyFont="1"/>
    <xf numFmtId="0" fontId="132" fillId="0" borderId="0" xfId="0" applyFont="1" applyAlignment="1">
      <alignment horizontal="right"/>
    </xf>
    <xf numFmtId="0" fontId="132" fillId="0" borderId="4" xfId="0" applyFont="1" applyBorder="1" applyAlignment="1" applyProtection="1">
      <alignment horizontal="right"/>
      <protection hidden="1"/>
    </xf>
    <xf numFmtId="9" fontId="57" fillId="0" borderId="4" xfId="2" applyFont="1" applyFill="1" applyBorder="1" applyAlignment="1">
      <alignment horizontal="center"/>
    </xf>
    <xf numFmtId="10" fontId="57" fillId="0" borderId="4" xfId="2" applyNumberFormat="1" applyFont="1" applyFill="1" applyBorder="1" applyAlignment="1">
      <alignment horizontal="center"/>
    </xf>
    <xf numFmtId="0" fontId="132" fillId="0" borderId="0" xfId="0" applyFont="1" applyAlignment="1" applyProtection="1">
      <alignment horizontal="right"/>
      <protection hidden="1"/>
    </xf>
    <xf numFmtId="0" fontId="132" fillId="0" borderId="0" xfId="0" applyFont="1" applyProtection="1">
      <protection hidden="1"/>
    </xf>
    <xf numFmtId="49" fontId="132" fillId="0" borderId="0" xfId="0" applyNumberFormat="1" applyFont="1" applyAlignment="1" applyProtection="1">
      <alignment horizontal="right"/>
      <protection hidden="1"/>
    </xf>
    <xf numFmtId="2" fontId="132" fillId="0" borderId="4" xfId="0" applyNumberFormat="1" applyFont="1" applyBorder="1" applyAlignment="1" applyProtection="1">
      <alignment horizontal="right"/>
      <protection hidden="1"/>
    </xf>
    <xf numFmtId="0" fontId="155" fillId="0" borderId="0" xfId="0" applyFont="1" applyAlignment="1" applyProtection="1">
      <alignment horizontal="right"/>
      <protection hidden="1"/>
    </xf>
    <xf numFmtId="39" fontId="132" fillId="0" borderId="46" xfId="0" applyNumberFormat="1" applyFont="1" applyBorder="1" applyAlignment="1" applyProtection="1">
      <alignment horizontal="center"/>
      <protection hidden="1"/>
    </xf>
    <xf numFmtId="0" fontId="155" fillId="0" borderId="4" xfId="0" applyFont="1" applyBorder="1" applyAlignment="1" applyProtection="1">
      <alignment horizontal="center"/>
      <protection hidden="1"/>
    </xf>
    <xf numFmtId="0" fontId="132" fillId="0" borderId="4" xfId="0" applyFont="1" applyBorder="1" applyAlignment="1" applyProtection="1">
      <alignment horizontal="center"/>
      <protection hidden="1"/>
    </xf>
    <xf numFmtId="182" fontId="132" fillId="0" borderId="4" xfId="0" applyNumberFormat="1" applyFont="1" applyBorder="1" applyAlignment="1" applyProtection="1">
      <alignment horizontal="center"/>
      <protection hidden="1"/>
    </xf>
    <xf numFmtId="0" fontId="58" fillId="78" borderId="4" xfId="0" applyFont="1" applyFill="1" applyBorder="1" applyAlignment="1">
      <alignment horizontal="center" vertical="center" wrapText="1"/>
    </xf>
    <xf numFmtId="0" fontId="3" fillId="9" borderId="0" xfId="0" applyFont="1" applyFill="1" applyAlignment="1">
      <alignment horizontal="center" vertical="center" wrapText="1"/>
    </xf>
    <xf numFmtId="0" fontId="57" fillId="9" borderId="4" xfId="0" applyFont="1" applyFill="1" applyBorder="1" applyAlignment="1" applyProtection="1">
      <alignment horizontal="center" vertical="center" wrapText="1"/>
      <protection locked="0"/>
    </xf>
    <xf numFmtId="0" fontId="57" fillId="9" borderId="4" xfId="0" applyFont="1" applyFill="1" applyBorder="1" applyAlignment="1" applyProtection="1">
      <alignment vertical="center" wrapText="1"/>
      <protection locked="0"/>
    </xf>
    <xf numFmtId="15" fontId="57" fillId="9" borderId="4" xfId="0" applyNumberFormat="1" applyFont="1" applyFill="1" applyBorder="1" applyAlignment="1" applyProtection="1">
      <alignment horizontal="center" vertical="center" wrapText="1"/>
      <protection locked="0"/>
    </xf>
    <xf numFmtId="0" fontId="0" fillId="9" borderId="0" xfId="0" applyFill="1" applyAlignment="1" applyProtection="1">
      <alignment vertical="center" wrapText="1"/>
      <protection locked="0"/>
    </xf>
    <xf numFmtId="0" fontId="0" fillId="0" borderId="4" xfId="0" applyBorder="1" applyAlignment="1" applyProtection="1">
      <alignment wrapText="1"/>
      <protection locked="0"/>
    </xf>
    <xf numFmtId="0" fontId="0" fillId="0" borderId="0" xfId="0" applyAlignment="1" applyProtection="1">
      <alignment wrapText="1"/>
      <protection locked="0"/>
    </xf>
    <xf numFmtId="0" fontId="57" fillId="47" borderId="68" xfId="0" applyFont="1" applyFill="1" applyBorder="1" applyAlignment="1">
      <alignment horizontal="center" vertical="center"/>
    </xf>
    <xf numFmtId="0" fontId="68" fillId="78" borderId="4" xfId="0" applyFont="1" applyFill="1" applyBorder="1" applyAlignment="1">
      <alignment horizontal="center" vertical="center" wrapText="1"/>
    </xf>
    <xf numFmtId="0" fontId="57" fillId="78" borderId="4" xfId="0" applyFont="1" applyFill="1" applyBorder="1" applyAlignment="1">
      <alignment horizontal="center" vertical="center"/>
    </xf>
    <xf numFmtId="0" fontId="57" fillId="47" borderId="78" xfId="0" applyFont="1" applyFill="1" applyBorder="1" applyAlignment="1">
      <alignment horizontal="center" vertical="center"/>
    </xf>
    <xf numFmtId="0" fontId="57" fillId="47" borderId="79" xfId="0" applyFont="1" applyFill="1" applyBorder="1" applyAlignment="1">
      <alignment horizontal="center" vertical="center"/>
    </xf>
    <xf numFmtId="0" fontId="57" fillId="78" borderId="28" xfId="0" applyFont="1" applyFill="1" applyBorder="1" applyAlignment="1">
      <alignment horizontal="center" vertical="center" wrapText="1"/>
    </xf>
    <xf numFmtId="49" fontId="139" fillId="78" borderId="28" xfId="0" applyNumberFormat="1" applyFont="1" applyFill="1" applyBorder="1" applyAlignment="1">
      <alignment horizontal="center" vertical="center" wrapText="1"/>
    </xf>
    <xf numFmtId="0" fontId="57" fillId="0" borderId="0" xfId="0" applyFont="1" applyAlignment="1">
      <alignment horizontal="center" vertical="center"/>
    </xf>
    <xf numFmtId="0" fontId="57" fillId="47" borderId="68" xfId="0" applyFont="1" applyFill="1" applyBorder="1" applyAlignment="1">
      <alignment horizontal="center" vertical="center" wrapText="1"/>
    </xf>
    <xf numFmtId="0" fontId="57" fillId="78" borderId="4" xfId="0" applyFont="1" applyFill="1" applyBorder="1" applyAlignment="1">
      <alignment horizontal="center" vertical="center" wrapText="1"/>
    </xf>
    <xf numFmtId="0" fontId="57" fillId="78" borderId="46" xfId="0" applyFont="1" applyFill="1" applyBorder="1" applyAlignment="1">
      <alignment horizontal="center" vertical="center"/>
    </xf>
    <xf numFmtId="0" fontId="57" fillId="47" borderId="78" xfId="0" applyFont="1" applyFill="1" applyBorder="1" applyAlignment="1">
      <alignment horizontal="center" vertical="center" wrapText="1"/>
    </xf>
    <xf numFmtId="0" fontId="57" fillId="78" borderId="42" xfId="0" applyFont="1" applyFill="1" applyBorder="1" applyAlignment="1">
      <alignment horizontal="center" vertical="center" wrapText="1"/>
    </xf>
    <xf numFmtId="0" fontId="57" fillId="78" borderId="43" xfId="0" applyFont="1" applyFill="1" applyBorder="1" applyAlignment="1">
      <alignment horizontal="center" vertical="center" wrapText="1"/>
    </xf>
    <xf numFmtId="0" fontId="57" fillId="47" borderId="79" xfId="0" applyFont="1" applyFill="1" applyBorder="1" applyAlignment="1">
      <alignment horizontal="center" vertical="center" wrapText="1"/>
    </xf>
    <xf numFmtId="49" fontId="139" fillId="78" borderId="68" xfId="0" applyNumberFormat="1" applyFont="1" applyFill="1" applyBorder="1" applyAlignment="1">
      <alignment horizontal="center" vertical="center" wrapText="1"/>
    </xf>
    <xf numFmtId="0" fontId="57" fillId="0" borderId="0" xfId="0" applyFont="1" applyAlignment="1">
      <alignment horizontal="center" vertical="center" wrapText="1"/>
    </xf>
    <xf numFmtId="0" fontId="57" fillId="0" borderId="4" xfId="0" applyFont="1" applyBorder="1" applyAlignment="1">
      <alignment horizontal="center" vertical="center"/>
    </xf>
    <xf numFmtId="0" fontId="57" fillId="47" borderId="68" xfId="0" applyFont="1" applyFill="1" applyBorder="1" applyAlignment="1">
      <alignment vertical="center"/>
    </xf>
    <xf numFmtId="3" fontId="132" fillId="59" borderId="4" xfId="0" applyNumberFormat="1" applyFont="1" applyFill="1" applyBorder="1" applyAlignment="1">
      <alignment horizontal="right" vertical="center" wrapText="1"/>
    </xf>
    <xf numFmtId="3" fontId="132" fillId="59" borderId="46" xfId="0" applyNumberFormat="1" applyFont="1" applyFill="1" applyBorder="1" applyAlignment="1">
      <alignment horizontal="center" vertical="center" wrapText="1"/>
    </xf>
    <xf numFmtId="49" fontId="139" fillId="63" borderId="46" xfId="0" applyNumberFormat="1" applyFont="1" applyFill="1" applyBorder="1" applyAlignment="1">
      <alignment horizontal="center" vertical="center"/>
    </xf>
    <xf numFmtId="0" fontId="57" fillId="0" borderId="4" xfId="0" applyFont="1" applyBorder="1" applyAlignment="1">
      <alignment vertical="center" wrapText="1"/>
    </xf>
    <xf numFmtId="0" fontId="57" fillId="0" borderId="4" xfId="0" applyFont="1" applyBorder="1" applyAlignment="1">
      <alignment horizontal="center" vertical="center" wrapText="1"/>
    </xf>
    <xf numFmtId="0" fontId="57" fillId="0" borderId="4" xfId="0" applyFont="1" applyBorder="1" applyAlignment="1">
      <alignment horizontal="left" vertical="center"/>
    </xf>
    <xf numFmtId="1" fontId="57" fillId="0" borderId="4" xfId="0" applyNumberFormat="1" applyFont="1" applyBorder="1" applyAlignment="1">
      <alignment horizontal="center" vertical="center"/>
    </xf>
    <xf numFmtId="166" fontId="57" fillId="0" borderId="4" xfId="0" applyNumberFormat="1" applyFont="1" applyBorder="1" applyAlignment="1">
      <alignment horizontal="center" vertical="center"/>
    </xf>
    <xf numFmtId="49" fontId="68" fillId="63" borderId="4" xfId="0" applyNumberFormat="1" applyFont="1" applyFill="1" applyBorder="1" applyAlignment="1">
      <alignment horizontal="center" vertical="center"/>
    </xf>
    <xf numFmtId="0" fontId="57" fillId="0" borderId="4" xfId="0" applyFont="1" applyBorder="1" applyAlignment="1">
      <alignment vertical="center"/>
    </xf>
    <xf numFmtId="49" fontId="57" fillId="0" borderId="4" xfId="0" applyNumberFormat="1" applyFont="1" applyBorder="1" applyAlignment="1">
      <alignment horizontal="center" vertical="center"/>
    </xf>
    <xf numFmtId="0" fontId="158" fillId="0" borderId="4" xfId="0" applyFont="1" applyBorder="1" applyAlignment="1">
      <alignment horizontal="center" vertical="center" wrapText="1"/>
    </xf>
    <xf numFmtId="4" fontId="158" fillId="0" borderId="4" xfId="0" applyNumberFormat="1" applyFont="1" applyBorder="1" applyAlignment="1">
      <alignment horizontal="center" vertical="center" wrapText="1"/>
    </xf>
    <xf numFmtId="2" fontId="158" fillId="0" borderId="4" xfId="0" applyNumberFormat="1" applyFont="1" applyBorder="1" applyAlignment="1">
      <alignment horizontal="center" vertical="center" wrapText="1"/>
    </xf>
    <xf numFmtId="0" fontId="104" fillId="0" borderId="4" xfId="0" applyFont="1" applyBorder="1" applyAlignment="1">
      <alignment horizontal="center" vertical="center" wrapText="1"/>
    </xf>
    <xf numFmtId="4" fontId="57" fillId="0" borderId="4" xfId="0" applyNumberFormat="1" applyFont="1" applyBorder="1" applyAlignment="1">
      <alignment horizontal="center" vertical="center"/>
    </xf>
    <xf numFmtId="49" fontId="68" fillId="0" borderId="68" xfId="0" applyNumberFormat="1" applyFont="1" applyBorder="1" applyAlignment="1">
      <alignment horizontal="center" vertical="center" wrapText="1"/>
    </xf>
    <xf numFmtId="4" fontId="57" fillId="0" borderId="4" xfId="0" applyNumberFormat="1" applyFont="1" applyBorder="1" applyAlignment="1">
      <alignment horizontal="center" vertical="center" wrapText="1"/>
    </xf>
    <xf numFmtId="0" fontId="57" fillId="0" borderId="0" xfId="0" applyFont="1" applyAlignment="1">
      <alignment vertical="center"/>
    </xf>
    <xf numFmtId="189" fontId="57" fillId="0" borderId="0" xfId="0" applyNumberFormat="1" applyFont="1" applyAlignment="1">
      <alignment horizontal="center" vertical="center"/>
    </xf>
    <xf numFmtId="175" fontId="132" fillId="59" borderId="46" xfId="0" applyNumberFormat="1" applyFont="1" applyFill="1" applyBorder="1" applyAlignment="1">
      <alignment horizontal="center" vertical="center" wrapText="1"/>
    </xf>
    <xf numFmtId="190" fontId="57" fillId="0" borderId="0" xfId="66" applyNumberFormat="1" applyFont="1" applyAlignment="1">
      <alignment horizontal="center" vertical="center"/>
    </xf>
    <xf numFmtId="166" fontId="57" fillId="0" borderId="4" xfId="0" applyNumberFormat="1" applyFont="1" applyBorder="1" applyAlignment="1">
      <alignment horizontal="center" vertical="center" wrapText="1"/>
    </xf>
    <xf numFmtId="171" fontId="57" fillId="0" borderId="4" xfId="0" applyNumberFormat="1" applyFont="1" applyBorder="1" applyAlignment="1">
      <alignment horizontal="center" vertical="center"/>
    </xf>
    <xf numFmtId="184" fontId="57" fillId="0" borderId="0" xfId="0" applyNumberFormat="1" applyFont="1" applyAlignment="1">
      <alignment horizontal="center" vertical="center"/>
    </xf>
    <xf numFmtId="0" fontId="132" fillId="0" borderId="28" xfId="0" applyFont="1" applyBorder="1" applyAlignment="1">
      <alignment horizontal="center" vertical="center"/>
    </xf>
    <xf numFmtId="0" fontId="75" fillId="0" borderId="4" xfId="0" applyFont="1" applyBorder="1" applyAlignment="1">
      <alignment horizontal="center" vertical="center" wrapText="1"/>
    </xf>
    <xf numFmtId="191" fontId="57" fillId="0" borderId="0" xfId="0" applyNumberFormat="1" applyFont="1" applyAlignment="1">
      <alignment horizontal="center" vertical="center"/>
    </xf>
    <xf numFmtId="49" fontId="57" fillId="0" borderId="0" xfId="0" applyNumberFormat="1" applyFont="1" applyAlignment="1">
      <alignment vertical="center"/>
    </xf>
    <xf numFmtId="166" fontId="57" fillId="0" borderId="0" xfId="0" applyNumberFormat="1" applyFont="1" applyAlignment="1">
      <alignment horizontal="center" vertical="center"/>
    </xf>
    <xf numFmtId="4" fontId="75" fillId="0" borderId="4" xfId="0" applyNumberFormat="1" applyFont="1" applyBorder="1" applyAlignment="1">
      <alignment horizontal="center" vertical="center" wrapText="1"/>
    </xf>
    <xf numFmtId="2" fontId="75" fillId="0" borderId="4" xfId="0" applyNumberFormat="1" applyFont="1" applyBorder="1" applyAlignment="1">
      <alignment horizontal="center" vertical="center" wrapText="1"/>
    </xf>
    <xf numFmtId="0" fontId="68" fillId="63" borderId="4" xfId="0" applyFont="1" applyFill="1" applyBorder="1" applyAlignment="1">
      <alignment horizontal="right" vertical="center"/>
    </xf>
    <xf numFmtId="0" fontId="68" fillId="63" borderId="4" xfId="0" applyFont="1" applyFill="1" applyBorder="1" applyAlignment="1">
      <alignment horizontal="center" vertical="center" wrapText="1"/>
    </xf>
    <xf numFmtId="49" fontId="139" fillId="78" borderId="4" xfId="0" applyNumberFormat="1" applyFont="1" applyFill="1" applyBorder="1" applyAlignment="1">
      <alignment horizontal="center" vertical="center" wrapText="1"/>
    </xf>
    <xf numFmtId="0" fontId="57" fillId="0" borderId="0" xfId="0" applyFont="1" applyAlignment="1">
      <alignment horizontal="left" vertical="center"/>
    </xf>
    <xf numFmtId="0" fontId="132" fillId="0" borderId="4" xfId="0" applyFont="1" applyBorder="1" applyAlignment="1">
      <alignment horizontal="left" vertical="center" wrapText="1"/>
    </xf>
    <xf numFmtId="2" fontId="68" fillId="0" borderId="68" xfId="0" applyNumberFormat="1" applyFont="1" applyBorder="1" applyAlignment="1">
      <alignment horizontal="center" vertical="center" wrapText="1"/>
    </xf>
    <xf numFmtId="171" fontId="57" fillId="0" borderId="4" xfId="0" applyNumberFormat="1" applyFont="1" applyBorder="1" applyAlignment="1">
      <alignment horizontal="center" vertical="center" wrapText="1"/>
    </xf>
    <xf numFmtId="193" fontId="57" fillId="0" borderId="4" xfId="0" applyNumberFormat="1" applyFont="1" applyBorder="1" applyAlignment="1">
      <alignment horizontal="center" vertical="center"/>
    </xf>
    <xf numFmtId="49" fontId="68" fillId="0" borderId="68" xfId="0" applyNumberFormat="1" applyFont="1" applyBorder="1" applyAlignment="1">
      <alignment horizontal="center" vertical="center"/>
    </xf>
    <xf numFmtId="0" fontId="159" fillId="0" borderId="0" xfId="0" applyFont="1" applyAlignment="1">
      <alignment horizontal="left" vertical="center"/>
    </xf>
    <xf numFmtId="0" fontId="132" fillId="0" borderId="0" xfId="0" applyFont="1" applyAlignment="1">
      <alignment horizontal="left" vertical="center"/>
    </xf>
    <xf numFmtId="3" fontId="132" fillId="0" borderId="0" xfId="0" applyNumberFormat="1" applyFont="1" applyAlignment="1">
      <alignment horizontal="center" vertical="center" wrapText="1"/>
    </xf>
    <xf numFmtId="0" fontId="68" fillId="0" borderId="0" xfId="0" applyFont="1" applyAlignment="1">
      <alignment horizontal="center" vertical="center"/>
    </xf>
    <xf numFmtId="0" fontId="149" fillId="9" borderId="0" xfId="0" applyFont="1" applyFill="1"/>
    <xf numFmtId="0" fontId="0" fillId="0" borderId="0" xfId="0" applyAlignment="1">
      <alignment horizontal="left" vertical="top"/>
    </xf>
    <xf numFmtId="0" fontId="149" fillId="9" borderId="0" xfId="0" applyFont="1" applyFill="1" applyAlignment="1">
      <alignment horizontal="center"/>
    </xf>
    <xf numFmtId="0" fontId="57" fillId="78" borderId="0" xfId="0" applyFont="1" applyFill="1" applyAlignment="1">
      <alignment horizontal="center" vertical="center"/>
    </xf>
    <xf numFmtId="0" fontId="57" fillId="78" borderId="0" xfId="0" applyFont="1" applyFill="1" applyAlignment="1">
      <alignment vertical="center" wrapText="1"/>
    </xf>
    <xf numFmtId="0" fontId="57" fillId="78" borderId="0" xfId="0" applyFont="1" applyFill="1" applyAlignment="1">
      <alignment vertical="center"/>
    </xf>
    <xf numFmtId="0" fontId="57" fillId="9" borderId="0" xfId="0" applyFont="1" applyFill="1" applyAlignment="1">
      <alignment vertical="center"/>
    </xf>
    <xf numFmtId="0" fontId="57" fillId="80" borderId="0" xfId="0" applyFont="1" applyFill="1"/>
    <xf numFmtId="2" fontId="57" fillId="0" borderId="0" xfId="0" applyNumberFormat="1" applyFont="1"/>
    <xf numFmtId="0" fontId="161" fillId="0" borderId="0" xfId="0" applyFont="1" applyAlignment="1">
      <alignment horizontal="left" wrapText="1"/>
    </xf>
    <xf numFmtId="184" fontId="57" fillId="0" borderId="0" xfId="66" applyFont="1"/>
    <xf numFmtId="0" fontId="19" fillId="9" borderId="0" xfId="0" applyFont="1" applyFill="1"/>
    <xf numFmtId="0" fontId="0" fillId="9" borderId="0" xfId="0" applyFill="1" applyAlignment="1">
      <alignment horizontal="right" vertical="center"/>
    </xf>
    <xf numFmtId="0" fontId="128" fillId="81" borderId="0" xfId="0" applyFont="1" applyFill="1" applyAlignment="1">
      <alignment horizontal="right"/>
    </xf>
    <xf numFmtId="0" fontId="128" fillId="81" borderId="0" xfId="0" applyFont="1" applyFill="1"/>
    <xf numFmtId="0" fontId="128" fillId="0" borderId="120" xfId="0" applyFont="1" applyBorder="1" applyAlignment="1">
      <alignment horizontal="right"/>
    </xf>
    <xf numFmtId="0" fontId="128" fillId="0" borderId="120" xfId="0" applyFont="1" applyBorder="1"/>
    <xf numFmtId="0" fontId="0" fillId="0" borderId="120" xfId="0" applyBorder="1"/>
    <xf numFmtId="0" fontId="68" fillId="0" borderId="0" xfId="0" applyFont="1" applyAlignment="1">
      <alignment horizontal="right" vertical="center"/>
    </xf>
    <xf numFmtId="0" fontId="68" fillId="0" borderId="0" xfId="0" applyFont="1" applyAlignment="1">
      <alignment vertical="center"/>
    </xf>
    <xf numFmtId="0" fontId="136" fillId="0" borderId="0" xfId="0" applyFont="1" applyAlignment="1">
      <alignment horizontal="right"/>
    </xf>
    <xf numFmtId="0" fontId="79" fillId="0" borderId="0" xfId="0" applyFont="1" applyAlignment="1">
      <alignment horizontal="right" vertical="center"/>
    </xf>
    <xf numFmtId="0" fontId="4" fillId="0" borderId="0" xfId="0" applyFont="1" applyAlignment="1">
      <alignment horizontal="right"/>
    </xf>
    <xf numFmtId="0" fontId="68" fillId="0" borderId="0" xfId="0" applyFont="1" applyAlignment="1">
      <alignment horizontal="right"/>
    </xf>
    <xf numFmtId="0" fontId="0" fillId="0" borderId="127" xfId="0" applyBorder="1"/>
    <xf numFmtId="0" fontId="131" fillId="0" borderId="120" xfId="0" applyFont="1" applyBorder="1" applyAlignment="1">
      <alignment horizontal="left" indent="1"/>
    </xf>
    <xf numFmtId="0" fontId="131" fillId="0" borderId="0" xfId="0" applyFont="1"/>
    <xf numFmtId="0" fontId="133" fillId="0" borderId="133" xfId="0" applyFont="1" applyBorder="1"/>
    <xf numFmtId="49" fontId="19" fillId="0" borderId="133" xfId="0" applyNumberFormat="1" applyFont="1" applyBorder="1" applyAlignment="1">
      <alignment horizontal="left" vertical="center" wrapText="1"/>
    </xf>
    <xf numFmtId="0" fontId="134" fillId="0" borderId="133" xfId="0" applyFont="1" applyBorder="1" applyAlignment="1">
      <alignment horizontal="center"/>
    </xf>
    <xf numFmtId="166" fontId="133" fillId="0" borderId="133" xfId="0" applyNumberFormat="1" applyFont="1" applyBorder="1" applyAlignment="1">
      <alignment horizontal="center"/>
    </xf>
    <xf numFmtId="0" fontId="134" fillId="0" borderId="133" xfId="0" applyFont="1" applyBorder="1"/>
    <xf numFmtId="0" fontId="135" fillId="0" borderId="133" xfId="0" applyFont="1" applyBorder="1"/>
    <xf numFmtId="0" fontId="0" fillId="0" borderId="133" xfId="0" applyBorder="1"/>
    <xf numFmtId="0" fontId="4" fillId="0" borderId="133" xfId="0" applyFont="1" applyBorder="1" applyAlignment="1">
      <alignment horizontal="right" vertical="center" wrapText="1"/>
    </xf>
    <xf numFmtId="49" fontId="4" fillId="0" borderId="133" xfId="0" applyNumberFormat="1" applyFont="1" applyBorder="1" applyAlignment="1">
      <alignment horizontal="left" vertical="center" wrapText="1"/>
    </xf>
    <xf numFmtId="0" fontId="0" fillId="0" borderId="133" xfId="0" applyBorder="1" applyAlignment="1">
      <alignment horizontal="center" vertical="center"/>
    </xf>
    <xf numFmtId="0" fontId="0" fillId="0" borderId="133" xfId="0" applyBorder="1" applyAlignment="1">
      <alignment horizontal="center" vertical="center" wrapText="1"/>
    </xf>
    <xf numFmtId="166" fontId="0" fillId="0" borderId="133" xfId="0" applyNumberFormat="1" applyBorder="1" applyAlignment="1">
      <alignment horizontal="center" vertical="center" wrapText="1"/>
    </xf>
    <xf numFmtId="0" fontId="3" fillId="0" borderId="133" xfId="0" applyFont="1" applyBorder="1" applyAlignment="1">
      <alignment vertical="center"/>
    </xf>
    <xf numFmtId="0" fontId="0" fillId="0" borderId="133" xfId="0" applyBorder="1" applyAlignment="1">
      <alignment horizontal="left" vertical="center" wrapText="1"/>
    </xf>
    <xf numFmtId="49" fontId="46" fillId="0" borderId="133" xfId="12" applyNumberFormat="1" applyFill="1" applyBorder="1" applyAlignment="1" applyProtection="1">
      <alignment horizontal="left" vertical="center" wrapText="1"/>
      <protection locked="0"/>
    </xf>
    <xf numFmtId="1" fontId="46" fillId="0" borderId="133" xfId="12" applyNumberFormat="1" applyFill="1" applyBorder="1" applyAlignment="1" applyProtection="1">
      <alignment horizontal="center" vertical="center"/>
      <protection locked="0"/>
    </xf>
    <xf numFmtId="2" fontId="46" fillId="0" borderId="133" xfId="12" applyNumberFormat="1" applyFill="1" applyBorder="1" applyAlignment="1" applyProtection="1">
      <alignment horizontal="center" vertical="center"/>
      <protection locked="0"/>
    </xf>
    <xf numFmtId="0" fontId="4" fillId="0" borderId="133" xfId="0" applyFont="1" applyBorder="1" applyAlignment="1">
      <alignment horizontal="right" vertical="center"/>
    </xf>
    <xf numFmtId="0" fontId="46" fillId="0" borderId="133" xfId="12" applyFill="1" applyBorder="1" applyProtection="1">
      <protection locked="0"/>
    </xf>
    <xf numFmtId="0" fontId="151" fillId="0" borderId="0" xfId="36" applyFont="1" applyFill="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wrapText="1"/>
    </xf>
    <xf numFmtId="0" fontId="90" fillId="0" borderId="0" xfId="0" applyFont="1" applyAlignment="1">
      <alignment horizontal="center"/>
    </xf>
    <xf numFmtId="0" fontId="0" fillId="0" borderId="0" xfId="0" applyAlignment="1">
      <alignment horizontal="left" wrapText="1"/>
    </xf>
    <xf numFmtId="49" fontId="46" fillId="0" borderId="133" xfId="12" applyNumberFormat="1" applyFill="1" applyBorder="1" applyAlignment="1" applyProtection="1">
      <alignment horizontal="center" vertical="center" wrapText="1"/>
      <protection locked="0"/>
    </xf>
    <xf numFmtId="0" fontId="0" fillId="70" borderId="46" xfId="0" applyFill="1" applyBorder="1" applyAlignment="1">
      <alignment horizontal="center" vertical="center"/>
    </xf>
    <xf numFmtId="0" fontId="0" fillId="70" borderId="123" xfId="0" applyFill="1" applyBorder="1" applyAlignment="1">
      <alignment horizontal="center" vertical="center"/>
    </xf>
    <xf numFmtId="0" fontId="0" fillId="70" borderId="47" xfId="0" applyFill="1" applyBorder="1" applyAlignment="1">
      <alignment horizontal="center" vertical="center"/>
    </xf>
    <xf numFmtId="0" fontId="75" fillId="77" borderId="4" xfId="0" applyFont="1" applyFill="1" applyBorder="1" applyAlignment="1">
      <alignment horizontal="center" vertical="center" wrapText="1"/>
    </xf>
    <xf numFmtId="0" fontId="162" fillId="0" borderId="0" xfId="0" applyFont="1" applyAlignment="1">
      <alignment vertical="center"/>
    </xf>
    <xf numFmtId="0" fontId="3" fillId="5" borderId="0" xfId="0" applyFont="1" applyFill="1" applyAlignment="1">
      <alignment horizontal="center"/>
    </xf>
    <xf numFmtId="0" fontId="0" fillId="9" borderId="0" xfId="0" applyFill="1" applyAlignment="1">
      <alignment horizontal="right" wrapText="1"/>
    </xf>
    <xf numFmtId="0" fontId="90" fillId="70" borderId="4" xfId="68" applyFill="1" applyBorder="1" applyAlignment="1">
      <alignment vertical="center" wrapText="1"/>
    </xf>
    <xf numFmtId="0" fontId="90" fillId="0" borderId="0" xfId="68" applyAlignment="1">
      <alignment horizontal="center" wrapText="1"/>
    </xf>
    <xf numFmtId="0" fontId="128" fillId="70" borderId="0" xfId="0" applyFont="1" applyFill="1" applyAlignment="1">
      <alignment wrapText="1"/>
    </xf>
    <xf numFmtId="0" fontId="90" fillId="79" borderId="0" xfId="69" applyFont="1" applyFill="1"/>
    <xf numFmtId="0" fontId="90" fillId="79" borderId="78" xfId="69" applyFont="1" applyFill="1" applyBorder="1"/>
    <xf numFmtId="49" fontId="4" fillId="0" borderId="134" xfId="0" applyNumberFormat="1" applyFont="1" applyBorder="1" applyAlignment="1">
      <alignment horizontal="left" vertical="center" wrapText="1"/>
    </xf>
    <xf numFmtId="49" fontId="4" fillId="0" borderId="135" xfId="0" applyNumberFormat="1" applyFont="1" applyBorder="1" applyAlignment="1">
      <alignment horizontal="left" vertical="center" wrapText="1"/>
    </xf>
    <xf numFmtId="49" fontId="4" fillId="0" borderId="136" xfId="0" applyNumberFormat="1" applyFont="1" applyBorder="1" applyAlignment="1">
      <alignment horizontal="left" vertical="center" wrapText="1"/>
    </xf>
    <xf numFmtId="0" fontId="167" fillId="0" borderId="0" xfId="0" applyFont="1" applyAlignment="1">
      <alignment horizontal="left"/>
    </xf>
    <xf numFmtId="0" fontId="102" fillId="0" borderId="0" xfId="0" applyFont="1" applyAlignment="1">
      <alignment horizontal="right" vertical="center" indent="1"/>
    </xf>
    <xf numFmtId="2" fontId="102" fillId="0" borderId="0" xfId="0" applyNumberFormat="1" applyFont="1" applyAlignment="1">
      <alignment horizontal="center" vertical="center"/>
    </xf>
    <xf numFmtId="166" fontId="102" fillId="0" borderId="0" xfId="0" applyNumberFormat="1" applyFont="1" applyAlignment="1">
      <alignment horizontal="center" vertical="center"/>
    </xf>
    <xf numFmtId="9" fontId="102" fillId="0" borderId="0" xfId="2" applyFont="1" applyFill="1" applyBorder="1" applyAlignment="1">
      <alignment horizontal="center" vertical="center"/>
    </xf>
    <xf numFmtId="164" fontId="14" fillId="0" borderId="0" xfId="2" applyNumberFormat="1" applyFont="1" applyFill="1" applyBorder="1" applyAlignment="1" applyProtection="1">
      <alignment horizontal="center" vertical="center"/>
    </xf>
    <xf numFmtId="0" fontId="128" fillId="0" borderId="0" xfId="0" applyFont="1" applyAlignment="1">
      <alignment horizontal="right"/>
    </xf>
    <xf numFmtId="0" fontId="2" fillId="0" borderId="0" xfId="16" applyFill="1" applyBorder="1" applyAlignment="1" applyProtection="1">
      <alignment horizontal="center" vertical="center" wrapText="1"/>
      <protection locked="0"/>
    </xf>
    <xf numFmtId="0" fontId="102" fillId="0" borderId="0" xfId="0" applyFont="1" applyAlignment="1">
      <alignment horizontal="center" vertical="center"/>
    </xf>
    <xf numFmtId="0" fontId="46" fillId="0" borderId="0" xfId="12" applyFill="1" applyBorder="1" applyAlignment="1" applyProtection="1">
      <alignment horizontal="center" vertical="center"/>
      <protection locked="0"/>
    </xf>
    <xf numFmtId="9" fontId="0" fillId="0" borderId="0" xfId="2" applyFont="1" applyFill="1" applyBorder="1" applyAlignment="1">
      <alignment horizontal="center"/>
    </xf>
    <xf numFmtId="0" fontId="46" fillId="0" borderId="0" xfId="12" applyFill="1" applyBorder="1" applyAlignment="1" applyProtection="1">
      <alignment horizontal="center"/>
      <protection locked="0"/>
    </xf>
    <xf numFmtId="9" fontId="46" fillId="0" borderId="0" xfId="12" applyNumberFormat="1" applyFill="1" applyBorder="1" applyAlignment="1" applyProtection="1">
      <alignment horizontal="center"/>
      <protection locked="0"/>
    </xf>
    <xf numFmtId="9" fontId="0" fillId="0" borderId="0" xfId="2" applyFont="1" applyFill="1" applyBorder="1" applyAlignment="1" applyProtection="1">
      <alignment horizontal="center"/>
    </xf>
    <xf numFmtId="186" fontId="0" fillId="0" borderId="0" xfId="66" applyNumberFormat="1" applyFont="1" applyFill="1" applyBorder="1"/>
    <xf numFmtId="187" fontId="0" fillId="0" borderId="0" xfId="0" applyNumberFormat="1"/>
    <xf numFmtId="0" fontId="46" fillId="0" borderId="0" xfId="12" applyFill="1" applyBorder="1" applyProtection="1">
      <protection locked="0"/>
    </xf>
    <xf numFmtId="0" fontId="137" fillId="0" borderId="0" xfId="12" applyFont="1" applyFill="1" applyBorder="1" applyAlignment="1" applyProtection="1">
      <alignment horizontal="center" vertical="center"/>
      <protection locked="0"/>
    </xf>
    <xf numFmtId="0" fontId="57" fillId="0" borderId="0" xfId="0" applyFont="1" applyAlignment="1">
      <alignment horizontal="center"/>
    </xf>
    <xf numFmtId="0" fontId="0" fillId="0" borderId="0" xfId="0" applyAlignment="1" applyProtection="1">
      <alignment horizontal="center"/>
      <protection locked="0"/>
    </xf>
    <xf numFmtId="0" fontId="72" fillId="0" borderId="0" xfId="0" applyFont="1" applyAlignment="1">
      <alignment vertical="center" wrapText="1"/>
    </xf>
    <xf numFmtId="166" fontId="0" fillId="0" borderId="0" xfId="0" applyNumberFormat="1" applyAlignment="1">
      <alignment horizontal="center" vertical="center"/>
    </xf>
    <xf numFmtId="182" fontId="14" fillId="0" borderId="0" xfId="66" applyNumberFormat="1" applyFont="1" applyFill="1" applyBorder="1" applyAlignment="1" applyProtection="1">
      <alignment horizontal="center" vertical="center"/>
    </xf>
    <xf numFmtId="0" fontId="131" fillId="0" borderId="0" xfId="0" applyFont="1" applyAlignment="1">
      <alignment horizontal="left" indent="1"/>
    </xf>
    <xf numFmtId="0" fontId="0" fillId="0" borderId="0" xfId="0" applyAlignment="1">
      <alignment horizontal="left" indent="1"/>
    </xf>
    <xf numFmtId="0" fontId="4" fillId="0" borderId="0" xfId="0" applyFont="1" applyAlignment="1">
      <alignment horizontal="center" vertical="center" wrapText="1"/>
    </xf>
    <xf numFmtId="49" fontId="139" fillId="0" borderId="0" xfId="0" applyNumberFormat="1" applyFont="1" applyAlignment="1">
      <alignment horizontal="center" vertical="center" wrapText="1"/>
    </xf>
    <xf numFmtId="0" fontId="102" fillId="0" borderId="0" xfId="0" applyFont="1" applyAlignment="1">
      <alignment horizontal="center"/>
    </xf>
    <xf numFmtId="49" fontId="68" fillId="0" borderId="0" xfId="0" applyNumberFormat="1" applyFont="1" applyAlignment="1">
      <alignment horizontal="center" vertical="center" wrapText="1"/>
    </xf>
    <xf numFmtId="0" fontId="15" fillId="12" borderId="0" xfId="0" applyFont="1" applyFill="1"/>
    <xf numFmtId="0" fontId="0" fillId="12" borderId="0" xfId="0" applyFill="1"/>
    <xf numFmtId="0" fontId="57" fillId="78" borderId="4" xfId="0" applyFont="1" applyFill="1" applyBorder="1" applyAlignment="1">
      <alignment horizontal="left" vertical="center" wrapText="1"/>
    </xf>
    <xf numFmtId="0" fontId="57" fillId="78" borderId="4" xfId="0" applyFont="1" applyFill="1" applyBorder="1" applyAlignment="1">
      <alignment vertical="center"/>
    </xf>
    <xf numFmtId="2" fontId="4" fillId="0" borderId="135" xfId="0" applyNumberFormat="1" applyFont="1" applyBorder="1" applyAlignment="1">
      <alignment horizontal="left" vertical="center" wrapText="1"/>
    </xf>
    <xf numFmtId="192" fontId="57" fillId="0" borderId="0" xfId="0" applyNumberFormat="1" applyFont="1" applyAlignment="1">
      <alignment horizontal="center" vertical="center"/>
    </xf>
    <xf numFmtId="0" fontId="46" fillId="0" borderId="0" xfId="12" applyNumberForma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49" fontId="4" fillId="0" borderId="0" xfId="0" applyNumberFormat="1" applyFont="1" applyAlignment="1">
      <alignment horizontal="center" vertical="center" wrapText="1"/>
    </xf>
    <xf numFmtId="0" fontId="147" fillId="67" borderId="0" xfId="35" applyFont="1" applyFill="1" applyAlignment="1">
      <alignment horizontal="center" vertical="center"/>
    </xf>
    <xf numFmtId="0" fontId="147" fillId="67" borderId="0" xfId="0" applyFont="1" applyFill="1" applyAlignment="1">
      <alignment horizontal="center" vertical="center"/>
    </xf>
    <xf numFmtId="0" fontId="126" fillId="0" borderId="0" xfId="38" applyFont="1" applyFill="1" applyAlignment="1">
      <alignment horizontal="center" vertical="center" wrapText="1"/>
    </xf>
    <xf numFmtId="0" fontId="21" fillId="0" borderId="116" xfId="0" applyFont="1" applyBorder="1"/>
    <xf numFmtId="179" fontId="21" fillId="0" borderId="116" xfId="0" applyNumberFormat="1" applyFont="1" applyBorder="1"/>
    <xf numFmtId="0" fontId="46" fillId="83" borderId="118" xfId="12" applyFill="1" applyBorder="1" applyAlignment="1" applyProtection="1">
      <alignment horizontal="center" vertical="center"/>
      <protection locked="0"/>
    </xf>
    <xf numFmtId="0" fontId="127" fillId="83" borderId="4" xfId="12" applyFont="1" applyFill="1" applyBorder="1" applyAlignment="1" applyProtection="1">
      <alignment horizontal="center" vertical="center" wrapText="1"/>
      <protection locked="0"/>
    </xf>
    <xf numFmtId="0" fontId="46" fillId="83" borderId="32" xfId="12" applyFill="1" applyAlignment="1" applyProtection="1">
      <alignment horizontal="center"/>
      <protection locked="0"/>
    </xf>
    <xf numFmtId="0" fontId="46" fillId="83" borderId="4" xfId="12" applyFill="1" applyBorder="1" applyAlignment="1" applyProtection="1">
      <alignment horizontal="center"/>
      <protection locked="0"/>
    </xf>
    <xf numFmtId="0" fontId="46" fillId="83" borderId="32" xfId="12" applyFill="1" applyAlignment="1" applyProtection="1">
      <alignment horizontal="center" vertical="center"/>
      <protection locked="0"/>
    </xf>
    <xf numFmtId="0" fontId="46" fillId="83" borderId="117" xfId="12" applyFill="1" applyBorder="1" applyAlignment="1" applyProtection="1">
      <alignment horizontal="center" vertical="center"/>
      <protection locked="0"/>
    </xf>
    <xf numFmtId="0" fontId="46" fillId="83" borderId="119" xfId="12" applyFill="1" applyBorder="1" applyAlignment="1" applyProtection="1">
      <alignment horizontal="center" vertical="center"/>
      <protection locked="0"/>
    </xf>
    <xf numFmtId="186" fontId="86" fillId="9" borderId="0" xfId="66" applyNumberFormat="1" applyFont="1" applyFill="1" applyBorder="1" applyAlignment="1">
      <alignment horizontal="right" vertical="center"/>
    </xf>
    <xf numFmtId="0" fontId="46" fillId="83" borderId="129" xfId="12" applyFill="1" applyBorder="1" applyAlignment="1" applyProtection="1">
      <alignment horizontal="center" vertical="center" wrapText="1"/>
      <protection locked="0"/>
    </xf>
    <xf numFmtId="0" fontId="46" fillId="83" borderId="129" xfId="12" applyFill="1" applyBorder="1" applyAlignment="1" applyProtection="1">
      <alignment horizontal="center" vertical="center"/>
      <protection locked="0"/>
    </xf>
    <xf numFmtId="0" fontId="169" fillId="0" borderId="0" xfId="0" applyFont="1" applyAlignment="1">
      <alignment horizontal="center" vertical="center"/>
    </xf>
    <xf numFmtId="0" fontId="169" fillId="0" borderId="0" xfId="0" applyFont="1" applyAlignment="1">
      <alignment vertical="center"/>
    </xf>
    <xf numFmtId="0" fontId="169" fillId="0" borderId="0" xfId="0" applyFont="1"/>
    <xf numFmtId="0" fontId="170" fillId="9" borderId="0" xfId="0" applyFont="1" applyFill="1" applyAlignment="1">
      <alignment vertical="top"/>
    </xf>
    <xf numFmtId="14" fontId="138" fillId="83" borderId="129" xfId="12" applyNumberFormat="1" applyFont="1" applyFill="1" applyBorder="1" applyAlignment="1" applyProtection="1">
      <alignment horizontal="center" vertical="center"/>
      <protection locked="0"/>
    </xf>
    <xf numFmtId="0" fontId="138" fillId="83" borderId="129" xfId="12" applyFont="1" applyFill="1" applyBorder="1" applyAlignment="1" applyProtection="1">
      <alignment horizontal="center" vertical="center" wrapText="1"/>
      <protection locked="0"/>
    </xf>
    <xf numFmtId="0" fontId="138" fillId="83" borderId="129" xfId="12" applyFont="1" applyFill="1" applyBorder="1" applyAlignment="1" applyProtection="1">
      <alignment horizontal="center" vertical="center"/>
      <protection locked="0"/>
    </xf>
    <xf numFmtId="0" fontId="138" fillId="83" borderId="126" xfId="12" applyFont="1" applyFill="1" applyBorder="1" applyAlignment="1" applyProtection="1">
      <alignment horizontal="center" vertical="center"/>
      <protection locked="0"/>
    </xf>
    <xf numFmtId="14" fontId="46" fillId="83" borderId="32" xfId="12" applyNumberFormat="1" applyFill="1" applyAlignment="1" applyProtection="1">
      <alignment horizontal="center" vertical="center"/>
      <protection locked="0"/>
    </xf>
    <xf numFmtId="0" fontId="169" fillId="0" borderId="0" xfId="0" applyFont="1" applyAlignment="1">
      <alignment horizontal="right" vertical="center"/>
    </xf>
    <xf numFmtId="0" fontId="171" fillId="0" borderId="0" xfId="68" applyFont="1" applyAlignment="1">
      <alignment horizontal="left" vertical="top"/>
    </xf>
    <xf numFmtId="0" fontId="171" fillId="0" borderId="0" xfId="69" applyFont="1" applyAlignment="1">
      <alignment vertical="top"/>
    </xf>
    <xf numFmtId="0" fontId="173" fillId="9" borderId="0" xfId="0" applyFont="1" applyFill="1" applyAlignment="1">
      <alignment horizontal="right"/>
    </xf>
    <xf numFmtId="0" fontId="175" fillId="9" borderId="0" xfId="4" applyFont="1" applyFill="1" applyAlignment="1">
      <alignment horizontal="left"/>
    </xf>
    <xf numFmtId="0" fontId="86" fillId="9" borderId="0" xfId="0" applyFont="1" applyFill="1" applyAlignment="1">
      <alignment wrapText="1"/>
    </xf>
    <xf numFmtId="0" fontId="0" fillId="9" borderId="4" xfId="0" applyFill="1" applyBorder="1" applyAlignment="1">
      <alignment horizontal="center" vertical="center"/>
    </xf>
    <xf numFmtId="0" fontId="0" fillId="9" borderId="4" xfId="0" applyFill="1" applyBorder="1" applyAlignment="1">
      <alignment vertical="center"/>
    </xf>
    <xf numFmtId="0" fontId="0" fillId="9" borderId="4" xfId="0" applyFill="1" applyBorder="1" applyAlignment="1">
      <alignment vertical="center" wrapText="1"/>
    </xf>
    <xf numFmtId="0" fontId="0" fillId="84" borderId="0" xfId="0" applyFill="1"/>
    <xf numFmtId="0" fontId="14" fillId="84" borderId="127" xfId="0" applyFont="1" applyFill="1" applyBorder="1" applyAlignment="1">
      <alignment horizontal="right" vertical="center"/>
    </xf>
    <xf numFmtId="0" fontId="86" fillId="84" borderId="127" xfId="0" applyFont="1" applyFill="1" applyBorder="1" applyAlignment="1">
      <alignment vertical="center" wrapText="1"/>
    </xf>
    <xf numFmtId="186" fontId="90" fillId="84" borderId="127" xfId="66" applyNumberFormat="1" applyFont="1" applyFill="1" applyBorder="1" applyAlignment="1">
      <alignment vertical="center"/>
    </xf>
    <xf numFmtId="184" fontId="90" fillId="84" borderId="127" xfId="66" applyFont="1" applyFill="1" applyBorder="1" applyAlignment="1">
      <alignment horizontal="right" vertical="center"/>
    </xf>
    <xf numFmtId="164" fontId="90" fillId="84" borderId="127" xfId="2" applyNumberFormat="1" applyFont="1" applyFill="1" applyBorder="1" applyAlignment="1">
      <alignment vertical="center"/>
    </xf>
    <xf numFmtId="164" fontId="46" fillId="83" borderId="4" xfId="2" applyNumberFormat="1" applyFont="1" applyFill="1" applyBorder="1" applyAlignment="1" applyProtection="1">
      <alignment horizontal="center"/>
      <protection locked="0"/>
    </xf>
    <xf numFmtId="0" fontId="15" fillId="9" borderId="0" xfId="0" applyFont="1" applyFill="1" applyAlignment="1">
      <alignment vertical="center"/>
    </xf>
    <xf numFmtId="0" fontId="86" fillId="9" borderId="0" xfId="0" applyFont="1" applyFill="1" applyAlignment="1">
      <alignment vertical="center"/>
    </xf>
    <xf numFmtId="0" fontId="85" fillId="0" borderId="0" xfId="12" applyFont="1" applyFill="1" applyBorder="1" applyAlignment="1" applyProtection="1">
      <alignment horizontal="left" vertical="center" wrapText="1" indent="1"/>
      <protection locked="0"/>
    </xf>
    <xf numFmtId="0" fontId="46" fillId="0" borderId="0" xfId="12" applyFill="1" applyBorder="1" applyAlignment="1" applyProtection="1">
      <alignment horizontal="center" vertical="center" wrapText="1"/>
      <protection locked="0"/>
    </xf>
    <xf numFmtId="37" fontId="27" fillId="76" borderId="120" xfId="66" applyNumberFormat="1" applyFont="1" applyFill="1" applyBorder="1" applyAlignment="1">
      <alignment vertical="center"/>
    </xf>
    <xf numFmtId="0" fontId="27" fillId="76" borderId="120" xfId="0" applyFont="1" applyFill="1" applyBorder="1" applyAlignment="1">
      <alignment horizontal="right" vertical="center"/>
    </xf>
    <xf numFmtId="0" fontId="147" fillId="0" borderId="0" xfId="35" applyFont="1" applyFill="1" applyAlignment="1">
      <alignment horizontal="center" vertical="center"/>
    </xf>
    <xf numFmtId="0" fontId="147" fillId="0" borderId="0" xfId="0" applyFont="1" applyAlignment="1">
      <alignment horizontal="center" vertical="center"/>
    </xf>
    <xf numFmtId="0" fontId="148" fillId="0" borderId="0" xfId="46" applyFont="1" applyFill="1" applyAlignment="1">
      <alignment horizontal="center" vertical="center"/>
    </xf>
    <xf numFmtId="0" fontId="14" fillId="0" borderId="0" xfId="0" applyFont="1" applyAlignment="1">
      <alignment horizontal="right" vertical="center"/>
    </xf>
    <xf numFmtId="0" fontId="150" fillId="0" borderId="0" xfId="46" applyFont="1" applyFill="1" applyAlignment="1">
      <alignment horizontal="center" vertical="center"/>
    </xf>
    <xf numFmtId="3" fontId="51" fillId="0" borderId="0" xfId="0" applyNumberFormat="1" applyFont="1" applyAlignment="1">
      <alignment horizontal="center" vertical="center"/>
    </xf>
    <xf numFmtId="9" fontId="51" fillId="0" borderId="0" xfId="2" applyFont="1" applyFill="1"/>
    <xf numFmtId="0" fontId="17" fillId="0" borderId="0" xfId="35" applyFont="1" applyFill="1" applyAlignment="1">
      <alignment horizontal="center" vertical="center"/>
    </xf>
    <xf numFmtId="0" fontId="73" fillId="0" borderId="0" xfId="0" applyFont="1" applyAlignment="1">
      <alignment horizontal="center" vertical="center"/>
    </xf>
    <xf numFmtId="0" fontId="176" fillId="9" borderId="0" xfId="0" applyFont="1" applyFill="1" applyAlignment="1">
      <alignment vertical="top"/>
    </xf>
    <xf numFmtId="0" fontId="176" fillId="0" borderId="0" xfId="0" applyFont="1"/>
    <xf numFmtId="0" fontId="176" fillId="0" borderId="0" xfId="0" applyFont="1" applyAlignment="1">
      <alignment horizontal="left" vertical="top"/>
    </xf>
    <xf numFmtId="0" fontId="175" fillId="9" borderId="0" xfId="4" applyFont="1" applyFill="1"/>
    <xf numFmtId="37" fontId="86" fillId="9" borderId="0" xfId="66" applyNumberFormat="1" applyFont="1" applyFill="1" applyBorder="1" applyAlignment="1">
      <alignment horizontal="right" vertical="center"/>
    </xf>
    <xf numFmtId="0" fontId="51" fillId="20" borderId="35" xfId="4" applyFont="1" applyFill="1" applyBorder="1" applyAlignment="1" applyProtection="1">
      <alignment horizontal="center" vertical="center" wrapText="1"/>
      <protection locked="0"/>
    </xf>
    <xf numFmtId="0" fontId="46" fillId="83" borderId="32" xfId="12" applyFill="1" applyAlignment="1" applyProtection="1">
      <alignment horizontal="center" vertical="center" wrapText="1"/>
      <protection locked="0"/>
    </xf>
    <xf numFmtId="0" fontId="46" fillId="83" borderId="121" xfId="12" applyFill="1" applyBorder="1" applyAlignment="1" applyProtection="1">
      <alignment vertical="center" wrapText="1"/>
      <protection locked="0"/>
    </xf>
    <xf numFmtId="17" fontId="0" fillId="9" borderId="4" xfId="0" applyNumberFormat="1" applyFill="1" applyBorder="1" applyAlignment="1">
      <alignment vertical="center"/>
    </xf>
    <xf numFmtId="49" fontId="0" fillId="9" borderId="4" xfId="0" applyNumberFormat="1" applyFill="1" applyBorder="1" applyAlignment="1">
      <alignment horizontal="left" vertical="center"/>
    </xf>
    <xf numFmtId="0" fontId="86" fillId="0" borderId="0" xfId="0" applyFont="1" applyAlignment="1">
      <alignment vertical="top"/>
    </xf>
    <xf numFmtId="0" fontId="0" fillId="0" borderId="0" xfId="0" applyAlignment="1">
      <alignment horizontal="left" vertical="top" wrapText="1"/>
    </xf>
    <xf numFmtId="0" fontId="177" fillId="0" borderId="0" xfId="4" applyFont="1" applyBorder="1"/>
    <xf numFmtId="0" fontId="0" fillId="0" borderId="0" xfId="0" applyAlignment="1">
      <alignment vertical="top" wrapText="1"/>
    </xf>
    <xf numFmtId="0" fontId="86" fillId="79" borderId="4" xfId="69" applyFont="1" applyFill="1" applyBorder="1"/>
    <xf numFmtId="0" fontId="120" fillId="79" borderId="4" xfId="69" applyFill="1" applyBorder="1"/>
    <xf numFmtId="0" fontId="90" fillId="79" borderId="4" xfId="69" applyFont="1" applyFill="1" applyBorder="1"/>
    <xf numFmtId="169" fontId="90" fillId="79" borderId="4" xfId="69" applyNumberFormat="1" applyFont="1" applyFill="1" applyBorder="1"/>
    <xf numFmtId="3" fontId="90" fillId="79" borderId="4" xfId="69" applyNumberFormat="1" applyFont="1" applyFill="1" applyBorder="1"/>
    <xf numFmtId="171" fontId="90" fillId="79" borderId="4" xfId="69" applyNumberFormat="1" applyFont="1" applyFill="1" applyBorder="1"/>
    <xf numFmtId="0" fontId="128" fillId="81" borderId="4" xfId="0" applyFont="1" applyFill="1" applyBorder="1"/>
    <xf numFmtId="0" fontId="120" fillId="0" borderId="4" xfId="69" applyBorder="1"/>
    <xf numFmtId="0" fontId="46" fillId="83" borderId="4" xfId="12" applyFill="1" applyBorder="1" applyProtection="1">
      <protection locked="0"/>
    </xf>
    <xf numFmtId="0" fontId="128" fillId="66" borderId="4" xfId="0" applyFont="1" applyFill="1" applyBorder="1"/>
    <xf numFmtId="0" fontId="90" fillId="0" borderId="0" xfId="68" applyAlignment="1" applyProtection="1">
      <alignment horizontal="center"/>
      <protection hidden="1"/>
    </xf>
    <xf numFmtId="0" fontId="128" fillId="70" borderId="0" xfId="0" applyFont="1" applyFill="1" applyProtection="1">
      <protection hidden="1"/>
    </xf>
    <xf numFmtId="0" fontId="86" fillId="0" borderId="0" xfId="68" applyFont="1" applyAlignment="1" applyProtection="1">
      <alignment horizontal="center" vertical="center" wrapText="1"/>
      <protection hidden="1"/>
    </xf>
    <xf numFmtId="0" fontId="90" fillId="70" borderId="4" xfId="68" applyFill="1" applyBorder="1" applyAlignment="1" applyProtection="1">
      <alignment horizontal="center" vertical="center" wrapText="1"/>
      <protection hidden="1"/>
    </xf>
    <xf numFmtId="166" fontId="0" fillId="0" borderId="81" xfId="0" applyNumberFormat="1" applyBorder="1" applyAlignment="1" applyProtection="1">
      <alignment horizontal="center"/>
      <protection hidden="1"/>
    </xf>
    <xf numFmtId="0" fontId="46" fillId="83" borderId="4" xfId="12" applyFill="1" applyBorder="1"/>
    <xf numFmtId="0" fontId="162" fillId="85" borderId="4" xfId="0" applyFont="1" applyFill="1" applyBorder="1" applyAlignment="1">
      <alignment horizontal="center"/>
    </xf>
    <xf numFmtId="0" fontId="162" fillId="86" borderId="4" xfId="0" applyFont="1" applyFill="1" applyBorder="1" applyAlignment="1">
      <alignment horizontal="center"/>
    </xf>
    <xf numFmtId="0" fontId="0" fillId="0" borderId="138" xfId="0" applyBorder="1" applyAlignment="1">
      <alignment vertical="center"/>
    </xf>
    <xf numFmtId="0" fontId="46" fillId="83" borderId="139" xfId="12" applyFill="1" applyBorder="1" applyAlignment="1" applyProtection="1">
      <alignment horizontal="left"/>
      <protection locked="0"/>
    </xf>
    <xf numFmtId="0" fontId="3" fillId="9" borderId="140" xfId="0" applyFont="1" applyFill="1" applyBorder="1" applyAlignment="1">
      <alignment horizontal="left" vertical="center" wrapText="1"/>
    </xf>
    <xf numFmtId="0" fontId="0" fillId="0" borderId="141" xfId="0" applyBorder="1" applyAlignment="1">
      <alignment vertical="center"/>
    </xf>
    <xf numFmtId="0" fontId="46" fillId="83" borderId="142" xfId="12" applyFill="1" applyBorder="1" applyAlignment="1" applyProtection="1">
      <alignment horizontal="left"/>
      <protection locked="0"/>
    </xf>
    <xf numFmtId="0" fontId="0" fillId="0" borderId="141" xfId="0" applyBorder="1" applyAlignment="1">
      <alignment vertical="center" wrapText="1"/>
    </xf>
    <xf numFmtId="0" fontId="46" fillId="83" borderId="142" xfId="12" applyFill="1" applyBorder="1" applyAlignment="1" applyProtection="1">
      <alignment horizontal="left" wrapText="1"/>
      <protection locked="0"/>
    </xf>
    <xf numFmtId="0" fontId="46" fillId="83" borderId="142" xfId="12" applyFill="1" applyBorder="1" applyAlignment="1" applyProtection="1">
      <alignment horizontal="center"/>
      <protection locked="0"/>
    </xf>
    <xf numFmtId="0" fontId="0" fillId="0" borderId="144" xfId="0" applyBorder="1" applyAlignment="1">
      <alignment vertical="center"/>
    </xf>
    <xf numFmtId="0" fontId="46" fillId="83" borderId="145" xfId="12" applyFill="1" applyBorder="1" applyAlignment="1" applyProtection="1">
      <alignment horizontal="center"/>
      <protection locked="0"/>
    </xf>
    <xf numFmtId="0" fontId="57" fillId="78" borderId="146" xfId="0" applyFont="1" applyFill="1" applyBorder="1" applyAlignment="1">
      <alignment horizontal="center" vertical="center"/>
    </xf>
    <xf numFmtId="0" fontId="57" fillId="78" borderId="147" xfId="0" applyFont="1" applyFill="1" applyBorder="1" applyAlignment="1">
      <alignment vertical="center" wrapText="1"/>
    </xf>
    <xf numFmtId="0" fontId="57" fillId="78" borderId="147" xfId="0" applyFont="1" applyFill="1" applyBorder="1" applyAlignment="1">
      <alignment vertical="center"/>
    </xf>
    <xf numFmtId="0" fontId="57" fillId="78" borderId="147" xfId="0" applyFont="1" applyFill="1" applyBorder="1" applyAlignment="1">
      <alignment horizontal="center" vertical="center"/>
    </xf>
    <xf numFmtId="0" fontId="57" fillId="78" borderId="148" xfId="0" applyFont="1" applyFill="1" applyBorder="1" applyAlignment="1">
      <alignment vertical="center"/>
    </xf>
    <xf numFmtId="0" fontId="57" fillId="9" borderId="149" xfId="0" applyFont="1" applyFill="1" applyBorder="1" applyAlignment="1">
      <alignment horizontal="center" vertical="center"/>
    </xf>
    <xf numFmtId="0" fontId="57" fillId="9" borderId="141" xfId="0" applyFont="1" applyFill="1" applyBorder="1" applyAlignment="1">
      <alignment horizontal="left" vertical="center" wrapText="1"/>
    </xf>
    <xf numFmtId="0" fontId="57" fillId="9" borderId="141" xfId="0" applyFont="1" applyFill="1" applyBorder="1" applyAlignment="1">
      <alignment vertical="center"/>
    </xf>
    <xf numFmtId="0" fontId="57" fillId="9" borderId="141" xfId="0" applyFont="1" applyFill="1" applyBorder="1" applyAlignment="1">
      <alignment horizontal="center" vertical="center"/>
    </xf>
    <xf numFmtId="0" fontId="57" fillId="9" borderId="141" xfId="0" applyFont="1" applyFill="1" applyBorder="1" applyAlignment="1" applyProtection="1">
      <alignment vertical="center"/>
      <protection locked="0"/>
    </xf>
    <xf numFmtId="0" fontId="57" fillId="9" borderId="150" xfId="0" applyFont="1" applyFill="1" applyBorder="1" applyAlignment="1">
      <alignment vertical="center"/>
    </xf>
    <xf numFmtId="0" fontId="57" fillId="9" borderId="141" xfId="0" applyFont="1" applyFill="1" applyBorder="1" applyAlignment="1">
      <alignment vertical="center" wrapText="1"/>
    </xf>
    <xf numFmtId="0" fontId="160" fillId="9" borderId="141" xfId="67" applyFont="1" applyFill="1" applyBorder="1" applyAlignment="1" applyProtection="1">
      <alignment vertical="center"/>
      <protection locked="0"/>
    </xf>
    <xf numFmtId="0" fontId="132" fillId="0" borderId="150" xfId="0" applyFont="1" applyBorder="1" applyAlignment="1">
      <alignment horizontal="left" vertical="center"/>
    </xf>
    <xf numFmtId="15" fontId="57" fillId="9" borderId="141" xfId="0" applyNumberFormat="1" applyFont="1" applyFill="1" applyBorder="1" applyAlignment="1">
      <alignment horizontal="center" vertical="center"/>
    </xf>
    <xf numFmtId="17" fontId="57" fillId="9" borderId="141" xfId="0" applyNumberFormat="1" applyFont="1" applyFill="1" applyBorder="1" applyAlignment="1">
      <alignment horizontal="center" vertical="center"/>
    </xf>
    <xf numFmtId="0" fontId="57" fillId="9" borderId="150" xfId="0" applyFont="1" applyFill="1" applyBorder="1" applyAlignment="1">
      <alignment vertical="center" wrapText="1"/>
    </xf>
    <xf numFmtId="1" fontId="57" fillId="9" borderId="141" xfId="0" applyNumberFormat="1" applyFont="1" applyFill="1" applyBorder="1" applyAlignment="1">
      <alignment horizontal="center" vertical="center"/>
    </xf>
    <xf numFmtId="14" fontId="57" fillId="9" borderId="141" xfId="0" applyNumberFormat="1" applyFont="1" applyFill="1" applyBorder="1" applyAlignment="1">
      <alignment horizontal="center" vertical="center" wrapText="1"/>
    </xf>
    <xf numFmtId="0" fontId="57" fillId="9" borderId="141" xfId="0" applyFont="1" applyFill="1" applyBorder="1" applyAlignment="1" applyProtection="1">
      <alignment vertical="center" wrapText="1"/>
      <protection locked="0"/>
    </xf>
    <xf numFmtId="0" fontId="57" fillId="9" borderId="141" xfId="0" applyFont="1" applyFill="1" applyBorder="1" applyAlignment="1">
      <alignment horizontal="center" vertical="center" wrapText="1"/>
    </xf>
    <xf numFmtId="17" fontId="57" fillId="9" borderId="141" xfId="0" applyNumberFormat="1" applyFont="1" applyFill="1" applyBorder="1" applyAlignment="1">
      <alignment horizontal="center" vertical="center" wrapText="1"/>
    </xf>
    <xf numFmtId="0" fontId="57" fillId="9" borderId="149" xfId="0" applyFont="1" applyFill="1" applyBorder="1" applyAlignment="1">
      <alignment horizontal="center" vertical="center" wrapText="1"/>
    </xf>
    <xf numFmtId="14" fontId="57" fillId="9" borderId="141" xfId="0" applyNumberFormat="1" applyFont="1" applyFill="1" applyBorder="1" applyAlignment="1">
      <alignment horizontal="center" vertical="center"/>
    </xf>
    <xf numFmtId="0" fontId="160" fillId="9" borderId="141" xfId="67" applyFont="1" applyFill="1" applyBorder="1" applyAlignment="1" applyProtection="1">
      <alignment vertical="center" wrapText="1"/>
    </xf>
    <xf numFmtId="0" fontId="0" fillId="9" borderId="149" xfId="0" applyFill="1" applyBorder="1" applyAlignment="1">
      <alignment horizontal="center" vertical="center"/>
    </xf>
    <xf numFmtId="0" fontId="0" fillId="9" borderId="141" xfId="0" applyFill="1" applyBorder="1" applyAlignment="1">
      <alignment vertical="center"/>
    </xf>
    <xf numFmtId="0" fontId="0" fillId="9" borderId="141" xfId="0" applyFill="1" applyBorder="1" applyAlignment="1">
      <alignment horizontal="center" vertical="center"/>
    </xf>
    <xf numFmtId="0" fontId="0" fillId="9" borderId="150" xfId="0" applyFill="1" applyBorder="1" applyAlignment="1">
      <alignment vertical="center"/>
    </xf>
    <xf numFmtId="0" fontId="0" fillId="9" borderId="141" xfId="0" applyFill="1" applyBorder="1" applyAlignment="1">
      <alignment vertical="center" wrapText="1"/>
    </xf>
    <xf numFmtId="0" fontId="16" fillId="0" borderId="141" xfId="4" applyBorder="1"/>
    <xf numFmtId="0" fontId="0" fillId="9" borderId="151" xfId="0" applyFill="1" applyBorder="1" applyAlignment="1">
      <alignment horizontal="center" vertical="center"/>
    </xf>
    <xf numFmtId="0" fontId="0" fillId="9" borderId="152" xfId="0" applyFill="1" applyBorder="1" applyAlignment="1">
      <alignment vertical="center"/>
    </xf>
    <xf numFmtId="0" fontId="0" fillId="9" borderId="152" xfId="0" applyFill="1" applyBorder="1" applyAlignment="1">
      <alignment horizontal="center" vertical="center"/>
    </xf>
    <xf numFmtId="0" fontId="0" fillId="9" borderId="153" xfId="0" applyFill="1" applyBorder="1" applyAlignment="1">
      <alignment vertical="center"/>
    </xf>
    <xf numFmtId="0" fontId="75" fillId="87" borderId="4" xfId="0" applyFont="1" applyFill="1" applyBorder="1" applyAlignment="1">
      <alignment horizontal="center" vertical="center" wrapText="1"/>
    </xf>
    <xf numFmtId="0" fontId="158" fillId="87" borderId="4" xfId="0" applyFont="1" applyFill="1" applyBorder="1" applyAlignment="1">
      <alignment horizontal="center" vertical="center" wrapText="1"/>
    </xf>
    <xf numFmtId="0" fontId="19" fillId="9" borderId="0" xfId="0" applyFont="1" applyFill="1" applyAlignment="1">
      <alignment horizontal="left" vertical="center" wrapText="1"/>
    </xf>
    <xf numFmtId="0" fontId="4" fillId="9" borderId="0" xfId="0" applyFont="1" applyFill="1" applyAlignment="1">
      <alignment horizontal="left" vertical="center" wrapText="1"/>
    </xf>
    <xf numFmtId="0" fontId="46" fillId="83" borderId="32" xfId="12" applyFill="1" applyAlignment="1" applyProtection="1">
      <alignment horizontal="center"/>
      <protection locked="0"/>
    </xf>
    <xf numFmtId="0" fontId="163" fillId="83" borderId="32" xfId="67" applyFont="1" applyFill="1" applyBorder="1" applyAlignment="1" applyProtection="1">
      <alignment horizontal="center"/>
      <protection locked="0"/>
    </xf>
    <xf numFmtId="0" fontId="4" fillId="0" borderId="0" xfId="0" applyFont="1" applyAlignment="1">
      <alignment horizontal="left" vertical="center" wrapText="1"/>
    </xf>
    <xf numFmtId="0" fontId="172" fillId="9" borderId="0" xfId="0" applyFont="1" applyFill="1" applyAlignment="1">
      <alignment horizontal="left" wrapText="1"/>
    </xf>
    <xf numFmtId="0" fontId="174" fillId="5" borderId="4" xfId="4" applyFont="1" applyFill="1" applyBorder="1" applyAlignment="1">
      <alignment horizontal="left" wrapText="1"/>
    </xf>
    <xf numFmtId="0" fontId="3" fillId="9" borderId="137" xfId="0" applyFont="1" applyFill="1" applyBorder="1" applyAlignment="1">
      <alignment horizontal="left" vertical="center" wrapText="1"/>
    </xf>
    <xf numFmtId="0" fontId="3" fillId="9" borderId="140" xfId="0" applyFont="1" applyFill="1" applyBorder="1" applyAlignment="1">
      <alignment horizontal="left" vertical="center" wrapText="1"/>
    </xf>
    <xf numFmtId="0" fontId="3" fillId="9" borderId="143" xfId="0" applyFont="1" applyFill="1" applyBorder="1" applyAlignment="1">
      <alignment horizontal="left" vertical="center" wrapText="1"/>
    </xf>
    <xf numFmtId="49" fontId="4" fillId="0" borderId="0" xfId="0" applyNumberFormat="1" applyFont="1" applyAlignment="1">
      <alignment horizontal="left" vertical="center" wrapText="1"/>
    </xf>
    <xf numFmtId="0" fontId="0" fillId="70" borderId="46" xfId="0" applyFill="1" applyBorder="1" applyAlignment="1">
      <alignment horizontal="center" vertical="center"/>
    </xf>
    <xf numFmtId="0" fontId="0" fillId="70" borderId="123" xfId="0" applyFill="1" applyBorder="1" applyAlignment="1">
      <alignment horizontal="center" vertical="center"/>
    </xf>
    <xf numFmtId="0" fontId="0" fillId="70" borderId="47" xfId="0" applyFill="1" applyBorder="1" applyAlignment="1">
      <alignment horizontal="center" vertical="center"/>
    </xf>
    <xf numFmtId="0" fontId="58" fillId="0" borderId="0" xfId="0" applyFont="1" applyAlignment="1">
      <alignment horizontal="left" vertical="center" wrapText="1"/>
    </xf>
    <xf numFmtId="0" fontId="57" fillId="0" borderId="0" xfId="0" applyFont="1" applyAlignment="1">
      <alignment horizontal="left" vertical="center" wrapText="1"/>
    </xf>
    <xf numFmtId="0" fontId="19" fillId="0" borderId="0" xfId="0" applyFont="1" applyAlignment="1">
      <alignment horizontal="left" vertical="center" wrapText="1"/>
    </xf>
    <xf numFmtId="0" fontId="4" fillId="9" borderId="0" xfId="0" applyFont="1" applyFill="1" applyAlignment="1">
      <alignment horizontal="left" wrapText="1"/>
    </xf>
    <xf numFmtId="0" fontId="4" fillId="0" borderId="0" xfId="0" applyFont="1" applyAlignment="1">
      <alignment horizontal="left" wrapText="1"/>
    </xf>
    <xf numFmtId="0" fontId="0" fillId="0" borderId="0" xfId="0" applyAlignment="1">
      <alignment horizontal="left" vertical="center" wrapText="1"/>
    </xf>
    <xf numFmtId="0" fontId="46" fillId="83" borderId="121" xfId="12" applyNumberFormat="1" applyFill="1" applyBorder="1" applyAlignment="1" applyProtection="1">
      <alignment horizontal="center" vertical="center"/>
      <protection locked="0"/>
    </xf>
    <xf numFmtId="0" fontId="46" fillId="83" borderId="122" xfId="12" applyNumberFormat="1" applyFill="1" applyBorder="1" applyAlignment="1" applyProtection="1">
      <alignment horizontal="center" vertical="center"/>
      <protection locked="0"/>
    </xf>
    <xf numFmtId="0" fontId="4" fillId="0" borderId="0" xfId="0" applyFont="1" applyAlignment="1">
      <alignment horizontal="left" vertical="center"/>
    </xf>
    <xf numFmtId="0" fontId="3" fillId="0" borderId="0" xfId="0" applyFont="1" applyAlignment="1">
      <alignment horizontal="center" wrapText="1"/>
    </xf>
    <xf numFmtId="0" fontId="3" fillId="0" borderId="124" xfId="0" applyFont="1" applyBorder="1" applyAlignment="1">
      <alignment horizontal="center" wrapText="1"/>
    </xf>
    <xf numFmtId="0" fontId="46" fillId="83" borderId="121" xfId="12" applyFill="1" applyBorder="1" applyAlignment="1" applyProtection="1">
      <alignment horizontal="center" vertical="center"/>
      <protection locked="0"/>
    </xf>
    <xf numFmtId="0" fontId="46" fillId="83" borderId="122" xfId="12" applyFill="1" applyBorder="1" applyAlignment="1" applyProtection="1">
      <alignment horizontal="center" vertical="center"/>
      <protection locked="0"/>
    </xf>
    <xf numFmtId="0" fontId="0" fillId="70" borderId="28" xfId="0" applyFill="1" applyBorder="1" applyAlignment="1">
      <alignment horizontal="center" vertical="center" wrapText="1"/>
    </xf>
    <xf numFmtId="0" fontId="0" fillId="70" borderId="68" xfId="0" applyFill="1" applyBorder="1" applyAlignment="1">
      <alignment horizontal="center" vertical="center" wrapText="1"/>
    </xf>
    <xf numFmtId="0" fontId="0" fillId="70" borderId="81" xfId="0" applyFill="1" applyBorder="1" applyAlignment="1">
      <alignment horizontal="center" vertical="center" wrapText="1"/>
    </xf>
    <xf numFmtId="0" fontId="128" fillId="70" borderId="0" xfId="0" applyFont="1" applyFill="1" applyAlignment="1">
      <alignment horizontal="left" vertical="center" wrapText="1"/>
    </xf>
    <xf numFmtId="0" fontId="0" fillId="0" borderId="0" xfId="0" applyAlignment="1">
      <alignment horizontal="left" wrapText="1"/>
    </xf>
    <xf numFmtId="0" fontId="46" fillId="83" borderId="32" xfId="12" applyFill="1" applyAlignment="1" applyProtection="1">
      <alignment horizontal="center" vertical="center"/>
      <protection locked="0"/>
    </xf>
    <xf numFmtId="0" fontId="46" fillId="0" borderId="0" xfId="12" applyFill="1" applyBorder="1" applyAlignment="1" applyProtection="1">
      <alignment horizontal="center" vertical="center"/>
      <protection locked="0"/>
    </xf>
    <xf numFmtId="0" fontId="3" fillId="0" borderId="133" xfId="0" applyFont="1" applyBorder="1" applyAlignment="1">
      <alignment horizontal="right" vertical="center"/>
    </xf>
    <xf numFmtId="0" fontId="140" fillId="0" borderId="0" xfId="67" applyFont="1" applyFill="1" applyBorder="1" applyAlignment="1" applyProtection="1">
      <alignment horizontal="center" vertical="center"/>
      <protection locked="0"/>
    </xf>
    <xf numFmtId="0" fontId="0" fillId="0" borderId="0" xfId="0" applyAlignment="1">
      <alignment horizontal="center" vertical="center" wrapText="1"/>
    </xf>
    <xf numFmtId="184" fontId="46" fillId="0" borderId="0" xfId="66" applyFont="1" applyFill="1" applyBorder="1" applyAlignment="1" applyProtection="1">
      <alignment horizontal="center" vertical="center"/>
      <protection locked="0"/>
    </xf>
    <xf numFmtId="0" fontId="0" fillId="0" borderId="0" xfId="0" applyAlignment="1">
      <alignment horizontal="center"/>
    </xf>
    <xf numFmtId="0" fontId="57" fillId="78" borderId="78" xfId="0" applyFont="1" applyFill="1" applyBorder="1" applyAlignment="1">
      <alignment horizontal="center" vertical="center" wrapText="1"/>
    </xf>
    <xf numFmtId="0" fontId="57" fillId="78" borderId="65" xfId="0" applyFont="1" applyFill="1" applyBorder="1" applyAlignment="1">
      <alignment horizontal="center" vertical="center" wrapText="1"/>
    </xf>
    <xf numFmtId="0" fontId="57" fillId="78" borderId="80" xfId="0" applyFont="1" applyFill="1" applyBorder="1" applyAlignment="1">
      <alignment horizontal="center" vertical="center" wrapText="1"/>
    </xf>
    <xf numFmtId="0" fontId="57" fillId="78" borderId="94" xfId="0" applyFont="1" applyFill="1" applyBorder="1" applyAlignment="1">
      <alignment horizontal="center" vertical="center"/>
    </xf>
    <xf numFmtId="0" fontId="57" fillId="78" borderId="6" xfId="0" applyFont="1" applyFill="1" applyBorder="1" applyAlignment="1">
      <alignment horizontal="center" vertical="center"/>
    </xf>
    <xf numFmtId="0" fontId="68" fillId="78" borderId="4" xfId="0" applyFont="1" applyFill="1" applyBorder="1" applyAlignment="1">
      <alignment horizontal="center" vertical="center" wrapText="1"/>
    </xf>
    <xf numFmtId="49" fontId="139" fillId="78" borderId="99" xfId="0" applyNumberFormat="1" applyFont="1" applyFill="1" applyBorder="1" applyAlignment="1">
      <alignment horizontal="center" vertical="center" wrapText="1"/>
    </xf>
    <xf numFmtId="49" fontId="139" fillId="78" borderId="18" xfId="0" applyNumberFormat="1" applyFont="1" applyFill="1" applyBorder="1" applyAlignment="1">
      <alignment horizontal="center" vertical="center" wrapText="1"/>
    </xf>
    <xf numFmtId="0" fontId="58" fillId="78" borderId="46" xfId="0" applyFont="1" applyFill="1" applyBorder="1" applyAlignment="1">
      <alignment horizontal="center" vertical="center"/>
    </xf>
    <xf numFmtId="0" fontId="58" fillId="78" borderId="123" xfId="0" applyFont="1" applyFill="1" applyBorder="1" applyAlignment="1">
      <alignment horizontal="center" vertical="center"/>
    </xf>
    <xf numFmtId="0" fontId="58" fillId="78" borderId="47" xfId="0" applyFont="1" applyFill="1" applyBorder="1" applyAlignment="1">
      <alignment horizontal="center" vertical="center"/>
    </xf>
    <xf numFmtId="0" fontId="58" fillId="78" borderId="80" xfId="0" applyFont="1" applyFill="1" applyBorder="1" applyAlignment="1">
      <alignment horizontal="center" vertical="center"/>
    </xf>
    <xf numFmtId="0" fontId="58" fillId="78" borderId="18" xfId="0" applyFont="1" applyFill="1" applyBorder="1" applyAlignment="1">
      <alignment horizontal="center" vertical="center"/>
    </xf>
    <xf numFmtId="0" fontId="58" fillId="78" borderId="6" xfId="0" applyFont="1" applyFill="1" applyBorder="1" applyAlignment="1">
      <alignment horizontal="center" vertical="center"/>
    </xf>
    <xf numFmtId="0" fontId="57" fillId="78" borderId="130" xfId="0" applyFont="1" applyFill="1" applyBorder="1" applyAlignment="1">
      <alignment horizontal="center" vertical="center" wrapText="1"/>
    </xf>
    <xf numFmtId="0" fontId="57" fillId="78" borderId="132" xfId="0" applyFont="1" applyFill="1" applyBorder="1" applyAlignment="1">
      <alignment horizontal="center" vertical="center" wrapText="1"/>
    </xf>
    <xf numFmtId="0" fontId="57" fillId="0" borderId="65" xfId="0" applyFont="1" applyBorder="1" applyAlignment="1">
      <alignment horizontal="left" vertical="center" wrapText="1"/>
    </xf>
    <xf numFmtId="0" fontId="57" fillId="0" borderId="99" xfId="0" applyFont="1" applyBorder="1" applyAlignment="1">
      <alignment horizontal="left" vertical="center" wrapText="1"/>
    </xf>
    <xf numFmtId="0" fontId="57" fillId="0" borderId="94" xfId="0" applyFont="1" applyBorder="1" applyAlignment="1">
      <alignment horizontal="left" vertical="center" wrapText="1"/>
    </xf>
    <xf numFmtId="0" fontId="57" fillId="78" borderId="28" xfId="0" applyFont="1" applyFill="1" applyBorder="1" applyAlignment="1">
      <alignment horizontal="center" vertical="center" wrapText="1"/>
    </xf>
    <xf numFmtId="0" fontId="57" fillId="78" borderId="81" xfId="0" applyFont="1" applyFill="1" applyBorder="1" applyAlignment="1">
      <alignment horizontal="center" vertical="center" wrapText="1"/>
    </xf>
    <xf numFmtId="49" fontId="139" fillId="78" borderId="78" xfId="0" applyNumberFormat="1" applyFont="1" applyFill="1" applyBorder="1" applyAlignment="1">
      <alignment horizontal="center" vertical="center" wrapText="1"/>
    </xf>
    <xf numFmtId="49" fontId="139" fillId="78" borderId="28" xfId="0" applyNumberFormat="1" applyFont="1" applyFill="1" applyBorder="1" applyAlignment="1">
      <alignment horizontal="center" vertical="center" wrapText="1"/>
    </xf>
    <xf numFmtId="49" fontId="139" fillId="78" borderId="68" xfId="0" applyNumberFormat="1" applyFont="1" applyFill="1" applyBorder="1" applyAlignment="1">
      <alignment horizontal="center" vertical="center" wrapText="1"/>
    </xf>
    <xf numFmtId="49" fontId="139" fillId="78" borderId="46" xfId="0" applyNumberFormat="1" applyFont="1" applyFill="1" applyBorder="1" applyAlignment="1">
      <alignment horizontal="center" vertical="center"/>
    </xf>
    <xf numFmtId="49" fontId="139" fillId="78" borderId="123" xfId="0" applyNumberFormat="1" applyFont="1" applyFill="1" applyBorder="1" applyAlignment="1">
      <alignment horizontal="center" vertical="center"/>
    </xf>
    <xf numFmtId="49" fontId="139" fillId="78" borderId="47" xfId="0" applyNumberFormat="1" applyFont="1" applyFill="1" applyBorder="1" applyAlignment="1">
      <alignment horizontal="center" vertical="center"/>
    </xf>
    <xf numFmtId="0" fontId="58" fillId="78" borderId="131" xfId="0" applyFont="1" applyFill="1" applyBorder="1" applyAlignment="1">
      <alignment horizontal="center" vertical="center"/>
    </xf>
    <xf numFmtId="0" fontId="58" fillId="78" borderId="61" xfId="0" applyFont="1" applyFill="1" applyBorder="1" applyAlignment="1">
      <alignment horizontal="center" vertical="center"/>
    </xf>
    <xf numFmtId="0" fontId="58" fillId="78" borderId="62" xfId="0" applyFont="1" applyFill="1" applyBorder="1" applyAlignment="1">
      <alignment horizontal="center" vertical="center"/>
    </xf>
    <xf numFmtId="49" fontId="139" fillId="78" borderId="65" xfId="0" applyNumberFormat="1" applyFont="1" applyFill="1" applyBorder="1" applyAlignment="1">
      <alignment horizontal="center" vertical="center"/>
    </xf>
    <xf numFmtId="49" fontId="139" fillId="78" borderId="94" xfId="0" applyNumberFormat="1" applyFont="1" applyFill="1" applyBorder="1" applyAlignment="1">
      <alignment horizontal="center" vertical="center"/>
    </xf>
    <xf numFmtId="49" fontId="139" fillId="78" borderId="78" xfId="0" applyNumberFormat="1" applyFont="1" applyFill="1" applyBorder="1" applyAlignment="1">
      <alignment horizontal="center" vertical="center"/>
    </xf>
    <xf numFmtId="0" fontId="126" fillId="67" borderId="0" xfId="36" applyFont="1" applyFill="1" applyAlignment="1">
      <alignment horizontal="center" vertical="center" wrapText="1"/>
    </xf>
    <xf numFmtId="0" fontId="126" fillId="7" borderId="0" xfId="0" applyFont="1" applyFill="1" applyAlignment="1">
      <alignment horizontal="center" vertical="center" wrapText="1"/>
    </xf>
    <xf numFmtId="0" fontId="148" fillId="49" borderId="0" xfId="46" applyFont="1" applyFill="1" applyBorder="1" applyAlignment="1">
      <alignment horizontal="center" vertical="center"/>
    </xf>
    <xf numFmtId="0" fontId="90" fillId="9" borderId="0" xfId="0" applyFont="1" applyFill="1" applyAlignment="1">
      <alignment horizontal="right" vertical="center" wrapText="1"/>
    </xf>
    <xf numFmtId="0" fontId="168" fillId="9" borderId="0" xfId="0" applyFont="1" applyFill="1" applyAlignment="1">
      <alignment horizontal="left" vertical="center" wrapText="1"/>
    </xf>
    <xf numFmtId="0" fontId="147" fillId="67" borderId="0" xfId="35" applyFont="1" applyFill="1" applyAlignment="1">
      <alignment horizontal="center" vertical="center"/>
    </xf>
    <xf numFmtId="0" fontId="147" fillId="67" borderId="0" xfId="0" applyFont="1" applyFill="1" applyAlignment="1">
      <alignment horizontal="center" vertical="center"/>
    </xf>
    <xf numFmtId="0" fontId="126" fillId="67" borderId="0" xfId="47" applyFont="1" applyFill="1" applyAlignment="1">
      <alignment horizontal="center" vertical="center" wrapText="1"/>
    </xf>
    <xf numFmtId="0" fontId="126" fillId="67" borderId="0" xfId="38" applyFont="1" applyFill="1" applyAlignment="1">
      <alignment horizontal="center" vertical="center" wrapText="1"/>
    </xf>
    <xf numFmtId="49" fontId="0" fillId="0" borderId="0" xfId="0" applyNumberFormat="1" applyAlignment="1">
      <alignment horizontal="left" vertical="center" wrapText="1"/>
    </xf>
    <xf numFmtId="0" fontId="90" fillId="70" borderId="4" xfId="68" applyFill="1" applyBorder="1" applyAlignment="1">
      <alignment horizontal="center" vertical="center" wrapText="1"/>
    </xf>
    <xf numFmtId="0" fontId="90" fillId="82" borderId="4" xfId="68" applyFill="1" applyBorder="1" applyAlignment="1">
      <alignment horizontal="center" vertical="center" wrapText="1"/>
    </xf>
    <xf numFmtId="0" fontId="90" fillId="70" borderId="28" xfId="68" applyFill="1" applyBorder="1" applyAlignment="1">
      <alignment horizontal="center" vertical="center" wrapText="1"/>
    </xf>
    <xf numFmtId="0" fontId="90" fillId="70" borderId="81" xfId="68" applyFill="1" applyBorder="1" applyAlignment="1">
      <alignment horizontal="center" vertical="center" wrapText="1"/>
    </xf>
    <xf numFmtId="0" fontId="144" fillId="70" borderId="4" xfId="68" applyFont="1" applyFill="1" applyBorder="1" applyAlignment="1">
      <alignment horizontal="center" vertical="center" wrapText="1"/>
    </xf>
    <xf numFmtId="0" fontId="0" fillId="0" borderId="0" xfId="69" applyFont="1" applyAlignment="1">
      <alignment horizontal="left" vertical="center" wrapText="1"/>
    </xf>
    <xf numFmtId="0" fontId="1" fillId="0" borderId="0" xfId="69" applyFont="1" applyAlignment="1">
      <alignment horizontal="left" vertical="center" wrapText="1"/>
    </xf>
    <xf numFmtId="49" fontId="132" fillId="78" borderId="80" xfId="0" applyNumberFormat="1" applyFont="1" applyFill="1" applyBorder="1" applyAlignment="1">
      <alignment horizontal="center" vertical="center"/>
    </xf>
    <xf numFmtId="49" fontId="132" fillId="78" borderId="18" xfId="0" applyNumberFormat="1" applyFont="1" applyFill="1" applyBorder="1" applyAlignment="1">
      <alignment horizontal="center" vertical="center"/>
    </xf>
    <xf numFmtId="0" fontId="0" fillId="0" borderId="0" xfId="0" applyAlignment="1">
      <alignment horizontal="left" vertical="center"/>
    </xf>
    <xf numFmtId="0" fontId="0" fillId="50" borderId="23" xfId="0" applyFill="1" applyBorder="1" applyAlignment="1">
      <alignment horizontal="left" vertical="center" wrapText="1"/>
    </xf>
    <xf numFmtId="0" fontId="0" fillId="50" borderId="44" xfId="0" applyFill="1" applyBorder="1" applyAlignment="1">
      <alignment horizontal="left" vertical="center" wrapText="1"/>
    </xf>
    <xf numFmtId="0" fontId="0" fillId="50" borderId="24" xfId="0" applyFill="1" applyBorder="1" applyAlignment="1">
      <alignment horizontal="left" vertical="center" wrapText="1"/>
    </xf>
    <xf numFmtId="0" fontId="69" fillId="9" borderId="0" xfId="0" applyFont="1" applyFill="1" applyAlignment="1">
      <alignment horizontal="center" vertical="center" textRotation="90"/>
    </xf>
    <xf numFmtId="0" fontId="69" fillId="9" borderId="18" xfId="0" applyFont="1" applyFill="1" applyBorder="1" applyAlignment="1">
      <alignment horizontal="center" vertical="center" textRotation="90"/>
    </xf>
    <xf numFmtId="0" fontId="0" fillId="9" borderId="0" xfId="0" applyFill="1" applyAlignment="1">
      <alignment horizontal="left" vertical="top" wrapText="1"/>
    </xf>
    <xf numFmtId="0" fontId="77" fillId="0" borderId="0" xfId="0" applyFont="1" applyAlignment="1">
      <alignment horizontal="left" vertical="center" wrapText="1"/>
    </xf>
    <xf numFmtId="0" fontId="78" fillId="12" borderId="28" xfId="4" applyFont="1" applyFill="1" applyBorder="1" applyAlignment="1">
      <alignment horizontal="center" vertical="center"/>
    </xf>
    <xf numFmtId="0" fontId="78" fillId="12" borderId="68" xfId="4" applyFont="1" applyFill="1" applyBorder="1" applyAlignment="1">
      <alignment horizontal="center" vertical="center"/>
    </xf>
    <xf numFmtId="0" fontId="78" fillId="51" borderId="94" xfId="4" applyNumberFormat="1" applyFont="1" applyFill="1" applyBorder="1" applyAlignment="1" applyProtection="1">
      <alignment horizontal="center" vertical="center"/>
      <protection locked="0"/>
    </xf>
    <xf numFmtId="0" fontId="78" fillId="51" borderId="79" xfId="4" applyNumberFormat="1" applyFont="1" applyFill="1" applyBorder="1" applyAlignment="1" applyProtection="1">
      <alignment horizontal="center" vertical="center"/>
      <protection locked="0"/>
    </xf>
    <xf numFmtId="0" fontId="78" fillId="51" borderId="6" xfId="4" applyNumberFormat="1" applyFont="1" applyFill="1" applyBorder="1" applyAlignment="1" applyProtection="1">
      <alignment horizontal="center" vertical="center"/>
      <protection locked="0"/>
    </xf>
    <xf numFmtId="0" fontId="0" fillId="0" borderId="113" xfId="0" applyBorder="1" applyAlignment="1">
      <alignment horizontal="right" vertical="center"/>
    </xf>
    <xf numFmtId="0" fontId="0" fillId="0" borderId="115" xfId="0" applyBorder="1" applyAlignment="1">
      <alignment horizontal="right" vertical="center"/>
    </xf>
    <xf numFmtId="0" fontId="2" fillId="49" borderId="91" xfId="0" applyFont="1" applyFill="1" applyBorder="1" applyAlignment="1">
      <alignment horizontal="center"/>
    </xf>
    <xf numFmtId="0" fontId="2" fillId="49" borderId="87" xfId="0" applyFont="1" applyFill="1" applyBorder="1" applyAlignment="1">
      <alignment horizontal="center"/>
    </xf>
    <xf numFmtId="0" fontId="2" fillId="49" borderId="92" xfId="0" applyFont="1" applyFill="1" applyBorder="1" applyAlignment="1">
      <alignment horizontal="center"/>
    </xf>
    <xf numFmtId="0" fontId="14" fillId="50" borderId="109" xfId="0" applyFont="1" applyFill="1" applyBorder="1" applyAlignment="1" applyProtection="1">
      <alignment horizontal="center"/>
      <protection locked="0"/>
    </xf>
    <xf numFmtId="0" fontId="14" fillId="50" borderId="110" xfId="0" applyFont="1" applyFill="1" applyBorder="1" applyAlignment="1" applyProtection="1">
      <alignment horizontal="center"/>
      <protection locked="0"/>
    </xf>
    <xf numFmtId="0" fontId="14" fillId="50" borderId="111" xfId="0" applyFont="1" applyFill="1" applyBorder="1" applyAlignment="1" applyProtection="1">
      <alignment horizontal="center"/>
      <protection locked="0"/>
    </xf>
    <xf numFmtId="0" fontId="2" fillId="49" borderId="112" xfId="0" applyFont="1" applyFill="1" applyBorder="1" applyAlignment="1">
      <alignment horizontal="left"/>
    </xf>
    <xf numFmtId="0" fontId="4" fillId="0" borderId="0" xfId="0" applyFont="1" applyAlignment="1">
      <alignment horizontal="center"/>
    </xf>
    <xf numFmtId="0" fontId="96" fillId="0" borderId="0" xfId="0" applyFont="1" applyAlignment="1">
      <alignment horizontal="left" wrapText="1"/>
    </xf>
    <xf numFmtId="0" fontId="7" fillId="7" borderId="4" xfId="0" applyFont="1" applyFill="1" applyBorder="1" applyAlignment="1">
      <alignment horizontal="center"/>
    </xf>
    <xf numFmtId="0" fontId="7" fillId="7" borderId="46" xfId="0" applyFont="1" applyFill="1" applyBorder="1" applyAlignment="1">
      <alignment horizontal="center"/>
    </xf>
    <xf numFmtId="0" fontId="7" fillId="7" borderId="47" xfId="0" applyFont="1" applyFill="1" applyBorder="1" applyAlignment="1">
      <alignment horizontal="center"/>
    </xf>
    <xf numFmtId="0" fontId="3" fillId="6" borderId="28" xfId="0" applyFont="1" applyFill="1" applyBorder="1" applyAlignment="1">
      <alignment horizontal="center"/>
    </xf>
    <xf numFmtId="0" fontId="3" fillId="50" borderId="0" xfId="0" applyFont="1" applyFill="1" applyAlignment="1">
      <alignment horizontal="center" vertical="center" textRotation="90"/>
    </xf>
    <xf numFmtId="0" fontId="81" fillId="0" borderId="0" xfId="0" applyFont="1" applyAlignment="1">
      <alignment horizontal="left" vertical="top" wrapText="1" indent="2"/>
    </xf>
    <xf numFmtId="0" fontId="10" fillId="9" borderId="0" xfId="64" applyFont="1" applyFill="1" applyAlignment="1">
      <alignment vertical="top" wrapText="1"/>
    </xf>
    <xf numFmtId="49" fontId="105" fillId="63" borderId="18" xfId="64" applyNumberFormat="1" applyFont="1" applyFill="1" applyBorder="1" applyAlignment="1">
      <alignment horizontal="left"/>
    </xf>
    <xf numFmtId="0" fontId="106" fillId="9" borderId="99" xfId="64" applyFont="1" applyFill="1" applyBorder="1"/>
    <xf numFmtId="0" fontId="9" fillId="0" borderId="105" xfId="64" applyFont="1" applyBorder="1" applyAlignment="1">
      <alignment horizontal="left" vertical="top" wrapText="1"/>
    </xf>
    <xf numFmtId="0" fontId="9" fillId="0" borderId="106" xfId="64" applyFont="1" applyBorder="1" applyAlignment="1">
      <alignment horizontal="left" vertical="top" wrapText="1"/>
    </xf>
    <xf numFmtId="0" fontId="9" fillId="0" borderId="107" xfId="64" applyFont="1" applyBorder="1" applyAlignment="1">
      <alignment horizontal="left" vertical="top" wrapText="1"/>
    </xf>
    <xf numFmtId="0" fontId="10" fillId="9" borderId="108" xfId="64" applyFont="1" applyFill="1" applyBorder="1" applyAlignment="1">
      <alignment horizontal="left" vertical="top" wrapText="1"/>
    </xf>
    <xf numFmtId="0" fontId="112" fillId="9" borderId="0" xfId="64" applyFont="1" applyFill="1" applyAlignment="1">
      <alignment horizontal="left" vertical="top" wrapText="1"/>
    </xf>
    <xf numFmtId="0" fontId="117" fillId="9" borderId="0" xfId="64" applyFont="1" applyFill="1" applyAlignment="1">
      <alignment vertical="top"/>
    </xf>
    <xf numFmtId="0" fontId="10" fillId="9" borderId="0" xfId="64" applyFont="1" applyFill="1" applyAlignment="1">
      <alignment horizontal="left" vertical="top" wrapText="1"/>
    </xf>
    <xf numFmtId="0" fontId="112" fillId="9" borderId="0" xfId="64" applyFont="1" applyFill="1" applyAlignment="1">
      <alignment vertical="top"/>
    </xf>
    <xf numFmtId="0" fontId="9" fillId="9" borderId="0" xfId="64" applyFont="1" applyFill="1" applyAlignment="1">
      <alignment horizontal="left" vertical="top" wrapText="1"/>
    </xf>
    <xf numFmtId="0" fontId="24" fillId="47" borderId="60" xfId="0" applyFont="1" applyFill="1" applyBorder="1" applyAlignment="1">
      <alignment horizontal="center"/>
    </xf>
    <xf numFmtId="0" fontId="24" fillId="47" borderId="61" xfId="0" applyFont="1" applyFill="1" applyBorder="1" applyAlignment="1">
      <alignment horizontal="center"/>
    </xf>
    <xf numFmtId="0" fontId="24" fillId="47" borderId="62" xfId="0" applyFont="1" applyFill="1" applyBorder="1" applyAlignment="1">
      <alignment horizontal="center"/>
    </xf>
    <xf numFmtId="0" fontId="15" fillId="0" borderId="0" xfId="0" applyFont="1" applyAlignment="1">
      <alignment horizontal="left" vertical="center" wrapText="1"/>
    </xf>
    <xf numFmtId="0" fontId="19" fillId="0" borderId="0" xfId="0" applyFont="1" applyAlignment="1">
      <alignment horizontal="left"/>
    </xf>
    <xf numFmtId="0" fontId="38" fillId="9" borderId="4" xfId="0" applyFont="1" applyFill="1" applyBorder="1" applyAlignment="1">
      <alignment horizontal="left" vertical="top" wrapText="1"/>
    </xf>
    <xf numFmtId="0" fontId="3" fillId="6" borderId="64" xfId="0" applyFont="1" applyFill="1" applyBorder="1" applyAlignment="1">
      <alignment horizontal="left" vertical="center" wrapText="1"/>
    </xf>
    <xf numFmtId="0" fontId="3" fillId="6" borderId="67" xfId="0" applyFont="1" applyFill="1" applyBorder="1" applyAlignment="1">
      <alignment horizontal="left" vertical="center" wrapText="1"/>
    </xf>
    <xf numFmtId="0" fontId="3" fillId="6" borderId="49" xfId="0" applyFont="1" applyFill="1" applyBorder="1" applyAlignment="1">
      <alignment horizontal="left" vertical="center" wrapText="1"/>
    </xf>
    <xf numFmtId="0" fontId="3" fillId="6" borderId="84" xfId="0" applyFont="1" applyFill="1" applyBorder="1" applyAlignment="1">
      <alignment horizontal="left" vertical="center" wrapText="1"/>
    </xf>
    <xf numFmtId="0" fontId="0" fillId="9" borderId="0" xfId="0" applyFill="1" applyBorder="1" applyAlignment="1">
      <alignment horizontal="center" vertical="center"/>
    </xf>
    <xf numFmtId="49" fontId="0" fillId="9" borderId="0" xfId="0" applyNumberFormat="1" applyFill="1" applyBorder="1" applyAlignment="1">
      <alignment horizontal="left" vertical="center"/>
    </xf>
    <xf numFmtId="0" fontId="0" fillId="9" borderId="0" xfId="0" applyFill="1" applyBorder="1" applyAlignment="1">
      <alignment vertical="center"/>
    </xf>
  </cellXfs>
  <cellStyles count="70">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2" xr:uid="{00000000-0005-0000-0000-00000C000000}"/>
    <cellStyle name="60% - Accent2 2" xfId="43" xr:uid="{00000000-0005-0000-0000-00000D000000}"/>
    <cellStyle name="60% - Accent3 2" xfId="44" xr:uid="{00000000-0005-0000-0000-00000E000000}"/>
    <cellStyle name="60% - Accent4 2" xfId="45" xr:uid="{00000000-0005-0000-0000-00000F000000}"/>
    <cellStyle name="60% - Accent5 2" xfId="46" xr:uid="{00000000-0005-0000-0000-000010000000}"/>
    <cellStyle name="60% - Accent6 2" xfId="47"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Body: normal cell" xfId="40" xr:uid="{00000000-0005-0000-0000-000019000000}"/>
    <cellStyle name="Calculation" xfId="14" builtinId="22" customBuiltin="1"/>
    <cellStyle name="Check Cell" xfId="16" builtinId="23" customBuiltin="1"/>
    <cellStyle name="Comma" xfId="3" builtinId="3"/>
    <cellStyle name="Comma 2" xfId="66" xr:uid="{00000000-0005-0000-0000-00001D000000}"/>
    <cellStyle name="Currency" xfId="1" builtinId="4"/>
    <cellStyle name="Explanatory Text" xfId="19" builtinId="53" customBuiltin="1"/>
    <cellStyle name="Followed Hyperlink 2" xfId="48" xr:uid="{00000000-0005-0000-0000-000020000000}"/>
    <cellStyle name="Font: Calibri, 9pt regular" xfId="49" xr:uid="{00000000-0005-0000-0000-000021000000}"/>
    <cellStyle name="Footnotes: all except top row" xfId="50" xr:uid="{00000000-0005-0000-0000-000022000000}"/>
    <cellStyle name="Footnotes: top row" xfId="51" xr:uid="{00000000-0005-0000-0000-000023000000}"/>
    <cellStyle name="Good" xfId="10" builtinId="26" customBuiltin="1"/>
    <cellStyle name="Header: bottom row" xfId="52" xr:uid="{00000000-0005-0000-0000-000025000000}"/>
    <cellStyle name="Header: top rows" xfId="53" xr:uid="{00000000-0005-0000-0000-000026000000}"/>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Hyperlink 2" xfId="54" xr:uid="{00000000-0005-0000-0000-00002C000000}"/>
    <cellStyle name="Hyperlink 3" xfId="65" xr:uid="{00000000-0005-0000-0000-00002D000000}"/>
    <cellStyle name="Hyperlink 4" xfId="67" xr:uid="{00000000-0005-0000-0000-00002E000000}"/>
    <cellStyle name="Input" xfId="12" builtinId="20" customBuiltin="1"/>
    <cellStyle name="Linked Cell" xfId="15" builtinId="24" customBuiltin="1"/>
    <cellStyle name="Neutral 2" xfId="55" xr:uid="{00000000-0005-0000-0000-000031000000}"/>
    <cellStyle name="Normal" xfId="0" builtinId="0"/>
    <cellStyle name="Normal 128" xfId="39" xr:uid="{00000000-0005-0000-0000-000033000000}"/>
    <cellStyle name="Normal 2" xfId="56" xr:uid="{00000000-0005-0000-0000-000034000000}"/>
    <cellStyle name="Normal 2 2" xfId="5" xr:uid="{00000000-0005-0000-0000-000035000000}"/>
    <cellStyle name="Normal 2 3" xfId="61" xr:uid="{00000000-0005-0000-0000-000036000000}"/>
    <cellStyle name="Normal 3" xfId="62" xr:uid="{00000000-0005-0000-0000-000037000000}"/>
    <cellStyle name="Normal 3 2" xfId="63" xr:uid="{00000000-0005-0000-0000-000038000000}"/>
    <cellStyle name="Normal 3 3" xfId="68" xr:uid="{00000000-0005-0000-0000-000039000000}"/>
    <cellStyle name="Normal 4" xfId="64" xr:uid="{00000000-0005-0000-0000-00003A000000}"/>
    <cellStyle name="Normal 4 2" xfId="69" xr:uid="{00000000-0005-0000-0000-00003B000000}"/>
    <cellStyle name="Note" xfId="18" builtinId="10" customBuiltin="1"/>
    <cellStyle name="Output" xfId="13" builtinId="21" customBuiltin="1"/>
    <cellStyle name="Parent row" xfId="57" xr:uid="{00000000-0005-0000-0000-00003E000000}"/>
    <cellStyle name="Percent" xfId="2" builtinId="5"/>
    <cellStyle name="Section Break" xfId="58" xr:uid="{00000000-0005-0000-0000-000040000000}"/>
    <cellStyle name="Section Break: parent row" xfId="59" xr:uid="{00000000-0005-0000-0000-000041000000}"/>
    <cellStyle name="Table title" xfId="41" xr:uid="{00000000-0005-0000-0000-000042000000}"/>
    <cellStyle name="Title 2" xfId="60" xr:uid="{00000000-0005-0000-0000-000043000000}"/>
    <cellStyle name="Total" xfId="20" builtinId="25" customBuiltin="1"/>
    <cellStyle name="Warning Text" xfId="17" builtinId="11" customBuiltin="1"/>
  </cellStyles>
  <dxfs count="502">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solid">
          <fgColor rgb="FFFFFF00"/>
          <bgColor rgb="FF000000"/>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81" formatCode="General_)"/>
      <fill>
        <patternFill patternType="solid">
          <fgColor theme="4"/>
          <bgColor theme="4"/>
        </patternFill>
      </fill>
    </dxf>
    <dxf>
      <alignment horizontal="center"/>
    </dxf>
    <dxf>
      <alignment horizontal="center"/>
    </dxf>
    <dxf>
      <font>
        <color rgb="FF0000FF"/>
      </font>
    </dxf>
    <dxf>
      <font>
        <color rgb="FF0000FF"/>
      </font>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fill>
        <patternFill patternType="solid">
          <bgColor rgb="FFFFFF00"/>
        </patternFill>
      </fill>
    </dxf>
    <dxf>
      <fill>
        <patternFill patternType="solid">
          <bgColor rgb="FFFFFF00"/>
        </patternFill>
      </fill>
    </dxf>
    <dxf>
      <font>
        <b/>
        <color theme="0"/>
      </font>
      <fill>
        <patternFill patternType="solid">
          <fgColor indexed="64"/>
          <bgColor theme="7" tint="0.39997558519241921"/>
        </patternFill>
      </fill>
      <alignment horizontal="left" vertical="center" wrapText="1"/>
    </dxf>
    <dxf>
      <font>
        <b/>
        <color theme="0"/>
      </font>
      <fill>
        <patternFill patternType="solid">
          <fgColor indexed="64"/>
          <bgColor theme="7" tint="0.39997558519241921"/>
        </patternFill>
      </fill>
      <alignment horizontal="left" vertical="center"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vertical style="thin">
          <color indexed="64"/>
        </vertical>
        <horizontal style="thin">
          <color indexed="64"/>
        </horizontal>
      </border>
    </dxf>
    <dxf>
      <fill>
        <patternFill patternType="solid">
          <bgColor rgb="FFFFFF00"/>
        </patternFill>
      </fill>
    </dxf>
    <dxf>
      <font>
        <b/>
        <color theme="0"/>
      </font>
      <fill>
        <patternFill patternType="solid">
          <fgColor indexed="64"/>
          <bgColor rgb="FF00B0F0"/>
        </patternFill>
      </fill>
      <alignment horizontal="left" vertical="center" wrapText="1"/>
    </dxf>
    <dxf>
      <font>
        <b/>
        <color theme="0"/>
      </font>
      <fill>
        <patternFill patternType="solid">
          <fgColor indexed="64"/>
          <bgColor rgb="FF00B0F0"/>
        </patternFill>
      </fill>
      <alignment horizontal="left" vertical="center"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numFmt numFmtId="171" formatCode="0.0000"/>
    </dxf>
    <dxf>
      <numFmt numFmtId="171" formatCode="0.0000"/>
    </dxf>
    <dxf>
      <fill>
        <patternFill patternType="solid">
          <bgColor rgb="FFFFFF00"/>
        </patternFill>
      </fill>
    </dxf>
    <dxf>
      <font>
        <b/>
        <color theme="0"/>
      </font>
      <fill>
        <patternFill patternType="solid">
          <fgColor indexed="64"/>
          <bgColor theme="5" tint="-0.249977111117893"/>
        </patternFill>
      </fill>
      <alignment horizontal="left" vertical="center" wrapText="1"/>
    </dxf>
    <dxf>
      <font>
        <b/>
        <color theme="0"/>
      </font>
      <fill>
        <patternFill patternType="solid">
          <fgColor indexed="64"/>
          <bgColor theme="5" tint="-0.249977111117893"/>
        </patternFill>
      </fill>
      <alignment horizontal="left" vertical="center"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right/>
        <top/>
        <bottom style="thick">
          <color theme="4"/>
        </bottom>
        <vertical/>
        <horizontal/>
      </border>
    </dxf>
    <dxf>
      <border>
        <left/>
        <right/>
        <top/>
        <bottom/>
        <vertical/>
        <horizontal style="dotted">
          <color theme="0" tint="-0.24994659260841701"/>
        </horizontal>
      </border>
    </dxf>
  </dxfs>
  <tableStyles count="2" defaultTableStyle="TableStyleMedium2" defaultPivotStyle="PivotStyleLight16">
    <tableStyle name="Invisible" pivot="0" table="0" count="0" xr9:uid="{00000000-0011-0000-FFFF-FFFF00000000}"/>
    <tableStyle name="Table Style 1" pivot="0" count="2" xr9:uid="{00000000-0011-0000-FFFF-FFFF01000000}">
      <tableStyleElement type="wholeTable" dxfId="501"/>
      <tableStyleElement type="headerRow" dxfId="50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DCEF9"/>
      <color rgb="FF71CCF5"/>
      <color rgb="FF9BE686"/>
      <color rgb="FFD2E7D6"/>
      <color rgb="FFC2DE91"/>
      <color rgb="FF679436"/>
      <color rgb="FFFFA101"/>
      <color rgb="FFDAF6FF"/>
      <color rgb="FF94E494"/>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pivotCacheDefinition" Target="pivotCache/pivotCacheDefinition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pivotCacheDefinition" Target="pivotCache/pivotCacheDefinition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microsoft.com/office/2017/10/relationships/person" Target="persons/perso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AR" sz="1600" b="1" i="0" u="none" strike="noStrike" kern="1200" cap="none" spc="50" baseline="0">
                <a:solidFill>
                  <a:sysClr val="windowText" lastClr="000000">
                    <a:lumMod val="65000"/>
                    <a:lumOff val="35000"/>
                  </a:sysClr>
                </a:solidFill>
                <a:effectLst/>
                <a:latin typeface="+mn-lt"/>
                <a:ea typeface="+mn-ea"/>
                <a:cs typeface="+mn-cs"/>
              </a:defRPr>
            </a:pPr>
            <a:r>
              <a:rPr lang="es-AR" sz="1600" b="1" i="0" u="none" strike="noStrike" kern="1200" cap="none" spc="50" baseline="0">
                <a:solidFill>
                  <a:sysClr val="windowText" lastClr="000000">
                    <a:lumMod val="65000"/>
                    <a:lumOff val="35000"/>
                  </a:sysClr>
                </a:solidFill>
                <a:effectLst/>
                <a:latin typeface="+mn-lt"/>
                <a:ea typeface="+mn-ea"/>
                <a:cs typeface="+mn-cs"/>
              </a:rPr>
              <a:t>Total Scope 1 and 2 GHG Emissions</a:t>
            </a:r>
          </a:p>
        </c:rich>
      </c:tx>
      <c:layout>
        <c:manualLayout>
          <c:xMode val="edge"/>
          <c:yMode val="edge"/>
          <c:x val="0.13379453387825996"/>
          <c:y val="3.4748335854988599E-2"/>
        </c:manualLayout>
      </c:layout>
      <c:overlay val="0"/>
    </c:title>
    <c:autoTitleDeleted val="0"/>
    <c:plotArea>
      <c:layout/>
      <c:barChart>
        <c:barDir val="col"/>
        <c:grouping val="percentStacked"/>
        <c:varyColors val="0"/>
        <c:ser>
          <c:idx val="0"/>
          <c:order val="0"/>
          <c:tx>
            <c:strRef>
              <c:f>'Results &amp; Summary'!$L$34</c:f>
              <c:strCache>
                <c:ptCount val="1"/>
                <c:pt idx="0">
                  <c:v>Scope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Instructions!$C$6</c:f>
              <c:numCache>
                <c:formatCode>General</c:formatCode>
                <c:ptCount val="1"/>
              </c:numCache>
            </c:numRef>
          </c:cat>
          <c:val>
            <c:numRef>
              <c:f>'Results &amp; Summary'!$M$34</c:f>
              <c:numCache>
                <c:formatCode>_-* #,##0.00_-;\-* #,##0.00_-;_-* "-"??_-;_-@_-</c:formatCode>
                <c:ptCount val="1"/>
                <c:pt idx="0">
                  <c:v>0</c:v>
                </c:pt>
              </c:numCache>
            </c:numRef>
          </c:val>
          <c:extLst>
            <c:ext xmlns:c16="http://schemas.microsoft.com/office/drawing/2014/chart" uri="{C3380CC4-5D6E-409C-BE32-E72D297353CC}">
              <c16:uniqueId val="{00000000-C1D7-41D3-B362-AE8CF46C04C1}"/>
            </c:ext>
          </c:extLst>
        </c:ser>
        <c:ser>
          <c:idx val="1"/>
          <c:order val="1"/>
          <c:tx>
            <c:strRef>
              <c:f>'Results &amp; Summary'!$L$35</c:f>
              <c:strCache>
                <c:ptCount val="1"/>
                <c:pt idx="0">
                  <c:v>Scope 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Instructions!$C$6</c:f>
              <c:numCache>
                <c:formatCode>General</c:formatCode>
                <c:ptCount val="1"/>
              </c:numCache>
            </c:numRef>
          </c:cat>
          <c:val>
            <c:numRef>
              <c:f>'Results &amp; Summary'!$M$35</c:f>
              <c:numCache>
                <c:formatCode>_-* #,##0.00_-;\-* #,##0.00_-;_-* "-"??_-;_-@_-</c:formatCode>
                <c:ptCount val="1"/>
                <c:pt idx="0">
                  <c:v>0</c:v>
                </c:pt>
              </c:numCache>
            </c:numRef>
          </c:val>
          <c:extLst>
            <c:ext xmlns:c16="http://schemas.microsoft.com/office/drawing/2014/chart" uri="{C3380CC4-5D6E-409C-BE32-E72D297353CC}">
              <c16:uniqueId val="{00000001-C1D7-41D3-B362-AE8CF46C04C1}"/>
            </c:ext>
          </c:extLst>
        </c:ser>
        <c:dLbls>
          <c:showLegendKey val="0"/>
          <c:showVal val="0"/>
          <c:showCatName val="0"/>
          <c:showSerName val="0"/>
          <c:showPercent val="0"/>
          <c:showBubbleSize val="0"/>
        </c:dLbls>
        <c:gapWidth val="150"/>
        <c:overlap val="100"/>
        <c:axId val="205998336"/>
        <c:axId val="206004224"/>
      </c:barChart>
      <c:catAx>
        <c:axId val="205998336"/>
        <c:scaling>
          <c:orientation val="minMax"/>
        </c:scaling>
        <c:delete val="0"/>
        <c:axPos val="b"/>
        <c:numFmt formatCode="General" sourceLinked="0"/>
        <c:majorTickMark val="out"/>
        <c:minorTickMark val="none"/>
        <c:tickLblPos val="nextTo"/>
        <c:txPr>
          <a:bodyPr/>
          <a:lstStyle/>
          <a:p>
            <a:pPr>
              <a:defRPr sz="1200" b="1"/>
            </a:pPr>
            <a:endParaRPr lang="en-US"/>
          </a:p>
        </c:txPr>
        <c:crossAx val="206004224"/>
        <c:crosses val="autoZero"/>
        <c:auto val="1"/>
        <c:lblAlgn val="ctr"/>
        <c:lblOffset val="100"/>
        <c:noMultiLvlLbl val="0"/>
      </c:catAx>
      <c:valAx>
        <c:axId val="206004224"/>
        <c:scaling>
          <c:orientation val="minMax"/>
        </c:scaling>
        <c:delete val="0"/>
        <c:axPos val="l"/>
        <c:majorGridlines/>
        <c:numFmt formatCode="0%" sourceLinked="1"/>
        <c:majorTickMark val="out"/>
        <c:minorTickMark val="none"/>
        <c:tickLblPos val="nextTo"/>
        <c:crossAx val="205998336"/>
        <c:crosses val="autoZero"/>
        <c:crossBetween val="between"/>
      </c:valAx>
    </c:plotArea>
    <c:legend>
      <c:legendPos val="r"/>
      <c:layout>
        <c:manualLayout>
          <c:xMode val="edge"/>
          <c:yMode val="edge"/>
          <c:x val="0.82768011319964052"/>
          <c:y val="8.6233976955638378E-2"/>
          <c:w val="0.15664405971436654"/>
          <c:h val="0.83495154889315526"/>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AR" sz="1400" b="1" i="0" u="none" strike="noStrike" kern="1200" cap="none" spc="50" baseline="0">
                <a:solidFill>
                  <a:sysClr val="windowText" lastClr="000000">
                    <a:lumMod val="65000"/>
                    <a:lumOff val="35000"/>
                  </a:sysClr>
                </a:solidFill>
                <a:effectLst/>
                <a:latin typeface="+mn-lt"/>
                <a:ea typeface="+mn-ea"/>
                <a:cs typeface="+mn-cs"/>
              </a:defRPr>
            </a:pPr>
            <a:r>
              <a:rPr lang="es-AR" sz="1400" b="1" i="0" baseline="0">
                <a:effectLst/>
              </a:rPr>
              <a:t>Total emissions per source </a:t>
            </a:r>
            <a:endParaRPr lang="en-US" sz="1400">
              <a:effectLst/>
            </a:endParaRPr>
          </a:p>
        </c:rich>
      </c:tx>
      <c:layout>
        <c:manualLayout>
          <c:xMode val="edge"/>
          <c:yMode val="edge"/>
          <c:x val="6.452105577200283E-2"/>
          <c:y val="2.0109426509801506E-2"/>
        </c:manualLayout>
      </c:layout>
      <c:overlay val="0"/>
    </c:title>
    <c:autoTitleDeleted val="0"/>
    <c:plotArea>
      <c:layout/>
      <c:barChart>
        <c:barDir val="col"/>
        <c:grouping val="percentStacked"/>
        <c:varyColors val="0"/>
        <c:ser>
          <c:idx val="0"/>
          <c:order val="0"/>
          <c:tx>
            <c:strRef>
              <c:f>'Results &amp; Summary'!$B$8</c:f>
              <c:strCache>
                <c:ptCount val="1"/>
                <c:pt idx="0">
                  <c:v>Stationary Combustion</c:v>
                </c:pt>
              </c:strCache>
            </c:strRef>
          </c:tx>
          <c:spPr>
            <a:solidFill>
              <a:srgbClr val="007EA7"/>
            </a:solidFill>
          </c:spPr>
          <c:invertIfNegative val="0"/>
          <c:cat>
            <c:numRef>
              <c:f>Instructions!$C$6</c:f>
              <c:numCache>
                <c:formatCode>General</c:formatCode>
                <c:ptCount val="1"/>
              </c:numCache>
            </c:numRef>
          </c:cat>
          <c:val>
            <c:numRef>
              <c:f>'Results &amp; Summary'!$H$8</c:f>
              <c:numCache>
                <c:formatCode>General</c:formatCode>
                <c:ptCount val="1"/>
                <c:pt idx="0">
                  <c:v>0</c:v>
                </c:pt>
              </c:numCache>
            </c:numRef>
          </c:val>
          <c:extLst>
            <c:ext xmlns:c16="http://schemas.microsoft.com/office/drawing/2014/chart" uri="{C3380CC4-5D6E-409C-BE32-E72D297353CC}">
              <c16:uniqueId val="{00000000-E57D-44ED-AA53-2F8190CE8C35}"/>
            </c:ext>
          </c:extLst>
        </c:ser>
        <c:ser>
          <c:idx val="1"/>
          <c:order val="1"/>
          <c:tx>
            <c:strRef>
              <c:f>'Results &amp; Summary'!$B$9</c:f>
              <c:strCache>
                <c:ptCount val="1"/>
                <c:pt idx="0">
                  <c:v>Mobile Combustion</c:v>
                </c:pt>
              </c:strCache>
            </c:strRef>
          </c:tx>
          <c:spPr>
            <a:solidFill>
              <a:srgbClr val="0096FF"/>
            </a:solidFill>
          </c:spPr>
          <c:invertIfNegative val="0"/>
          <c:cat>
            <c:numRef>
              <c:f>Instructions!$C$6</c:f>
              <c:numCache>
                <c:formatCode>General</c:formatCode>
                <c:ptCount val="1"/>
              </c:numCache>
            </c:numRef>
          </c:cat>
          <c:val>
            <c:numRef>
              <c:f>'Results &amp; Summary'!$H$9</c:f>
              <c:numCache>
                <c:formatCode>General</c:formatCode>
                <c:ptCount val="1"/>
                <c:pt idx="0">
                  <c:v>0</c:v>
                </c:pt>
              </c:numCache>
            </c:numRef>
          </c:val>
          <c:extLst>
            <c:ext xmlns:c16="http://schemas.microsoft.com/office/drawing/2014/chart" uri="{C3380CC4-5D6E-409C-BE32-E72D297353CC}">
              <c16:uniqueId val="{00000001-E57D-44ED-AA53-2F8190CE8C35}"/>
            </c:ext>
          </c:extLst>
        </c:ser>
        <c:ser>
          <c:idx val="2"/>
          <c:order val="2"/>
          <c:tx>
            <c:strRef>
              <c:f>'Results &amp; Summary'!$B$11</c:f>
              <c:strCache>
                <c:ptCount val="1"/>
                <c:pt idx="0">
                  <c:v>Refrigerants and Fire Suppression</c:v>
                </c:pt>
              </c:strCache>
            </c:strRef>
          </c:tx>
          <c:spPr>
            <a:solidFill>
              <a:srgbClr val="0C8B6A"/>
            </a:solidFill>
          </c:spPr>
          <c:invertIfNegative val="0"/>
          <c:cat>
            <c:numRef>
              <c:f>Instructions!$C$6</c:f>
              <c:numCache>
                <c:formatCode>General</c:formatCode>
                <c:ptCount val="1"/>
              </c:numCache>
            </c:numRef>
          </c:cat>
          <c:val>
            <c:numRef>
              <c:f>'Results &amp; Summary'!$H$11</c:f>
              <c:numCache>
                <c:formatCode>General</c:formatCode>
                <c:ptCount val="1"/>
                <c:pt idx="0">
                  <c:v>0</c:v>
                </c:pt>
              </c:numCache>
            </c:numRef>
          </c:val>
          <c:extLst>
            <c:ext xmlns:c16="http://schemas.microsoft.com/office/drawing/2014/chart" uri="{C3380CC4-5D6E-409C-BE32-E72D297353CC}">
              <c16:uniqueId val="{00000002-E57D-44ED-AA53-2F8190CE8C35}"/>
            </c:ext>
          </c:extLst>
        </c:ser>
        <c:ser>
          <c:idx val="3"/>
          <c:order val="3"/>
          <c:tx>
            <c:strRef>
              <c:f>'Results &amp; Summary'!$B$12</c:f>
              <c:strCache>
                <c:ptCount val="1"/>
                <c:pt idx="0">
                  <c:v>Inhaled Anesthetic Gases</c:v>
                </c:pt>
              </c:strCache>
            </c:strRef>
          </c:tx>
          <c:spPr>
            <a:solidFill>
              <a:srgbClr val="76D6FF"/>
            </a:solidFill>
          </c:spPr>
          <c:invertIfNegative val="0"/>
          <c:cat>
            <c:numRef>
              <c:f>Instructions!$C$6</c:f>
              <c:numCache>
                <c:formatCode>General</c:formatCode>
                <c:ptCount val="1"/>
              </c:numCache>
            </c:numRef>
          </c:cat>
          <c:val>
            <c:numRef>
              <c:f>'Results &amp; Summary'!$H$12</c:f>
              <c:numCache>
                <c:formatCode>General</c:formatCode>
                <c:ptCount val="1"/>
                <c:pt idx="0">
                  <c:v>0</c:v>
                </c:pt>
              </c:numCache>
            </c:numRef>
          </c:val>
          <c:extLst>
            <c:ext xmlns:c16="http://schemas.microsoft.com/office/drawing/2014/chart" uri="{C3380CC4-5D6E-409C-BE32-E72D297353CC}">
              <c16:uniqueId val="{00000003-E57D-44ED-AA53-2F8190CE8C35}"/>
            </c:ext>
          </c:extLst>
        </c:ser>
        <c:ser>
          <c:idx val="4"/>
          <c:order val="4"/>
          <c:tx>
            <c:strRef>
              <c:f>'Results &amp; Summary'!$B$21</c:f>
              <c:strCache>
                <c:ptCount val="1"/>
                <c:pt idx="0">
                  <c:v>Purchased Electricity</c:v>
                </c:pt>
              </c:strCache>
            </c:strRef>
          </c:tx>
          <c:spPr>
            <a:solidFill>
              <a:srgbClr val="DC4405"/>
            </a:solidFill>
          </c:spPr>
          <c:invertIfNegative val="0"/>
          <c:cat>
            <c:numRef>
              <c:f>Instructions!$C$6</c:f>
              <c:numCache>
                <c:formatCode>General</c:formatCode>
                <c:ptCount val="1"/>
              </c:numCache>
            </c:numRef>
          </c:cat>
          <c:val>
            <c:numRef>
              <c:f>'Results &amp; Summary'!$H$21</c:f>
              <c:numCache>
                <c:formatCode>General</c:formatCode>
                <c:ptCount val="1"/>
                <c:pt idx="0">
                  <c:v>0</c:v>
                </c:pt>
              </c:numCache>
            </c:numRef>
          </c:val>
          <c:extLst>
            <c:ext xmlns:c16="http://schemas.microsoft.com/office/drawing/2014/chart" uri="{C3380CC4-5D6E-409C-BE32-E72D297353CC}">
              <c16:uniqueId val="{00000004-E57D-44ED-AA53-2F8190CE8C35}"/>
            </c:ext>
          </c:extLst>
        </c:ser>
        <c:ser>
          <c:idx val="11"/>
          <c:order val="5"/>
          <c:tx>
            <c:strRef>
              <c:f>'Results &amp; Summary'!$B$22</c:f>
              <c:strCache>
                <c:ptCount val="1"/>
                <c:pt idx="0">
                  <c:v>Purchased Steam, Hot and Chilled Water</c:v>
                </c:pt>
              </c:strCache>
            </c:strRef>
          </c:tx>
          <c:spPr>
            <a:solidFill>
              <a:srgbClr val="F89614"/>
            </a:solidFill>
          </c:spPr>
          <c:invertIfNegative val="0"/>
          <c:cat>
            <c:numRef>
              <c:f>Instructions!$C$6</c:f>
              <c:numCache>
                <c:formatCode>General</c:formatCode>
                <c:ptCount val="1"/>
              </c:numCache>
            </c:numRef>
          </c:cat>
          <c:val>
            <c:numRef>
              <c:f>'Results &amp; Summary'!$H$22</c:f>
              <c:numCache>
                <c:formatCode>General</c:formatCode>
                <c:ptCount val="1"/>
                <c:pt idx="0">
                  <c:v>0</c:v>
                </c:pt>
              </c:numCache>
            </c:numRef>
          </c:val>
          <c:extLst>
            <c:ext xmlns:c16="http://schemas.microsoft.com/office/drawing/2014/chart" uri="{C3380CC4-5D6E-409C-BE32-E72D297353CC}">
              <c16:uniqueId val="{00000005-E57D-44ED-AA53-2F8190CE8C35}"/>
            </c:ext>
          </c:extLst>
        </c:ser>
        <c:dLbls>
          <c:showLegendKey val="0"/>
          <c:showVal val="0"/>
          <c:showCatName val="0"/>
          <c:showSerName val="0"/>
          <c:showPercent val="0"/>
          <c:showBubbleSize val="0"/>
        </c:dLbls>
        <c:gapWidth val="150"/>
        <c:overlap val="100"/>
        <c:axId val="205998336"/>
        <c:axId val="206004224"/>
        <c:extLst>
          <c:ext xmlns:c15="http://schemas.microsoft.com/office/drawing/2012/chart" uri="{02D57815-91ED-43cb-92C2-25804820EDAC}">
            <c15:filteredBarSeries>
              <c15:ser>
                <c:idx val="8"/>
                <c:order val="6"/>
                <c:tx>
                  <c:strRef>
                    <c:extLst>
                      <c:ext uri="{02D57815-91ED-43cb-92C2-25804820EDAC}">
                        <c15:formulaRef>
                          <c15:sqref>'Results &amp; Summary'!$B$25</c15:sqref>
                        </c15:formulaRef>
                      </c:ext>
                    </c:extLst>
                    <c:strCache>
                      <c:ptCount val="1"/>
                      <c:pt idx="0">
                        <c:v>Capital goods</c:v>
                      </c:pt>
                    </c:strCache>
                  </c:strRef>
                </c:tx>
                <c:spPr>
                  <a:solidFill>
                    <a:srgbClr val="A5A5A5"/>
                  </a:solidFill>
                </c:spPr>
                <c:invertIfNegative val="0"/>
                <c:cat>
                  <c:numRef>
                    <c:extLst>
                      <c:ext uri="{02D57815-91ED-43cb-92C2-25804820EDAC}">
                        <c15:formulaRef>
                          <c15:sqref>Instructions!$C$6</c15:sqref>
                        </c15:formulaRef>
                      </c:ext>
                    </c:extLst>
                    <c:numCache>
                      <c:formatCode>General</c:formatCode>
                      <c:ptCount val="1"/>
                    </c:numCache>
                  </c:numRef>
                </c:cat>
                <c:val>
                  <c:numRef>
                    <c:extLst>
                      <c:ext uri="{02D57815-91ED-43cb-92C2-25804820EDAC}">
                        <c15:formulaRef>
                          <c15:sqref>'Results &amp; Summary'!$H$25</c15:sqref>
                        </c15:formulaRef>
                      </c:ext>
                    </c:extLst>
                    <c:numCache>
                      <c:formatCode>General</c:formatCode>
                      <c:ptCount val="1"/>
                    </c:numCache>
                  </c:numRef>
                </c:val>
                <c:extLst>
                  <c:ext xmlns:c16="http://schemas.microsoft.com/office/drawing/2014/chart" uri="{C3380CC4-5D6E-409C-BE32-E72D297353CC}">
                    <c16:uniqueId val="{00000006-E57D-44ED-AA53-2F8190CE8C35}"/>
                  </c:ext>
                </c:extLst>
              </c15:ser>
            </c15:filteredBarSeries>
            <c15:filteredBarSeries>
              <c15:ser>
                <c:idx val="9"/>
                <c:order val="7"/>
                <c:tx>
                  <c:strRef>
                    <c:extLst xmlns:c15="http://schemas.microsoft.com/office/drawing/2012/chart">
                      <c:ext xmlns:c15="http://schemas.microsoft.com/office/drawing/2012/chart" uri="{02D57815-91ED-43cb-92C2-25804820EDAC}">
                        <c15:formulaRef>
                          <c15:sqref>'Results &amp; Summary'!$B$26</c15:sqref>
                        </c15:formulaRef>
                      </c:ext>
                    </c:extLst>
                    <c:strCache>
                      <c:ptCount val="1"/>
                      <c:pt idx="0">
                        <c:v>Fuel- &amp; energy-related emissions</c:v>
                      </c:pt>
                    </c:strCache>
                  </c:strRef>
                </c:tx>
                <c:spPr>
                  <a:solidFill>
                    <a:srgbClr val="D5FC79"/>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Summary'!$H$26</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7-E57D-44ED-AA53-2F8190CE8C35}"/>
                  </c:ext>
                </c:extLst>
              </c15:ser>
            </c15:filteredBarSeries>
            <c15:filteredBarSeries>
              <c15:ser>
                <c:idx val="10"/>
                <c:order val="8"/>
                <c:tx>
                  <c:strRef>
                    <c:extLst xmlns:c15="http://schemas.microsoft.com/office/drawing/2012/chart">
                      <c:ext xmlns:c15="http://schemas.microsoft.com/office/drawing/2012/chart" uri="{02D57815-91ED-43cb-92C2-25804820EDAC}">
                        <c15:formulaRef>
                          <c15:sqref>'Results &amp; Summary'!$B$27</c15:sqref>
                        </c15:formulaRef>
                      </c:ext>
                    </c:extLst>
                    <c:strCache>
                      <c:ptCount val="1"/>
                      <c:pt idx="0">
                        <c:v>Upstream transportation &amp; distribution</c:v>
                      </c:pt>
                    </c:strCache>
                  </c:strRef>
                </c:tx>
                <c:spPr>
                  <a:solidFill>
                    <a:srgbClr val="4E8F00"/>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Summary'!$H$27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8-E57D-44ED-AA53-2F8190CE8C35}"/>
                  </c:ext>
                </c:extLst>
              </c15:ser>
            </c15:filteredBarSeries>
            <c15:filteredBarSeries>
              <c15:ser>
                <c:idx val="14"/>
                <c:order val="9"/>
                <c:tx>
                  <c:strRef>
                    <c:extLst xmlns:c15="http://schemas.microsoft.com/office/drawing/2012/chart">
                      <c:ext xmlns:c15="http://schemas.microsoft.com/office/drawing/2012/chart" uri="{02D57815-91ED-43cb-92C2-25804820EDAC}">
                        <c15:formulaRef>
                          <c15:sqref>'Results &amp; Summary'!$B$28</c15:sqref>
                        </c15:formulaRef>
                      </c:ext>
                    </c:extLst>
                    <c:strCache>
                      <c:ptCount val="1"/>
                      <c:pt idx="0">
                        <c:v>Waste generated in operations</c:v>
                      </c:pt>
                    </c:strCache>
                  </c:strRef>
                </c:tx>
                <c:spPr>
                  <a:solidFill>
                    <a:srgbClr val="00C04C"/>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Summary'!$H$28</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9-E57D-44ED-AA53-2F8190CE8C35}"/>
                  </c:ext>
                </c:extLst>
              </c15:ser>
            </c15:filteredBarSeries>
            <c15:filteredBarSeries>
              <c15:ser>
                <c:idx val="15"/>
                <c:order val="10"/>
                <c:tx>
                  <c:strRef>
                    <c:extLst xmlns:c15="http://schemas.microsoft.com/office/drawing/2012/chart">
                      <c:ext xmlns:c15="http://schemas.microsoft.com/office/drawing/2012/chart" uri="{02D57815-91ED-43cb-92C2-25804820EDAC}">
                        <c15:formulaRef>
                          <c15:sqref>'Results &amp; Summary'!$B$31</c15:sqref>
                        </c15:formulaRef>
                      </c:ext>
                    </c:extLst>
                    <c:strCache>
                      <c:ptCount val="1"/>
                      <c:pt idx="0">
                        <c:v>Upstream leased assets</c:v>
                      </c:pt>
                    </c:strCache>
                  </c:strRef>
                </c:tx>
                <c:spPr>
                  <a:solidFill>
                    <a:srgbClr val="77A1E5"/>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Summary'!$H$31</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A-E57D-44ED-AA53-2F8190CE8C35}"/>
                  </c:ext>
                </c:extLst>
              </c15:ser>
            </c15:filteredBarSeries>
            <c15:filteredBarSeries>
              <c15:ser>
                <c:idx val="5"/>
                <c:order val="11"/>
                <c:tx>
                  <c:strRef>
                    <c:extLst xmlns:c15="http://schemas.microsoft.com/office/drawing/2012/chart">
                      <c:ext xmlns:c15="http://schemas.microsoft.com/office/drawing/2012/chart" uri="{02D57815-91ED-43cb-92C2-25804820EDAC}">
                        <c15:formulaRef>
                          <c15:sqref>'Results &amp; Summary'!$L$29</c15:sqref>
                        </c15:formulaRef>
                      </c:ext>
                    </c:extLst>
                    <c:strCache>
                      <c:ptCount val="1"/>
                    </c:strCache>
                  </c:strRef>
                </c:tx>
                <c:spPr>
                  <a:solidFill>
                    <a:srgbClr val="800080"/>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Summary'!$M$29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B-E57D-44ED-AA53-2F8190CE8C35}"/>
                  </c:ext>
                </c:extLst>
              </c15:ser>
            </c15:filteredBarSeries>
            <c15:filteredBarSeries>
              <c15:ser>
                <c:idx val="6"/>
                <c:order val="12"/>
                <c:tx>
                  <c:strRef>
                    <c:extLst xmlns:c15="http://schemas.microsoft.com/office/drawing/2012/chart">
                      <c:ext xmlns:c15="http://schemas.microsoft.com/office/drawing/2012/chart" uri="{02D57815-91ED-43cb-92C2-25804820EDAC}">
                        <c15:formulaRef>
                          <c15:sqref>'Results &amp; Summary'!$L$30</c15:sqref>
                        </c15:formulaRef>
                      </c:ext>
                    </c:extLst>
                    <c:strCache>
                      <c:ptCount val="1"/>
                    </c:strCache>
                  </c:strRef>
                </c:tx>
                <c:spPr>
                  <a:solidFill>
                    <a:srgbClr val="9999FF"/>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Summary'!$M$30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C-E57D-44ED-AA53-2F8190CE8C35}"/>
                  </c:ext>
                </c:extLst>
              </c15:ser>
            </c15:filteredBarSeries>
            <c15:filteredBarSeries>
              <c15:ser>
                <c:idx val="7"/>
                <c:order val="13"/>
                <c:tx>
                  <c:strRef>
                    <c:extLst xmlns:c15="http://schemas.microsoft.com/office/drawing/2012/chart">
                      <c:ext xmlns:c15="http://schemas.microsoft.com/office/drawing/2012/chart" uri="{02D57815-91ED-43cb-92C2-25804820EDAC}">
                        <c15:formulaRef>
                          <c15:sqref>'Results &amp; Summary'!$L$31</c15:sqref>
                        </c15:formulaRef>
                      </c:ext>
                    </c:extLst>
                    <c:strCache>
                      <c:ptCount val="1"/>
                    </c:strCache>
                  </c:strRef>
                </c:tx>
                <c:spPr>
                  <a:solidFill>
                    <a:srgbClr val="DDA0DD"/>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Summary'!$M$31</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D-E57D-44ED-AA53-2F8190CE8C35}"/>
                  </c:ext>
                </c:extLst>
              </c15:ser>
            </c15:filteredBarSeries>
          </c:ext>
        </c:extLst>
      </c:barChart>
      <c:catAx>
        <c:axId val="205998336"/>
        <c:scaling>
          <c:orientation val="minMax"/>
        </c:scaling>
        <c:delete val="0"/>
        <c:axPos val="b"/>
        <c:numFmt formatCode="General" sourceLinked="0"/>
        <c:majorTickMark val="out"/>
        <c:minorTickMark val="none"/>
        <c:tickLblPos val="nextTo"/>
        <c:txPr>
          <a:bodyPr/>
          <a:lstStyle/>
          <a:p>
            <a:pPr>
              <a:defRPr sz="1200" b="1"/>
            </a:pPr>
            <a:endParaRPr lang="en-US"/>
          </a:p>
        </c:txPr>
        <c:crossAx val="206004224"/>
        <c:crosses val="autoZero"/>
        <c:auto val="1"/>
        <c:lblAlgn val="ctr"/>
        <c:lblOffset val="100"/>
        <c:noMultiLvlLbl val="0"/>
      </c:catAx>
      <c:valAx>
        <c:axId val="206004224"/>
        <c:scaling>
          <c:orientation val="minMax"/>
        </c:scaling>
        <c:delete val="0"/>
        <c:axPos val="l"/>
        <c:majorGridlines/>
        <c:numFmt formatCode="0%" sourceLinked="1"/>
        <c:majorTickMark val="out"/>
        <c:minorTickMark val="none"/>
        <c:tickLblPos val="nextTo"/>
        <c:crossAx val="205998336"/>
        <c:crosses val="autoZero"/>
        <c:crossBetween val="between"/>
      </c:valAx>
    </c:plotArea>
    <c:legend>
      <c:legendPos val="r"/>
      <c:layout>
        <c:manualLayout>
          <c:xMode val="edge"/>
          <c:yMode val="edge"/>
          <c:x val="0.66651728809374078"/>
          <c:y val="2.1695798616545761E-2"/>
          <c:w val="0.33348271190625917"/>
          <c:h val="0.9601042367523993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AR" sz="1800" b="1" i="0" baseline="0">
                <a:effectLst/>
              </a:rPr>
              <a:t>Total emissions per source</a:t>
            </a:r>
            <a:endParaRPr lang="en-US">
              <a:effectLst/>
            </a:endParaRPr>
          </a:p>
        </c:rich>
      </c:tx>
      <c:layout>
        <c:manualLayout>
          <c:xMode val="edge"/>
          <c:yMode val="edge"/>
          <c:x val="0.2324701278308777"/>
          <c:y val="1.487170519518234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059946857601229E-2"/>
          <c:y val="0.36826206364621422"/>
          <c:w val="0.91862609223909875"/>
          <c:h val="0.6101120959658255"/>
        </c:manualLayout>
      </c:layout>
      <c:ofPieChart>
        <c:ofPieType val="pie"/>
        <c:varyColors val="1"/>
        <c:ser>
          <c:idx val="0"/>
          <c:order val="0"/>
          <c:dPt>
            <c:idx val="0"/>
            <c:bubble3D val="0"/>
            <c:spPr>
              <a:solidFill>
                <a:srgbClr val="007EA7"/>
              </a:solidFill>
              <a:ln w="19050">
                <a:solidFill>
                  <a:schemeClr val="lt1"/>
                </a:solidFill>
              </a:ln>
              <a:effectLst/>
            </c:spPr>
            <c:extLst>
              <c:ext xmlns:c16="http://schemas.microsoft.com/office/drawing/2014/chart" uri="{C3380CC4-5D6E-409C-BE32-E72D297353CC}">
                <c16:uniqueId val="{00000001-A376-4A43-937E-4DA8A5854991}"/>
              </c:ext>
            </c:extLst>
          </c:dPt>
          <c:dPt>
            <c:idx val="1"/>
            <c:bubble3D val="0"/>
            <c:spPr>
              <a:solidFill>
                <a:srgbClr val="0096FF"/>
              </a:solidFill>
              <a:ln w="19050">
                <a:solidFill>
                  <a:schemeClr val="lt1"/>
                </a:solidFill>
              </a:ln>
              <a:effectLst/>
            </c:spPr>
            <c:extLst>
              <c:ext xmlns:c16="http://schemas.microsoft.com/office/drawing/2014/chart" uri="{C3380CC4-5D6E-409C-BE32-E72D297353CC}">
                <c16:uniqueId val="{00000003-A376-4A43-937E-4DA8A5854991}"/>
              </c:ext>
            </c:extLst>
          </c:dPt>
          <c:dPt>
            <c:idx val="2"/>
            <c:bubble3D val="0"/>
            <c:spPr>
              <a:solidFill>
                <a:srgbClr val="0C8B6A"/>
              </a:solidFill>
              <a:ln w="19050">
                <a:solidFill>
                  <a:schemeClr val="lt1"/>
                </a:solidFill>
              </a:ln>
              <a:effectLst/>
            </c:spPr>
            <c:extLst>
              <c:ext xmlns:c16="http://schemas.microsoft.com/office/drawing/2014/chart" uri="{C3380CC4-5D6E-409C-BE32-E72D297353CC}">
                <c16:uniqueId val="{00000005-A376-4A43-937E-4DA8A5854991}"/>
              </c:ext>
            </c:extLst>
          </c:dPt>
          <c:dPt>
            <c:idx val="3"/>
            <c:bubble3D val="0"/>
            <c:spPr>
              <a:solidFill>
                <a:srgbClr val="76D6FF"/>
              </a:solidFill>
              <a:ln w="19050">
                <a:solidFill>
                  <a:schemeClr val="lt1"/>
                </a:solidFill>
              </a:ln>
              <a:effectLst/>
            </c:spPr>
            <c:extLst>
              <c:ext xmlns:c16="http://schemas.microsoft.com/office/drawing/2014/chart" uri="{C3380CC4-5D6E-409C-BE32-E72D297353CC}">
                <c16:uniqueId val="{00000007-A376-4A43-937E-4DA8A5854991}"/>
              </c:ext>
            </c:extLst>
          </c:dPt>
          <c:dPt>
            <c:idx val="4"/>
            <c:bubble3D val="0"/>
            <c:spPr>
              <a:solidFill>
                <a:srgbClr val="DC4405"/>
              </a:solidFill>
              <a:ln w="19050">
                <a:solidFill>
                  <a:schemeClr val="lt1"/>
                </a:solidFill>
              </a:ln>
              <a:effectLst/>
            </c:spPr>
            <c:extLst>
              <c:ext xmlns:c16="http://schemas.microsoft.com/office/drawing/2014/chart" uri="{C3380CC4-5D6E-409C-BE32-E72D297353CC}">
                <c16:uniqueId val="{00000009-A376-4A43-937E-4DA8A5854991}"/>
              </c:ext>
            </c:extLst>
          </c:dPt>
          <c:dPt>
            <c:idx val="5"/>
            <c:bubble3D val="0"/>
            <c:spPr>
              <a:solidFill>
                <a:srgbClr val="F89614"/>
              </a:solidFill>
              <a:ln w="19050">
                <a:solidFill>
                  <a:schemeClr val="lt1"/>
                </a:solidFill>
              </a:ln>
              <a:effectLst/>
            </c:spPr>
            <c:extLst>
              <c:ext xmlns:c16="http://schemas.microsoft.com/office/drawing/2014/chart" uri="{C3380CC4-5D6E-409C-BE32-E72D297353CC}">
                <c16:uniqueId val="{0000000B-A376-4A43-937E-4DA8A585499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F-A376-4A43-937E-4DA8A58549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'Results &amp; Summary'!$P$8:$P$22</c15:sqref>
                  </c15:fullRef>
                </c:ext>
              </c:extLst>
              <c:f>'Results &amp; Summary'!$P$8:$P$13</c:f>
              <c:strCache>
                <c:ptCount val="6"/>
                <c:pt idx="0">
                  <c:v>Stationary Combustion</c:v>
                </c:pt>
                <c:pt idx="1">
                  <c:v>Mobile Combustion</c:v>
                </c:pt>
                <c:pt idx="2">
                  <c:v>Refrigerants and Fire Suppression</c:v>
                </c:pt>
                <c:pt idx="3">
                  <c:v>Inhaled Anesthetic Gases</c:v>
                </c:pt>
                <c:pt idx="4">
                  <c:v>Purchased Electricity</c:v>
                </c:pt>
                <c:pt idx="5">
                  <c:v>Purchased Steam, Hot and Chilled Water</c:v>
                </c:pt>
              </c:strCache>
            </c:strRef>
          </c:cat>
          <c:val>
            <c:numRef>
              <c:extLst>
                <c:ext xmlns:c15="http://schemas.microsoft.com/office/drawing/2012/chart" uri="{02D57815-91ED-43cb-92C2-25804820EDAC}">
                  <c15:fullRef>
                    <c15:sqref>'Results &amp; Summary'!$Q$8:$Q$22</c15:sqref>
                  </c15:fullRef>
                </c:ext>
              </c:extLst>
              <c:f>'Results &amp; Summary'!$Q$8:$Q$13</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categoryFilterExceptions>
                <c15:categoryFilterException>
                  <c15:sqref>'Results &amp; Summary'!$Q$14</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
                  <c15:sqref>'Results &amp; Summary'!$Q$15</c15:sqref>
                  <c15:spPr xmlns:c15="http://schemas.microsoft.com/office/drawing/2012/chart">
                    <a:solidFill>
                      <a:srgbClr val="A5A5A5"/>
                    </a:solidFill>
                    <a:ln w="19050">
                      <a:solidFill>
                        <a:schemeClr val="lt1"/>
                      </a:solidFill>
                    </a:ln>
                    <a:effectLst/>
                  </c15:spPr>
                  <c15:bubble3D val="0"/>
                </c15:categoryFilterException>
                <c15:categoryFilterException>
                  <c15:sqref>'Results &amp; Summary'!$Q$16</c15:sqref>
                  <c15:spPr xmlns:c15="http://schemas.microsoft.com/office/drawing/2012/chart">
                    <a:solidFill>
                      <a:srgbClr val="D5FC79"/>
                    </a:solidFill>
                    <a:ln w="19050">
                      <a:solidFill>
                        <a:schemeClr val="lt1"/>
                      </a:solidFill>
                    </a:ln>
                    <a:effectLst/>
                  </c15:spPr>
                  <c15:bubble3D val="0"/>
                </c15:categoryFilterException>
                <c15:categoryFilterException>
                  <c15:sqref>'Results &amp; Summary'!$Q$17</c15:sqref>
                  <c15:spPr xmlns:c15="http://schemas.microsoft.com/office/drawing/2012/chart">
                    <a:solidFill>
                      <a:srgbClr val="4E8F00"/>
                    </a:solidFill>
                    <a:ln w="19050">
                      <a:solidFill>
                        <a:schemeClr val="lt1"/>
                      </a:solidFill>
                    </a:ln>
                    <a:effectLst/>
                  </c15:spPr>
                  <c15:bubble3D val="0"/>
                </c15:categoryFilterException>
                <c15:categoryFilterException>
                  <c15:sqref>'Results &amp; Summary'!$Q$18</c15:sqref>
                  <c15:spPr xmlns:c15="http://schemas.microsoft.com/office/drawing/2012/chart">
                    <a:solidFill>
                      <a:srgbClr val="00C04C"/>
                    </a:solidFill>
                    <a:ln w="19050">
                      <a:solidFill>
                        <a:schemeClr val="lt1"/>
                      </a:solidFill>
                    </a:ln>
                    <a:effectLst/>
                  </c15:spPr>
                  <c15:bubble3D val="0"/>
                </c15:categoryFilterException>
                <c15:categoryFilterException>
                  <c15:sqref>'Results &amp; Summary'!$Q$19</c15:sqref>
                  <c15:spPr xmlns:c15="http://schemas.microsoft.com/office/drawing/2012/chart">
                    <a:solidFill>
                      <a:srgbClr val="77A1E5"/>
                    </a:solidFill>
                    <a:ln w="19050">
                      <a:solidFill>
                        <a:schemeClr val="lt1"/>
                      </a:solidFill>
                    </a:ln>
                    <a:effectLst/>
                  </c15:spPr>
                  <c15:bubble3D val="0"/>
                </c15:categoryFilterException>
                <c15:categoryFilterException>
                  <c15:sqref>'Results &amp; Summary'!$Q$20</c15:sqref>
                  <c15:spPr xmlns:c15="http://schemas.microsoft.com/office/drawing/2012/chart">
                    <a:solidFill>
                      <a:srgbClr val="800080"/>
                    </a:solidFill>
                    <a:ln w="19050">
                      <a:solidFill>
                        <a:schemeClr val="lt1"/>
                      </a:solidFill>
                    </a:ln>
                    <a:effectLst/>
                  </c15:spPr>
                  <c15:bubble3D val="0"/>
                </c15:categoryFilterException>
                <c15:categoryFilterException>
                  <c15:sqref>'Results &amp; Summary'!$Q$21</c15:sqref>
                  <c15:spPr xmlns:c15="http://schemas.microsoft.com/office/drawing/2012/chart">
                    <a:solidFill>
                      <a:srgbClr val="9999FF"/>
                    </a:solidFill>
                    <a:ln w="19050">
                      <a:solidFill>
                        <a:schemeClr val="lt1"/>
                      </a:solidFill>
                    </a:ln>
                    <a:effectLst/>
                  </c15:spPr>
                  <c15:bubble3D val="0"/>
                </c15:categoryFilterException>
                <c15:categoryFilterException>
                  <c15:sqref>'Results &amp; Summary'!$Q$22</c15:sqref>
                  <c15:spPr xmlns:c15="http://schemas.microsoft.com/office/drawing/2012/chart">
                    <a:solidFill>
                      <a:srgbClr val="DDA0DD"/>
                    </a:solidFill>
                    <a:ln w="19050">
                      <a:solidFill>
                        <a:schemeClr val="lt1"/>
                      </a:solidFill>
                    </a:ln>
                    <a:effectLst/>
                  </c15:spPr>
                  <c15:bubble3D val="0"/>
                </c15:categoryFilterException>
              </c15:categoryFilterExceptions>
            </c:ext>
            <c:ext xmlns:c16="http://schemas.microsoft.com/office/drawing/2014/chart" uri="{C3380CC4-5D6E-409C-BE32-E72D297353CC}">
              <c16:uniqueId val="{00000020-A376-4A43-937E-4DA8A5854991}"/>
            </c:ext>
          </c:extLst>
        </c:ser>
        <c:dLbls>
          <c:dLblPos val="outEnd"/>
          <c:showLegendKey val="0"/>
          <c:showVal val="0"/>
          <c:showCatName val="0"/>
          <c:showSerName val="0"/>
          <c:showPercent val="1"/>
          <c:showBubbleSize val="0"/>
          <c:showLeaderLines val="1"/>
        </c:dLbls>
        <c:gapWidth val="100"/>
        <c:splitType val="percent"/>
        <c:splitPos val="8"/>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t"/>
      <c:layout>
        <c:manualLayout>
          <c:xMode val="edge"/>
          <c:yMode val="edge"/>
          <c:x val="0"/>
          <c:y val="0.10183156173982558"/>
          <c:w val="1"/>
          <c:h val="0.2272496296296296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Scope 3 GHG Emissions by Category</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c:spPr>
          <c:invertIfNegative val="0"/>
          <c:dPt>
            <c:idx val="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1-E082-4BC4-93CA-0B3DFCA944E5}"/>
              </c:ext>
            </c:extLst>
          </c:dPt>
          <c:dPt>
            <c:idx val="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3-E082-4BC4-93CA-0B3DFCA944E5}"/>
              </c:ext>
            </c:extLst>
          </c:dPt>
          <c:dPt>
            <c:idx val="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5-E082-4BC4-93CA-0B3DFCA944E5}"/>
              </c:ext>
            </c:extLst>
          </c:dPt>
          <c:dPt>
            <c:idx val="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7-E082-4BC4-93CA-0B3DFCA944E5}"/>
              </c:ext>
            </c:extLst>
          </c:dPt>
          <c:dPt>
            <c:idx val="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9-E082-4BC4-93CA-0B3DFCA944E5}"/>
              </c:ext>
            </c:extLst>
          </c:dPt>
          <c:dPt>
            <c:idx val="5"/>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B-E082-4BC4-93CA-0B3DFCA944E5}"/>
              </c:ext>
            </c:extLst>
          </c:dPt>
          <c:dPt>
            <c:idx val="6"/>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D-E082-4BC4-93CA-0B3DFCA944E5}"/>
              </c:ext>
            </c:extLst>
          </c:dPt>
          <c:dPt>
            <c:idx val="7"/>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F-E082-4BC4-93CA-0B3DFCA944E5}"/>
              </c:ext>
            </c:extLst>
          </c:dPt>
          <c:dPt>
            <c:idx val="8"/>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1-E082-4BC4-93CA-0B3DFCA944E5}"/>
              </c:ext>
            </c:extLst>
          </c:dPt>
          <c:dPt>
            <c:idx val="9"/>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3-E082-4BC4-93CA-0B3DFCA944E5}"/>
              </c:ext>
            </c:extLst>
          </c:dPt>
          <c:dPt>
            <c:idx val="1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5-E082-4BC4-93CA-0B3DFCA944E5}"/>
              </c:ext>
            </c:extLst>
          </c:dPt>
          <c:dPt>
            <c:idx val="1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7-E082-4BC4-93CA-0B3DFCA944E5}"/>
              </c:ext>
            </c:extLst>
          </c:dPt>
          <c:dPt>
            <c:idx val="1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9-E082-4BC4-93CA-0B3DFCA944E5}"/>
              </c:ext>
            </c:extLst>
          </c:dPt>
          <c:dPt>
            <c:idx val="1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B-E082-4BC4-93CA-0B3DFCA944E5}"/>
              </c:ext>
            </c:extLst>
          </c:dPt>
          <c:dPt>
            <c:idx val="1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D-E082-4BC4-93CA-0B3DFCA944E5}"/>
              </c:ext>
            </c:extLst>
          </c:dPt>
          <c:cat>
            <c:strRef>
              <c:f>'Scope 3 Summary'!$C$20:$C$34</c:f>
              <c:strCache>
                <c:ptCount val="15"/>
                <c:pt idx="0">
                  <c:v>Purchased goods &amp; services</c:v>
                </c:pt>
                <c:pt idx="1">
                  <c:v>Capital goods</c:v>
                </c:pt>
                <c:pt idx="2">
                  <c:v>Fuel- &amp; energy-related emissions</c:v>
                </c:pt>
                <c:pt idx="3">
                  <c:v>Upstream transportation &amp; distribution</c:v>
                </c:pt>
                <c:pt idx="4">
                  <c:v>Waste generated in operations</c:v>
                </c:pt>
                <c:pt idx="5">
                  <c:v>Business travel</c:v>
                </c:pt>
                <c:pt idx="6">
                  <c:v>Employee commuting</c:v>
                </c:pt>
                <c:pt idx="7">
                  <c:v>Upstream leased assets</c:v>
                </c:pt>
                <c:pt idx="8">
                  <c:v>Downstream transportation &amp;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'Scope 3 Summary'!$D$20:$D$34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1CD-4133-B9C4-000B9A185FFA}"/>
            </c:ext>
          </c:extLst>
        </c:ser>
        <c:dLbls>
          <c:showLegendKey val="0"/>
          <c:showVal val="0"/>
          <c:showCatName val="0"/>
          <c:showSerName val="0"/>
          <c:showPercent val="0"/>
          <c:showBubbleSize val="0"/>
        </c:dLbls>
        <c:gapWidth val="30"/>
        <c:axId val="1051930632"/>
        <c:axId val="1051926040"/>
      </c:barChart>
      <c:catAx>
        <c:axId val="1051930632"/>
        <c:scaling>
          <c:orientation val="maxMin"/>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Scope 3 Category</a:t>
                </a:r>
              </a:p>
            </c:rich>
          </c:tx>
          <c:layout>
            <c:manualLayout>
              <c:xMode val="edge"/>
              <c:yMode val="edge"/>
              <c:x val="7.7339511075444267E-3"/>
              <c:y val="0.373445560684224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1051926040"/>
        <c:crosses val="autoZero"/>
        <c:auto val="1"/>
        <c:lblAlgn val="ctr"/>
        <c:lblOffset val="100"/>
        <c:noMultiLvlLbl val="0"/>
      </c:catAx>
      <c:valAx>
        <c:axId val="105192604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Scope 3 GHG emissions (MTCO2e)</a:t>
                </a:r>
              </a:p>
            </c:rich>
          </c:tx>
          <c:layout>
            <c:manualLayout>
              <c:xMode val="edge"/>
              <c:yMode val="edge"/>
              <c:x val="0.5237200280468387"/>
              <c:y val="0.14871294580824457"/>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solidFill>
              <a:schemeClr val="tx2">
                <a:alpha val="95000"/>
              </a:schemeClr>
            </a:solid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1051930632"/>
        <c:crosses val="autoZero"/>
        <c:crossBetween val="between"/>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Summary!A1"/><Relationship Id="rId1" Type="http://schemas.openxmlformats.org/officeDocument/2006/relationships/image" Target="../media/image18.jpeg"/><Relationship Id="rId4" Type="http://schemas.openxmlformats.org/officeDocument/2006/relationships/hyperlink" Target="#'inventory year and inflation'!A1"/></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Summary!A1"/><Relationship Id="rId1" Type="http://schemas.openxmlformats.org/officeDocument/2006/relationships/chart" Target="../charts/chart4.xml"/><Relationship Id="rId4" Type="http://schemas.openxmlformats.org/officeDocument/2006/relationships/image" Target="../media/image18.jpeg"/></Relationships>
</file>

<file path=xl/drawings/_rels/drawing15.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8.jpeg"/><Relationship Id="rId7" Type="http://schemas.openxmlformats.org/officeDocument/2006/relationships/image" Target="../media/image9.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chart" Target="../charts/chart3.xml"/><Relationship Id="rId11" Type="http://schemas.openxmlformats.org/officeDocument/2006/relationships/image" Target="../media/image13.jpeg"/><Relationship Id="rId5" Type="http://schemas.openxmlformats.org/officeDocument/2006/relationships/chart" Target="../charts/chart2.xml"/><Relationship Id="rId10" Type="http://schemas.openxmlformats.org/officeDocument/2006/relationships/image" Target="../media/image12.jpeg"/><Relationship Id="rId4" Type="http://schemas.openxmlformats.org/officeDocument/2006/relationships/chart" Target="../charts/chart1.xml"/><Relationship Id="rId9"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jp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jp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1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1717863</xdr:colOff>
      <xdr:row>0</xdr:row>
      <xdr:rowOff>49737</xdr:rowOff>
    </xdr:from>
    <xdr:to>
      <xdr:col>2</xdr:col>
      <xdr:colOff>1763557</xdr:colOff>
      <xdr:row>0</xdr:row>
      <xdr:rowOff>1246841</xdr:rowOff>
    </xdr:to>
    <xdr:pic>
      <xdr:nvPicPr>
        <xdr:cNvPr id="2" name="Imagen 1">
          <a:extLst>
            <a:ext uri="{FF2B5EF4-FFF2-40B4-BE49-F238E27FC236}">
              <a16:creationId xmlns:a16="http://schemas.microsoft.com/office/drawing/2014/main" id="{A1DCE04A-5891-4DE8-BB4E-565D98AE1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5863" y="46562"/>
          <a:ext cx="1991969" cy="1203454"/>
        </a:xfrm>
        <a:prstGeom prst="rect">
          <a:avLst/>
        </a:prstGeom>
      </xdr:spPr>
    </xdr:pic>
    <xdr:clientData/>
  </xdr:twoCellAnchor>
  <xdr:twoCellAnchor editAs="oneCell">
    <xdr:from>
      <xdr:col>1</xdr:col>
      <xdr:colOff>97117</xdr:colOff>
      <xdr:row>0</xdr:row>
      <xdr:rowOff>13074</xdr:rowOff>
    </xdr:from>
    <xdr:to>
      <xdr:col>1</xdr:col>
      <xdr:colOff>1326897</xdr:colOff>
      <xdr:row>0</xdr:row>
      <xdr:rowOff>1236504</xdr:rowOff>
    </xdr:to>
    <xdr:pic>
      <xdr:nvPicPr>
        <xdr:cNvPr id="3" name="Imagen 2">
          <a:extLst>
            <a:ext uri="{FF2B5EF4-FFF2-40B4-BE49-F238E27FC236}">
              <a16:creationId xmlns:a16="http://schemas.microsoft.com/office/drawing/2014/main" id="{7CE88E8F-D802-44F3-8AD4-38D69631E2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9899"/>
          <a:ext cx="1226605" cy="1226605"/>
        </a:xfrm>
        <a:prstGeom prst="rect">
          <a:avLst/>
        </a:prstGeom>
      </xdr:spPr>
    </xdr:pic>
    <xdr:clientData/>
  </xdr:twoCellAnchor>
  <xdr:twoCellAnchor editAs="oneCell">
    <xdr:from>
      <xdr:col>2</xdr:col>
      <xdr:colOff>1893095</xdr:colOff>
      <xdr:row>0</xdr:row>
      <xdr:rowOff>83346</xdr:rowOff>
    </xdr:from>
    <xdr:to>
      <xdr:col>2</xdr:col>
      <xdr:colOff>3131721</xdr:colOff>
      <xdr:row>0</xdr:row>
      <xdr:rowOff>1143001</xdr:rowOff>
    </xdr:to>
    <xdr:pic>
      <xdr:nvPicPr>
        <xdr:cNvPr id="5" name="Picture 4">
          <a:extLst>
            <a:ext uri="{FF2B5EF4-FFF2-40B4-BE49-F238E27FC236}">
              <a16:creationId xmlns:a16="http://schemas.microsoft.com/office/drawing/2014/main" id="{A7BC816A-F60B-A3BE-A3C7-B1CFF15ED1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5783" y="83346"/>
          <a:ext cx="1238626" cy="10596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47627</xdr:colOff>
      <xdr:row>0</xdr:row>
      <xdr:rowOff>57151</xdr:rowOff>
    </xdr:from>
    <xdr:to>
      <xdr:col>1</xdr:col>
      <xdr:colOff>1628590</xdr:colOff>
      <xdr:row>8</xdr:row>
      <xdr:rowOff>92502</xdr:rowOff>
    </xdr:to>
    <xdr:pic>
      <xdr:nvPicPr>
        <xdr:cNvPr id="2" name="Picture 4" descr="ENGIE Launches ENGIE Impact to Bridge Sustainability Expertise and ...">
          <a:extLst>
            <a:ext uri="{FF2B5EF4-FFF2-40B4-BE49-F238E27FC236}">
              <a16:creationId xmlns:a16="http://schemas.microsoft.com/office/drawing/2014/main" id="{2BDC291F-0BFA-4409-AC18-C113E9240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7" y="57151"/>
          <a:ext cx="2283198" cy="149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xdr:row>
      <xdr:rowOff>152400</xdr:rowOff>
    </xdr:from>
    <xdr:to>
      <xdr:col>4</xdr:col>
      <xdr:colOff>0</xdr:colOff>
      <xdr:row>7</xdr:row>
      <xdr:rowOff>76199</xdr:rowOff>
    </xdr:to>
    <xdr:sp macro="" textlink="">
      <xdr:nvSpPr>
        <xdr:cNvPr id="3" name="Rectangle: Rounded Corners 4">
          <a:hlinkClick xmlns:r="http://schemas.openxmlformats.org/officeDocument/2006/relationships" r:id="rId2"/>
          <a:extLst>
            <a:ext uri="{FF2B5EF4-FFF2-40B4-BE49-F238E27FC236}">
              <a16:creationId xmlns:a16="http://schemas.microsoft.com/office/drawing/2014/main" id="{A6DD6D0D-980C-4C2E-9DC1-F6165D967833}"/>
            </a:ext>
          </a:extLst>
        </xdr:cNvPr>
        <xdr:cNvSpPr/>
      </xdr:nvSpPr>
      <xdr:spPr>
        <a:xfrm>
          <a:off x="6924675" y="342900"/>
          <a:ext cx="1436758" cy="106679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editAs="oneCell">
    <xdr:from>
      <xdr:col>1</xdr:col>
      <xdr:colOff>2545134</xdr:colOff>
      <xdr:row>1</xdr:row>
      <xdr:rowOff>14567</xdr:rowOff>
    </xdr:from>
    <xdr:to>
      <xdr:col>2</xdr:col>
      <xdr:colOff>416858</xdr:colOff>
      <xdr:row>8</xdr:row>
      <xdr:rowOff>136898</xdr:rowOff>
    </xdr:to>
    <xdr:pic>
      <xdr:nvPicPr>
        <xdr:cNvPr id="4" name="Picture 3" descr="See the source image">
          <a:extLst>
            <a:ext uri="{FF2B5EF4-FFF2-40B4-BE49-F238E27FC236}">
              <a16:creationId xmlns:a16="http://schemas.microsoft.com/office/drawing/2014/main" id="{A431F632-A699-42F4-8467-90FFF3EBF8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40459" y="195542"/>
          <a:ext cx="2662799" cy="140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855008</xdr:colOff>
      <xdr:row>1</xdr:row>
      <xdr:rowOff>79002</xdr:rowOff>
    </xdr:from>
    <xdr:to>
      <xdr:col>4</xdr:col>
      <xdr:colOff>2291766</xdr:colOff>
      <xdr:row>7</xdr:row>
      <xdr:rowOff>2801</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5C813BF4-2353-4025-8082-49AF58D34FFF}"/>
            </a:ext>
          </a:extLst>
        </xdr:cNvPr>
        <xdr:cNvSpPr/>
      </xdr:nvSpPr>
      <xdr:spPr>
        <a:xfrm>
          <a:off x="12688420" y="269502"/>
          <a:ext cx="1436758" cy="106679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3</xdr:col>
      <xdr:colOff>2084294</xdr:colOff>
      <xdr:row>2</xdr:row>
      <xdr:rowOff>100853</xdr:rowOff>
    </xdr:from>
    <xdr:to>
      <xdr:col>3</xdr:col>
      <xdr:colOff>5294212</xdr:colOff>
      <xdr:row>5</xdr:row>
      <xdr:rowOff>156886</xdr:rowOff>
    </xdr:to>
    <xdr:grpSp>
      <xdr:nvGrpSpPr>
        <xdr:cNvPr id="6" name="Group 5">
          <a:hlinkClick xmlns:r="http://schemas.openxmlformats.org/officeDocument/2006/relationships" r:id="rId4"/>
          <a:extLst>
            <a:ext uri="{FF2B5EF4-FFF2-40B4-BE49-F238E27FC236}">
              <a16:creationId xmlns:a16="http://schemas.microsoft.com/office/drawing/2014/main" id="{0A870582-5D09-4F18-BFB6-D1B96A26547A}"/>
            </a:ext>
          </a:extLst>
        </xdr:cNvPr>
        <xdr:cNvGrpSpPr/>
      </xdr:nvGrpSpPr>
      <xdr:grpSpPr>
        <a:xfrm>
          <a:off x="9672544" y="460686"/>
          <a:ext cx="3209918" cy="616950"/>
          <a:chOff x="657225" y="4007042"/>
          <a:chExt cx="2743200" cy="446447"/>
        </a:xfrm>
      </xdr:grpSpPr>
      <xdr:sp macro="" textlink="">
        <xdr:nvSpPr>
          <xdr:cNvPr id="7" name="Rectangle: Rounded Corners 6">
            <a:extLst>
              <a:ext uri="{FF2B5EF4-FFF2-40B4-BE49-F238E27FC236}">
                <a16:creationId xmlns:a16="http://schemas.microsoft.com/office/drawing/2014/main" id="{F26B9F70-ACBC-44A3-9168-E78590643765}"/>
              </a:ext>
            </a:extLst>
          </xdr:cNvPr>
          <xdr:cNvSpPr/>
        </xdr:nvSpPr>
        <xdr:spPr>
          <a:xfrm>
            <a:off x="657225" y="4057650"/>
            <a:ext cx="2743200" cy="390525"/>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solidFill>
                <a:srgbClr val="0000FF"/>
              </a:solidFill>
            </a:endParaRPr>
          </a:p>
        </xdr:txBody>
      </xdr:sp>
      <xdr:sp macro="" textlink="">
        <xdr:nvSpPr>
          <xdr:cNvPr id="8" name="TextBox 7">
            <a:extLst>
              <a:ext uri="{FF2B5EF4-FFF2-40B4-BE49-F238E27FC236}">
                <a16:creationId xmlns:a16="http://schemas.microsoft.com/office/drawing/2014/main" id="{1F3FE0D8-E570-4409-9C0D-A19919BD50ED}"/>
              </a:ext>
            </a:extLst>
          </xdr:cNvPr>
          <xdr:cNvSpPr txBox="1"/>
        </xdr:nvSpPr>
        <xdr:spPr>
          <a:xfrm>
            <a:off x="827551" y="4007042"/>
            <a:ext cx="2333911" cy="446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1">
                <a:solidFill>
                  <a:srgbClr val="0000FF"/>
                </a:solidFill>
              </a:rPr>
              <a:t>Set inventory year and correct for inflation (compared to 2018) here </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139382</xdr:colOff>
      <xdr:row>15</xdr:row>
      <xdr:rowOff>49743</xdr:rowOff>
    </xdr:from>
    <xdr:to>
      <xdr:col>2</xdr:col>
      <xdr:colOff>688860</xdr:colOff>
      <xdr:row>26</xdr:row>
      <xdr:rowOff>87589</xdr:rowOff>
    </xdr:to>
    <xdr:pic>
      <xdr:nvPicPr>
        <xdr:cNvPr id="2" name="Picture 1">
          <a:extLst>
            <a:ext uri="{FF2B5EF4-FFF2-40B4-BE49-F238E27FC236}">
              <a16:creationId xmlns:a16="http://schemas.microsoft.com/office/drawing/2014/main" id="{22520C2B-43D6-4B8E-8BD6-672B5529D7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04632" y="2875493"/>
          <a:ext cx="3364645" cy="20169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190500</xdr:colOff>
      <xdr:row>11</xdr:row>
      <xdr:rowOff>110067</xdr:rowOff>
    </xdr:from>
    <xdr:to>
      <xdr:col>19</xdr:col>
      <xdr:colOff>480483</xdr:colOff>
      <xdr:row>36</xdr:row>
      <xdr:rowOff>5291</xdr:rowOff>
    </xdr:to>
    <xdr:graphicFrame macro="">
      <xdr:nvGraphicFramePr>
        <xdr:cNvPr id="4" name="Chart 3">
          <a:extLst>
            <a:ext uri="{FF2B5EF4-FFF2-40B4-BE49-F238E27FC236}">
              <a16:creationId xmlns:a16="http://schemas.microsoft.com/office/drawing/2014/main" id="{D07112E6-44E2-4F7F-A6EF-B6FF94FFB7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xdr:row>
      <xdr:rowOff>152400</xdr:rowOff>
    </xdr:from>
    <xdr:to>
      <xdr:col>4</xdr:col>
      <xdr:colOff>0</xdr:colOff>
      <xdr:row>7</xdr:row>
      <xdr:rowOff>76199</xdr:rowOff>
    </xdr:to>
    <xdr:sp macro="" textlink="">
      <xdr:nvSpPr>
        <xdr:cNvPr id="3" name="Rectangle: Rounded Corners 4">
          <a:hlinkClick xmlns:r="http://schemas.openxmlformats.org/officeDocument/2006/relationships" r:id="rId2"/>
          <a:extLst>
            <a:ext uri="{FF2B5EF4-FFF2-40B4-BE49-F238E27FC236}">
              <a16:creationId xmlns:a16="http://schemas.microsoft.com/office/drawing/2014/main" id="{E209FA73-4504-44B8-987A-19BA7AFAF060}"/>
            </a:ext>
          </a:extLst>
        </xdr:cNvPr>
        <xdr:cNvSpPr/>
      </xdr:nvSpPr>
      <xdr:spPr>
        <a:xfrm>
          <a:off x="12401550" y="342900"/>
          <a:ext cx="0" cy="106679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editAs="oneCell">
    <xdr:from>
      <xdr:col>2</xdr:col>
      <xdr:colOff>1011610</xdr:colOff>
      <xdr:row>0</xdr:row>
      <xdr:rowOff>173317</xdr:rowOff>
    </xdr:from>
    <xdr:to>
      <xdr:col>3</xdr:col>
      <xdr:colOff>360766</xdr:colOff>
      <xdr:row>8</xdr:row>
      <xdr:rowOff>115108</xdr:rowOff>
    </xdr:to>
    <xdr:pic>
      <xdr:nvPicPr>
        <xdr:cNvPr id="5" name="Picture 4" descr="See the source image">
          <a:extLst>
            <a:ext uri="{FF2B5EF4-FFF2-40B4-BE49-F238E27FC236}">
              <a16:creationId xmlns:a16="http://schemas.microsoft.com/office/drawing/2014/main" id="{69425ED2-1565-4B0E-9A5D-71A2879472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41443" y="173317"/>
          <a:ext cx="205849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148167</xdr:colOff>
      <xdr:row>0</xdr:row>
      <xdr:rowOff>0</xdr:rowOff>
    </xdr:from>
    <xdr:to>
      <xdr:col>2</xdr:col>
      <xdr:colOff>380253</xdr:colOff>
      <xdr:row>8</xdr:row>
      <xdr:rowOff>133684</xdr:rowOff>
    </xdr:to>
    <xdr:pic>
      <xdr:nvPicPr>
        <xdr:cNvPr id="10" name="Picture 4" descr="ENGIE Launches ENGIE Impact to Bridge Sustainability Expertise and ...">
          <a:extLst>
            <a:ext uri="{FF2B5EF4-FFF2-40B4-BE49-F238E27FC236}">
              <a16:creationId xmlns:a16="http://schemas.microsoft.com/office/drawing/2014/main" id="{BFDDF9B0-7CB3-4AFA-8124-ED66F704D8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167" y="0"/>
          <a:ext cx="2613336" cy="1594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23097</xdr:colOff>
      <xdr:row>6</xdr:row>
      <xdr:rowOff>63683</xdr:rowOff>
    </xdr:from>
    <xdr:to>
      <xdr:col>7</xdr:col>
      <xdr:colOff>21167</xdr:colOff>
      <xdr:row>16</xdr:row>
      <xdr:rowOff>134471</xdr:rowOff>
    </xdr:to>
    <xdr:sp macro="" textlink="">
      <xdr:nvSpPr>
        <xdr:cNvPr id="2" name="TextBox 1">
          <a:extLst>
            <a:ext uri="{FF2B5EF4-FFF2-40B4-BE49-F238E27FC236}">
              <a16:creationId xmlns:a16="http://schemas.microsoft.com/office/drawing/2014/main" id="{E4611DD8-0FFC-4CD2-ACB2-24A0F02BEDA0}"/>
            </a:ext>
          </a:extLst>
        </xdr:cNvPr>
        <xdr:cNvSpPr txBox="1"/>
      </xdr:nvSpPr>
      <xdr:spPr>
        <a:xfrm>
          <a:off x="23097" y="1509242"/>
          <a:ext cx="15686305" cy="1919758"/>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Purchased Goods and Services</a:t>
          </a:r>
          <a:r>
            <a:rPr lang="en-US" sz="1100" baseline="0"/>
            <a:t>: </a:t>
          </a:r>
          <a:r>
            <a:rPr lang="en-US" sz="1100" b="0" i="0" u="none" strike="noStrike" baseline="0">
              <a:solidFill>
                <a:schemeClr val="dk1"/>
              </a:solidFill>
              <a:latin typeface="+mn-lt"/>
              <a:ea typeface="+mn-ea"/>
              <a:cs typeface="+mn-cs"/>
            </a:rPr>
            <a:t>Extraction, production, and transportation of goods and services purchased or acquired by the reporting company in the reporting year, not otherwise included in Categories 2 - 8.</a:t>
          </a:r>
        </a:p>
        <a:p>
          <a:r>
            <a:rPr lang="en-US" sz="1100" b="1" i="0" u="none" strike="noStrike" baseline="0">
              <a:solidFill>
                <a:schemeClr val="dk1"/>
              </a:solidFill>
              <a:latin typeface="+mn-lt"/>
              <a:ea typeface="+mn-ea"/>
              <a:cs typeface="+mn-cs"/>
            </a:rPr>
            <a:t>Capital Goods</a:t>
          </a:r>
          <a:r>
            <a:rPr lang="en-US" sz="1100" b="0" i="0" u="none" strike="noStrike" baseline="0">
              <a:solidFill>
                <a:schemeClr val="dk1"/>
              </a:solidFill>
              <a:latin typeface="+mn-lt"/>
              <a:ea typeface="+mn-ea"/>
              <a:cs typeface="+mn-cs"/>
            </a:rPr>
            <a:t>: Extraction, production, and transportation of capital goods purchased or acquired by the reporting company in the reporting year.</a:t>
          </a:r>
        </a:p>
        <a:p>
          <a:r>
            <a:rPr lang="en-US" sz="1100" b="1" i="1" u="none" strike="noStrike" baseline="0">
              <a:solidFill>
                <a:schemeClr val="dk1"/>
              </a:solidFill>
              <a:latin typeface="+mn-lt"/>
              <a:ea typeface="+mn-ea"/>
              <a:cs typeface="+mn-cs"/>
            </a:rPr>
            <a:t>Exclusions</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The summary-level commodity model provides a list of ≈</a:t>
          </a:r>
          <a:r>
            <a:rPr lang="en-US" sz="1100" b="0">
              <a:solidFill>
                <a:schemeClr val="dk1"/>
              </a:solidFill>
              <a:effectLst/>
              <a:latin typeface="+mn-lt"/>
              <a:ea typeface="+mn-ea"/>
              <a:cs typeface="+mn-cs"/>
            </a:rPr>
            <a:t>70 economic sectors (industries and commodities).</a:t>
          </a:r>
          <a:endParaRPr lang="en-US" b="0">
            <a:effectLst/>
          </a:endParaRPr>
        </a:p>
        <a:p>
          <a:endParaRPr lang="en-US" sz="1100" baseline="0">
            <a:solidFill>
              <a:schemeClr val="dk1"/>
            </a:solidFill>
            <a:effectLst/>
            <a:latin typeface="+mn-lt"/>
            <a:ea typeface="+mn-ea"/>
            <a:cs typeface="+mn-cs"/>
          </a:endParaRPr>
        </a:p>
        <a:p>
          <a:r>
            <a:rPr lang="en-US" sz="1100" b="1" i="1" baseline="0">
              <a:solidFill>
                <a:srgbClr val="FF0000"/>
              </a:solidFill>
              <a:effectLst/>
              <a:latin typeface="+mn-lt"/>
              <a:ea typeface="+mn-ea"/>
              <a:cs typeface="+mn-cs"/>
            </a:rPr>
            <a:t>See adjacent tab "Cat 1 and 2 descriptions" for details on each Economic Sector (Commodity Name). If available data lacks specificity, select the "general" entry within each category.</a:t>
          </a:r>
        </a:p>
        <a:p>
          <a:endParaRPr lang="en-US" sz="1100" b="1" i="1" baseline="0">
            <a:solidFill>
              <a:srgbClr val="FF0000"/>
            </a:solidFill>
            <a:effectLst/>
            <a:latin typeface="+mn-lt"/>
            <a:ea typeface="+mn-ea"/>
            <a:cs typeface="+mn-cs"/>
          </a:endParaRPr>
        </a:p>
        <a:p>
          <a:r>
            <a:rPr lang="en-US" sz="1100" b="1" i="1" baseline="0">
              <a:solidFill>
                <a:srgbClr val="FF0000"/>
              </a:solidFill>
              <a:effectLst/>
              <a:latin typeface="+mn-lt"/>
              <a:ea typeface="+mn-ea"/>
              <a:cs typeface="+mn-cs"/>
            </a:rPr>
            <a:t>Note, if supplier-specific calculations have been made, or outside sources were used to determine category 1 and 2 emissions, please use the section options to the right, which allows for user input of emissions factors and totals.</a:t>
          </a:r>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171175</xdr:colOff>
      <xdr:row>6</xdr:row>
      <xdr:rowOff>95250</xdr:rowOff>
    </xdr:from>
    <xdr:to>
      <xdr:col>9</xdr:col>
      <xdr:colOff>10584</xdr:colOff>
      <xdr:row>10</xdr:row>
      <xdr:rowOff>137583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71175" y="1651000"/>
          <a:ext cx="12740492" cy="8572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Fuel- and Energy-Related Activities: </a:t>
          </a:r>
          <a:r>
            <a:rPr lang="en-US" sz="1100" b="0" i="0" u="none" strike="noStrike" baseline="0">
              <a:solidFill>
                <a:schemeClr val="dk1"/>
              </a:solidFill>
              <a:latin typeface="+mn-lt"/>
              <a:ea typeface="+mn-ea"/>
              <a:cs typeface="+mn-cs"/>
            </a:rPr>
            <a:t>Extraction, production, and transportation of fuels and energy purchased or acquired by the reporting company in the reporting year, not already accounted for in scope 1 or scope 2, including: Upstream emissions of purchased fuels (Table 1 below), upstream emissions of purchased electricity (Table 2 below), transmission &amp; distribution losses (Table 3 below).</a:t>
          </a:r>
        </a:p>
        <a:p>
          <a:r>
            <a:rPr lang="en-US" sz="1100" b="0" i="0" u="none" strike="noStrike" baseline="0">
              <a:solidFill>
                <a:schemeClr val="dk1"/>
              </a:solidFill>
              <a:latin typeface="+mn-lt"/>
              <a:ea typeface="+mn-ea"/>
              <a:cs typeface="+mn-cs"/>
            </a:rPr>
            <a:t>The calculations are based on the "average-data method", using standard emission factors and usage data.</a:t>
          </a:r>
        </a:p>
        <a:p>
          <a:endParaRPr lang="en-US" sz="1100" b="1" baseline="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238125</xdr:colOff>
      <xdr:row>1</xdr:row>
      <xdr:rowOff>200025</xdr:rowOff>
    </xdr:from>
    <xdr:to>
      <xdr:col>9</xdr:col>
      <xdr:colOff>190500</xdr:colOff>
      <xdr:row>4</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419725" y="390525"/>
          <a:ext cx="2390775" cy="857250"/>
        </a:xfrm>
        <a:prstGeom prst="roundRect">
          <a:avLst/>
        </a:prstGeom>
        <a:ln>
          <a:solidFill>
            <a:schemeClr val="accent3">
              <a:lumMod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400" b="1" i="1">
              <a:solidFill>
                <a:sysClr val="windowText" lastClr="000000"/>
              </a:solidFill>
            </a:rPr>
            <a:t>Home</a:t>
          </a:r>
        </a:p>
        <a:p>
          <a:pPr algn="l"/>
          <a:endParaRPr lang="en-US"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88348</xdr:colOff>
      <xdr:row>6</xdr:row>
      <xdr:rowOff>88347</xdr:rowOff>
    </xdr:from>
    <xdr:to>
      <xdr:col>5</xdr:col>
      <xdr:colOff>1280583</xdr:colOff>
      <xdr:row>15</xdr:row>
      <xdr:rowOff>63501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88348" y="1316014"/>
          <a:ext cx="11955485" cy="1784904"/>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Transportation &amp; Distribution:</a:t>
          </a:r>
          <a:r>
            <a:rPr lang="en-US" sz="1100" baseline="0"/>
            <a:t> </a:t>
          </a:r>
          <a:r>
            <a:rPr lang="en-US" sz="1100" b="0" i="0" u="none" strike="noStrike" baseline="0">
              <a:solidFill>
                <a:schemeClr val="dk1"/>
              </a:solidFill>
              <a:latin typeface="+mn-lt"/>
              <a:ea typeface="+mn-ea"/>
              <a:cs typeface="+mn-cs"/>
            </a:rPr>
            <a:t>Upstream transportation and distribution of products or services purchased by the reporting company in the reporting year between a company’s tier 1 suppliers and its own operations (in vehicles and facilities not owned or controlled by the reporting company). For example, this may include freight costs to ship purchased goods to healthcare facilities.</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"spend-based" method is presented here, where emissions are based on the mode of transport and national average emission factors.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See adjacent tab "Cat 4 descriptions" for details on each Transportation Mode or Method.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users can input totals in the custom emissions section at the bottom.</a:t>
          </a:r>
        </a:p>
        <a:p>
          <a:pPr marL="0" marR="0" lvl="0" indent="0" defTabSz="914400" eaLnBrk="1" fontAlgn="auto" latinLnBrk="0" hangingPunct="1">
            <a:lnSpc>
              <a:spcPct val="100000"/>
            </a:lnSpc>
            <a:spcBef>
              <a:spcPts val="0"/>
            </a:spcBef>
            <a:spcAft>
              <a:spcPts val="0"/>
            </a:spcAft>
            <a:buClrTx/>
            <a:buSzTx/>
            <a:buFontTx/>
            <a:buNone/>
            <a:tabLst/>
            <a:defRPr/>
          </a:pP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0" i="0" u="none" strike="noStrike" baseline="0">
            <a:solidFill>
              <a:schemeClr val="dk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47119</xdr:colOff>
      <xdr:row>7</xdr:row>
      <xdr:rowOff>23377</xdr:rowOff>
    </xdr:from>
    <xdr:to>
      <xdr:col>7</xdr:col>
      <xdr:colOff>10584</xdr:colOff>
      <xdr:row>11</xdr:row>
      <xdr:rowOff>33421</xdr:rowOff>
    </xdr:to>
    <xdr:sp macro="" textlink="">
      <xdr:nvSpPr>
        <xdr:cNvPr id="3" name="TextBox 2">
          <a:extLst>
            <a:ext uri="{FF2B5EF4-FFF2-40B4-BE49-F238E27FC236}">
              <a16:creationId xmlns:a16="http://schemas.microsoft.com/office/drawing/2014/main" id="{02CDB6E4-B275-4368-9183-C6F893B45BBF}"/>
            </a:ext>
          </a:extLst>
        </xdr:cNvPr>
        <xdr:cNvSpPr txBox="1"/>
      </xdr:nvSpPr>
      <xdr:spPr>
        <a:xfrm>
          <a:off x="47119" y="1460482"/>
          <a:ext cx="14835833" cy="945834"/>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Waste Generated in Operations: </a:t>
          </a:r>
          <a:r>
            <a:rPr lang="en-US" sz="1100" b="0" i="0" u="none" strike="noStrike" baseline="0">
              <a:solidFill>
                <a:schemeClr val="dk1"/>
              </a:solidFill>
              <a:latin typeface="+mn-lt"/>
              <a:ea typeface="+mn-ea"/>
              <a:cs typeface="+mn-cs"/>
            </a:rPr>
            <a:t>Disposal and treatment of waste generated in the reporting company’s operations in the reporting year (in facilities not owned or controlled by the reporting company). The "average-data method" is presented here to estimate emissions based on the quantity and general category of waste, as well as the method of disposal/treatment.</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users can input totals here in the custom emissions section at the bottom.</a:t>
          </a:r>
          <a:endParaRPr lang="en-US">
            <a:solidFill>
              <a:srgbClr val="FF0000"/>
            </a:solidFill>
            <a:effectLst/>
          </a:endParaRPr>
        </a:p>
        <a:p>
          <a:endParaRPr lang="en-US" sz="1100" b="1" baseline="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37178</xdr:colOff>
      <xdr:row>6</xdr:row>
      <xdr:rowOff>70769</xdr:rowOff>
    </xdr:from>
    <xdr:to>
      <xdr:col>5</xdr:col>
      <xdr:colOff>1471083</xdr:colOff>
      <xdr:row>21</xdr:row>
      <xdr:rowOff>148166</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7178" y="1224352"/>
          <a:ext cx="11244655" cy="277614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p>
        <a:p>
          <a:r>
            <a:rPr lang="en-US" sz="1100" b="0" i="1" u="none" strike="noStrike" baseline="0">
              <a:solidFill>
                <a:schemeClr val="dk1"/>
              </a:solidFill>
              <a:latin typeface="+mn-lt"/>
              <a:ea typeface="+mn-ea"/>
              <a:cs typeface="+mn-cs"/>
            </a:rPr>
            <a:t>Examples include</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ir travel, rental car, rail travel, hotel stay, etc.</a:t>
          </a:r>
        </a:p>
        <a:p>
          <a:endParaRPr lang="en-US" sz="1100" b="1"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"spend-based" method is presented here, where emissions are based on the mode of transport and national average emission factors.</a:t>
          </a:r>
        </a:p>
        <a:p>
          <a:r>
            <a:rPr lang="en-US" sz="1100" b="0" baseline="0">
              <a:solidFill>
                <a:schemeClr val="dk1"/>
              </a:solidFill>
              <a:effectLst/>
              <a:latin typeface="+mn-lt"/>
              <a:ea typeface="+mn-ea"/>
              <a:cs typeface="+mn-cs"/>
            </a:rPr>
            <a:t>For "Transportation Mode", please consider the following when making a selection from the drop-down options:</a:t>
          </a:r>
        </a:p>
        <a:p>
          <a:endParaRPr lang="en-US" sz="105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  »  "Rail transport" - should be used primarily for intercity rail (</a:t>
          </a:r>
          <a:r>
            <a:rPr lang="en-US" sz="1100">
              <a:solidFill>
                <a:schemeClr val="dk1"/>
              </a:solidFill>
              <a:effectLst/>
              <a:latin typeface="+mn-lt"/>
              <a:ea typeface="+mn-ea"/>
              <a:cs typeface="+mn-cs"/>
            </a:rPr>
            <a:t>Amtrak long-distance rail between major cities)</a:t>
          </a:r>
        </a:p>
        <a:p>
          <a:r>
            <a:rPr lang="en-US" sz="1100" b="0" baseline="0">
              <a:solidFill>
                <a:schemeClr val="dk1"/>
              </a:solidFill>
              <a:effectLst/>
              <a:latin typeface="+mn-lt"/>
              <a:ea typeface="+mn-ea"/>
              <a:cs typeface="+mn-cs"/>
            </a:rPr>
            <a:t>  »  "Passenger ground transport" - should be used primarily for buses, taxis, Uber/Lyft, commuter rail / light rail (rail service between a central city and adjacent</a:t>
          </a:r>
        </a:p>
        <a:p>
          <a:r>
            <a:rPr lang="en-US" sz="1100" b="0" baseline="0">
              <a:solidFill>
                <a:schemeClr val="dk1"/>
              </a:solidFill>
              <a:effectLst/>
              <a:latin typeface="+mn-lt"/>
              <a:ea typeface="+mn-ea"/>
              <a:cs typeface="+mn-cs"/>
            </a:rPr>
            <a:t>       suburbs), and transit rail (i.e., subway, tram)</a:t>
          </a:r>
        </a:p>
        <a:p>
          <a:r>
            <a:rPr lang="en-US" sz="1100" b="0" baseline="0">
              <a:solidFill>
                <a:schemeClr val="dk1"/>
              </a:solidFill>
              <a:effectLst/>
              <a:latin typeface="+mn-lt"/>
              <a:ea typeface="+mn-ea"/>
              <a:cs typeface="+mn-cs"/>
            </a:rPr>
            <a:t>  »  Other categories ("air transport", "water transport", and "Hotels and campgrounds") should be self explanatory</a:t>
          </a:r>
          <a:endParaRPr lang="en-US">
            <a:effectLst/>
          </a:endParaRPr>
        </a:p>
        <a:p>
          <a:r>
            <a:rPr lang="en-US" sz="1100" b="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See adjacent tab "Cat 6 descriptions" for details on each Transportation Mode / Accomodations.</a:t>
          </a:r>
          <a:endParaRPr lang="en-US">
            <a:solidFill>
              <a:srgbClr val="FF0000"/>
            </a:solidFill>
            <a:effectLst/>
          </a:endParaRPr>
        </a:p>
        <a:p>
          <a:endParaRPr lang="en-US" sz="1100" b="1" i="1" baseline="0">
            <a:solidFill>
              <a:srgbClr val="FF0000"/>
            </a:solidFill>
            <a:effectLst/>
            <a:latin typeface="+mn-lt"/>
            <a:ea typeface="+mn-ea"/>
            <a:cs typeface="+mn-cs"/>
          </a:endParaRPr>
        </a:p>
        <a:p>
          <a:r>
            <a:rPr lang="en-US" sz="1100" b="1" i="1" baseline="0">
              <a:solidFill>
                <a:srgbClr val="FF0000"/>
              </a:solidFill>
              <a:effectLst/>
              <a:latin typeface="+mn-lt"/>
              <a:ea typeface="+mn-ea"/>
              <a:cs typeface="+mn-cs"/>
            </a:rPr>
            <a:t>Note, if emissions calculations have been conducted outside of this tool, based on the "distance-based" method, users can input totals here in the custom emissions section at the bottom.</a:t>
          </a:r>
          <a:endParaRPr lang="en-US" sz="1100" b="1" i="1" baseline="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67181</xdr:colOff>
      <xdr:row>6</xdr:row>
      <xdr:rowOff>67180</xdr:rowOff>
    </xdr:from>
    <xdr:to>
      <xdr:col>6</xdr:col>
      <xdr:colOff>10583</xdr:colOff>
      <xdr:row>12</xdr:row>
      <xdr:rowOff>148165</xdr:rowOff>
    </xdr:to>
    <xdr:sp macro="" textlink="">
      <xdr:nvSpPr>
        <xdr:cNvPr id="33" name="TextBox 1">
          <a:extLst>
            <a:ext uri="{FF2B5EF4-FFF2-40B4-BE49-F238E27FC236}">
              <a16:creationId xmlns:a16="http://schemas.microsoft.com/office/drawing/2014/main" id="{00000000-0008-0000-0C00-000002000000}"/>
            </a:ext>
          </a:extLst>
        </xdr:cNvPr>
        <xdr:cNvSpPr txBox="1"/>
      </xdr:nvSpPr>
      <xdr:spPr>
        <a:xfrm>
          <a:off x="67181" y="1612347"/>
          <a:ext cx="11172319" cy="1287485"/>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Employee Commuting: </a:t>
          </a:r>
          <a:r>
            <a:rPr lang="en-US" sz="1100" b="0" i="0" baseline="0">
              <a:solidFill>
                <a:schemeClr val="dk1"/>
              </a:solidFill>
              <a:effectLst/>
              <a:latin typeface="+mn-lt"/>
              <a:ea typeface="+mn-ea"/>
              <a:cs typeface="+mn-cs"/>
            </a:rPr>
            <a:t>Transportation of employees between their homes and their worksites during the reporting year (in vehicles not owned or operated by the reporting company), or working from home. The average-data method is employed here, with emissions based on state-by-state median commute distance and average commute mode percentage across "drove alone", "carpool", "worked at home", "public transportation", "taxi, motorcycle, other", "walked", and "bicycle" from Bureau of Transportation Statistics; user-defined number of weeks per year and  days per week.</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based on the "distance-based" or "fuel-based" methods, users can input totals here in cells F39 and F64 (but ensure that cells F38 and F63 remain blank).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1363134</xdr:colOff>
      <xdr:row>0</xdr:row>
      <xdr:rowOff>69125</xdr:rowOff>
    </xdr:from>
    <xdr:to>
      <xdr:col>1</xdr:col>
      <xdr:colOff>3093509</xdr:colOff>
      <xdr:row>0</xdr:row>
      <xdr:rowOff>1113353</xdr:rowOff>
    </xdr:to>
    <xdr:pic>
      <xdr:nvPicPr>
        <xdr:cNvPr id="2" name="Imagen 3">
          <a:extLst>
            <a:ext uri="{FF2B5EF4-FFF2-40B4-BE49-F238E27FC236}">
              <a16:creationId xmlns:a16="http://schemas.microsoft.com/office/drawing/2014/main" id="{2A420ED3-6346-446F-821D-C6EFD4C76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9084" y="65950"/>
          <a:ext cx="1733550" cy="1047403"/>
        </a:xfrm>
        <a:prstGeom prst="rect">
          <a:avLst/>
        </a:prstGeom>
      </xdr:spPr>
    </xdr:pic>
    <xdr:clientData/>
  </xdr:twoCellAnchor>
  <xdr:twoCellAnchor editAs="oneCell">
    <xdr:from>
      <xdr:col>0</xdr:col>
      <xdr:colOff>613834</xdr:colOff>
      <xdr:row>0</xdr:row>
      <xdr:rowOff>39933</xdr:rowOff>
    </xdr:from>
    <xdr:to>
      <xdr:col>1</xdr:col>
      <xdr:colOff>1036109</xdr:colOff>
      <xdr:row>0</xdr:row>
      <xdr:rowOff>1095091</xdr:rowOff>
    </xdr:to>
    <xdr:pic>
      <xdr:nvPicPr>
        <xdr:cNvPr id="3" name="Imagen 5">
          <a:extLst>
            <a:ext uri="{FF2B5EF4-FFF2-40B4-BE49-F238E27FC236}">
              <a16:creationId xmlns:a16="http://schemas.microsoft.com/office/drawing/2014/main" id="{6393801E-C5ED-41F6-BF01-E8AB91281B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7009" y="39933"/>
          <a:ext cx="1038225" cy="1055158"/>
        </a:xfrm>
        <a:prstGeom prst="rect">
          <a:avLst/>
        </a:prstGeom>
      </xdr:spPr>
    </xdr:pic>
    <xdr:clientData/>
  </xdr:twoCellAnchor>
  <xdr:twoCellAnchor editAs="oneCell">
    <xdr:from>
      <xdr:col>1</xdr:col>
      <xdr:colOff>3321847</xdr:colOff>
      <xdr:row>0</xdr:row>
      <xdr:rowOff>154782</xdr:rowOff>
    </xdr:from>
    <xdr:to>
      <xdr:col>1</xdr:col>
      <xdr:colOff>4296049</xdr:colOff>
      <xdr:row>0</xdr:row>
      <xdr:rowOff>988220</xdr:rowOff>
    </xdr:to>
    <xdr:pic>
      <xdr:nvPicPr>
        <xdr:cNvPr id="4" name="Picture 3">
          <a:extLst>
            <a:ext uri="{FF2B5EF4-FFF2-40B4-BE49-F238E27FC236}">
              <a16:creationId xmlns:a16="http://schemas.microsoft.com/office/drawing/2014/main" id="{3AA9EB76-E9E0-464A-86BF-7E6CE416F7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0972" y="154782"/>
          <a:ext cx="974202" cy="8334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60977</xdr:colOff>
      <xdr:row>8</xdr:row>
      <xdr:rowOff>100679</xdr:rowOff>
    </xdr:from>
    <xdr:to>
      <xdr:col>6</xdr:col>
      <xdr:colOff>31749</xdr:colOff>
      <xdr:row>19</xdr:row>
      <xdr:rowOff>0</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60977" y="1655007"/>
          <a:ext cx="11798832" cy="188014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Leased Assets:</a:t>
          </a:r>
          <a:r>
            <a:rPr lang="en-US" sz="1100" baseline="0"/>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leased by the reporting company (lessee) </a:t>
          </a:r>
          <a:r>
            <a:rPr lang="en-US" sz="1100" b="0" i="0" u="none" strike="noStrike" baseline="0">
              <a:solidFill>
                <a:schemeClr val="dk1"/>
              </a:solidFill>
              <a:latin typeface="+mn-lt"/>
              <a:ea typeface="+mn-ea"/>
              <a:cs typeface="+mn-cs"/>
            </a:rPr>
            <a:t>in the reporting year and not included in scope 1 and scope 2 – reported by lessee</a:t>
          </a:r>
        </a:p>
        <a:p>
          <a:r>
            <a:rPr lang="en-US" sz="1100" b="1" baseline="0">
              <a:solidFill>
                <a:schemeClr val="dk1"/>
              </a:solidFill>
              <a:effectLst/>
              <a:latin typeface="+mn-lt"/>
              <a:ea typeface="+mn-ea"/>
              <a:cs typeface="+mn-cs"/>
            </a:rPr>
            <a:t>Downstream Leased Assets:</a:t>
          </a:r>
          <a:r>
            <a:rPr lang="en-US" sz="1100"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owned by the reporting company (lessor) </a:t>
          </a:r>
          <a:r>
            <a:rPr lang="en-US" sz="1100" b="0" i="0" u="none" strike="noStrike" baseline="0">
              <a:solidFill>
                <a:schemeClr val="dk1"/>
              </a:solidFill>
              <a:latin typeface="+mn-lt"/>
              <a:ea typeface="+mn-ea"/>
              <a:cs typeface="+mn-cs"/>
            </a:rPr>
            <a:t>and leased to other entities in the reporting year, not included in scope 1 and scope 2 – reported by lessor</a:t>
          </a:r>
        </a:p>
        <a:p>
          <a:endParaRPr lang="en-US" sz="1050" b="0" i="0" u="none" strike="noStrike" baseline="0">
            <a:solidFill>
              <a:schemeClr val="dk1"/>
            </a:solidFill>
            <a:latin typeface="+mn-lt"/>
            <a:ea typeface="+mn-ea"/>
            <a:cs typeface="+mn-cs"/>
          </a:endParaRPr>
        </a:p>
        <a:p>
          <a:r>
            <a:rPr lang="en-US" sz="1100" b="0" i="0" u="none" strike="noStrike" baseline="0">
              <a:solidFill>
                <a:schemeClr val="dk1"/>
              </a:solidFill>
              <a:effectLst/>
              <a:latin typeface="+mn-lt"/>
              <a:ea typeface="+mn-ea"/>
              <a:cs typeface="+mn-cs"/>
            </a:rPr>
            <a:t>The organization's "organizational boundary" should be carefully reviewed to understand if any upstream/downstream leased assets are already accounted for in a scope 1 &amp; 2 inventory. Emissions in the belows directly below are estimated for upstream and downstream leased assets using the "average-data method" and based on national (U.S.) energy consumption per square feet, for building types specific to the healthcare industry [source: </a:t>
          </a:r>
          <a:r>
            <a:rPr lang="en-US"/>
            <a:t>Commercial Buildings Energy Consumption Surveys (CBECS)] and national average electricity emission factors (US</a:t>
          </a:r>
          <a:r>
            <a:rPr lang="en-US" baseline="0"/>
            <a:t> EPA Center for Corporate Climate Leadership).</a:t>
          </a:r>
          <a:endParaRPr lang="en-US" sz="1100" b="0" i="0" u="none" strike="noStrike" baseline="0">
            <a:solidFill>
              <a:schemeClr val="dk1"/>
            </a:solidFill>
            <a:effectLst/>
            <a:latin typeface="+mn-lt"/>
            <a:ea typeface="+mn-ea"/>
            <a:cs typeface="+mn-cs"/>
          </a:endParaRPr>
        </a:p>
        <a:p>
          <a:endParaRPr lang="en-US" b="1" i="1">
            <a:solidFill>
              <a:srgbClr val="FF0000"/>
            </a:solidFill>
            <a:effectLst/>
          </a:endParaRPr>
        </a:p>
        <a:p>
          <a:r>
            <a:rPr lang="en-US" b="1" i="1">
              <a:solidFill>
                <a:srgbClr val="FF0000"/>
              </a:solidFill>
              <a:effectLst/>
            </a:rPr>
            <a:t>Note: Use the tables to the right if you have</a:t>
          </a:r>
          <a:r>
            <a:rPr lang="en-US" b="1" i="1" baseline="0">
              <a:solidFill>
                <a:srgbClr val="FF0000"/>
              </a:solidFill>
              <a:effectLst/>
            </a:rPr>
            <a:t> access to primary utility usage data. If only some leased assets have known utility usage, you can input data on both sides to calculate both known and unknown usage.</a:t>
          </a:r>
          <a:endParaRPr lang="en-US" b="1" i="1">
            <a:solidFill>
              <a:srgbClr val="FF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67180</xdr:colOff>
      <xdr:row>7</xdr:row>
      <xdr:rowOff>67179</xdr:rowOff>
    </xdr:from>
    <xdr:to>
      <xdr:col>5</xdr:col>
      <xdr:colOff>0</xdr:colOff>
      <xdr:row>13</xdr:row>
      <xdr:rowOff>270808</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67180" y="1591179"/>
          <a:ext cx="9915020" cy="1327579"/>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Downstream Transportation &amp; Distribution:</a:t>
          </a:r>
          <a:r>
            <a:rPr lang="en-US" sz="110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Downstream transportation and distribution of sold goods and services in vehicles and facilities not owned or controlled by the reporting company. For the healthcare industry, this category primarily pertains to inpatient and outpatient visits. The average-data method is employed here, with emissions based on state-by-state median round-trip commute distance and average passenger car / light-duty truck distance-based emission factors.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users can input totals here in cells E40, E67, and F83 but ensure that the preceding cells (i.e., E39, E66, and F82) remain blank.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128322</xdr:colOff>
      <xdr:row>8</xdr:row>
      <xdr:rowOff>51592</xdr:rowOff>
    </xdr:from>
    <xdr:to>
      <xdr:col>5</xdr:col>
      <xdr:colOff>1981730</xdr:colOff>
      <xdr:row>15</xdr:row>
      <xdr:rowOff>74084</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28322" y="1692009"/>
          <a:ext cx="12119241" cy="1281908"/>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Use of Sold Products:</a:t>
          </a:r>
          <a:r>
            <a:rPr lang="en-US" sz="1100" baseline="0"/>
            <a:t> </a:t>
          </a:r>
          <a:r>
            <a:rPr lang="en-US" sz="1100" b="0" i="0" u="none" strike="noStrike" baseline="0">
              <a:solidFill>
                <a:schemeClr val="dk1"/>
              </a:solidFill>
              <a:latin typeface="+mn-lt"/>
              <a:ea typeface="+mn-ea"/>
              <a:cs typeface="+mn-cs"/>
            </a:rPr>
            <a:t>This category includes emissions from the use of goods and services sold by the reporting company in the reporting year. Reporting organizations that wish to be as comprehensive as possible in their Scope 3 accounting can optionally quantify emissions from all MDIs prescribed to patients, regardless of whether the MDIs were sold to patients by an in-house pharmacy (operated by the reporting organization) or a retail pharmacy (operated by another entity). A reporting company’s scope 3 emissions from use of sold products include the scope 1 and scope 2 emissions of end users. End users include both consumers and business customers that use final products. </a:t>
          </a:r>
          <a:r>
            <a:rPr lang="en-US" sz="1100" b="0" i="0" baseline="0">
              <a:solidFill>
                <a:schemeClr val="dk1"/>
              </a:solidFill>
              <a:effectLst/>
              <a:latin typeface="+mn-lt"/>
              <a:ea typeface="+mn-ea"/>
              <a:cs typeface="+mn-cs"/>
            </a:rPr>
            <a:t>Based on Engie Impact's evaluation of Healthcare System Scope 3 operations, the largest contributor to emissions in this category is likely from the use of inhalers and other products with refrigerant-based propellants [</a:t>
          </a:r>
          <a:r>
            <a:rPr lang="en-US" sz="1100" b="0" i="0" u="none" strike="noStrike" baseline="0">
              <a:solidFill>
                <a:schemeClr val="dk1"/>
              </a:solidFill>
              <a:latin typeface="+mn-lt"/>
              <a:ea typeface="+mn-ea"/>
              <a:cs typeface="+mn-cs"/>
            </a:rPr>
            <a:t>Hydrofluorocarbons (HFCs)]</a:t>
          </a:r>
          <a:r>
            <a:rPr lang="en-US" sz="1100" b="0" i="0" baseline="0">
              <a:solidFill>
                <a:schemeClr val="dk1"/>
              </a:solidFill>
              <a:effectLst/>
              <a:latin typeface="+mn-lt"/>
              <a:ea typeface="+mn-ea"/>
              <a:cs typeface="+mn-cs"/>
            </a:rPr>
            <a:t>. This calculation tool can track emissions from the t</a:t>
          </a:r>
          <a:r>
            <a:rPr lang="en-US"/>
            <a:t>wo main types of metered dose inhaler (MDI) propellants,</a:t>
          </a:r>
          <a:r>
            <a:rPr lang="en-US" baseline="0"/>
            <a:t> HFC-227ea and HFC-134a.</a:t>
          </a:r>
          <a:endParaRPr lang="en-US">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203015</xdr:colOff>
      <xdr:row>7</xdr:row>
      <xdr:rowOff>84848</xdr:rowOff>
    </xdr:from>
    <xdr:to>
      <xdr:col>10</xdr:col>
      <xdr:colOff>0</xdr:colOff>
      <xdr:row>12</xdr:row>
      <xdr:rowOff>10583</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03015" y="1524181"/>
          <a:ext cx="15947152" cy="825319"/>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Investments:</a:t>
          </a:r>
          <a:r>
            <a:rPr lang="en-US" sz="1100" b="0" baseline="0"/>
            <a:t> This category includes emissions </a:t>
          </a:r>
          <a:r>
            <a:rPr lang="en-US" sz="1100" b="0" i="0" u="none" strike="noStrike" baseline="0">
              <a:solidFill>
                <a:schemeClr val="dk1"/>
              </a:solidFill>
              <a:latin typeface="+mn-lt"/>
              <a:ea typeface="+mn-ea"/>
              <a:cs typeface="+mn-cs"/>
            </a:rPr>
            <a:t>from equity investments, which should be allocated to the investor based on the investor’s proportional share of equity in the investee. The "investment-specific method" is based on </a:t>
          </a:r>
          <a:r>
            <a:rPr lang="el-GR" sz="1100" b="0" i="0" u="none" strike="noStrike" baseline="0">
              <a:solidFill>
                <a:schemeClr val="dk1"/>
              </a:solidFill>
              <a:latin typeface="+mn-lt"/>
              <a:ea typeface="+mn-ea"/>
              <a:cs typeface="+mn-cs"/>
            </a:rPr>
            <a:t>Σ (</a:t>
          </a:r>
          <a:r>
            <a:rPr lang="en-US" sz="1100" b="0" i="0" u="none" strike="noStrike" baseline="0">
              <a:solidFill>
                <a:schemeClr val="dk1"/>
              </a:solidFill>
              <a:latin typeface="+mn-lt"/>
              <a:ea typeface="+mn-ea"/>
              <a:cs typeface="+mn-cs"/>
            </a:rPr>
            <a:t>emissions of equity investment [Scope 1, 2 and 3] × share of equity (%)). In the absence of direct emissions data from each investee, the "average-data method" can be used as presented here. It is recommended that users engage with their investment manager to obtain the necessary data for either the "investment-specific" and/or the "average-data" methods. </a:t>
          </a:r>
          <a:r>
            <a:rPr lang="en-US" sz="1100" b="1" i="1" baseline="0">
              <a:solidFill>
                <a:srgbClr val="FF0000"/>
              </a:solidFill>
              <a:effectLst/>
              <a:latin typeface="+mn-lt"/>
              <a:ea typeface="+mn-ea"/>
              <a:cs typeface="+mn-cs"/>
            </a:rPr>
            <a:t>Note, if emissions calculations have been conducted outside of this tool, users can input totals here in cell J68 (but ensure that cell J67 remains blank). </a:t>
          </a:r>
          <a:endParaRPr lang="en-US">
            <a:solidFill>
              <a:srgbClr val="FF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1377950</xdr:colOff>
      <xdr:row>0</xdr:row>
      <xdr:rowOff>82109</xdr:rowOff>
    </xdr:from>
    <xdr:to>
      <xdr:col>1</xdr:col>
      <xdr:colOff>1316567</xdr:colOff>
      <xdr:row>0</xdr:row>
      <xdr:rowOff>1123162</xdr:rowOff>
    </xdr:to>
    <xdr:pic>
      <xdr:nvPicPr>
        <xdr:cNvPr id="2" name="Imagen 1">
          <a:extLst>
            <a:ext uri="{FF2B5EF4-FFF2-40B4-BE49-F238E27FC236}">
              <a16:creationId xmlns:a16="http://schemas.microsoft.com/office/drawing/2014/main" id="{48D34896-3DF9-4797-96CB-A0E5A57C39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1125" y="85284"/>
          <a:ext cx="1573742" cy="1037878"/>
        </a:xfrm>
        <a:prstGeom prst="rect">
          <a:avLst/>
        </a:prstGeom>
      </xdr:spPr>
    </xdr:pic>
    <xdr:clientData/>
  </xdr:twoCellAnchor>
  <xdr:twoCellAnchor editAs="oneCell">
    <xdr:from>
      <xdr:col>0</xdr:col>
      <xdr:colOff>190500</xdr:colOff>
      <xdr:row>0</xdr:row>
      <xdr:rowOff>52916</xdr:rowOff>
    </xdr:from>
    <xdr:to>
      <xdr:col>0</xdr:col>
      <xdr:colOff>1245658</xdr:colOff>
      <xdr:row>0</xdr:row>
      <xdr:rowOff>1114424</xdr:rowOff>
    </xdr:to>
    <xdr:pic>
      <xdr:nvPicPr>
        <xdr:cNvPr id="3" name="Imagen 2">
          <a:extLst>
            <a:ext uri="{FF2B5EF4-FFF2-40B4-BE49-F238E27FC236}">
              <a16:creationId xmlns:a16="http://schemas.microsoft.com/office/drawing/2014/main" id="{90F698E4-67DC-460E-8EE9-E0D1096F11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49741"/>
          <a:ext cx="1055158" cy="1064683"/>
        </a:xfrm>
        <a:prstGeom prst="rect">
          <a:avLst/>
        </a:prstGeom>
      </xdr:spPr>
    </xdr:pic>
    <xdr:clientData/>
  </xdr:twoCellAnchor>
  <xdr:twoCellAnchor editAs="oneCell">
    <xdr:from>
      <xdr:col>1</xdr:col>
      <xdr:colOff>1518047</xdr:colOff>
      <xdr:row>0</xdr:row>
      <xdr:rowOff>228205</xdr:rowOff>
    </xdr:from>
    <xdr:to>
      <xdr:col>1</xdr:col>
      <xdr:colOff>2469053</xdr:colOff>
      <xdr:row>0</xdr:row>
      <xdr:rowOff>1041799</xdr:rowOff>
    </xdr:to>
    <xdr:pic>
      <xdr:nvPicPr>
        <xdr:cNvPr id="4" name="Picture 3">
          <a:extLst>
            <a:ext uri="{FF2B5EF4-FFF2-40B4-BE49-F238E27FC236}">
              <a16:creationId xmlns:a16="http://schemas.microsoft.com/office/drawing/2014/main" id="{8D2ECAD6-0754-4721-B199-C86E52FFF5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5156" y="228205"/>
          <a:ext cx="951006" cy="8135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1274299</xdr:colOff>
      <xdr:row>0</xdr:row>
      <xdr:rowOff>36891</xdr:rowOff>
    </xdr:from>
    <xdr:to>
      <xdr:col>0</xdr:col>
      <xdr:colOff>2933700</xdr:colOff>
      <xdr:row>0</xdr:row>
      <xdr:rowOff>1030724</xdr:rowOff>
    </xdr:to>
    <xdr:pic>
      <xdr:nvPicPr>
        <xdr:cNvPr id="2" name="Imagen 2">
          <a:extLst>
            <a:ext uri="{FF2B5EF4-FFF2-40B4-BE49-F238E27FC236}">
              <a16:creationId xmlns:a16="http://schemas.microsoft.com/office/drawing/2014/main" id="{A686DD4B-58B8-43D8-9942-7DE71EE7AF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4299" y="36891"/>
          <a:ext cx="1659401" cy="993833"/>
        </a:xfrm>
        <a:prstGeom prst="rect">
          <a:avLst/>
        </a:prstGeom>
      </xdr:spPr>
    </xdr:pic>
    <xdr:clientData/>
  </xdr:twoCellAnchor>
  <xdr:twoCellAnchor editAs="oneCell">
    <xdr:from>
      <xdr:col>0</xdr:col>
      <xdr:colOff>219365</xdr:colOff>
      <xdr:row>0</xdr:row>
      <xdr:rowOff>33355</xdr:rowOff>
    </xdr:from>
    <xdr:to>
      <xdr:col>0</xdr:col>
      <xdr:colOff>1209676</xdr:colOff>
      <xdr:row>0</xdr:row>
      <xdr:rowOff>1038226</xdr:rowOff>
    </xdr:to>
    <xdr:pic>
      <xdr:nvPicPr>
        <xdr:cNvPr id="3" name="Imagen 3">
          <a:extLst>
            <a:ext uri="{FF2B5EF4-FFF2-40B4-BE49-F238E27FC236}">
              <a16:creationId xmlns:a16="http://schemas.microsoft.com/office/drawing/2014/main" id="{AA4AF327-36BE-45AD-BE91-B16D747062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190" y="30180"/>
          <a:ext cx="993486" cy="1008046"/>
        </a:xfrm>
        <a:prstGeom prst="rect">
          <a:avLst/>
        </a:prstGeom>
      </xdr:spPr>
    </xdr:pic>
    <xdr:clientData/>
  </xdr:twoCellAnchor>
  <xdr:twoCellAnchor editAs="oneCell">
    <xdr:from>
      <xdr:col>0</xdr:col>
      <xdr:colOff>3009900</xdr:colOff>
      <xdr:row>0</xdr:row>
      <xdr:rowOff>114301</xdr:rowOff>
    </xdr:from>
    <xdr:to>
      <xdr:col>1</xdr:col>
      <xdr:colOff>528876</xdr:colOff>
      <xdr:row>0</xdr:row>
      <xdr:rowOff>933451</xdr:rowOff>
    </xdr:to>
    <xdr:pic>
      <xdr:nvPicPr>
        <xdr:cNvPr id="4" name="Picture 3">
          <a:extLst>
            <a:ext uri="{FF2B5EF4-FFF2-40B4-BE49-F238E27FC236}">
              <a16:creationId xmlns:a16="http://schemas.microsoft.com/office/drawing/2014/main" id="{847D30E2-F901-409C-A02B-DBBDE5CFEB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09900" y="114301"/>
          <a:ext cx="957501"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1187450</xdr:colOff>
      <xdr:row>0</xdr:row>
      <xdr:rowOff>29193</xdr:rowOff>
    </xdr:from>
    <xdr:to>
      <xdr:col>1</xdr:col>
      <xdr:colOff>2914650</xdr:colOff>
      <xdr:row>0</xdr:row>
      <xdr:rowOff>1073421</xdr:rowOff>
    </xdr:to>
    <xdr:pic>
      <xdr:nvPicPr>
        <xdr:cNvPr id="6" name="Imagen 15">
          <a:extLst>
            <a:ext uri="{FF2B5EF4-FFF2-40B4-BE49-F238E27FC236}">
              <a16:creationId xmlns:a16="http://schemas.microsoft.com/office/drawing/2014/main" id="{D174A280-8247-44E4-9B52-03354B5AFB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0" y="26018"/>
          <a:ext cx="1724025" cy="1047403"/>
        </a:xfrm>
        <a:prstGeom prst="rect">
          <a:avLst/>
        </a:prstGeom>
      </xdr:spPr>
    </xdr:pic>
    <xdr:clientData/>
  </xdr:twoCellAnchor>
  <xdr:twoCellAnchor editAs="oneCell">
    <xdr:from>
      <xdr:col>1</xdr:col>
      <xdr:colOff>0</xdr:colOff>
      <xdr:row>0</xdr:row>
      <xdr:rowOff>0</xdr:rowOff>
    </xdr:from>
    <xdr:to>
      <xdr:col>1</xdr:col>
      <xdr:colOff>1055158</xdr:colOff>
      <xdr:row>0</xdr:row>
      <xdr:rowOff>1055158</xdr:rowOff>
    </xdr:to>
    <xdr:pic>
      <xdr:nvPicPr>
        <xdr:cNvPr id="7" name="Imagen 16">
          <a:extLst>
            <a:ext uri="{FF2B5EF4-FFF2-40B4-BE49-F238E27FC236}">
              <a16:creationId xmlns:a16="http://schemas.microsoft.com/office/drawing/2014/main" id="{98CDF97E-E2ED-4F7F-A591-0D39F62054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0"/>
          <a:ext cx="1055158" cy="1055158"/>
        </a:xfrm>
        <a:prstGeom prst="rect">
          <a:avLst/>
        </a:prstGeom>
      </xdr:spPr>
    </xdr:pic>
    <xdr:clientData/>
  </xdr:twoCellAnchor>
  <xdr:twoCellAnchor editAs="oneCell">
    <xdr:from>
      <xdr:col>4</xdr:col>
      <xdr:colOff>1602455</xdr:colOff>
      <xdr:row>48</xdr:row>
      <xdr:rowOff>68511</xdr:rowOff>
    </xdr:from>
    <xdr:to>
      <xdr:col>5</xdr:col>
      <xdr:colOff>828749</xdr:colOff>
      <xdr:row>50</xdr:row>
      <xdr:rowOff>141062</xdr:rowOff>
    </xdr:to>
    <xdr:pic>
      <xdr:nvPicPr>
        <xdr:cNvPr id="8" name="Imagen 17">
          <a:extLst>
            <a:ext uri="{FF2B5EF4-FFF2-40B4-BE49-F238E27FC236}">
              <a16:creationId xmlns:a16="http://schemas.microsoft.com/office/drawing/2014/main" id="{E5741BFA-5C26-4C70-A5B3-FD134B4C65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4330" y="12543086"/>
          <a:ext cx="833637" cy="590076"/>
        </a:xfrm>
        <a:prstGeom prst="rect">
          <a:avLst/>
        </a:prstGeom>
      </xdr:spPr>
    </xdr:pic>
    <xdr:clientData/>
  </xdr:twoCellAnchor>
  <xdr:twoCellAnchor editAs="oneCell">
    <xdr:from>
      <xdr:col>4</xdr:col>
      <xdr:colOff>956733</xdr:colOff>
      <xdr:row>48</xdr:row>
      <xdr:rowOff>76201</xdr:rowOff>
    </xdr:from>
    <xdr:to>
      <xdr:col>5</xdr:col>
      <xdr:colOff>52652</xdr:colOff>
      <xdr:row>50</xdr:row>
      <xdr:rowOff>141063</xdr:rowOff>
    </xdr:to>
    <xdr:pic>
      <xdr:nvPicPr>
        <xdr:cNvPr id="9" name="Imagen 18">
          <a:extLst>
            <a:ext uri="{FF2B5EF4-FFF2-40B4-BE49-F238E27FC236}">
              <a16:creationId xmlns:a16="http://schemas.microsoft.com/office/drawing/2014/main" id="{C0D7805F-1129-4F15-A6B8-300CEF8CD2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41783" y="12553951"/>
          <a:ext cx="581025" cy="579212"/>
        </a:xfrm>
        <a:prstGeom prst="rect">
          <a:avLst/>
        </a:prstGeom>
      </xdr:spPr>
    </xdr:pic>
    <xdr:clientData/>
  </xdr:twoCellAnchor>
  <xdr:twoCellAnchor>
    <xdr:from>
      <xdr:col>0</xdr:col>
      <xdr:colOff>0</xdr:colOff>
      <xdr:row>51</xdr:row>
      <xdr:rowOff>14363</xdr:rowOff>
    </xdr:from>
    <xdr:to>
      <xdr:col>3</xdr:col>
      <xdr:colOff>982133</xdr:colOff>
      <xdr:row>64</xdr:row>
      <xdr:rowOff>168728</xdr:rowOff>
    </xdr:to>
    <xdr:graphicFrame macro="">
      <xdr:nvGraphicFramePr>
        <xdr:cNvPr id="16" name="6 Gráfico">
          <a:extLst>
            <a:ext uri="{FF2B5EF4-FFF2-40B4-BE49-F238E27FC236}">
              <a16:creationId xmlns:a16="http://schemas.microsoft.com/office/drawing/2014/main" id="{D20326CC-5C7F-4D6D-B469-64CAA4D7B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408216</xdr:colOff>
      <xdr:row>100</xdr:row>
      <xdr:rowOff>63501</xdr:rowOff>
    </xdr:from>
    <xdr:to>
      <xdr:col>4</xdr:col>
      <xdr:colOff>1143001</xdr:colOff>
      <xdr:row>127</xdr:row>
      <xdr:rowOff>125321</xdr:rowOff>
    </xdr:to>
    <xdr:graphicFrame macro="">
      <xdr:nvGraphicFramePr>
        <xdr:cNvPr id="20" name="6 Gráfico">
          <a:extLst>
            <a:ext uri="{FF2B5EF4-FFF2-40B4-BE49-F238E27FC236}">
              <a16:creationId xmlns:a16="http://schemas.microsoft.com/office/drawing/2014/main" id="{7D62110F-7F86-463C-AE84-79B35AC2D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68</xdr:row>
      <xdr:rowOff>36285</xdr:rowOff>
    </xdr:from>
    <xdr:to>
      <xdr:col>5</xdr:col>
      <xdr:colOff>689428</xdr:colOff>
      <xdr:row>96</xdr:row>
      <xdr:rowOff>80109</xdr:rowOff>
    </xdr:to>
    <xdr:graphicFrame macro="">
      <xdr:nvGraphicFramePr>
        <xdr:cNvPr id="22" name="Gráfico 40">
          <a:extLst>
            <a:ext uri="{FF2B5EF4-FFF2-40B4-BE49-F238E27FC236}">
              <a16:creationId xmlns:a16="http://schemas.microsoft.com/office/drawing/2014/main" id="{628F9242-F044-4CA4-8D02-E4B667F0E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4</xdr:col>
      <xdr:colOff>1602455</xdr:colOff>
      <xdr:row>65</xdr:row>
      <xdr:rowOff>68511</xdr:rowOff>
    </xdr:from>
    <xdr:ext cx="833637" cy="595519"/>
    <xdr:pic>
      <xdr:nvPicPr>
        <xdr:cNvPr id="25" name="Imagen 39">
          <a:extLst>
            <a:ext uri="{FF2B5EF4-FFF2-40B4-BE49-F238E27FC236}">
              <a16:creationId xmlns:a16="http://schemas.microsoft.com/office/drawing/2014/main" id="{786AD8BF-72D3-4377-BB41-E682D1A7B4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4330" y="18362861"/>
          <a:ext cx="833637" cy="595519"/>
        </a:xfrm>
        <a:prstGeom prst="rect">
          <a:avLst/>
        </a:prstGeom>
      </xdr:spPr>
    </xdr:pic>
    <xdr:clientData/>
  </xdr:oneCellAnchor>
  <xdr:oneCellAnchor>
    <xdr:from>
      <xdr:col>4</xdr:col>
      <xdr:colOff>956733</xdr:colOff>
      <xdr:row>65</xdr:row>
      <xdr:rowOff>76201</xdr:rowOff>
    </xdr:from>
    <xdr:ext cx="584200" cy="587830"/>
    <xdr:pic>
      <xdr:nvPicPr>
        <xdr:cNvPr id="26" name="Imagen 41">
          <a:extLst>
            <a:ext uri="{FF2B5EF4-FFF2-40B4-BE49-F238E27FC236}">
              <a16:creationId xmlns:a16="http://schemas.microsoft.com/office/drawing/2014/main" id="{07EFBF31-D372-4218-929B-001AA3793FA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41783" y="18373726"/>
          <a:ext cx="584200" cy="587830"/>
        </a:xfrm>
        <a:prstGeom prst="rect">
          <a:avLst/>
        </a:prstGeom>
      </xdr:spPr>
    </xdr:pic>
    <xdr:clientData/>
  </xdr:oneCellAnchor>
  <xdr:oneCellAnchor>
    <xdr:from>
      <xdr:col>4</xdr:col>
      <xdr:colOff>1602455</xdr:colOff>
      <xdr:row>97</xdr:row>
      <xdr:rowOff>68511</xdr:rowOff>
    </xdr:from>
    <xdr:ext cx="833637" cy="595519"/>
    <xdr:pic>
      <xdr:nvPicPr>
        <xdr:cNvPr id="27" name="Imagen 42">
          <a:extLst>
            <a:ext uri="{FF2B5EF4-FFF2-40B4-BE49-F238E27FC236}">
              <a16:creationId xmlns:a16="http://schemas.microsoft.com/office/drawing/2014/main" id="{81936A2B-B489-4EF0-8CC7-8028400D7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4330" y="24411236"/>
          <a:ext cx="833637" cy="595519"/>
        </a:xfrm>
        <a:prstGeom prst="rect">
          <a:avLst/>
        </a:prstGeom>
      </xdr:spPr>
    </xdr:pic>
    <xdr:clientData/>
  </xdr:oneCellAnchor>
  <xdr:oneCellAnchor>
    <xdr:from>
      <xdr:col>4</xdr:col>
      <xdr:colOff>956733</xdr:colOff>
      <xdr:row>97</xdr:row>
      <xdr:rowOff>76201</xdr:rowOff>
    </xdr:from>
    <xdr:ext cx="584200" cy="587830"/>
    <xdr:pic>
      <xdr:nvPicPr>
        <xdr:cNvPr id="28" name="Imagen 44">
          <a:extLst>
            <a:ext uri="{FF2B5EF4-FFF2-40B4-BE49-F238E27FC236}">
              <a16:creationId xmlns:a16="http://schemas.microsoft.com/office/drawing/2014/main" id="{0956775F-757B-4D64-9EEC-17978A92E9C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41783" y="24422101"/>
          <a:ext cx="584200" cy="587830"/>
        </a:xfrm>
        <a:prstGeom prst="rect">
          <a:avLst/>
        </a:prstGeom>
      </xdr:spPr>
    </xdr:pic>
    <xdr:clientData/>
  </xdr:oneCellAnchor>
  <xdr:twoCellAnchor editAs="oneCell">
    <xdr:from>
      <xdr:col>1</xdr:col>
      <xdr:colOff>3059907</xdr:colOff>
      <xdr:row>0</xdr:row>
      <xdr:rowOff>95251</xdr:rowOff>
    </xdr:from>
    <xdr:to>
      <xdr:col>1</xdr:col>
      <xdr:colOff>4060032</xdr:colOff>
      <xdr:row>0</xdr:row>
      <xdr:rowOff>950867</xdr:rowOff>
    </xdr:to>
    <xdr:pic>
      <xdr:nvPicPr>
        <xdr:cNvPr id="2" name="Picture 1">
          <a:extLst>
            <a:ext uri="{FF2B5EF4-FFF2-40B4-BE49-F238E27FC236}">
              <a16:creationId xmlns:a16="http://schemas.microsoft.com/office/drawing/2014/main" id="{5ACD6137-EDF5-49D8-B42C-B8F3E77953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79032" y="95251"/>
          <a:ext cx="1000125" cy="855616"/>
        </a:xfrm>
        <a:prstGeom prst="rect">
          <a:avLst/>
        </a:prstGeom>
      </xdr:spPr>
    </xdr:pic>
    <xdr:clientData/>
  </xdr:twoCellAnchor>
  <xdr:twoCellAnchor editAs="oneCell">
    <xdr:from>
      <xdr:col>4</xdr:col>
      <xdr:colOff>282103</xdr:colOff>
      <xdr:row>48</xdr:row>
      <xdr:rowOff>74083</xdr:rowOff>
    </xdr:from>
    <xdr:to>
      <xdr:col>4</xdr:col>
      <xdr:colOff>952500</xdr:colOff>
      <xdr:row>50</xdr:row>
      <xdr:rowOff>139613</xdr:rowOff>
    </xdr:to>
    <xdr:pic>
      <xdr:nvPicPr>
        <xdr:cNvPr id="11" name="Picture 10">
          <a:extLst>
            <a:ext uri="{FF2B5EF4-FFF2-40B4-BE49-F238E27FC236}">
              <a16:creationId xmlns:a16="http://schemas.microsoft.com/office/drawing/2014/main" id="{201D94C1-20EF-E7A5-C601-7DE35B1B17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79853" y="11726333"/>
          <a:ext cx="670397" cy="573530"/>
        </a:xfrm>
        <a:prstGeom prst="rect">
          <a:avLst/>
        </a:prstGeom>
      </xdr:spPr>
    </xdr:pic>
    <xdr:clientData/>
  </xdr:twoCellAnchor>
  <xdr:twoCellAnchor editAs="oneCell">
    <xdr:from>
      <xdr:col>4</xdr:col>
      <xdr:colOff>285751</xdr:colOff>
      <xdr:row>65</xdr:row>
      <xdr:rowOff>76199</xdr:rowOff>
    </xdr:from>
    <xdr:to>
      <xdr:col>4</xdr:col>
      <xdr:colOff>965673</xdr:colOff>
      <xdr:row>67</xdr:row>
      <xdr:rowOff>130918</xdr:rowOff>
    </xdr:to>
    <xdr:pic>
      <xdr:nvPicPr>
        <xdr:cNvPr id="12" name="Picture 11">
          <a:extLst>
            <a:ext uri="{FF2B5EF4-FFF2-40B4-BE49-F238E27FC236}">
              <a16:creationId xmlns:a16="http://schemas.microsoft.com/office/drawing/2014/main" id="{31566594-06AF-4794-955C-A5C9EC6CFE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67626" y="17840324"/>
          <a:ext cx="679922" cy="588119"/>
        </a:xfrm>
        <a:prstGeom prst="rect">
          <a:avLst/>
        </a:prstGeom>
      </xdr:spPr>
    </xdr:pic>
    <xdr:clientData/>
  </xdr:twoCellAnchor>
  <xdr:twoCellAnchor editAs="oneCell">
    <xdr:from>
      <xdr:col>4</xdr:col>
      <xdr:colOff>266700</xdr:colOff>
      <xdr:row>97</xdr:row>
      <xdr:rowOff>69246</xdr:rowOff>
    </xdr:from>
    <xdr:to>
      <xdr:col>4</xdr:col>
      <xdr:colOff>956148</xdr:colOff>
      <xdr:row>99</xdr:row>
      <xdr:rowOff>151255</xdr:rowOff>
    </xdr:to>
    <xdr:pic>
      <xdr:nvPicPr>
        <xdr:cNvPr id="13" name="Picture 12">
          <a:extLst>
            <a:ext uri="{FF2B5EF4-FFF2-40B4-BE49-F238E27FC236}">
              <a16:creationId xmlns:a16="http://schemas.microsoft.com/office/drawing/2014/main" id="{FDF58301-B241-49D1-8B5B-37C6F42BC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48575" y="23881746"/>
          <a:ext cx="689448" cy="596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774558</xdr:colOff>
      <xdr:row>0</xdr:row>
      <xdr:rowOff>3537</xdr:rowOff>
    </xdr:from>
    <xdr:to>
      <xdr:col>2</xdr:col>
      <xdr:colOff>1001588</xdr:colOff>
      <xdr:row>0</xdr:row>
      <xdr:rowOff>1187900</xdr:rowOff>
    </xdr:to>
    <xdr:pic>
      <xdr:nvPicPr>
        <xdr:cNvPr id="2" name="Imagen 1">
          <a:extLst>
            <a:ext uri="{FF2B5EF4-FFF2-40B4-BE49-F238E27FC236}">
              <a16:creationId xmlns:a16="http://schemas.microsoft.com/office/drawing/2014/main" id="{F3B3BDCE-BE28-4162-9FCC-6D42DF789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5808" y="6712"/>
          <a:ext cx="1836755" cy="1184363"/>
        </a:xfrm>
        <a:prstGeom prst="rect">
          <a:avLst/>
        </a:prstGeom>
      </xdr:spPr>
    </xdr:pic>
    <xdr:clientData/>
  </xdr:twoCellAnchor>
  <xdr:twoCellAnchor editAs="oneCell">
    <xdr:from>
      <xdr:col>0</xdr:col>
      <xdr:colOff>0</xdr:colOff>
      <xdr:row>0</xdr:row>
      <xdr:rowOff>0</xdr:rowOff>
    </xdr:from>
    <xdr:to>
      <xdr:col>0</xdr:col>
      <xdr:colOff>1066231</xdr:colOff>
      <xdr:row>0</xdr:row>
      <xdr:rowOff>1210372</xdr:rowOff>
    </xdr:to>
    <xdr:pic>
      <xdr:nvPicPr>
        <xdr:cNvPr id="3" name="Imagen 2">
          <a:extLst>
            <a:ext uri="{FF2B5EF4-FFF2-40B4-BE49-F238E27FC236}">
              <a16:creationId xmlns:a16="http://schemas.microsoft.com/office/drawing/2014/main" id="{864DEADE-5D84-4DE8-8740-F997656A8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66231" cy="1207197"/>
        </a:xfrm>
        <a:prstGeom prst="rect">
          <a:avLst/>
        </a:prstGeom>
      </xdr:spPr>
    </xdr:pic>
    <xdr:clientData/>
  </xdr:twoCellAnchor>
  <xdr:twoCellAnchor editAs="oneCell">
    <xdr:from>
      <xdr:col>2</xdr:col>
      <xdr:colOff>1345406</xdr:colOff>
      <xdr:row>0</xdr:row>
      <xdr:rowOff>178594</xdr:rowOff>
    </xdr:from>
    <xdr:to>
      <xdr:col>3</xdr:col>
      <xdr:colOff>988277</xdr:colOff>
      <xdr:row>0</xdr:row>
      <xdr:rowOff>1095375</xdr:rowOff>
    </xdr:to>
    <xdr:pic>
      <xdr:nvPicPr>
        <xdr:cNvPr id="4" name="Picture 3">
          <a:extLst>
            <a:ext uri="{FF2B5EF4-FFF2-40B4-BE49-F238E27FC236}">
              <a16:creationId xmlns:a16="http://schemas.microsoft.com/office/drawing/2014/main" id="{0CD8EE98-56F1-432C-B4EE-36AC4985D8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1937" y="178594"/>
          <a:ext cx="1071621" cy="916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1346058</xdr:colOff>
      <xdr:row>0</xdr:row>
      <xdr:rowOff>41637</xdr:rowOff>
    </xdr:from>
    <xdr:to>
      <xdr:col>1</xdr:col>
      <xdr:colOff>982538</xdr:colOff>
      <xdr:row>0</xdr:row>
      <xdr:rowOff>1226000</xdr:rowOff>
    </xdr:to>
    <xdr:pic>
      <xdr:nvPicPr>
        <xdr:cNvPr id="2" name="Imagen 1">
          <a:extLst>
            <a:ext uri="{FF2B5EF4-FFF2-40B4-BE49-F238E27FC236}">
              <a16:creationId xmlns:a16="http://schemas.microsoft.com/office/drawing/2014/main" id="{984610FA-0D0A-4147-BCCA-E16AC634B3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058" y="41637"/>
          <a:ext cx="1681180" cy="1184363"/>
        </a:xfrm>
        <a:prstGeom prst="rect">
          <a:avLst/>
        </a:prstGeom>
      </xdr:spPr>
    </xdr:pic>
    <xdr:clientData/>
  </xdr:twoCellAnchor>
  <xdr:twoCellAnchor editAs="oneCell">
    <xdr:from>
      <xdr:col>0</xdr:col>
      <xdr:colOff>0</xdr:colOff>
      <xdr:row>0</xdr:row>
      <xdr:rowOff>0</xdr:rowOff>
    </xdr:from>
    <xdr:to>
      <xdr:col>0</xdr:col>
      <xdr:colOff>1199581</xdr:colOff>
      <xdr:row>0</xdr:row>
      <xdr:rowOff>1210372</xdr:rowOff>
    </xdr:to>
    <xdr:pic>
      <xdr:nvPicPr>
        <xdr:cNvPr id="3" name="Imagen 2">
          <a:extLst>
            <a:ext uri="{FF2B5EF4-FFF2-40B4-BE49-F238E27FC236}">
              <a16:creationId xmlns:a16="http://schemas.microsoft.com/office/drawing/2014/main" id="{3EB1F97E-AACB-4A91-85D6-FDE98A8B42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9581" cy="1207197"/>
        </a:xfrm>
        <a:prstGeom prst="rect">
          <a:avLst/>
        </a:prstGeom>
      </xdr:spPr>
    </xdr:pic>
    <xdr:clientData/>
  </xdr:twoCellAnchor>
  <xdr:twoCellAnchor editAs="oneCell">
    <xdr:from>
      <xdr:col>1</xdr:col>
      <xdr:colOff>1104900</xdr:colOff>
      <xdr:row>0</xdr:row>
      <xdr:rowOff>152400</xdr:rowOff>
    </xdr:from>
    <xdr:to>
      <xdr:col>2</xdr:col>
      <xdr:colOff>868421</xdr:colOff>
      <xdr:row>0</xdr:row>
      <xdr:rowOff>1069181</xdr:rowOff>
    </xdr:to>
    <xdr:pic>
      <xdr:nvPicPr>
        <xdr:cNvPr id="4" name="Picture 3">
          <a:extLst>
            <a:ext uri="{FF2B5EF4-FFF2-40B4-BE49-F238E27FC236}">
              <a16:creationId xmlns:a16="http://schemas.microsoft.com/office/drawing/2014/main" id="{2ACB2A39-CFC9-4452-B95C-64BD40924F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9600" y="152400"/>
          <a:ext cx="1071621" cy="9167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815481</xdr:colOff>
      <xdr:row>0</xdr:row>
      <xdr:rowOff>1</xdr:rowOff>
    </xdr:from>
    <xdr:to>
      <xdr:col>2</xdr:col>
      <xdr:colOff>35279</xdr:colOff>
      <xdr:row>3</xdr:row>
      <xdr:rowOff>105184</xdr:rowOff>
    </xdr:to>
    <xdr:pic>
      <xdr:nvPicPr>
        <xdr:cNvPr id="2" name="Imagen 5">
          <a:extLst>
            <a:ext uri="{FF2B5EF4-FFF2-40B4-BE49-F238E27FC236}">
              <a16:creationId xmlns:a16="http://schemas.microsoft.com/office/drawing/2014/main" id="{9000E2A6-3558-4B24-8533-EC064FC31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306" y="1"/>
          <a:ext cx="1223223" cy="774655"/>
        </a:xfrm>
        <a:prstGeom prst="rect">
          <a:avLst/>
        </a:prstGeom>
      </xdr:spPr>
    </xdr:pic>
    <xdr:clientData/>
  </xdr:twoCellAnchor>
  <xdr:twoCellAnchor editAs="oneCell">
    <xdr:from>
      <xdr:col>0</xdr:col>
      <xdr:colOff>1</xdr:colOff>
      <xdr:row>0</xdr:row>
      <xdr:rowOff>0</xdr:rowOff>
    </xdr:from>
    <xdr:to>
      <xdr:col>0</xdr:col>
      <xdr:colOff>762001</xdr:colOff>
      <xdr:row>3</xdr:row>
      <xdr:rowOff>82296</xdr:rowOff>
    </xdr:to>
    <xdr:pic>
      <xdr:nvPicPr>
        <xdr:cNvPr id="3" name="Imagen 6">
          <a:extLst>
            <a:ext uri="{FF2B5EF4-FFF2-40B4-BE49-F238E27FC236}">
              <a16:creationId xmlns:a16="http://schemas.microsoft.com/office/drawing/2014/main" id="{282925AB-7840-4E07-8DF3-BF73A48539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762000" cy="751768"/>
        </a:xfrm>
        <a:prstGeom prst="rect">
          <a:avLst/>
        </a:prstGeom>
      </xdr:spPr>
    </xdr:pic>
    <xdr:clientData/>
  </xdr:twoCellAnchor>
  <xdr:twoCellAnchor editAs="oneCell">
    <xdr:from>
      <xdr:col>2</xdr:col>
      <xdr:colOff>81643</xdr:colOff>
      <xdr:row>0</xdr:row>
      <xdr:rowOff>68036</xdr:rowOff>
    </xdr:from>
    <xdr:to>
      <xdr:col>2</xdr:col>
      <xdr:colOff>892814</xdr:colOff>
      <xdr:row>3</xdr:row>
      <xdr:rowOff>108857</xdr:rowOff>
    </xdr:to>
    <xdr:pic>
      <xdr:nvPicPr>
        <xdr:cNvPr id="4" name="Picture 3">
          <a:extLst>
            <a:ext uri="{FF2B5EF4-FFF2-40B4-BE49-F238E27FC236}">
              <a16:creationId xmlns:a16="http://schemas.microsoft.com/office/drawing/2014/main" id="{5B0746D6-4323-4593-ABDF-8D5B468745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81893" y="68036"/>
          <a:ext cx="811171" cy="6939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993963</xdr:colOff>
      <xdr:row>0</xdr:row>
      <xdr:rowOff>106888</xdr:rowOff>
    </xdr:from>
    <xdr:to>
      <xdr:col>2</xdr:col>
      <xdr:colOff>2082912</xdr:colOff>
      <xdr:row>0</xdr:row>
      <xdr:rowOff>762000</xdr:rowOff>
    </xdr:to>
    <xdr:pic>
      <xdr:nvPicPr>
        <xdr:cNvPr id="2" name="Imagen 2">
          <a:extLst>
            <a:ext uri="{FF2B5EF4-FFF2-40B4-BE49-F238E27FC236}">
              <a16:creationId xmlns:a16="http://schemas.microsoft.com/office/drawing/2014/main" id="{71E690AC-ED51-4DEA-840B-E9180A6135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1413" y="106888"/>
          <a:ext cx="1088949" cy="655112"/>
        </a:xfrm>
        <a:prstGeom prst="rect">
          <a:avLst/>
        </a:prstGeom>
      </xdr:spPr>
    </xdr:pic>
    <xdr:clientData/>
  </xdr:twoCellAnchor>
  <xdr:twoCellAnchor editAs="oneCell">
    <xdr:from>
      <xdr:col>1</xdr:col>
      <xdr:colOff>97117</xdr:colOff>
      <xdr:row>0</xdr:row>
      <xdr:rowOff>298824</xdr:rowOff>
    </xdr:from>
    <xdr:to>
      <xdr:col>1</xdr:col>
      <xdr:colOff>1323722</xdr:colOff>
      <xdr:row>0</xdr:row>
      <xdr:rowOff>1522254</xdr:rowOff>
    </xdr:to>
    <xdr:pic>
      <xdr:nvPicPr>
        <xdr:cNvPr id="3" name="Imagen 3">
          <a:extLst>
            <a:ext uri="{FF2B5EF4-FFF2-40B4-BE49-F238E27FC236}">
              <a16:creationId xmlns:a16="http://schemas.microsoft.com/office/drawing/2014/main" id="{0EBC320B-A98E-4B8A-A93D-1AB5B16E63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295649"/>
          <a:ext cx="1226605" cy="1226605"/>
        </a:xfrm>
        <a:prstGeom prst="rect">
          <a:avLst/>
        </a:prstGeom>
      </xdr:spPr>
    </xdr:pic>
    <xdr:clientData/>
  </xdr:twoCellAnchor>
  <xdr:twoCellAnchor editAs="oneCell">
    <xdr:from>
      <xdr:col>2</xdr:col>
      <xdr:colOff>2247900</xdr:colOff>
      <xdr:row>0</xdr:row>
      <xdr:rowOff>200026</xdr:rowOff>
    </xdr:from>
    <xdr:to>
      <xdr:col>2</xdr:col>
      <xdr:colOff>2871388</xdr:colOff>
      <xdr:row>0</xdr:row>
      <xdr:rowOff>733425</xdr:rowOff>
    </xdr:to>
    <xdr:pic>
      <xdr:nvPicPr>
        <xdr:cNvPr id="4" name="Picture 3">
          <a:extLst>
            <a:ext uri="{FF2B5EF4-FFF2-40B4-BE49-F238E27FC236}">
              <a16:creationId xmlns:a16="http://schemas.microsoft.com/office/drawing/2014/main" id="{98976FBA-5635-4532-9DA2-3CF6CDD1B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0" y="200026"/>
          <a:ext cx="623488" cy="533399"/>
        </a:xfrm>
        <a:prstGeom prst="rect">
          <a:avLst/>
        </a:prstGeom>
      </xdr:spPr>
    </xdr:pic>
    <xdr:clientData/>
  </xdr:twoCellAnchor>
  <xdr:twoCellAnchor editAs="oneCell">
    <xdr:from>
      <xdr:col>2</xdr:col>
      <xdr:colOff>57150</xdr:colOff>
      <xdr:row>0</xdr:row>
      <xdr:rowOff>66675</xdr:rowOff>
    </xdr:from>
    <xdr:to>
      <xdr:col>2</xdr:col>
      <xdr:colOff>819150</xdr:colOff>
      <xdr:row>0</xdr:row>
      <xdr:rowOff>802114</xdr:rowOff>
    </xdr:to>
    <xdr:pic>
      <xdr:nvPicPr>
        <xdr:cNvPr id="5" name="Imagen 6">
          <a:extLst>
            <a:ext uri="{FF2B5EF4-FFF2-40B4-BE49-F238E27FC236}">
              <a16:creationId xmlns:a16="http://schemas.microsoft.com/office/drawing/2014/main" id="{8BA31050-6317-4505-9F8A-91BE5A8783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0" y="66675"/>
          <a:ext cx="762000" cy="7354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OLOMON Brian (ENGIE Impact)" id="{3A6EA67F-5BA1-4A73-8CD5-ABD8C930DFC5}" userId="S::HT6219@engie.com::a32b2ae7-27f3-4ef7-9d01-c1943502ec2e" providerId="AD"/>
  <person displayName="BOTTOMLEY James (ENGIE Impact)" id="{B6436149-9E4E-4FF2-A884-2766B4D2B8F3}" userId="S::PG6416@engie.com::c369ddfa-f9ae-49e3-acee-6adf66d2ebe0" providerId="AD"/>
  <person displayName="LEE Dominic (ENGIE Impact)" id="{146A8BA2-D2F1-497D-BBF1-9F51AAA19A14}" userId="S::RP5799@engie.com::0db077d5-d65c-4fbb-abcf-51f01f0b9fe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engie.sharepoint.com/sites/Carbon/Shared%20Documents/Emissions%20Factor%20Updates/Source%20Files%20for%20EFs/EPA_EEIO_SupplyChain/2022%20USEEIO%20update/USEEIO%20v1.1_with_metadata_description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https://engie.sharepoint.com/sites/CarbonClients/Shared%20Documents/Health%20Care%20Without%20Harm/Scope%203%20tool%20updates/add-on%20work%20Task%202%20-%20combining%20Scope%201&amp;2%20and%20ENGIE%20Scope%203%20tools/Health%20Care%20Emissions%20Impact%20Calculator-Facility%20FINAL_V12.xlsx?70E22DA4" TargetMode="External"/><Relationship Id="rId2" Type="http://schemas.openxmlformats.org/officeDocument/2006/relationships/externalLinkPath" Target="file:///\\70E22DA4\Health%20Care%20Emissions%20Impact%20Calculator-Facility%20FINAL_V1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3" Type="http://schemas.microsoft.com/office/2019/04/relationships/externalLinkLongPath" Target="https://engie.sharepoint.com/sites/CarbonClients/Shared%20Documents/Health%20Care%20Without%20Harm/Scope%203%20tool%20updates/add-on%20work%20Task%202%20-%20combining%20Scope%201&amp;2%20and%20ENGIE%20Scope%203%20tools/Health%20Care%20Emissions%20Impact%20Calculator-Facility%20FINAL_V12.xlsx?70E22DA4" TargetMode="External"/><Relationship Id="rId2" Type="http://schemas.openxmlformats.org/officeDocument/2006/relationships/externalLinkPath" Target="file:///\\70E22DA4\Health%20Care%20Emissions%20Impact%20Calculator-Facility%20FINAL_V1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SOLOMON" refreshedDate="44816.563237615737" createdVersion="7" refreshedVersion="8" minRefreshableVersion="3" recordCount="1576" xr:uid="{00000000-000A-0000-FFFF-FFFF03000000}">
  <cacheSource type="worksheet">
    <worksheetSource ref="A1:J1577" sheet="2016_Detail_Commodity" r:id="rId2"/>
  </cacheSource>
  <cacheFields count="10">
    <cacheField name="Commodity Code" numFmtId="0">
      <sharedItems count="394">
        <s v="1111A0"/>
        <s v="1111B0"/>
        <s v="111200"/>
        <s v="111300"/>
        <s v="111400"/>
        <s v="111900"/>
        <s v="112120"/>
        <s v="1121A0"/>
        <s v="112300"/>
        <s v="112A00"/>
        <s v="113000"/>
        <s v="114000"/>
        <s v="115000"/>
        <s v="211000"/>
        <s v="212100"/>
        <s v="212230"/>
        <s v="2122A0"/>
        <s v="212310"/>
        <s v="2123A0"/>
        <s v="213111"/>
        <s v="21311A"/>
        <s v="221100"/>
        <s v="221200"/>
        <s v="221300"/>
        <s v="230301"/>
        <s v="230302"/>
        <s v="233210"/>
        <s v="233230"/>
        <s v="233240"/>
        <s v="233262"/>
        <s v="2332A0"/>
        <s v="2332C0"/>
        <s v="2332D0"/>
        <s v="233411"/>
        <s v="233412"/>
        <s v="2334A0"/>
        <s v="311111"/>
        <s v="311119"/>
        <s v="311210"/>
        <s v="311221"/>
        <s v="311224"/>
        <s v="311225"/>
        <s v="311230"/>
        <s v="311300"/>
        <s v="311410"/>
        <s v="311420"/>
        <s v="311513"/>
        <s v="311514"/>
        <s v="31151A"/>
        <s v="311520"/>
        <s v="311615"/>
        <s v="31161A"/>
        <s v="311700"/>
        <s v="311810"/>
        <s v="3118A0"/>
        <s v="311910"/>
        <s v="311920"/>
        <s v="311930"/>
        <s v="311940"/>
        <s v="311990"/>
        <s v="312110"/>
        <s v="312120"/>
        <s v="312130"/>
        <s v="312140"/>
        <s v="312200"/>
        <s v="313100"/>
        <s v="313200"/>
        <s v="313300"/>
        <s v="314110"/>
        <s v="314120"/>
        <s v="314900"/>
        <s v="315000"/>
        <s v="316000"/>
        <s v="321100"/>
        <s v="321200"/>
        <s v="321910"/>
        <s v="3219A0"/>
        <s v="322110"/>
        <s v="322120"/>
        <s v="322130"/>
        <s v="322210"/>
        <s v="322220"/>
        <s v="322230"/>
        <s v="322291"/>
        <s v="322299"/>
        <s v="323110"/>
        <s v="323120"/>
        <s v="324110"/>
        <s v="324121"/>
        <s v="324122"/>
        <s v="324190"/>
        <s v="325110"/>
        <s v="325120"/>
        <s v="325130"/>
        <s v="325180"/>
        <s v="325190"/>
        <s v="325211"/>
        <s v="3252A0"/>
        <s v="325310"/>
        <s v="325320"/>
        <s v="325411"/>
        <s v="325412"/>
        <s v="325413"/>
        <s v="325414"/>
        <s v="325510"/>
        <s v="325520"/>
        <s v="325610"/>
        <s v="325620"/>
        <s v="325910"/>
        <s v="3259A0"/>
        <s v="326110"/>
        <s v="326120"/>
        <s v="326130"/>
        <s v="326140"/>
        <s v="326150"/>
        <s v="326160"/>
        <s v="326190"/>
        <s v="326210"/>
        <s v="326220"/>
        <s v="326290"/>
        <s v="327100"/>
        <s v="327200"/>
        <s v="327310"/>
        <s v="327320"/>
        <s v="327330"/>
        <s v="327390"/>
        <s v="327400"/>
        <s v="327910"/>
        <s v="327991"/>
        <s v="327992"/>
        <s v="327993"/>
        <s v="327999"/>
        <s v="331110"/>
        <s v="331200"/>
        <s v="331313"/>
        <s v="33131B"/>
        <s v="331410"/>
        <s v="331420"/>
        <s v="331490"/>
        <s v="331510"/>
        <s v="331520"/>
        <s v="332114"/>
        <s v="332119"/>
        <s v="33211A"/>
        <s v="332200"/>
        <s v="332310"/>
        <s v="332320"/>
        <s v="332410"/>
        <s v="332420"/>
        <s v="332430"/>
        <s v="332500"/>
        <s v="332600"/>
        <s v="332710"/>
        <s v="332720"/>
        <s v="332800"/>
        <s v="332913"/>
        <s v="33291A"/>
        <s v="332991"/>
        <s v="332996"/>
        <s v="332999"/>
        <s v="33299A"/>
        <s v="333111"/>
        <s v="333112"/>
        <s v="333120"/>
        <s v="333130"/>
        <s v="333242"/>
        <s v="33329A"/>
        <s v="333314"/>
        <s v="333316"/>
        <s v="333318"/>
        <s v="333413"/>
        <s v="333414"/>
        <s v="333415"/>
        <s v="333511"/>
        <s v="333514"/>
        <s v="333517"/>
        <s v="33351B"/>
        <s v="333611"/>
        <s v="333612"/>
        <s v="333613"/>
        <s v="333618"/>
        <s v="333912"/>
        <s v="33391A"/>
        <s v="333920"/>
        <s v="333991"/>
        <s v="333993"/>
        <s v="333994"/>
        <s v="33399A"/>
        <s v="33399B"/>
        <s v="334111"/>
        <s v="334112"/>
        <s v="334118"/>
        <s v="334210"/>
        <s v="334220"/>
        <s v="334290"/>
        <s v="334300"/>
        <s v="334413"/>
        <s v="334418"/>
        <s v="33441A"/>
        <s v="334510"/>
        <s v="334511"/>
        <s v="334512"/>
        <s v="334513"/>
        <s v="334514"/>
        <s v="334515"/>
        <s v="334516"/>
        <s v="334517"/>
        <s v="33451A"/>
        <s v="334610"/>
        <s v="335110"/>
        <s v="335120"/>
        <s v="335210"/>
        <s v="335221"/>
        <s v="335222"/>
        <s v="335224"/>
        <s v="335228"/>
        <s v="335311"/>
        <s v="335312"/>
        <s v="335313"/>
        <s v="335314"/>
        <s v="335911"/>
        <s v="335912"/>
        <s v="335920"/>
        <s v="335930"/>
        <s v="335991"/>
        <s v="335999"/>
        <s v="336111"/>
        <s v="336112"/>
        <s v="336120"/>
        <s v="336211"/>
        <s v="336212"/>
        <s v="336213"/>
        <s v="336214"/>
        <s v="336310"/>
        <s v="336320"/>
        <s v="336350"/>
        <s v="336360"/>
        <s v="336370"/>
        <s v="336390"/>
        <s v="3363A0"/>
        <s v="336411"/>
        <s v="336412"/>
        <s v="336413"/>
        <s v="336414"/>
        <s v="33641A"/>
        <s v="336500"/>
        <s v="336611"/>
        <s v="336612"/>
        <s v="336991"/>
        <s v="336992"/>
        <s v="336999"/>
        <s v="337110"/>
        <s v="337121"/>
        <s v="337122"/>
        <s v="337127"/>
        <s v="33712N"/>
        <s v="337215"/>
        <s v="33721A"/>
        <s v="337900"/>
        <s v="339112"/>
        <s v="339113"/>
        <s v="339114"/>
        <s v="339115"/>
        <s v="339116"/>
        <s v="339910"/>
        <s v="339920"/>
        <s v="339930"/>
        <s v="339940"/>
        <s v="339950"/>
        <s v="339990"/>
        <s v="4200ID"/>
        <s v="423100"/>
        <s v="423400"/>
        <s v="423600"/>
        <s v="423800"/>
        <s v="423A00"/>
        <s v="424200"/>
        <s v="424400"/>
        <s v="424700"/>
        <s v="424A00"/>
        <s v="425000"/>
        <s v="441000"/>
        <s v="444000"/>
        <s v="445000"/>
        <s v="446000"/>
        <s v="447000"/>
        <s v="448000"/>
        <s v="452000"/>
        <s v="454000"/>
        <s v="481000"/>
        <s v="482000"/>
        <s v="483000"/>
        <s v="484000"/>
        <s v="485000"/>
        <s v="486000"/>
        <s v="48A000"/>
        <s v="491000"/>
        <s v="492000"/>
        <s v="493000"/>
        <s v="4B0000"/>
        <s v="511110"/>
        <s v="511120"/>
        <s v="511130"/>
        <s v="5111A0"/>
        <s v="511200"/>
        <s v="512100"/>
        <s v="512200"/>
        <s v="515100"/>
        <s v="515200"/>
        <s v="517110"/>
        <s v="517210"/>
        <s v="517A00"/>
        <s v="518200"/>
        <s v="519130"/>
        <s v="5191A0"/>
        <s v="522A00"/>
        <s v="523900"/>
        <s v="523A00"/>
        <s v="524113"/>
        <s v="5241XX"/>
        <s v="524200"/>
        <s v="525000"/>
        <s v="52A000"/>
        <s v="531HSO"/>
        <s v="531HST"/>
        <s v="531ORE"/>
        <s v="532100"/>
        <s v="532400"/>
        <s v="532A00"/>
        <s v="533000"/>
        <s v="541100"/>
        <s v="541200"/>
        <s v="541300"/>
        <s v="541400"/>
        <s v="541511"/>
        <s v="541512"/>
        <s v="54151A"/>
        <s v="541610"/>
        <s v="5416A0"/>
        <s v="541700"/>
        <s v="541800"/>
        <s v="541920"/>
        <s v="541940"/>
        <s v="5419A0"/>
        <s v="550000"/>
        <s v="561100"/>
        <s v="561200"/>
        <s v="561300"/>
        <s v="561400"/>
        <s v="561500"/>
        <s v="561600"/>
        <s v="561700"/>
        <s v="561900"/>
        <s v="562000"/>
        <s v="611100"/>
        <s v="611A00"/>
        <s v="611B00"/>
        <s v="621100"/>
        <s v="621200"/>
        <s v="621300"/>
        <s v="621400"/>
        <s v="621500"/>
        <s v="621600"/>
        <s v="621900"/>
        <s v="622000"/>
        <s v="623A00"/>
        <s v="623B00"/>
        <s v="624100"/>
        <s v="624400"/>
        <s v="624A00"/>
        <s v="711100"/>
        <s v="711200"/>
        <s v="711500"/>
        <s v="711A00"/>
        <s v="712000"/>
        <s v="713100"/>
        <s v="713200"/>
        <s v="713900"/>
        <s v="721000"/>
        <s v="722110"/>
        <s v="722211"/>
        <s v="722A00"/>
        <s v="811100"/>
        <s v="811200"/>
        <s v="811300"/>
        <s v="811400"/>
        <s v="812100"/>
        <s v="812200"/>
        <s v="812300"/>
        <s v="812900"/>
        <s v="813100"/>
        <s v="813A00"/>
        <s v="813B00"/>
        <s v="814000"/>
      </sharedItems>
    </cacheField>
    <cacheField name="Commodity Name" numFmtId="0">
      <sharedItems count="394">
        <s v="Fresh soybeans, canola, flaxseeds, and other oilseeds"/>
        <s v="Fresh wheat, corn, rice, and other grains"/>
        <s v="Fresh vegetables, melons, and potatoes"/>
        <s v="Fresh fruits and tree nuts"/>
        <s v="Greenhouse crops, mushrooms, nurseries, and flowers"/>
        <s v="Tobacco, cotton, sugarcane, peanuts, sugar beets, herbs and spices, and other crops"/>
        <s v="Dairies"/>
        <s v="Cattle ranches and feedlots"/>
        <s v="Poultry farms"/>
        <s v="Animal farms and aquaculture ponds (except cattle and poultry)"/>
        <s v="Timber and raw forest products"/>
        <s v="Wild-caught fish and game"/>
        <s v="Agriculture and forestry support"/>
        <s v="Unrefined oil and gas"/>
        <s v="Coal"/>
        <s v="Copper, nickel, lead, and zinc"/>
        <s v="Iron, gold, silver, and other metal ores"/>
        <s v="Dimensional stone"/>
        <s v="Sand, gravel, clay, phosphate, other nonmetallic minerals"/>
        <s v="Well drilling"/>
        <s v="Other support activities for mining"/>
        <s v="Electricity"/>
        <s v="Natural gas"/>
        <s v="Drinking water and wastewater treatment"/>
        <s v="Nonresidential building repair and maintanence"/>
        <s v="Residential building repair and maintanence"/>
        <s v="Health care buildings"/>
        <s v="Manufacturing buildings"/>
        <s v="Utilities buildings and infrastructure"/>
        <s v="Schools and vocational buildings"/>
        <s v="Commercial structures, including farm structures"/>
        <s v="Highways, streets, and bridges"/>
        <s v="Other nonresidential structures"/>
        <s v="Single-family homes"/>
        <s v="Multifamily homes"/>
        <s v="Other residential structures"/>
        <s v="Dog and cat food"/>
        <s v="Other animal food"/>
        <s v="Flours and malts"/>
        <s v="Corn products"/>
        <s v="Vegetable oils and by-products"/>
        <s v="Refined vegetable, olive, and seed oils"/>
        <s v="Breakfast cereals"/>
        <s v="Sugar, candy, and chocolate"/>
        <s v="Frozen food"/>
        <s v="Fruit and vegetable preservation"/>
        <s v="Cheese"/>
        <s v="Dry, condensed, and evaporated dairy"/>
        <s v="Fluid milk and butter"/>
        <s v="Ice cream and frozen desserts"/>
        <s v="Packaged poultry"/>
        <s v="Packaged meat (except poultry)"/>
        <s v="Seafood"/>
        <s v="Bread and other baked goods"/>
        <s v="Cookies, crackers, pastas, and tortillas"/>
        <s v="Snack foods"/>
        <s v="Coffee and tea"/>
        <s v="Flavored drink concentrates"/>
        <s v="Seasonings and dressings"/>
        <s v="All other foods"/>
        <s v="Soft drinks, bottled water, and ice"/>
        <s v="Breweries and beer"/>
        <s v="Wineries and wine"/>
        <s v="Distilleries and spirits"/>
        <s v="Tobacco products"/>
        <s v="Fiber, yarn, and thread"/>
        <s v="Fabric"/>
        <s v="Finished and coated fabric"/>
        <s v="Carpets and rugs"/>
        <s v="Curtains and linens"/>
        <s v="Other textiles"/>
        <s v="Clothing"/>
        <s v="Leather"/>
        <s v="Lumber and treated lumber"/>
        <s v="Plywood and veneer"/>
        <s v="Wooden windows, door, and flooring"/>
        <s v="Veneer, plywood, and engineered wood"/>
        <s v="Wood pulp"/>
        <s v="Paper"/>
        <s v="Cardboard"/>
        <s v="Cardboard containers"/>
        <s v="Paper bags and coated paper"/>
        <s v="Stationery"/>
        <s v="Sanitary paper (tissues, napkins, diapers, etc.)"/>
        <s v="All other converted paper products"/>
        <s v="Books, newspapers, magazines, and other print media"/>
        <s v="Printing support"/>
        <s v="Gasoline, fuels, and by-products of petroleum refining"/>
        <s v="Asphalt pavement"/>
        <s v="Asphalt shingles"/>
        <s v="Other petroleum and coal products"/>
        <s v="Petrochemicals"/>
        <s v="Compressed Gases"/>
        <s v="Synthetic dyes and pigments"/>
        <s v="Other basic inorganic chemicals"/>
        <s v="Other basic organic chemicals"/>
        <s v="Plastics"/>
        <s v="Synthetic rubber and artificial and synthetic fibers"/>
        <s v="Fertilizers"/>
        <s v="Pesticides"/>
        <s v="Medicinal and botanical ingredients"/>
        <s v="Pharmaceutical products (pills, powders, solutions, etc.)"/>
        <s v="Blood sugar, pregnancy, and other diagnostic test kits"/>
        <s v="Vaccines and other biological medical products"/>
        <s v="Paints and coatings"/>
        <s v="Adhesives"/>
        <s v="Soap and cleaning compounds"/>
        <s v="Toiletries"/>
        <s v="Ink and ink cartridges"/>
        <s v="Chemicals (except basic chemicals, agrichemicals, polymers, paints, pharmaceuticals,soaps, cleaning compounds)"/>
        <s v="Plastic bags, films, and sheets"/>
        <s v="Plastic pipe, fittings, and sausage casings"/>
        <s v="Laminated plastic plates and shapes"/>
        <s v="Polystyrene foam products"/>
        <s v="Urethane and other foam products"/>
        <s v="Plastic bottles"/>
        <s v="Other plastic products"/>
        <s v="Rubber tires"/>
        <s v="Rubber and plastic belts and hoses"/>
        <s v="Other rubber products"/>
        <s v="Clay and ceramic products"/>
        <s v="Glass and glass products"/>
        <s v="Cement"/>
        <s v="Ready-mix concrete"/>
        <s v="Concrete pipe, bricks, and blocks"/>
        <s v="Other concrete products"/>
        <s v="Lime and gypsum products"/>
        <s v="Abrasive products"/>
        <s v="Cut stone and stone products"/>
        <s v="Ground or treated minerals and earth"/>
        <s v="Mineral wool"/>
        <s v="Other nonmetallic mineral products"/>
        <s v="Primary iron, steel, and ferroalloy products"/>
        <s v="Secondary steel products"/>
        <s v="Primary aluminum"/>
        <s v="Secondary aluminum"/>
        <s v="Copper, gold and silver concentrates"/>
        <s v="Secondary copper products"/>
        <s v="Other secondary nonferrous metal products"/>
        <s v="Cast iron and steel"/>
        <s v="Nonferrous metal casts"/>
        <s v="Custom metal rolls"/>
        <s v="Lids, jars, bottle caps, other metal closures and crowns"/>
        <s v="All other forging, stamping, and sintering"/>
        <s v="Cutlery and handtools"/>
        <s v="Metal structural products"/>
        <s v="Metal windows, doors, and architectural products"/>
        <s v="Power boilers and heat exchangers"/>
        <s v="Heavy gauge metal tanks"/>
        <s v="Light gauge metal cans, boxes, and containers"/>
        <s v="Metal hinges, keys, lock, and other hardware"/>
        <s v="Springs and wires"/>
        <s v="Machine shops"/>
        <s v="Screws, nuts, and bolts"/>
        <s v="Metal coatings, engravings, and heat treatments"/>
        <s v="Metal plumbing drains, faucets, valves, and other fittings"/>
        <s v="Valve and fittings (except for plumbing)"/>
        <s v="Ball and roller bearings"/>
        <s v="Fabricated pipe and pipe fittings"/>
        <s v="Misc. fabricated metal products"/>
        <s v="Ammunition, arms, ordnance, and related accessories"/>
        <s v="Farm machinery and equipment"/>
        <s v="Lawn and garden equipment"/>
        <s v="Construction machinery"/>
        <s v="Mining and oil/gas field machinery"/>
        <s v="Semiconductor machinery"/>
        <s v="Machinery for the paper, textile, food or other industries (except semiconductor machinery)"/>
        <s v="Optical instruments and lenses"/>
        <s v="Photography and photocopying equipment"/>
        <s v="Other commercial and service industry machinery"/>
        <s v="Air purification and ventilation equipment"/>
        <s v="Heating equipment other than warm air furnaces"/>
        <s v="Air conditioning, refrigeration, and warm air heating equipment"/>
        <s v="Industrial molds"/>
        <s v="Special tools, dies, jigs, and fixtures"/>
        <s v="Metal cutting and forming machine tools"/>
        <s v="Cutting and machine tool accessory, rolling mill, and other metalworking machines"/>
        <s v="Turbines and turbine generator sets"/>
        <s v="Speed changers, industrial high-speed drives, and gears"/>
        <s v="Mechanical power transmission equipment"/>
        <s v="Other engine equipment"/>
        <s v="Air and gas compressors"/>
        <s v="Pumps and pumping equipment"/>
        <s v="Material handling equipment"/>
        <s v="Power tools"/>
        <s v="Packaging machinery"/>
        <s v="Industrial process furnaces and ovens"/>
        <s v="Welding and Soldering Equipment, Scales and Balances, and other general purpose machinery"/>
        <s v="Hydraulic pumps, motors, cylinders and actuators"/>
        <s v="Computers"/>
        <s v="Computer storage device readers"/>
        <s v="Computer terminals and other computer peripheral equipment"/>
        <s v="Telephones"/>
        <s v="Wireless communications"/>
        <s v="Communications equipment"/>
        <s v="Audio and video equipment"/>
        <s v="Semiconductors"/>
        <s v="Printed circuit and electronic assembly"/>
        <s v="Electronic capacitors, resistors, coils, transformers, connectors and other components (except  semiconductors and printed circuit assemblies)"/>
        <s v="Electromedical appartuses"/>
        <s v="Navigation instruments"/>
        <s v="Automatic controls for HVAC and refrigeration equipment"/>
        <s v="Industrial process variable instruments"/>
        <s v="Fluid meters and counting devices"/>
        <s v="Signal testing instruments"/>
        <s v="Analytical laboratory instruments"/>
        <s v="Irradiation apparatuses"/>
        <s v="Watches, clocks, and other measuring and controlling devices"/>
        <s v="External hard drives, CDs, other storage media"/>
        <s v="Light bulbs"/>
        <s v="Light fixtures"/>
        <s v="Small electrical appliances"/>
        <s v="Home cooking appliances"/>
        <s v="Home refrigerators and freezers"/>
        <s v="Home laundry machines"/>
        <s v="Major home appliances (except ovens, stoves, refrigerators and laundry machines)"/>
        <s v="Specialty transformers"/>
        <s v="Motors and generators"/>
        <s v="Switchgear and switchboards"/>
        <s v="Relay and industrial controls"/>
        <s v="Storage batteries"/>
        <s v="Primary batteries"/>
        <s v="Communication and energy wire and cable"/>
        <s v="Wiring devices"/>
        <s v="Carbon and graphite products"/>
        <s v="other miscellaneous electrical equipment and components"/>
        <s v="Automobiles"/>
        <s v="Pickup trucks, vans, and SUVs"/>
        <s v="Heavy duty trucks"/>
        <s v="Vehicle bodies"/>
        <s v="Truck trailers"/>
        <s v="Motor homes"/>
        <s v="Travel trailer and campers"/>
        <s v="Vehicle engines and engine parts"/>
        <s v="Vehicle electrical and electronic equipment"/>
        <s v="Transmission and power train parts"/>
        <s v="Vehicle seating and interior trim (upholstery)"/>
        <s v="Vehicle metal stamping"/>
        <s v="Other vehicle parts"/>
        <s v="Motor vehicle steering, suspension components (except spring), and brake systems"/>
        <s v="Aircraft"/>
        <s v="Aircraft engines and parts"/>
        <s v="Other aircraft parts"/>
        <s v="Guided missiles and space vehicles"/>
        <s v="Propulsion units and parts for space vehicles and guided missiles"/>
        <s v="Railroad rolling stock"/>
        <s v="Ships and ship repair"/>
        <s v="Boats"/>
        <s v="Motorcycle, bicycle, and parts"/>
        <s v="Military armored vehicles and tanks"/>
        <s v="Other transportation equipment"/>
        <s v="Wood kitchen cabinets and countertops"/>
        <s v="Home furniture - upholstered"/>
        <s v="Home furniture - wood, nonupholstered"/>
        <s v="Institutional furniture"/>
        <s v="Home furniture - Cabinets and non-wood, nonupholstered"/>
        <s v="Shelving and lockers"/>
        <s v="Office furniture and custom architectural woodwork and millwork"/>
        <s v="Mattresses, blinds and shades"/>
        <s v="Surgical and medical instruments"/>
        <s v="Surgical appliance and supplies"/>
        <s v="Dental equipment and supplies"/>
        <s v="Ophthalmic goods"/>
        <s v="Dental laboratories"/>
        <s v="Jewelry and silverware"/>
        <s v="Sporting and athletic goods"/>
        <s v="Dolls, toys, and games"/>
        <s v="Office supplies (not paper)"/>
        <s v="Signs"/>
        <s v="Gaskets, seals, musical instruments, fasteners, brooms, brushes, mop and other misc. goods"/>
        <s v="Customs duties"/>
        <s v="Motor vehicle and motor vehicle parts and supplies"/>
        <s v="Professional and commercial equipment and supplies"/>
        <s v="Household appliances and electrical and electronic goods"/>
        <s v="Machinery, equipment, and supplies"/>
        <s v="Other durable goods merchant wholesalers"/>
        <s v="Drugs and druggists sundries"/>
        <s v="Grocery and related product wholesalers"/>
        <s v="Petroleum and petroleum products"/>
        <s v="Other nondurable goods merchant wholesalers"/>
        <s v="Wholesale electronic markets and agents and brokers"/>
        <s v="Vehicles and parts sales"/>
        <s v="Building material and garden equipment and supplies dealers"/>
        <s v="Food and beverage stores"/>
        <s v="Health and personal care stores"/>
        <s v="Gasoline stations"/>
        <s v="Clothing and clothing accessories stores"/>
        <s v="General merchandise stores"/>
        <s v="Nonstore retailers"/>
        <s v="Air transport"/>
        <s v="Rail transport"/>
        <s v="Water transport (boats, ships, ferries)"/>
        <s v="Truck transport"/>
        <s v="Passenger ground transport"/>
        <s v="Pipeline transport"/>
        <s v="Scenic and sightseeing transportation and support activities for transportation"/>
        <s v="Postal service"/>
        <s v="Couriers and messengers"/>
        <s v="Warehousing"/>
        <s v="Other retail"/>
        <s v="Newspapers"/>
        <s v="Magazines and journals"/>
        <s v="Books"/>
        <s v="Directory, mailing list, and other publishers"/>
        <s v="Software"/>
        <s v="Movies and film"/>
        <s v="Sound recording"/>
        <s v="Radio and television"/>
        <s v="Cable and subscription programming"/>
        <s v="Telecommunications"/>
        <s v="Wireless telecommunications"/>
        <s v="Satellite, telecommunications resellers, and all other telecommunications"/>
        <s v="Data processing and hosting"/>
        <s v="Internet publishing and broadcasting"/>
        <s v="News syndicates, libraries, archives, Internet publishing and all other information services"/>
        <s v="Nondepository credit intermediation and related activities"/>
        <s v="Investment advice, portfolio management, and other financial advising services"/>
        <s v="Securities and commodities brokerage and exchanges"/>
        <s v="Direct life insurance carriers"/>
        <s v="Insurance carriers, except direct life"/>
        <s v="Insurance agencies and brokerages"/>
        <s v="Funds, trusts, and financial vehicles"/>
        <s v="Monetary authorities and depository credit intermediation"/>
        <s v="Owner-occupied housing"/>
        <s v="Tenant-occupied housing"/>
        <s v="Other real estate"/>
        <s v="Vehicle rental and leasing"/>
        <s v="Commercial equipment rental"/>
        <s v="Consumer goods and general rental centers"/>
        <s v="Lessors of nonfinancial intangible assets"/>
        <s v="Legal services"/>
        <s v="Accounting, tax preparation, bookkeeping, and payroll"/>
        <s v="Architectural, engineering, and related services"/>
        <s v="Specialized design"/>
        <s v="Custom computer programming"/>
        <s v="Computer systems design"/>
        <s v="Other computer related services, including facilities management"/>
        <s v="Management consulting"/>
        <s v="Environmental and other technical consulting services"/>
        <s v="Scientific research and development"/>
        <s v="Advertising and public relations"/>
        <s v="Photographers"/>
        <s v="Veterinarians"/>
        <s v="Marketing research and all other miscellaneous professional, scientific, and technical services"/>
        <s v="Company and enterprise management"/>
        <s v="Office administration"/>
        <s v="Facilities support"/>
        <s v="Employment services"/>
        <s v="Business support"/>
        <s v="Travel arrangement and reservation"/>
        <s v="Investigation and security"/>
        <s v="Buildings and dwellings services"/>
        <s v="Other support services"/>
        <s v="Waste management and remediation"/>
        <s v="Elementary and secondary schools"/>
        <s v="Colleges, universities, junior colleges, and professional schools"/>
        <s v="Other educational services"/>
        <s v="Physicians"/>
        <s v="Dentists"/>
        <s v="Healthcare practitioners (except physicians and dentists)"/>
        <s v="Outpatient healthcare"/>
        <s v="Medical laboratories"/>
        <s v="Home healthcare"/>
        <s v="Ambulances"/>
        <s v="Hospitals"/>
        <s v="Nursing and community care facilities"/>
        <s v="Residential mental retardation, mental health, substance abuse and other facilities"/>
        <s v="Individual and family services"/>
        <s v="Child day care"/>
        <s v="Community food, housing, and other relief services, including rehabilitation services"/>
        <s v="Performances"/>
        <s v="Sports"/>
        <s v="Independent artists, writers, and performers"/>
        <s v="Promoters and agents"/>
        <s v="Museums, historical sites, zoos, and parks"/>
        <s v="Amusement parks and arcades"/>
        <s v="Gambling establishments (except casino hotels)"/>
        <s v="Golf courses, marinas, ski resorts, fitness and other rec centers and industries"/>
        <s v="Hotels and campgrounds"/>
        <s v="Full-service restaurants"/>
        <s v="Limited-service restaurants"/>
        <s v="All other food and drinking places"/>
        <s v="Vehicle repair"/>
        <s v="Electronic  equipment repair and maintenance"/>
        <s v="Commercial machinery repair"/>
        <s v="Household goods repair"/>
        <s v="Salons and barber shops"/>
        <s v="Funerary services"/>
        <s v="Dry-cleaning and laundry"/>
        <s v="Pet care, photofinishing, parking and other sundry services"/>
        <s v="Religious organizations"/>
        <s v="Grantmaking, giving, and social advocacy organizations"/>
        <s v="Civic, social, professional, and similar organizations"/>
        <s v="Household employees"/>
      </sharedItems>
    </cacheField>
    <cacheField name="Substance" numFmtId="0">
      <sharedItems/>
    </cacheField>
    <cacheField name="Unit" numFmtId="0">
      <sharedItems/>
    </cacheField>
    <cacheField name="Supply Chain Emission Factors without Margins" numFmtId="0">
      <sharedItems containsSemiMixedTypes="0" containsString="0" containsNumber="1" minValue="0" maxValue="4.3879999999999999"/>
    </cacheField>
    <cacheField name="Supply Chain Emission Factors without Margins (kg CO2e/$)" numFmtId="166">
      <sharedItems containsSemiMixedTypes="0" containsString="0" containsNumber="1" minValue="0" maxValue="4.3879999999999999"/>
    </cacheField>
    <cacheField name="Margins of Supply Chain Emission Factors" numFmtId="0">
      <sharedItems containsSemiMixedTypes="0" containsString="0" containsNumber="1" minValue="0" maxValue="0.19800000000000001"/>
    </cacheField>
    <cacheField name="Margins of Supply Chain Emission Factors (kg CO2e/$)" numFmtId="166">
      <sharedItems containsSemiMixedTypes="0" containsString="0" containsNumber="1" minValue="0" maxValue="0.19800000000000001"/>
    </cacheField>
    <cacheField name="Supply Chain Emission Factors with Margins" numFmtId="0">
      <sharedItems containsSemiMixedTypes="0" containsString="0" containsNumber="1" minValue="0" maxValue="4.4669999999999996"/>
    </cacheField>
    <cacheField name="Supply Chain Emission Factors with Margins (kg CO2e/$)" numFmtId="166">
      <sharedItems containsSemiMixedTypes="0" containsString="0" containsNumber="1" minValue="0" maxValue="4.466999999999999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TTOMLEY James PG6416" refreshedDate="44865.618548148152" createdVersion="7" refreshedVersion="8" minRefreshableVersion="3" recordCount="1576" xr:uid="{00000000-000A-0000-FFFF-FFFF04000000}">
  <cacheSource type="worksheet">
    <worksheetSource ref="B1:K1577" sheet="2016_Detail_Commodity_v1.0" r:id="rId2"/>
  </cacheSource>
  <cacheFields count="10">
    <cacheField name="Commodity Code" numFmtId="0">
      <sharedItems/>
    </cacheField>
    <cacheField name="Commodity Name" numFmtId="0">
      <sharedItems count="396">
        <s v="Fresh soybeans, canola, flaxseeds, and other oilseeds"/>
        <s v="Fresh wheat, corn, rice, and other grains"/>
        <s v="Fresh vegetables, melons, and potatoes"/>
        <s v="Fresh fruits and tree nuts"/>
        <s v="Greenhouse crops, mushrooms, nurseries, and flowers"/>
        <s v="Tobacco, cotton, sugarcane, peanuts, sugar beets, herbs and spices, and other crops"/>
        <s v="Dairies"/>
        <s v="Cattle ranches and feedlots"/>
        <s v="Poultry farms"/>
        <s v="Animal farms and aquaculture ponds (except cattle and poultry)"/>
        <s v="Timber and raw forest products"/>
        <s v="Wild-caught fish and game"/>
        <s v="Agriculture and forestry support"/>
        <s v="Unrefined oil and gas"/>
        <s v="Coal"/>
        <s v="Copper, nickel, lead, and zinc"/>
        <s v="Iron, gold, silver, and other metal ores"/>
        <s v="Dimensional stone"/>
        <s v="Sand, gravel, clay, phosphate, other nonmetallic minerals"/>
        <s v="Well drilling"/>
        <s v="Other support activities for mining"/>
        <s v="Electricity"/>
        <s v="Natural gas"/>
        <s v="Drinking water and wastewater treatment"/>
        <s v="Nonresidential maintenance and repair"/>
        <s v="Residential maintenance and repair"/>
        <s v="Health care structures"/>
        <s v="Manufacturing structures"/>
        <s v="Power and communication structures"/>
        <s v="Educational and vocational structures"/>
        <s v="Commercial structures, including farm structures"/>
        <s v="Transportation structures and highways and streets"/>
        <s v="Other nonresidential structures"/>
        <s v="Single-family residential structures"/>
        <s v="Multifamily residential structures"/>
        <s v="Other residential structures"/>
        <s v="Dog and cat food"/>
        <s v="Other animal food"/>
        <s v="Flours and malts"/>
        <s v="Corn products"/>
        <s v="Soybean and other oilseed processing"/>
        <s v="Refined vegetable, olive, and seed oils"/>
        <s v="Breakfast cereals"/>
        <s v="Sugar, candy, and chocolate"/>
        <s v="Frozen food"/>
        <s v="Fruit and vegetable preservation"/>
        <s v="Cheese"/>
        <s v="Dry, condensed, and evaporated dairy"/>
        <s v="Fluid milk and butter"/>
        <s v="Ice cream and frozen desserts"/>
        <s v="Packaged poultry"/>
        <s v="Packaged meat (except poultry)"/>
        <s v="Seafood"/>
        <s v="Bread and other baked goods"/>
        <s v="Cookies, crackers, pastas, and tortillas"/>
        <s v="Snack foods"/>
        <s v="Coffee and tea"/>
        <s v="Flavored drink concentrates"/>
        <s v="Seasonings and dressings"/>
        <s v="All other foods"/>
        <s v="Soft drinks, bottled water, and ice"/>
        <s v="Breweries and beer"/>
        <s v="Wineries and wine"/>
        <s v="Distilleries and spirits"/>
        <s v="Tobacco products"/>
        <s v="Fiber, yarn, and thread"/>
        <s v="Fabric"/>
        <s v="Finished and coated fabric"/>
        <s v="Carpets and rugs"/>
        <s v="Curtains and linens"/>
        <s v="Other textiles"/>
        <s v="Clothing"/>
        <s v="Leather"/>
        <s v="Lumber and treated lumber"/>
        <s v="Plywood and veneer"/>
        <s v="Wooden windows, door, and flooring"/>
        <s v="Veneer, plywood, and engineered wood"/>
        <s v="Wood pulp"/>
        <s v="Paper"/>
        <s v="Cardboard"/>
        <s v="Cardboard containers"/>
        <s v="Paper bags and coated paper"/>
        <s v="Stationery"/>
        <s v="Sanitary paper (tissues, napkins, diapers, etc.)"/>
        <s v="All other converted paper products"/>
        <s v="Books, newspapers, magazines, and other print media"/>
        <s v="Printing support"/>
        <s v="Gasoline, fuels, and by-products of petroleum refining"/>
        <s v="Asphalt pavement"/>
        <s v="Asphalt shingles"/>
        <s v="Other petroleum and coal products"/>
        <s v="Petrochemicals"/>
        <s v="Compressed Gases"/>
        <s v="Synthetic dyes and pigments"/>
        <s v="Other basic inorganic chemicals"/>
        <s v="Other basic organic chemicals"/>
        <s v="Plastics"/>
        <s v="Synthetic rubber and artificial and synthetic fibers"/>
        <s v="Fertilizers"/>
        <s v="Pesticides"/>
        <s v="Medicinal and botanical ingredients"/>
        <s v="Pharmaceutical products (pills, powders, solutions, etc.)"/>
        <s v="Blood sugar, pregnancy, and other diagnostic test kits"/>
        <s v="Vaccines and other biological medical products"/>
        <s v="Paints and coatings"/>
        <s v="Adhesives"/>
        <s v="Soap and cleaning compounds"/>
        <s v="Toiletries"/>
        <s v="Ink and ink cartridges"/>
        <s v="Chemicals (except basic chemicals, agrichemicals, polymers, paints, pharmaceuticals, soaps, cleaning compounds)"/>
        <s v="Plastic bags, films, and sheets"/>
        <s v="Plastic pipe, fittings, and sausage casings"/>
        <s v="Laminated plastic plates and shapes"/>
        <s v="Polystyrene foam products"/>
        <s v="Urethane and other foam products"/>
        <s v="Plastic bottles"/>
        <s v="Other plastic products"/>
        <s v="Rubber tires"/>
        <s v="Rubber and plastic belts and hoses"/>
        <s v="Other rubber products"/>
        <s v="Clay and ceramic products"/>
        <s v="Glass and glass products"/>
        <s v="Cement"/>
        <s v="Ready-mix concrete"/>
        <s v="Concrete pipe, bricks, and blocks"/>
        <s v="Other concrete products"/>
        <s v="Lime and gypsum products"/>
        <s v="Abrasive products"/>
        <s v="Cut stone and stone products"/>
        <s v="Ground or treated minerals and earth"/>
        <s v="Mineral wool"/>
        <s v="Other nonmetallic mineral products"/>
        <s v="Primary iron, steel, and ferroalloy products"/>
        <s v="Secondary steel products"/>
        <s v="Alumina refining and primary aluminum production"/>
        <s v="Aluminum products"/>
        <s v="Nonferrous Metal (except Aluminum) Smelting and Refining"/>
        <s v="Secondary copper products"/>
        <s v="Other secondary nonferrous metal products"/>
        <s v="Cast iron and steel"/>
        <s v="Nonferrous metal casts"/>
        <s v="Custom metal rolls"/>
        <s v="Metal crown, closure, and other metal stamping (except automotive)"/>
        <s v="All other forging, stamping, and sintering"/>
        <s v="Cutlery and handtools"/>
        <s v="Metal structural products"/>
        <s v="Metal windows, doors, and architectural products"/>
        <s v="Power boilers and heat exchangers"/>
        <s v="Heavy gauge metal tanks"/>
        <s v="Light gauge metal cans, boxes, and containers"/>
        <s v="Metal hinges, keys, lock, and other hardware"/>
        <s v="Springs and wires"/>
        <s v="Machine shops"/>
        <s v="Screws, nuts, and bolts"/>
        <s v="Metal coatings, engravings, and heat treatments"/>
        <s v="Metal plumbing drains, faucets, valves, and other fittings"/>
        <s v="Valve and fittings (except for plumbing)"/>
        <s v="Ball and roller bearings"/>
        <s v="Fabricated pipe and pipe fittings"/>
        <s v="Other fabricated metal manufacturing"/>
        <s v="Ammunition, arms, ordnance, and related accessories"/>
        <s v="Farm machinery and equipment"/>
        <s v="Lawn and garden equipment"/>
        <s v="Construction machinery"/>
        <s v="Mining and oil/gas field machinery"/>
        <s v="Semiconductor machinery"/>
        <s v="Machinery for the paper, textile, food or other industries (except semiconductor machinery)"/>
        <s v="Optical instruments and lenses"/>
        <s v="Photography and photocopying equipment"/>
        <s v="Other commercial and service industry machinery"/>
        <s v="Industrial and commercial fan and blower and air purification equipment"/>
        <s v="Heating equipment other than warm air furnaces"/>
        <s v="Air conditioning, refrigeration, and warm air heating equipment"/>
        <s v="Industrial molds"/>
        <s v="Special tools, dies, jigs, and fixtures"/>
        <s v="Machine tool manufacturing"/>
        <s v="Cutting and machine tool accessory, rolling mill, and other metalworking machines"/>
        <s v="Turbines and turbine generator sets"/>
        <s v="Speed changers, industrial high-speed drives, and gears"/>
        <s v="Mechanical power transmission equipment"/>
        <s v="Other engine equipment"/>
        <s v="Air and gas compressors"/>
        <s v="Pumps and pumping equipment"/>
        <s v="Material handling equipment"/>
        <s v="Power tools"/>
        <s v="Packaging machinery"/>
        <s v="Industrial process furnaces and ovens"/>
        <s v="Welding and Soldering Equipment, Scales and Balances, and other general purpose machinery"/>
        <s v="Hydraulic pumps, motors, cylinders and actuators"/>
        <s v="Computers"/>
        <s v="Computer storage device readers"/>
        <s v="Computer terminals and other computer peripheral equipment"/>
        <s v="Telephones"/>
        <s v="Wireless communications"/>
        <s v="Communications equipment"/>
        <s v="Audio and video equipment"/>
        <s v="Semiconductors"/>
        <s v="Printed circuit and electronic assembly"/>
        <s v="Electronic capacitors, resistors, coils, transformers, connectors and other components (except  semiconductors and printed circuit assemblies)"/>
        <s v="Electromedical apparatuses"/>
        <s v="Navigation instruments"/>
        <s v="Automatic controls for HVAC and refrigeration equipment"/>
        <s v="Industrial process variable instruments"/>
        <s v="Fluid meters and counting devices"/>
        <s v="Signal testing instruments"/>
        <s v="Analytical laboratory instruments"/>
        <s v="Irradiation apparatuses"/>
        <s v="Watches, clocks, and other measuring and controlling devices"/>
        <s v="External hard drives, CDs, other storage media"/>
        <s v="Light bulbs"/>
        <s v="Light fixtures"/>
        <s v="Small electrical appliances"/>
        <s v="Home cooking appliances"/>
        <s v="Home refrigerators and freezers"/>
        <s v="Home laundry machines"/>
        <s v="Major home appliances (except ovens, stoves, refrigerators and laundry machines)"/>
        <s v="Specialty transformers"/>
        <s v="Motors and generators"/>
        <s v="Switchgear and switchboards"/>
        <s v="Relay and industrial controls"/>
        <s v="Storage batteries"/>
        <s v="Primary batteries"/>
        <s v="Communication and energy wire and cable"/>
        <s v="Wiring devices"/>
        <s v="Carbon and graphite products"/>
        <s v="other miscellaneous electrical equipment and components"/>
        <s v="Automobiles"/>
        <s v="Pickup trucks, vans, and SUVs"/>
        <s v="Heavy duty trucks"/>
        <s v="Vehicle bodies"/>
        <s v="Truck trailers"/>
        <s v="Motor homes"/>
        <s v="Travel trailer and campers"/>
        <s v="Vehicle engines and engine parts"/>
        <s v="Vehicle electrical and electronic equipment"/>
        <s v="Transmission and power train parts"/>
        <s v="Vehicle seating and interior trim (upholstery)"/>
        <s v="Vehicle metal stamping"/>
        <s v="Other vehicle parts"/>
        <s v="Motor vehicle steering, suspension components (except spring), and brake systems"/>
        <s v="Aircraft"/>
        <s v="Aircraft engines and parts"/>
        <s v="Other aircraft parts"/>
        <s v="Guided missiles and space vehicles"/>
        <s v="Propulsion units and parts for space vehicles and guided missiles"/>
        <s v="Railroad rolling stock"/>
        <s v="Ships and ship repair"/>
        <s v="Boats"/>
        <s v="Motorcycle, bicycle, and parts"/>
        <s v="Military armored vehicles and tanks"/>
        <s v="Other transportation equipment"/>
        <s v="Wood kitchen cabinets and countertops"/>
        <s v="Home furniture - upholstered"/>
        <s v="Home furniture - wood, nonupholstered"/>
        <s v="Institutional furniture"/>
        <s v="Other household nonupholstered furniture"/>
        <s v="Shelving and lockers"/>
        <s v="Office furniture and custom architectural woodwork and millwork"/>
        <s v="Mattresses, blinds and shades"/>
        <s v="Surgical and medical instruments"/>
        <s v="Surgical appliance and supplies"/>
        <s v="Dental equipment and supplies"/>
        <s v="Ophthalmic goods"/>
        <s v="Dental laboratories"/>
        <s v="Jewelry and silverware"/>
        <s v="Sporting and athletic goods"/>
        <s v="Dolls, toys, and games"/>
        <s v="Office supplies (not paper)"/>
        <s v="Signs"/>
        <s v="Gaskets, seals, musical instruments, fasteners, brooms, brushes, mop and other misc. goods"/>
        <s v="Customs duties"/>
        <s v="Motor vehicle and motor vehicle parts and supplies"/>
        <s v="Professional and commercial equipment and supplies"/>
        <s v="Household appliances and electrical and electronic goods"/>
        <s v="Machinery, equipment, and supplies"/>
        <s v="Other durable goods merchant wholesalers"/>
        <s v="Drugs and druggists’ sundries"/>
        <s v="Grocery and related product wholesalers"/>
        <s v="Petroleum and petroleum products"/>
        <s v="Other nondurable goods merchant wholesalers"/>
        <s v="Wholesale electronic markets and agents and brokers"/>
        <s v="Vehicles and parts sales"/>
        <s v="Building material and garden equipment and supplies dealers"/>
        <s v="Food and beverage stores"/>
        <s v="Health and personal care stores"/>
        <s v="Gasoline stations"/>
        <s v="Clothing and clothing accessories stores"/>
        <s v="General merchandise stores"/>
        <s v="Nonstore retailers"/>
        <s v="Air transport"/>
        <s v="Rail transport"/>
        <s v="Water transport (boats, ships, ferries)"/>
        <s v="Truck transport"/>
        <s v="Passenger ground transport"/>
        <s v="Pipeline transport"/>
        <s v="Scenic and sightseeing transportation and support activities for transportation"/>
        <s v="Postal service"/>
        <s v="Couriers and messengers"/>
        <s v="Warehousing"/>
        <s v="All other retail"/>
        <s v="Newspapers"/>
        <s v="Magazines and journals"/>
        <s v="Books"/>
        <s v="Directory, mailing list, and other publishers"/>
        <s v="Software"/>
        <s v="Movies and film"/>
        <s v="Sound recording"/>
        <s v="Radio and television"/>
        <s v="Cable and subscription programming"/>
        <s v="Telecommunications"/>
        <s v="Wireless telecommunications"/>
        <s v="Satellite, telecommunications resellers, and all other telecommunications"/>
        <s v="Data processing and hosting"/>
        <s v="Internet publishing and broadcasting"/>
        <s v="News syndicates, libraries, archives, Internet publishing and all other information services"/>
        <s v="Nondepository credit intermediation and related activities"/>
        <s v="Investment advice, portfolio management, and other financial advising services"/>
        <s v="Securities and commodities brokerage and exchanges"/>
        <s v="Direct life insurance carriers"/>
        <s v="Insurance carriers, except direct life"/>
        <s v="Insurance agencies and brokerages"/>
        <s v="Funds, trusts, and financial vehicles"/>
        <s v="Monetary authorities and depository credit intermediation"/>
        <s v="Owner-occupied housing"/>
        <s v="Tenant-occupied housing"/>
        <s v="Other real estate"/>
        <s v="Vehicle rental and leasing"/>
        <s v="Commercial equipment rental"/>
        <s v="Consumer goods and general rental centers"/>
        <s v="Lessors of nonfinancial intangible assets"/>
        <s v="Legal services"/>
        <s v="Accounting, tax preparation, bookkeeping, and payroll"/>
        <s v="Architectural, engineering, and related services"/>
        <s v="Specialized design"/>
        <s v="Custom computer programming"/>
        <s v="Computer systems design"/>
        <s v="Other computer related services, including facilities management"/>
        <s v="Management consulting"/>
        <s v="Environmental and other technical consulting services"/>
        <s v="Scientific research and development"/>
        <s v="Advertising and public relations"/>
        <s v="Photographers"/>
        <s v="Veterinarians"/>
        <s v="Marketing research and all other miscellaneous professional, scientific, and technical services"/>
        <s v="Company and enterprise management"/>
        <s v="Office administration"/>
        <s v="Facilities support"/>
        <s v="Employment services"/>
        <s v="Business support"/>
        <s v="Travel arrangement and reservation"/>
        <s v="Investigation and security"/>
        <s v="Buildings and dwellings services"/>
        <s v="Other support services"/>
        <s v="Waste management and remediation"/>
        <s v="Elementary and secondary schools"/>
        <s v="Colleges, universities, junior colleges, and professional schools"/>
        <s v="Other educational services"/>
        <s v="Physicians"/>
        <s v="Dentists"/>
        <s v="Healthcare practitioners (except physicians and dentists)"/>
        <s v="Outpatient healthcare"/>
        <s v="Medical laboratories"/>
        <s v="Home healthcare"/>
        <s v="Ambulances"/>
        <s v="Hospitals"/>
        <s v="Nursing and community care facilities"/>
        <s v="Residential mental retardation, mental health, substance abuse and other facilities"/>
        <s v="Individual and family services"/>
        <s v="Child day care"/>
        <s v="Community food, housing, and other relief services, including rehabilitation services"/>
        <s v="Performances"/>
        <s v="Sports"/>
        <s v="Independent artists, writers, and performers"/>
        <s v="Promoters and agents"/>
        <s v="Museums, historical sites, zoos, and parks"/>
        <s v="Amusement parks and arcades"/>
        <s v="Gambling establishments (except casino hotels)"/>
        <s v="Golf courses, marinas, ski resorts, fitness and other rec centers and industries"/>
        <s v="Hotels and campgrounds"/>
        <s v="Full-service restaurants"/>
        <s v="Limited-service restaurants"/>
        <s v="All other food and drinking places"/>
        <s v="Vehicle repair"/>
        <s v="Electronic  equipment repair and maintenance"/>
        <s v="Commercial machinery repair"/>
        <s v="Household goods repair"/>
        <s v="Salons and barber shops"/>
        <s v="Funerary services"/>
        <s v="Dry-cleaning and laundry"/>
        <s v="Pet care, photofinishing, parking and other sundry services"/>
        <s v="Religious organizations"/>
        <s v="Grantmaking, giving, and social advocacy organizations"/>
        <s v="Civic, social, professional, and similar organizations"/>
        <s v="Household employees"/>
        <s v="Electromedical appartuses" u="1"/>
        <s v="Chemicals (except basic chemicals, agrichemicals, polymers, paints, pharmaceuticals,soaps, cleaning compounds)" u="1"/>
      </sharedItems>
    </cacheField>
    <cacheField name="Substance" numFmtId="0">
      <sharedItems/>
    </cacheField>
    <cacheField name="Unit" numFmtId="0">
      <sharedItems/>
    </cacheField>
    <cacheField name="Supply Chain Emission Factors without Margins" numFmtId="0">
      <sharedItems containsSemiMixedTypes="0" containsString="0" containsNumber="1" minValue="0" maxValue="4.984"/>
    </cacheField>
    <cacheField name="Supply Chain Emission Factors without Margins (kg CO2e/$)" numFmtId="166">
      <sharedItems containsSemiMixedTypes="0" containsString="0" containsNumber="1" minValue="0" maxValue="4.984"/>
    </cacheField>
    <cacheField name="Margins of Supply Chain Emission Factors" numFmtId="0">
      <sharedItems containsSemiMixedTypes="0" containsString="0" containsNumber="1" minValue="0" maxValue="2.8650000000000002"/>
    </cacheField>
    <cacheField name="Margins of Supply Chain Emission Factors (kg CO2e/$)" numFmtId="166">
      <sharedItems containsSemiMixedTypes="0" containsString="0" containsNumber="1" minValue="0" maxValue="2.8650000000000002"/>
    </cacheField>
    <cacheField name="Supply Chain Emission Factors with Margins" numFmtId="0">
      <sharedItems containsSemiMixedTypes="0" containsString="0" containsNumber="1" minValue="0" maxValue="5.0730000000000004"/>
    </cacheField>
    <cacheField name="Supply Chain Emission Factors with Margins (kg CO2e/$)" numFmtId="166">
      <sharedItems containsSemiMixedTypes="0" containsString="0" containsNumber="1" minValue="0" maxValue="5.073000000000000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TTOMLEY James PG6416" refreshedDate="44865.618548611114" createdVersion="7" refreshedVersion="8" minRefreshableVersion="3" recordCount="1576" xr:uid="{00000000-000A-0000-FFFF-FFFF05000000}">
  <cacheSource type="worksheet">
    <worksheetSource ref="C1:K1577" sheet="2016_Detail_Commodity_v1.0" r:id="rId2"/>
  </cacheSource>
  <cacheFields count="9">
    <cacheField name="Commodity Name" numFmtId="0">
      <sharedItems count="396">
        <s v="Fresh soybeans, canola, flaxseeds, and other oilseeds"/>
        <s v="Fresh wheat, corn, rice, and other grains"/>
        <s v="Fresh vegetables, melons, and potatoes"/>
        <s v="Fresh fruits and tree nuts"/>
        <s v="Greenhouse crops, mushrooms, nurseries, and flowers"/>
        <s v="Tobacco, cotton, sugarcane, peanuts, sugar beets, herbs and spices, and other crops"/>
        <s v="Dairies"/>
        <s v="Cattle ranches and feedlots"/>
        <s v="Poultry farms"/>
        <s v="Animal farms and aquaculture ponds (except cattle and poultry)"/>
        <s v="Timber and raw forest products"/>
        <s v="Wild-caught fish and game"/>
        <s v="Agriculture and forestry support"/>
        <s v="Unrefined oil and gas"/>
        <s v="Coal"/>
        <s v="Copper, nickel, lead, and zinc"/>
        <s v="Iron, gold, silver, and other metal ores"/>
        <s v="Dimensional stone"/>
        <s v="Sand, gravel, clay, phosphate, other nonmetallic minerals"/>
        <s v="Well drilling"/>
        <s v="Other support activities for mining"/>
        <s v="Electricity"/>
        <s v="Natural gas"/>
        <s v="Drinking water and wastewater treatment"/>
        <s v="Nonresidential maintenance and repair"/>
        <s v="Residential maintenance and repair"/>
        <s v="Health care structures"/>
        <s v="Manufacturing structures"/>
        <s v="Power and communication structures"/>
        <s v="Educational and vocational structures"/>
        <s v="Commercial structures, including farm structures"/>
        <s v="Transportation structures and highways and streets"/>
        <s v="Other nonresidential structures"/>
        <s v="Single-family residential structures"/>
        <s v="Multifamily residential structures"/>
        <s v="Other residential structures"/>
        <s v="Dog and cat food"/>
        <s v="Other animal food"/>
        <s v="Flours and malts"/>
        <s v="Corn products"/>
        <s v="Soybean and other oilseed processing"/>
        <s v="Refined vegetable, olive, and seed oils"/>
        <s v="Breakfast cereals"/>
        <s v="Sugar, candy, and chocolate"/>
        <s v="Frozen food"/>
        <s v="Fruit and vegetable preservation"/>
        <s v="Cheese"/>
        <s v="Dry, condensed, and evaporated dairy"/>
        <s v="Fluid milk and butter"/>
        <s v="Ice cream and frozen desserts"/>
        <s v="Packaged poultry"/>
        <s v="Packaged meat (except poultry)"/>
        <s v="Seafood"/>
        <s v="Bread and other baked goods"/>
        <s v="Cookies, crackers, pastas, and tortillas"/>
        <s v="Snack foods"/>
        <s v="Coffee and tea"/>
        <s v="Flavored drink concentrates"/>
        <s v="Seasonings and dressings"/>
        <s v="All other foods"/>
        <s v="Soft drinks, bottled water, and ice"/>
        <s v="Breweries and beer"/>
        <s v="Wineries and wine"/>
        <s v="Distilleries and spirits"/>
        <s v="Tobacco products"/>
        <s v="Fiber, yarn, and thread"/>
        <s v="Fabric"/>
        <s v="Finished and coated fabric"/>
        <s v="Carpets and rugs"/>
        <s v="Curtains and linens"/>
        <s v="Other textiles"/>
        <s v="Clothing"/>
        <s v="Leather"/>
        <s v="Lumber and treated lumber"/>
        <s v="Plywood and veneer"/>
        <s v="Wooden windows, door, and flooring"/>
        <s v="Veneer, plywood, and engineered wood"/>
        <s v="Wood pulp"/>
        <s v="Paper"/>
        <s v="Cardboard"/>
        <s v="Cardboard containers"/>
        <s v="Paper bags and coated paper"/>
        <s v="Stationery"/>
        <s v="Sanitary paper (tissues, napkins, diapers, etc.)"/>
        <s v="All other converted paper products"/>
        <s v="Books, newspapers, magazines, and other print media"/>
        <s v="Printing support"/>
        <s v="Gasoline, fuels, and by-products of petroleum refining"/>
        <s v="Asphalt pavement"/>
        <s v="Asphalt shingles"/>
        <s v="Other petroleum and coal products"/>
        <s v="Petrochemicals"/>
        <s v="Compressed Gases"/>
        <s v="Synthetic dyes and pigments"/>
        <s v="Other basic inorganic chemicals"/>
        <s v="Other basic organic chemicals"/>
        <s v="Plastics"/>
        <s v="Synthetic rubber and artificial and synthetic fibers"/>
        <s v="Fertilizers"/>
        <s v="Pesticides"/>
        <s v="Medicinal and botanical ingredients"/>
        <s v="Pharmaceutical products (pills, powders, solutions, etc.)"/>
        <s v="Blood sugar, pregnancy, and other diagnostic test kits"/>
        <s v="Vaccines and other biological medical products"/>
        <s v="Paints and coatings"/>
        <s v="Adhesives"/>
        <s v="Soap and cleaning compounds"/>
        <s v="Toiletries"/>
        <s v="Ink and ink cartridges"/>
        <s v="Chemicals (except basic chemicals, agrichemicals, polymers, paints, pharmaceuticals, soaps, cleaning compounds)"/>
        <s v="Plastic bags, films, and sheets"/>
        <s v="Plastic pipe, fittings, and sausage casings"/>
        <s v="Laminated plastic plates and shapes"/>
        <s v="Polystyrene foam products"/>
        <s v="Urethane and other foam products"/>
        <s v="Plastic bottles"/>
        <s v="Other plastic products"/>
        <s v="Rubber tires"/>
        <s v="Rubber and plastic belts and hoses"/>
        <s v="Other rubber products"/>
        <s v="Clay and ceramic products"/>
        <s v="Glass and glass products"/>
        <s v="Cement"/>
        <s v="Ready-mix concrete"/>
        <s v="Concrete pipe, bricks, and blocks"/>
        <s v="Other concrete products"/>
        <s v="Lime and gypsum products"/>
        <s v="Abrasive products"/>
        <s v="Cut stone and stone products"/>
        <s v="Ground or treated minerals and earth"/>
        <s v="Mineral wool"/>
        <s v="Other nonmetallic mineral products"/>
        <s v="Primary iron, steel, and ferroalloy products"/>
        <s v="Secondary steel products"/>
        <s v="Alumina refining and primary aluminum production"/>
        <s v="Aluminum products"/>
        <s v="Nonferrous Metal (except Aluminum) Smelting and Refining"/>
        <s v="Secondary copper products"/>
        <s v="Other secondary nonferrous metal products"/>
        <s v="Cast iron and steel"/>
        <s v="Nonferrous metal casts"/>
        <s v="Custom metal rolls"/>
        <s v="Metal crown, closure, and other metal stamping (except automotive)"/>
        <s v="All other forging, stamping, and sintering"/>
        <s v="Cutlery and handtools"/>
        <s v="Metal structural products"/>
        <s v="Metal windows, doors, and architectural products"/>
        <s v="Power boilers and heat exchangers"/>
        <s v="Heavy gauge metal tanks"/>
        <s v="Light gauge metal cans, boxes, and containers"/>
        <s v="Metal hinges, keys, lock, and other hardware"/>
        <s v="Springs and wires"/>
        <s v="Machine shops"/>
        <s v="Screws, nuts, and bolts"/>
        <s v="Metal coatings, engravings, and heat treatments"/>
        <s v="Metal plumbing drains, faucets, valves, and other fittings"/>
        <s v="Valve and fittings (except for plumbing)"/>
        <s v="Ball and roller bearings"/>
        <s v="Fabricated pipe and pipe fittings"/>
        <s v="Other fabricated metal manufacturing"/>
        <s v="Ammunition, arms, ordnance, and related accessories"/>
        <s v="Farm machinery and equipment"/>
        <s v="Lawn and garden equipment"/>
        <s v="Construction machinery"/>
        <s v="Mining and oil/gas field machinery"/>
        <s v="Semiconductor machinery"/>
        <s v="Machinery for the paper, textile, food or other industries (except semiconductor machinery)"/>
        <s v="Optical instruments and lenses"/>
        <s v="Photography and photocopying equipment"/>
        <s v="Other commercial and service industry machinery"/>
        <s v="Industrial and commercial fan and blower and air purification equipment"/>
        <s v="Heating equipment other than warm air furnaces"/>
        <s v="Air conditioning, refrigeration, and warm air heating equipment"/>
        <s v="Industrial molds"/>
        <s v="Special tools, dies, jigs, and fixtures"/>
        <s v="Machine tool manufacturing"/>
        <s v="Cutting and machine tool accessory, rolling mill, and other metalworking machines"/>
        <s v="Turbines and turbine generator sets"/>
        <s v="Speed changers, industrial high-speed drives, and gears"/>
        <s v="Mechanical power transmission equipment"/>
        <s v="Other engine equipment"/>
        <s v="Air and gas compressors"/>
        <s v="Pumps and pumping equipment"/>
        <s v="Material handling equipment"/>
        <s v="Power tools"/>
        <s v="Packaging machinery"/>
        <s v="Industrial process furnaces and ovens"/>
        <s v="Welding and Soldering Equipment, Scales and Balances, and other general purpose machinery"/>
        <s v="Hydraulic pumps, motors, cylinders and actuators"/>
        <s v="Computers"/>
        <s v="Computer storage device readers"/>
        <s v="Computer terminals and other computer peripheral equipment"/>
        <s v="Telephones"/>
        <s v="Wireless communications"/>
        <s v="Communications equipment"/>
        <s v="Audio and video equipment"/>
        <s v="Semiconductors"/>
        <s v="Printed circuit and electronic assembly"/>
        <s v="Electronic capacitors, resistors, coils, transformers, connectors and other components (except  semiconductors and printed circuit assemblies)"/>
        <s v="Electromedical apparatuses"/>
        <s v="Navigation instruments"/>
        <s v="Automatic controls for HVAC and refrigeration equipment"/>
        <s v="Industrial process variable instruments"/>
        <s v="Fluid meters and counting devices"/>
        <s v="Signal testing instruments"/>
        <s v="Analytical laboratory instruments"/>
        <s v="Irradiation apparatuses"/>
        <s v="Watches, clocks, and other measuring and controlling devices"/>
        <s v="External hard drives, CDs, other storage media"/>
        <s v="Light bulbs"/>
        <s v="Light fixtures"/>
        <s v="Small electrical appliances"/>
        <s v="Home cooking appliances"/>
        <s v="Home refrigerators and freezers"/>
        <s v="Home laundry machines"/>
        <s v="Major home appliances (except ovens, stoves, refrigerators and laundry machines)"/>
        <s v="Specialty transformers"/>
        <s v="Motors and generators"/>
        <s v="Switchgear and switchboards"/>
        <s v="Relay and industrial controls"/>
        <s v="Storage batteries"/>
        <s v="Primary batteries"/>
        <s v="Communication and energy wire and cable"/>
        <s v="Wiring devices"/>
        <s v="Carbon and graphite products"/>
        <s v="other miscellaneous electrical equipment and components"/>
        <s v="Automobiles"/>
        <s v="Pickup trucks, vans, and SUVs"/>
        <s v="Heavy duty trucks"/>
        <s v="Vehicle bodies"/>
        <s v="Truck trailers"/>
        <s v="Motor homes"/>
        <s v="Travel trailer and campers"/>
        <s v="Vehicle engines and engine parts"/>
        <s v="Vehicle electrical and electronic equipment"/>
        <s v="Transmission and power train parts"/>
        <s v="Vehicle seating and interior trim (upholstery)"/>
        <s v="Vehicle metal stamping"/>
        <s v="Other vehicle parts"/>
        <s v="Motor vehicle steering, suspension components (except spring), and brake systems"/>
        <s v="Aircraft"/>
        <s v="Aircraft engines and parts"/>
        <s v="Other aircraft parts"/>
        <s v="Guided missiles and space vehicles"/>
        <s v="Propulsion units and parts for space vehicles and guided missiles"/>
        <s v="Railroad rolling stock"/>
        <s v="Ships and ship repair"/>
        <s v="Boats"/>
        <s v="Motorcycle, bicycle, and parts"/>
        <s v="Military armored vehicles and tanks"/>
        <s v="Other transportation equipment"/>
        <s v="Wood kitchen cabinets and countertops"/>
        <s v="Home furniture - upholstered"/>
        <s v="Home furniture - wood, nonupholstered"/>
        <s v="Institutional furniture"/>
        <s v="Other household nonupholstered furniture"/>
        <s v="Shelving and lockers"/>
        <s v="Office furniture and custom architectural woodwork and millwork"/>
        <s v="Mattresses, blinds and shades"/>
        <s v="Surgical and medical instruments"/>
        <s v="Surgical appliance and supplies"/>
        <s v="Dental equipment and supplies"/>
        <s v="Ophthalmic goods"/>
        <s v="Dental laboratories"/>
        <s v="Jewelry and silverware"/>
        <s v="Sporting and athletic goods"/>
        <s v="Dolls, toys, and games"/>
        <s v="Office supplies (not paper)"/>
        <s v="Signs"/>
        <s v="Gaskets, seals, musical instruments, fasteners, brooms, brushes, mop and other misc. goods"/>
        <s v="Customs duties"/>
        <s v="Motor vehicle and motor vehicle parts and supplies"/>
        <s v="Professional and commercial equipment and supplies"/>
        <s v="Household appliances and electrical and electronic goods"/>
        <s v="Machinery, equipment, and supplies"/>
        <s v="Other durable goods merchant wholesalers"/>
        <s v="Drugs and druggists’ sundries"/>
        <s v="Grocery and related product wholesalers"/>
        <s v="Petroleum and petroleum products"/>
        <s v="Other nondurable goods merchant wholesalers"/>
        <s v="Wholesale electronic markets and agents and brokers"/>
        <s v="Vehicles and parts sales"/>
        <s v="Building material and garden equipment and supplies dealers"/>
        <s v="Food and beverage stores"/>
        <s v="Health and personal care stores"/>
        <s v="Gasoline stations"/>
        <s v="Clothing and clothing accessories stores"/>
        <s v="General merchandise stores"/>
        <s v="Nonstore retailers"/>
        <s v="Air transport"/>
        <s v="Rail transport"/>
        <s v="Water transport (boats, ships, ferries)"/>
        <s v="Truck transport"/>
        <s v="Passenger ground transport"/>
        <s v="Pipeline transport"/>
        <s v="Scenic and sightseeing transportation and support activities for transportation"/>
        <s v="Postal service"/>
        <s v="Couriers and messengers"/>
        <s v="Warehousing"/>
        <s v="All other retail"/>
        <s v="Newspapers"/>
        <s v="Magazines and journals"/>
        <s v="Books"/>
        <s v="Directory, mailing list, and other publishers"/>
        <s v="Software"/>
        <s v="Movies and film"/>
        <s v="Sound recording"/>
        <s v="Radio and television"/>
        <s v="Cable and subscription programming"/>
        <s v="Telecommunications"/>
        <s v="Wireless telecommunications"/>
        <s v="Satellite, telecommunications resellers, and all other telecommunications"/>
        <s v="Data processing and hosting"/>
        <s v="Internet publishing and broadcasting"/>
        <s v="News syndicates, libraries, archives, Internet publishing and all other information services"/>
        <s v="Nondepository credit intermediation and related activities"/>
        <s v="Investment advice, portfolio management, and other financial advising services"/>
        <s v="Securities and commodities brokerage and exchanges"/>
        <s v="Direct life insurance carriers"/>
        <s v="Insurance carriers, except direct life"/>
        <s v="Insurance agencies and brokerages"/>
        <s v="Funds, trusts, and financial vehicles"/>
        <s v="Monetary authorities and depository credit intermediation"/>
        <s v="Owner-occupied housing"/>
        <s v="Tenant-occupied housing"/>
        <s v="Other real estate"/>
        <s v="Vehicle rental and leasing"/>
        <s v="Commercial equipment rental"/>
        <s v="Consumer goods and general rental centers"/>
        <s v="Lessors of nonfinancial intangible assets"/>
        <s v="Legal services"/>
        <s v="Accounting, tax preparation, bookkeeping, and payroll"/>
        <s v="Architectural, engineering, and related services"/>
        <s v="Specialized design"/>
        <s v="Custom computer programming"/>
        <s v="Computer systems design"/>
        <s v="Other computer related services, including facilities management"/>
        <s v="Management consulting"/>
        <s v="Environmental and other technical consulting services"/>
        <s v="Scientific research and development"/>
        <s v="Advertising and public relations"/>
        <s v="Photographers"/>
        <s v="Veterinarians"/>
        <s v="Marketing research and all other miscellaneous professional, scientific, and technical services"/>
        <s v="Company and enterprise management"/>
        <s v="Office administration"/>
        <s v="Facilities support"/>
        <s v="Employment services"/>
        <s v="Business support"/>
        <s v="Travel arrangement and reservation"/>
        <s v="Investigation and security"/>
        <s v="Buildings and dwellings services"/>
        <s v="Other support services"/>
        <s v="Waste management and remediation"/>
        <s v="Elementary and secondary schools"/>
        <s v="Colleges, universities, junior colleges, and professional schools"/>
        <s v="Other educational services"/>
        <s v="Physicians"/>
        <s v="Dentists"/>
        <s v="Healthcare practitioners (except physicians and dentists)"/>
        <s v="Outpatient healthcare"/>
        <s v="Medical laboratories"/>
        <s v="Home healthcare"/>
        <s v="Ambulances"/>
        <s v="Hospitals"/>
        <s v="Nursing and community care facilities"/>
        <s v="Residential mental retardation, mental health, substance abuse and other facilities"/>
        <s v="Individual and family services"/>
        <s v="Child day care"/>
        <s v="Community food, housing, and other relief services, including rehabilitation services"/>
        <s v="Performances"/>
        <s v="Sports"/>
        <s v="Independent artists, writers, and performers"/>
        <s v="Promoters and agents"/>
        <s v="Museums, historical sites, zoos, and parks"/>
        <s v="Amusement parks and arcades"/>
        <s v="Gambling establishments (except casino hotels)"/>
        <s v="Golf courses, marinas, ski resorts, fitness and other rec centers and industries"/>
        <s v="Hotels and campgrounds"/>
        <s v="Full-service restaurants"/>
        <s v="Limited-service restaurants"/>
        <s v="All other food and drinking places"/>
        <s v="Vehicle repair"/>
        <s v="Electronic  equipment repair and maintenance"/>
        <s v="Commercial machinery repair"/>
        <s v="Household goods repair"/>
        <s v="Salons and barber shops"/>
        <s v="Funerary services"/>
        <s v="Dry-cleaning and laundry"/>
        <s v="Pet care, photofinishing, parking and other sundry services"/>
        <s v="Religious organizations"/>
        <s v="Grantmaking, giving, and social advocacy organizations"/>
        <s v="Civic, social, professional, and similar organizations"/>
        <s v="Household employees"/>
        <s v="Electromedical appartuses" u="1"/>
        <s v="Chemicals (except basic chemicals, agrichemicals, polymers, paints, pharmaceuticals,soaps, cleaning compounds)" u="1"/>
      </sharedItems>
    </cacheField>
    <cacheField name="Substance" numFmtId="0">
      <sharedItems/>
    </cacheField>
    <cacheField name="Unit" numFmtId="0">
      <sharedItems/>
    </cacheField>
    <cacheField name="Supply Chain Emission Factors without Margins" numFmtId="0">
      <sharedItems containsSemiMixedTypes="0" containsString="0" containsNumber="1" minValue="0" maxValue="4.984"/>
    </cacheField>
    <cacheField name="Supply Chain Emission Factors without Margins (kg CO2e/$)" numFmtId="166">
      <sharedItems containsSemiMixedTypes="0" containsString="0" containsNumber="1" minValue="0" maxValue="4.984"/>
    </cacheField>
    <cacheField name="Margins of Supply Chain Emission Factors" numFmtId="0">
      <sharedItems containsSemiMixedTypes="0" containsString="0" containsNumber="1" minValue="0" maxValue="2.8650000000000002"/>
    </cacheField>
    <cacheField name="Margins of Supply Chain Emission Factors (kg CO2e/$)" numFmtId="166">
      <sharedItems containsSemiMixedTypes="0" containsString="0" containsNumber="1" minValue="0" maxValue="2.8650000000000002"/>
    </cacheField>
    <cacheField name="Supply Chain Emission Factors with Margins" numFmtId="0">
      <sharedItems containsSemiMixedTypes="0" containsString="0" containsNumber="1" minValue="0" maxValue="5.0730000000000004"/>
    </cacheField>
    <cacheField name="Supply Chain Emission Factors with Margins (kg CO2e/$)" numFmtId="166">
      <sharedItems containsSemiMixedTypes="0" containsString="0" containsNumber="1" minValue="0" maxValue="5.073000000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6">
  <r>
    <x v="0"/>
    <x v="0"/>
    <s v="Carbon dioxide"/>
    <s v="kg/2018 USD, purchaser price"/>
    <n v="0.56899999999999995"/>
    <n v="0.56899999999999995"/>
    <n v="0.109"/>
    <n v="0.109"/>
    <n v="0.67900000000000005"/>
    <n v="0.67900000000000005"/>
  </r>
  <r>
    <x v="0"/>
    <x v="0"/>
    <s v="Methane"/>
    <s v="kg/2018 USD, purchaser price"/>
    <n v="2E-3"/>
    <n v="5.6000000000000001E-2"/>
    <n v="1E-3"/>
    <n v="2.8000000000000001E-2"/>
    <n v="3.0000000000000001E-3"/>
    <n v="8.4000000000000005E-2"/>
  </r>
  <r>
    <x v="0"/>
    <x v="0"/>
    <s v="Nitrous oxide"/>
    <s v="kg/2018 USD, purchaser price"/>
    <n v="3.0000000000000001E-3"/>
    <n v="0.79500000000000004"/>
    <n v="0"/>
    <n v="0"/>
    <n v="3.0000000000000001E-3"/>
    <n v="0.79500000000000004"/>
  </r>
  <r>
    <x v="0"/>
    <x v="0"/>
    <s v="other GHGs"/>
    <s v="kg CO2e/2018 USD, purchaser price"/>
    <n v="3.0000000000000001E-3"/>
    <n v="3.0000000000000001E-3"/>
    <n v="0"/>
    <n v="0"/>
    <n v="3.0000000000000001E-3"/>
    <n v="3.0000000000000001E-3"/>
  </r>
  <r>
    <x v="1"/>
    <x v="1"/>
    <s v="Carbon dioxide"/>
    <s v="kg/2018 USD, purchaser price"/>
    <n v="1.4610000000000001"/>
    <n v="1.4610000000000001"/>
    <n v="0.14899999999999999"/>
    <n v="0.14899999999999999"/>
    <n v="1.609"/>
    <n v="1.609"/>
  </r>
  <r>
    <x v="1"/>
    <x v="1"/>
    <s v="Methane"/>
    <s v="kg/2018 USD, purchaser price"/>
    <n v="1.2999999999999999E-2"/>
    <n v="0.36399999999999999"/>
    <n v="2E-3"/>
    <n v="5.6000000000000001E-2"/>
    <n v="1.4999999999999999E-2"/>
    <n v="0.42"/>
  </r>
  <r>
    <x v="1"/>
    <x v="1"/>
    <s v="Nitrous oxide"/>
    <s v="kg/2018 USD, purchaser price"/>
    <n v="8.0000000000000002E-3"/>
    <n v="2.12"/>
    <n v="0"/>
    <n v="0"/>
    <n v="8.0000000000000002E-3"/>
    <n v="2.12"/>
  </r>
  <r>
    <x v="1"/>
    <x v="1"/>
    <s v="other GHGs"/>
    <s v="kg CO2e/2018 USD, purchaser price"/>
    <n v="4.0000000000000001E-3"/>
    <n v="4.0000000000000001E-3"/>
    <n v="0"/>
    <n v="0"/>
    <n v="4.0000000000000001E-3"/>
    <n v="4.0000000000000001E-3"/>
  </r>
  <r>
    <x v="2"/>
    <x v="2"/>
    <s v="Carbon dioxide"/>
    <s v="kg/2018 USD, purchaser price"/>
    <n v="0.20300000000000001"/>
    <n v="0.20300000000000001"/>
    <n v="0.09"/>
    <n v="0.09"/>
    <n v="0.29199999999999998"/>
    <n v="0.29199999999999998"/>
  </r>
  <r>
    <x v="2"/>
    <x v="2"/>
    <s v="Methane"/>
    <s v="kg/2018 USD, purchaser price"/>
    <n v="1E-3"/>
    <n v="2.8000000000000001E-2"/>
    <n v="1E-3"/>
    <n v="2.8000000000000001E-2"/>
    <n v="1E-3"/>
    <n v="2.8000000000000001E-2"/>
  </r>
  <r>
    <x v="2"/>
    <x v="2"/>
    <s v="Nitrous oxide"/>
    <s v="kg/2018 USD, purchaser price"/>
    <n v="1E-3"/>
    <n v="0.26500000000000001"/>
    <n v="0"/>
    <n v="0"/>
    <n v="1E-3"/>
    <n v="0.26500000000000001"/>
  </r>
  <r>
    <x v="2"/>
    <x v="2"/>
    <s v="other GHGs"/>
    <s v="kg CO2e/2018 USD, purchaser price"/>
    <n v="3.0000000000000001E-3"/>
    <n v="3.0000000000000001E-3"/>
    <n v="0"/>
    <n v="0"/>
    <n v="3.0000000000000001E-3"/>
    <n v="3.0000000000000001E-3"/>
  </r>
  <r>
    <x v="3"/>
    <x v="3"/>
    <s v="Carbon dioxide"/>
    <s v="kg/2018 USD, purchaser price"/>
    <n v="0.19400000000000001"/>
    <n v="0.19400000000000001"/>
    <n v="7.8E-2"/>
    <n v="7.8E-2"/>
    <n v="0.27100000000000002"/>
    <n v="0.27100000000000002"/>
  </r>
  <r>
    <x v="3"/>
    <x v="3"/>
    <s v="Methane"/>
    <s v="kg/2018 USD, purchaser price"/>
    <n v="1E-3"/>
    <n v="2.8000000000000001E-2"/>
    <n v="1E-3"/>
    <n v="2.8000000000000001E-2"/>
    <n v="1E-3"/>
    <n v="2.8000000000000001E-2"/>
  </r>
  <r>
    <x v="3"/>
    <x v="3"/>
    <s v="Nitrous oxide"/>
    <s v="kg/2018 USD, purchaser price"/>
    <n v="1E-3"/>
    <n v="0.26500000000000001"/>
    <n v="0"/>
    <n v="0"/>
    <n v="1E-3"/>
    <n v="0.26500000000000001"/>
  </r>
  <r>
    <x v="3"/>
    <x v="3"/>
    <s v="other GHGs"/>
    <s v="kg CO2e/2018 USD, purchaser price"/>
    <n v="2E-3"/>
    <n v="2E-3"/>
    <n v="0"/>
    <n v="0"/>
    <n v="2E-3"/>
    <n v="2E-3"/>
  </r>
  <r>
    <x v="4"/>
    <x v="4"/>
    <s v="Carbon dioxide"/>
    <s v="kg/2018 USD, purchaser price"/>
    <n v="0.54700000000000004"/>
    <n v="0.54700000000000004"/>
    <n v="0.16900000000000001"/>
    <n v="0.16900000000000001"/>
    <n v="0.71599999999999997"/>
    <n v="0.71599999999999997"/>
  </r>
  <r>
    <x v="4"/>
    <x v="4"/>
    <s v="Methane"/>
    <s v="kg/2018 USD, purchaser price"/>
    <n v="1E-3"/>
    <n v="2.8000000000000001E-2"/>
    <n v="1E-3"/>
    <n v="2.8000000000000001E-2"/>
    <n v="2E-3"/>
    <n v="5.6000000000000001E-2"/>
  </r>
  <r>
    <x v="4"/>
    <x v="4"/>
    <s v="Nitrous oxide"/>
    <s v="kg/2018 USD, purchaser price"/>
    <n v="1E-3"/>
    <n v="0.26500000000000001"/>
    <n v="0"/>
    <n v="0"/>
    <n v="1E-3"/>
    <n v="0.26500000000000001"/>
  </r>
  <r>
    <x v="4"/>
    <x v="4"/>
    <s v="other GHGs"/>
    <s v="kg CO2e/2018 USD, purchaser price"/>
    <n v="2E-3"/>
    <n v="2E-3"/>
    <n v="0"/>
    <n v="0"/>
    <n v="2E-3"/>
    <n v="2E-3"/>
  </r>
  <r>
    <x v="5"/>
    <x v="5"/>
    <s v="Carbon dioxide"/>
    <s v="kg/2018 USD, purchaser price"/>
    <n v="0.54700000000000004"/>
    <n v="0.54700000000000004"/>
    <n v="0.125"/>
    <n v="0.125"/>
    <n v="0.67200000000000004"/>
    <n v="0.67200000000000004"/>
  </r>
  <r>
    <x v="5"/>
    <x v="5"/>
    <s v="Methane"/>
    <s v="kg/2018 USD, purchaser price"/>
    <n v="2E-3"/>
    <n v="5.6000000000000001E-2"/>
    <n v="1E-3"/>
    <n v="2.8000000000000001E-2"/>
    <n v="3.0000000000000001E-3"/>
    <n v="8.4000000000000005E-2"/>
  </r>
  <r>
    <x v="5"/>
    <x v="5"/>
    <s v="Nitrous oxide"/>
    <s v="kg/2018 USD, purchaser price"/>
    <n v="3.0000000000000001E-3"/>
    <n v="0.79500000000000004"/>
    <n v="0"/>
    <n v="0"/>
    <n v="3.0000000000000001E-3"/>
    <n v="0.79500000000000004"/>
  </r>
  <r>
    <x v="5"/>
    <x v="5"/>
    <s v="other GHGs"/>
    <s v="kg CO2e/2018 USD, purchaser price"/>
    <n v="3.0000000000000001E-3"/>
    <n v="3.0000000000000001E-3"/>
    <n v="0"/>
    <n v="0"/>
    <n v="3.0000000000000001E-3"/>
    <n v="3.0000000000000001E-3"/>
  </r>
  <r>
    <x v="6"/>
    <x v="6"/>
    <s v="Carbon dioxide"/>
    <s v="kg/2018 USD, purchaser price"/>
    <n v="0.57699999999999996"/>
    <n v="0.57699999999999996"/>
    <n v="6.9000000000000006E-2"/>
    <n v="6.9000000000000006E-2"/>
    <n v="0.64600000000000002"/>
    <n v="0.64600000000000002"/>
  </r>
  <r>
    <x v="6"/>
    <x v="6"/>
    <s v="Methane"/>
    <s v="kg/2018 USD, purchaser price"/>
    <n v="8.4000000000000005E-2"/>
    <n v="2.3520000000000003"/>
    <n v="1E-3"/>
    <n v="2.8000000000000001E-2"/>
    <n v="8.5000000000000006E-2"/>
    <n v="2.3800000000000003"/>
  </r>
  <r>
    <x v="6"/>
    <x v="6"/>
    <s v="Nitrous oxide"/>
    <s v="kg/2018 USD, purchaser price"/>
    <n v="2E-3"/>
    <n v="0.53"/>
    <n v="0"/>
    <n v="0"/>
    <n v="2E-3"/>
    <n v="0.53"/>
  </r>
  <r>
    <x v="6"/>
    <x v="6"/>
    <s v="other GHGs"/>
    <s v="kg CO2e/2018 USD, purchaser price"/>
    <n v="4.0000000000000001E-3"/>
    <n v="4.0000000000000001E-3"/>
    <n v="0"/>
    <n v="0"/>
    <n v="4.0000000000000001E-3"/>
    <n v="4.0000000000000001E-3"/>
  </r>
  <r>
    <x v="7"/>
    <x v="7"/>
    <s v="Carbon dioxide"/>
    <s v="kg/2018 USD, purchaser price"/>
    <n v="0.56999999999999995"/>
    <n v="0.56999999999999995"/>
    <n v="5.6000000000000001E-2"/>
    <n v="5.6000000000000001E-2"/>
    <n v="0.626"/>
    <n v="0.626"/>
  </r>
  <r>
    <x v="7"/>
    <x v="7"/>
    <s v="Methane"/>
    <s v="kg/2018 USD, purchaser price"/>
    <n v="8.3000000000000004E-2"/>
    <n v="2.3240000000000003"/>
    <n v="1E-3"/>
    <n v="2.8000000000000001E-2"/>
    <n v="8.3000000000000004E-2"/>
    <n v="2.3240000000000003"/>
  </r>
  <r>
    <x v="7"/>
    <x v="7"/>
    <s v="Nitrous oxide"/>
    <s v="kg/2018 USD, purchaser price"/>
    <n v="4.0000000000000001E-3"/>
    <n v="1.06"/>
    <n v="0"/>
    <n v="0"/>
    <n v="4.0000000000000001E-3"/>
    <n v="1.06"/>
  </r>
  <r>
    <x v="7"/>
    <x v="7"/>
    <s v="other GHGs"/>
    <s v="kg CO2e/2018 USD, purchaser price"/>
    <n v="3.0000000000000001E-3"/>
    <n v="3.0000000000000001E-3"/>
    <n v="0"/>
    <n v="0"/>
    <n v="3.0000000000000001E-3"/>
    <n v="3.0000000000000001E-3"/>
  </r>
  <r>
    <x v="8"/>
    <x v="8"/>
    <s v="Carbon dioxide"/>
    <s v="kg/2018 USD, purchaser price"/>
    <n v="0.54900000000000004"/>
    <n v="0.54900000000000004"/>
    <n v="0.05"/>
    <n v="0.05"/>
    <n v="0.59899999999999998"/>
    <n v="0.59899999999999998"/>
  </r>
  <r>
    <x v="8"/>
    <x v="8"/>
    <s v="Methane"/>
    <s v="kg/2018 USD, purchaser price"/>
    <n v="6.0000000000000001E-3"/>
    <n v="0.16800000000000001"/>
    <n v="0"/>
    <n v="0"/>
    <n v="6.0000000000000001E-3"/>
    <n v="0.16800000000000001"/>
  </r>
  <r>
    <x v="8"/>
    <x v="8"/>
    <s v="Nitrous oxide"/>
    <s v="kg/2018 USD, purchaser price"/>
    <n v="1E-3"/>
    <n v="0.26500000000000001"/>
    <n v="0"/>
    <n v="0"/>
    <n v="1E-3"/>
    <n v="0.26500000000000001"/>
  </r>
  <r>
    <x v="8"/>
    <x v="8"/>
    <s v="other GHGs"/>
    <s v="kg CO2e/2018 USD, purchaser price"/>
    <n v="5.0000000000000001E-3"/>
    <n v="5.0000000000000001E-3"/>
    <n v="0"/>
    <n v="0"/>
    <n v="5.0000000000000001E-3"/>
    <n v="5.0000000000000001E-3"/>
  </r>
  <r>
    <x v="9"/>
    <x v="9"/>
    <s v="Carbon dioxide"/>
    <s v="kg/2018 USD, purchaser price"/>
    <n v="0.20200000000000001"/>
    <n v="0.20200000000000001"/>
    <n v="7.0000000000000007E-2"/>
    <n v="7.0000000000000007E-2"/>
    <n v="0.27200000000000002"/>
    <n v="0.27200000000000002"/>
  </r>
  <r>
    <x v="9"/>
    <x v="9"/>
    <s v="Methane"/>
    <s v="kg/2018 USD, purchaser price"/>
    <n v="3.5999999999999997E-2"/>
    <n v="1.008"/>
    <n v="1E-3"/>
    <n v="2.8000000000000001E-2"/>
    <n v="3.6999999999999998E-2"/>
    <n v="1.036"/>
  </r>
  <r>
    <x v="9"/>
    <x v="9"/>
    <s v="Nitrous oxide"/>
    <s v="kg/2018 USD, purchaser price"/>
    <n v="2E-3"/>
    <n v="0.53"/>
    <n v="0"/>
    <n v="0"/>
    <n v="2E-3"/>
    <n v="0.53"/>
  </r>
  <r>
    <x v="9"/>
    <x v="9"/>
    <s v="other GHGs"/>
    <s v="kg CO2e/2018 USD, purchaser price"/>
    <n v="2E-3"/>
    <n v="2E-3"/>
    <n v="0"/>
    <n v="0"/>
    <n v="2E-3"/>
    <n v="2E-3"/>
  </r>
  <r>
    <x v="10"/>
    <x v="10"/>
    <s v="Carbon dioxide"/>
    <s v="kg/2018 USD, purchaser price"/>
    <n v="0.185"/>
    <n v="0.185"/>
    <n v="5.8999999999999997E-2"/>
    <n v="5.8999999999999997E-2"/>
    <n v="0.24299999999999999"/>
    <n v="0.24299999999999999"/>
  </r>
  <r>
    <x v="10"/>
    <x v="10"/>
    <s v="Methane"/>
    <s v="kg/2018 USD, purchaser price"/>
    <n v="1E-3"/>
    <n v="2.8000000000000001E-2"/>
    <n v="0"/>
    <n v="0"/>
    <n v="2E-3"/>
    <n v="5.6000000000000001E-2"/>
  </r>
  <r>
    <x v="10"/>
    <x v="10"/>
    <s v="Nitrous oxide"/>
    <s v="kg/2018 USD, purchaser price"/>
    <n v="0"/>
    <n v="0"/>
    <n v="0"/>
    <n v="0"/>
    <n v="0"/>
    <n v="0"/>
  </r>
  <r>
    <x v="10"/>
    <x v="10"/>
    <s v="other GHGs"/>
    <s v="kg CO2e/2018 USD, purchaser price"/>
    <n v="2E-3"/>
    <n v="2E-3"/>
    <n v="0"/>
    <n v="0"/>
    <n v="2E-3"/>
    <n v="2E-3"/>
  </r>
  <r>
    <x v="11"/>
    <x v="11"/>
    <s v="Carbon dioxide"/>
    <s v="kg/2018 USD, purchaser price"/>
    <n v="0.26300000000000001"/>
    <n v="0.26300000000000001"/>
    <n v="5.0999999999999997E-2"/>
    <n v="5.0999999999999997E-2"/>
    <n v="0.313"/>
    <n v="0.313"/>
  </r>
  <r>
    <x v="11"/>
    <x v="11"/>
    <s v="Methane"/>
    <s v="kg/2018 USD, purchaser price"/>
    <n v="1E-3"/>
    <n v="2.8000000000000001E-2"/>
    <n v="0"/>
    <n v="0"/>
    <n v="1E-3"/>
    <n v="2.8000000000000001E-2"/>
  </r>
  <r>
    <x v="11"/>
    <x v="11"/>
    <s v="Nitrous oxide"/>
    <s v="kg/2018 USD, purchaser price"/>
    <n v="0"/>
    <n v="0"/>
    <n v="0"/>
    <n v="0"/>
    <n v="0"/>
    <n v="0"/>
  </r>
  <r>
    <x v="11"/>
    <x v="11"/>
    <s v="other GHGs"/>
    <s v="kg CO2e/2018 USD, purchaser price"/>
    <n v="2E-3"/>
    <n v="2E-3"/>
    <n v="0"/>
    <n v="0"/>
    <n v="2E-3"/>
    <n v="2E-3"/>
  </r>
  <r>
    <x v="12"/>
    <x v="12"/>
    <s v="Carbon dioxide"/>
    <s v="kg/2018 USD, purchaser price"/>
    <n v="0.29599999999999999"/>
    <n v="0.29599999999999999"/>
    <n v="0"/>
    <n v="0"/>
    <n v="0.29599999999999999"/>
    <n v="0.29599999999999999"/>
  </r>
  <r>
    <x v="12"/>
    <x v="12"/>
    <s v="Methane"/>
    <s v="kg/2018 USD, purchaser price"/>
    <n v="4.0000000000000001E-3"/>
    <n v="0.112"/>
    <n v="0"/>
    <n v="0"/>
    <n v="4.0000000000000001E-3"/>
    <n v="0.112"/>
  </r>
  <r>
    <x v="12"/>
    <x v="12"/>
    <s v="Nitrous oxide"/>
    <s v="kg/2018 USD, purchaser price"/>
    <n v="0"/>
    <n v="0"/>
    <n v="0"/>
    <n v="0"/>
    <n v="0"/>
    <n v="0"/>
  </r>
  <r>
    <x v="12"/>
    <x v="12"/>
    <s v="other GHGs"/>
    <s v="kg CO2e/2018 USD, purchaser price"/>
    <n v="2E-3"/>
    <n v="2E-3"/>
    <n v="0"/>
    <n v="0"/>
    <n v="2E-3"/>
    <n v="2E-3"/>
  </r>
  <r>
    <x v="13"/>
    <x v="13"/>
    <s v="Carbon dioxide"/>
    <s v="kg/2018 USD, purchaser price"/>
    <n v="0.496"/>
    <n v="0.496"/>
    <n v="4.9000000000000002E-2"/>
    <n v="4.9000000000000002E-2"/>
    <n v="0.54500000000000004"/>
    <n v="0.54500000000000004"/>
  </r>
  <r>
    <x v="13"/>
    <x v="13"/>
    <s v="Methane"/>
    <s v="kg/2018 USD, purchaser price"/>
    <n v="2.1999999999999999E-2"/>
    <n v="0.61599999999999999"/>
    <n v="1E-3"/>
    <n v="2.8000000000000001E-2"/>
    <n v="2.3E-2"/>
    <n v="0.64400000000000002"/>
  </r>
  <r>
    <x v="13"/>
    <x v="13"/>
    <s v="Nitrous oxide"/>
    <s v="kg/2018 USD, purchaser price"/>
    <n v="0"/>
    <n v="0"/>
    <n v="0"/>
    <n v="0"/>
    <n v="0"/>
    <n v="0"/>
  </r>
  <r>
    <x v="13"/>
    <x v="13"/>
    <s v="other GHGs"/>
    <s v="kg CO2e/2018 USD, purchaser price"/>
    <n v="4.0000000000000001E-3"/>
    <n v="4.0000000000000001E-3"/>
    <n v="0"/>
    <n v="0"/>
    <n v="4.0000000000000001E-3"/>
    <n v="4.0000000000000001E-3"/>
  </r>
  <r>
    <x v="14"/>
    <x v="14"/>
    <s v="Carbon dioxide"/>
    <s v="kg/2018 USD, purchaser price"/>
    <n v="0.36599999999999999"/>
    <n v="0.36599999999999999"/>
    <n v="0.19800000000000001"/>
    <n v="0.19800000000000001"/>
    <n v="0.56399999999999995"/>
    <n v="0.56399999999999995"/>
  </r>
  <r>
    <x v="14"/>
    <x v="14"/>
    <s v="Methane"/>
    <s v="kg/2018 USD, purchaser price"/>
    <n v="5.5E-2"/>
    <n v="1.54"/>
    <n v="2E-3"/>
    <n v="5.6000000000000001E-2"/>
    <n v="5.7000000000000002E-2"/>
    <n v="1.5960000000000001"/>
  </r>
  <r>
    <x v="14"/>
    <x v="14"/>
    <s v="Nitrous oxide"/>
    <s v="kg/2018 USD, purchaser price"/>
    <n v="0"/>
    <n v="0"/>
    <n v="0"/>
    <n v="0"/>
    <n v="0"/>
    <n v="0"/>
  </r>
  <r>
    <x v="14"/>
    <x v="14"/>
    <s v="other GHGs"/>
    <s v="kg CO2e/2018 USD, purchaser price"/>
    <n v="3.0000000000000001E-3"/>
    <n v="3.0000000000000001E-3"/>
    <n v="0"/>
    <n v="0"/>
    <n v="3.0000000000000001E-3"/>
    <n v="3.0000000000000001E-3"/>
  </r>
  <r>
    <x v="15"/>
    <x v="15"/>
    <s v="Carbon dioxide"/>
    <s v="kg/2018 USD, purchaser price"/>
    <n v="1.46"/>
    <n v="1.46"/>
    <n v="9.2999999999999999E-2"/>
    <n v="9.2999999999999999E-2"/>
    <n v="1.5529999999999999"/>
    <n v="1.5529999999999999"/>
  </r>
  <r>
    <x v="15"/>
    <x v="15"/>
    <s v="Methane"/>
    <s v="kg/2018 USD, purchaser price"/>
    <n v="2E-3"/>
    <n v="5.6000000000000001E-2"/>
    <n v="1E-3"/>
    <n v="2.8000000000000001E-2"/>
    <n v="3.0000000000000001E-3"/>
    <n v="8.4000000000000005E-2"/>
  </r>
  <r>
    <x v="15"/>
    <x v="15"/>
    <s v="Nitrous oxide"/>
    <s v="kg/2018 USD, purchaser price"/>
    <n v="0"/>
    <n v="0"/>
    <n v="0"/>
    <n v="0"/>
    <n v="0"/>
    <n v="0"/>
  </r>
  <r>
    <x v="15"/>
    <x v="15"/>
    <s v="other GHGs"/>
    <s v="kg CO2e/2018 USD, purchaser price"/>
    <n v="5.0000000000000001E-3"/>
    <n v="5.0000000000000001E-3"/>
    <n v="0"/>
    <n v="0"/>
    <n v="5.0000000000000001E-3"/>
    <n v="5.0000000000000001E-3"/>
  </r>
  <r>
    <x v="16"/>
    <x v="16"/>
    <s v="Carbon dioxide"/>
    <s v="kg/2018 USD, purchaser price"/>
    <n v="1.367"/>
    <n v="1.367"/>
    <n v="0.13100000000000001"/>
    <n v="0.13100000000000001"/>
    <n v="1.4990000000000001"/>
    <n v="1.4990000000000001"/>
  </r>
  <r>
    <x v="16"/>
    <x v="16"/>
    <s v="Methane"/>
    <s v="kg/2018 USD, purchaser price"/>
    <n v="3.0000000000000001E-3"/>
    <n v="8.4000000000000005E-2"/>
    <n v="1E-3"/>
    <n v="2.8000000000000001E-2"/>
    <n v="4.0000000000000001E-3"/>
    <n v="0.112"/>
  </r>
  <r>
    <x v="16"/>
    <x v="16"/>
    <s v="Nitrous oxide"/>
    <s v="kg/2018 USD, purchaser price"/>
    <n v="0"/>
    <n v="0"/>
    <n v="0"/>
    <n v="0"/>
    <n v="0"/>
    <n v="0"/>
  </r>
  <r>
    <x v="16"/>
    <x v="16"/>
    <s v="other GHGs"/>
    <s v="kg CO2e/2018 USD, purchaser price"/>
    <n v="6.0000000000000001E-3"/>
    <n v="6.0000000000000001E-3"/>
    <n v="0"/>
    <n v="0"/>
    <n v="6.0000000000000001E-3"/>
    <n v="6.0000000000000001E-3"/>
  </r>
  <r>
    <x v="17"/>
    <x v="17"/>
    <s v="Carbon dioxide"/>
    <s v="kg/2018 USD, purchaser price"/>
    <n v="0.27"/>
    <n v="0.27"/>
    <n v="9.7000000000000003E-2"/>
    <n v="9.7000000000000003E-2"/>
    <n v="0.36699999999999999"/>
    <n v="0.36699999999999999"/>
  </r>
  <r>
    <x v="17"/>
    <x v="17"/>
    <s v="Methane"/>
    <s v="kg/2018 USD, purchaser price"/>
    <n v="1E-3"/>
    <n v="2.8000000000000001E-2"/>
    <n v="1E-3"/>
    <n v="2.8000000000000001E-2"/>
    <n v="2E-3"/>
    <n v="5.6000000000000001E-2"/>
  </r>
  <r>
    <x v="17"/>
    <x v="17"/>
    <s v="Nitrous oxide"/>
    <s v="kg/2018 USD, purchaser price"/>
    <n v="0"/>
    <n v="0"/>
    <n v="0"/>
    <n v="0"/>
    <n v="0"/>
    <n v="0"/>
  </r>
  <r>
    <x v="17"/>
    <x v="17"/>
    <s v="other GHGs"/>
    <s v="kg CO2e/2018 USD, purchaser price"/>
    <n v="4.0000000000000001E-3"/>
    <n v="4.0000000000000001E-3"/>
    <n v="0"/>
    <n v="0"/>
    <n v="4.0000000000000001E-3"/>
    <n v="4.0000000000000001E-3"/>
  </r>
  <r>
    <x v="18"/>
    <x v="18"/>
    <s v="Carbon dioxide"/>
    <s v="kg/2018 USD, purchaser price"/>
    <n v="0.52500000000000002"/>
    <n v="0.52500000000000002"/>
    <n v="0.16900000000000001"/>
    <n v="0.16900000000000001"/>
    <n v="0.69499999999999995"/>
    <n v="0.69499999999999995"/>
  </r>
  <r>
    <x v="18"/>
    <x v="18"/>
    <s v="Methane"/>
    <s v="kg/2018 USD, purchaser price"/>
    <n v="2E-3"/>
    <n v="5.6000000000000001E-2"/>
    <n v="2E-3"/>
    <n v="5.6000000000000001E-2"/>
    <n v="4.0000000000000001E-3"/>
    <n v="0.112"/>
  </r>
  <r>
    <x v="18"/>
    <x v="18"/>
    <s v="Nitrous oxide"/>
    <s v="kg/2018 USD, purchaser price"/>
    <n v="0"/>
    <n v="0"/>
    <n v="0"/>
    <n v="0"/>
    <n v="0"/>
    <n v="0"/>
  </r>
  <r>
    <x v="18"/>
    <x v="18"/>
    <s v="other GHGs"/>
    <s v="kg CO2e/2018 USD, purchaser price"/>
    <n v="4.0000000000000001E-3"/>
    <n v="4.0000000000000001E-3"/>
    <n v="0"/>
    <n v="0"/>
    <n v="4.0000000000000001E-3"/>
    <n v="4.0000000000000001E-3"/>
  </r>
  <r>
    <x v="19"/>
    <x v="19"/>
    <s v="Carbon dioxide"/>
    <s v="kg/2018 USD, purchaser price"/>
    <n v="0.35099999999999998"/>
    <n v="0.35099999999999998"/>
    <n v="0"/>
    <n v="0"/>
    <n v="0.35099999999999998"/>
    <n v="0.35099999999999998"/>
  </r>
  <r>
    <x v="19"/>
    <x v="19"/>
    <s v="Methane"/>
    <s v="kg/2018 USD, purchaser price"/>
    <n v="8.0000000000000002E-3"/>
    <n v="0.224"/>
    <n v="0"/>
    <n v="0"/>
    <n v="8.0000000000000002E-3"/>
    <n v="0.224"/>
  </r>
  <r>
    <x v="19"/>
    <x v="19"/>
    <s v="Nitrous oxide"/>
    <s v="kg/2018 USD, purchaser price"/>
    <n v="0"/>
    <n v="0"/>
    <n v="0"/>
    <n v="0"/>
    <n v="0"/>
    <n v="0"/>
  </r>
  <r>
    <x v="19"/>
    <x v="19"/>
    <s v="other GHGs"/>
    <s v="kg CO2e/2018 USD, purchaser price"/>
    <n v="3.0000000000000001E-3"/>
    <n v="3.0000000000000001E-3"/>
    <n v="0"/>
    <n v="0"/>
    <n v="3.0000000000000001E-3"/>
    <n v="3.0000000000000001E-3"/>
  </r>
  <r>
    <x v="20"/>
    <x v="20"/>
    <s v="Carbon dioxide"/>
    <s v="kg/2018 USD, purchaser price"/>
    <n v="0.42499999999999999"/>
    <n v="0.42499999999999999"/>
    <n v="0"/>
    <n v="0"/>
    <n v="0.42499999999999999"/>
    <n v="0.42499999999999999"/>
  </r>
  <r>
    <x v="20"/>
    <x v="20"/>
    <s v="Methane"/>
    <s v="kg/2018 USD, purchaser price"/>
    <n v="8.0000000000000002E-3"/>
    <n v="0.224"/>
    <n v="0"/>
    <n v="0"/>
    <n v="8.0000000000000002E-3"/>
    <n v="0.224"/>
  </r>
  <r>
    <x v="20"/>
    <x v="20"/>
    <s v="Nitrous oxide"/>
    <s v="kg/2018 USD, purchaser price"/>
    <n v="0"/>
    <n v="0"/>
    <n v="0"/>
    <n v="0"/>
    <n v="0"/>
    <n v="0"/>
  </r>
  <r>
    <x v="20"/>
    <x v="20"/>
    <s v="other GHGs"/>
    <s v="kg CO2e/2018 USD, purchaser price"/>
    <n v="4.0000000000000001E-3"/>
    <n v="4.0000000000000001E-3"/>
    <n v="0"/>
    <n v="0"/>
    <n v="4.0000000000000001E-3"/>
    <n v="4.0000000000000001E-3"/>
  </r>
  <r>
    <x v="21"/>
    <x v="21"/>
    <s v="Carbon dioxide"/>
    <s v="kg/2018 USD, purchaser price"/>
    <n v="3.8620000000000001"/>
    <n v="3.8620000000000001"/>
    <n v="0"/>
    <n v="0"/>
    <n v="3.8620000000000001"/>
    <n v="3.8620000000000001"/>
  </r>
  <r>
    <x v="21"/>
    <x v="21"/>
    <s v="Methane"/>
    <s v="kg/2018 USD, purchaser price"/>
    <n v="6.0000000000000001E-3"/>
    <n v="0.16800000000000001"/>
    <n v="0"/>
    <n v="0"/>
    <n v="6.0000000000000001E-3"/>
    <n v="0.16800000000000001"/>
  </r>
  <r>
    <x v="21"/>
    <x v="21"/>
    <s v="Nitrous oxide"/>
    <s v="kg/2018 USD, purchaser price"/>
    <n v="0"/>
    <n v="0"/>
    <n v="0"/>
    <n v="0"/>
    <n v="0"/>
    <n v="0"/>
  </r>
  <r>
    <x v="21"/>
    <x v="21"/>
    <s v="other GHGs"/>
    <s v="kg CO2e/2018 USD, purchaser price"/>
    <n v="1.2999999999999999E-2"/>
    <n v="1.2999999999999999E-2"/>
    <n v="0"/>
    <n v="0"/>
    <n v="1.2999999999999999E-2"/>
    <n v="1.2999999999999999E-2"/>
  </r>
  <r>
    <x v="22"/>
    <x v="22"/>
    <s v="Carbon dioxide"/>
    <s v="kg/2018 USD, purchaser price"/>
    <n v="0.50600000000000001"/>
    <n v="0.50600000000000001"/>
    <n v="0"/>
    <n v="0"/>
    <n v="0.50600000000000001"/>
    <n v="0.50600000000000001"/>
  </r>
  <r>
    <x v="22"/>
    <x v="22"/>
    <s v="Methane"/>
    <s v="kg/2018 USD, purchaser price"/>
    <n v="8.9999999999999993E-3"/>
    <n v="0.252"/>
    <n v="0"/>
    <n v="0"/>
    <n v="8.9999999999999993E-3"/>
    <n v="0.252"/>
  </r>
  <r>
    <x v="22"/>
    <x v="22"/>
    <s v="Nitrous oxide"/>
    <s v="kg/2018 USD, purchaser price"/>
    <n v="0"/>
    <n v="0"/>
    <n v="0"/>
    <n v="0"/>
    <n v="0"/>
    <n v="0"/>
  </r>
  <r>
    <x v="22"/>
    <x v="22"/>
    <s v="other GHGs"/>
    <s v="kg CO2e/2018 USD, purchaser price"/>
    <n v="4.0000000000000001E-3"/>
    <n v="4.0000000000000001E-3"/>
    <n v="0"/>
    <n v="0"/>
    <n v="4.0000000000000001E-3"/>
    <n v="4.0000000000000001E-3"/>
  </r>
  <r>
    <x v="23"/>
    <x v="23"/>
    <s v="Carbon dioxide"/>
    <s v="kg/2018 USD, purchaser price"/>
    <n v="0.33500000000000002"/>
    <n v="0.33500000000000002"/>
    <n v="0"/>
    <n v="0"/>
    <n v="0.33500000000000002"/>
    <n v="0.33500000000000002"/>
  </r>
  <r>
    <x v="23"/>
    <x v="23"/>
    <s v="Methane"/>
    <s v="kg/2018 USD, purchaser price"/>
    <n v="8.0000000000000002E-3"/>
    <n v="0.224"/>
    <n v="0"/>
    <n v="0"/>
    <n v="8.0000000000000002E-3"/>
    <n v="0.224"/>
  </r>
  <r>
    <x v="23"/>
    <x v="23"/>
    <s v="Nitrous oxide"/>
    <s v="kg/2018 USD, purchaser price"/>
    <n v="0"/>
    <n v="0"/>
    <n v="0"/>
    <n v="0"/>
    <n v="0"/>
    <n v="0"/>
  </r>
  <r>
    <x v="23"/>
    <x v="23"/>
    <s v="other GHGs"/>
    <s v="kg CO2e/2018 USD, purchaser price"/>
    <n v="8.9999999999999993E-3"/>
    <n v="8.9999999999999993E-3"/>
    <n v="0"/>
    <n v="0"/>
    <n v="8.9999999999999993E-3"/>
    <n v="8.9999999999999993E-3"/>
  </r>
  <r>
    <x v="24"/>
    <x v="24"/>
    <s v="Carbon dioxide"/>
    <s v="kg/2018 USD, purchaser price"/>
    <n v="0.35399999999999998"/>
    <n v="0.35399999999999998"/>
    <n v="0"/>
    <n v="0"/>
    <n v="0.35399999999999998"/>
    <n v="0.35399999999999998"/>
  </r>
  <r>
    <x v="24"/>
    <x v="24"/>
    <s v="Methane"/>
    <s v="kg/2018 USD, purchaser price"/>
    <n v="1E-3"/>
    <n v="2.8000000000000001E-2"/>
    <n v="0"/>
    <n v="0"/>
    <n v="1E-3"/>
    <n v="2.8000000000000001E-2"/>
  </r>
  <r>
    <x v="24"/>
    <x v="24"/>
    <s v="Nitrous oxide"/>
    <s v="kg/2018 USD, purchaser price"/>
    <n v="0"/>
    <n v="0"/>
    <n v="0"/>
    <n v="0"/>
    <n v="0"/>
    <n v="0"/>
  </r>
  <r>
    <x v="24"/>
    <x v="24"/>
    <s v="other GHGs"/>
    <s v="kg CO2e/2018 USD, purchaser price"/>
    <n v="3.9E-2"/>
    <n v="3.9E-2"/>
    <n v="0"/>
    <n v="0"/>
    <n v="3.9E-2"/>
    <n v="3.9E-2"/>
  </r>
  <r>
    <x v="25"/>
    <x v="25"/>
    <s v="Carbon dioxide"/>
    <s v="kg/2018 USD, purchaser price"/>
    <n v="0.28199999999999997"/>
    <n v="0.28199999999999997"/>
    <n v="0"/>
    <n v="0"/>
    <n v="0.28199999999999997"/>
    <n v="0.28199999999999997"/>
  </r>
  <r>
    <x v="25"/>
    <x v="25"/>
    <s v="Methane"/>
    <s v="kg/2018 USD, purchaser price"/>
    <n v="1E-3"/>
    <n v="2.8000000000000001E-2"/>
    <n v="0"/>
    <n v="0"/>
    <n v="1E-3"/>
    <n v="2.8000000000000001E-2"/>
  </r>
  <r>
    <x v="25"/>
    <x v="25"/>
    <s v="Nitrous oxide"/>
    <s v="kg/2018 USD, purchaser price"/>
    <n v="0"/>
    <n v="0"/>
    <n v="0"/>
    <n v="0"/>
    <n v="0"/>
    <n v="0"/>
  </r>
  <r>
    <x v="25"/>
    <x v="25"/>
    <s v="other GHGs"/>
    <s v="kg CO2e/2018 USD, purchaser price"/>
    <n v="0.04"/>
    <n v="0.04"/>
    <n v="0"/>
    <n v="0"/>
    <n v="0.04"/>
    <n v="0.04"/>
  </r>
  <r>
    <x v="26"/>
    <x v="26"/>
    <s v="Carbon dioxide"/>
    <s v="kg/2018 USD, purchaser price"/>
    <n v="0.216"/>
    <n v="0.216"/>
    <n v="0"/>
    <n v="0"/>
    <n v="0.216"/>
    <n v="0.216"/>
  </r>
  <r>
    <x v="26"/>
    <x v="26"/>
    <s v="Methane"/>
    <s v="kg/2018 USD, purchaser price"/>
    <n v="1E-3"/>
    <n v="2.8000000000000001E-2"/>
    <n v="0"/>
    <n v="0"/>
    <n v="1E-3"/>
    <n v="2.8000000000000001E-2"/>
  </r>
  <r>
    <x v="26"/>
    <x v="26"/>
    <s v="Nitrous oxide"/>
    <s v="kg/2018 USD, purchaser price"/>
    <n v="0"/>
    <n v="0"/>
    <n v="0"/>
    <n v="0"/>
    <n v="0"/>
    <n v="0"/>
  </r>
  <r>
    <x v="26"/>
    <x v="26"/>
    <s v="other GHGs"/>
    <s v="kg CO2e/2018 USD, purchaser price"/>
    <n v="4.2000000000000003E-2"/>
    <n v="4.2000000000000003E-2"/>
    <n v="0"/>
    <n v="0"/>
    <n v="4.2000000000000003E-2"/>
    <n v="4.2000000000000003E-2"/>
  </r>
  <r>
    <x v="27"/>
    <x v="27"/>
    <s v="Carbon dioxide"/>
    <s v="kg/2018 USD, purchaser price"/>
    <n v="0.28499999999999998"/>
    <n v="0.28499999999999998"/>
    <n v="0"/>
    <n v="0"/>
    <n v="0.28499999999999998"/>
    <n v="0.28499999999999998"/>
  </r>
  <r>
    <x v="27"/>
    <x v="27"/>
    <s v="Methane"/>
    <s v="kg/2018 USD, purchaser price"/>
    <n v="1E-3"/>
    <n v="2.8000000000000001E-2"/>
    <n v="0"/>
    <n v="0"/>
    <n v="1E-3"/>
    <n v="2.8000000000000001E-2"/>
  </r>
  <r>
    <x v="27"/>
    <x v="27"/>
    <s v="Nitrous oxide"/>
    <s v="kg/2018 USD, purchaser price"/>
    <n v="0"/>
    <n v="0"/>
    <n v="0"/>
    <n v="0"/>
    <n v="0"/>
    <n v="0"/>
  </r>
  <r>
    <x v="27"/>
    <x v="27"/>
    <s v="other GHGs"/>
    <s v="kg CO2e/2018 USD, purchaser price"/>
    <n v="1.9E-2"/>
    <n v="1.9E-2"/>
    <n v="0"/>
    <n v="0"/>
    <n v="1.9E-2"/>
    <n v="1.9E-2"/>
  </r>
  <r>
    <x v="28"/>
    <x v="28"/>
    <s v="Carbon dioxide"/>
    <s v="kg/2018 USD, purchaser price"/>
    <n v="0.314"/>
    <n v="0.314"/>
    <n v="0"/>
    <n v="0"/>
    <n v="0.314"/>
    <n v="0.314"/>
  </r>
  <r>
    <x v="28"/>
    <x v="28"/>
    <s v="Methane"/>
    <s v="kg/2018 USD, purchaser price"/>
    <n v="4.0000000000000001E-3"/>
    <n v="0.112"/>
    <n v="0"/>
    <n v="0"/>
    <n v="4.0000000000000001E-3"/>
    <n v="0.112"/>
  </r>
  <r>
    <x v="28"/>
    <x v="28"/>
    <s v="Nitrous oxide"/>
    <s v="kg/2018 USD, purchaser price"/>
    <n v="0"/>
    <n v="0"/>
    <n v="0"/>
    <n v="0"/>
    <n v="0"/>
    <n v="0"/>
  </r>
  <r>
    <x v="28"/>
    <x v="28"/>
    <s v="other GHGs"/>
    <s v="kg CO2e/2018 USD, purchaser price"/>
    <n v="1.0999999999999999E-2"/>
    <n v="1.0999999999999999E-2"/>
    <n v="0"/>
    <n v="0"/>
    <n v="1.0999999999999999E-2"/>
    <n v="1.0999999999999999E-2"/>
  </r>
  <r>
    <x v="29"/>
    <x v="29"/>
    <s v="Carbon dioxide"/>
    <s v="kg/2018 USD, purchaser price"/>
    <n v="0.19900000000000001"/>
    <n v="0.19900000000000001"/>
    <n v="0"/>
    <n v="0"/>
    <n v="0.19900000000000001"/>
    <n v="0.19900000000000001"/>
  </r>
  <r>
    <x v="29"/>
    <x v="29"/>
    <s v="Methane"/>
    <s v="kg/2018 USD, purchaser price"/>
    <n v="1E-3"/>
    <n v="2.8000000000000001E-2"/>
    <n v="0"/>
    <n v="0"/>
    <n v="1E-3"/>
    <n v="2.8000000000000001E-2"/>
  </r>
  <r>
    <x v="29"/>
    <x v="29"/>
    <s v="Nitrous oxide"/>
    <s v="kg/2018 USD, purchaser price"/>
    <n v="0"/>
    <n v="0"/>
    <n v="0"/>
    <n v="0"/>
    <n v="0"/>
    <n v="0"/>
  </r>
  <r>
    <x v="29"/>
    <x v="29"/>
    <s v="other GHGs"/>
    <s v="kg CO2e/2018 USD, purchaser price"/>
    <n v="3.6999999999999998E-2"/>
    <n v="3.6999999999999998E-2"/>
    <n v="0"/>
    <n v="0"/>
    <n v="3.6999999999999998E-2"/>
    <n v="3.6999999999999998E-2"/>
  </r>
  <r>
    <x v="30"/>
    <x v="30"/>
    <s v="Carbon dioxide"/>
    <s v="kg/2018 USD, purchaser price"/>
    <n v="0.20699999999999999"/>
    <n v="0.20699999999999999"/>
    <n v="0"/>
    <n v="0"/>
    <n v="0.20699999999999999"/>
    <n v="0.20699999999999999"/>
  </r>
  <r>
    <x v="30"/>
    <x v="30"/>
    <s v="Methane"/>
    <s v="kg/2018 USD, purchaser price"/>
    <n v="1E-3"/>
    <n v="2.8000000000000001E-2"/>
    <n v="0"/>
    <n v="0"/>
    <n v="1E-3"/>
    <n v="2.8000000000000001E-2"/>
  </r>
  <r>
    <x v="30"/>
    <x v="30"/>
    <s v="Nitrous oxide"/>
    <s v="kg/2018 USD, purchaser price"/>
    <n v="0"/>
    <n v="0"/>
    <n v="0"/>
    <n v="0"/>
    <n v="0"/>
    <n v="0"/>
  </r>
  <r>
    <x v="30"/>
    <x v="30"/>
    <s v="other GHGs"/>
    <s v="kg CO2e/2018 USD, purchaser price"/>
    <n v="3.6999999999999998E-2"/>
    <n v="3.6999999999999998E-2"/>
    <n v="0"/>
    <n v="0"/>
    <n v="3.6999999999999998E-2"/>
    <n v="3.6999999999999998E-2"/>
  </r>
  <r>
    <x v="31"/>
    <x v="31"/>
    <s v="Carbon dioxide"/>
    <s v="kg/2018 USD, purchaser price"/>
    <n v="0.37"/>
    <n v="0.37"/>
    <n v="0"/>
    <n v="0"/>
    <n v="0.37"/>
    <n v="0.37"/>
  </r>
  <r>
    <x v="31"/>
    <x v="31"/>
    <s v="Methane"/>
    <s v="kg/2018 USD, purchaser price"/>
    <n v="1E-3"/>
    <n v="2.8000000000000001E-2"/>
    <n v="0"/>
    <n v="0"/>
    <n v="1E-3"/>
    <n v="2.8000000000000001E-2"/>
  </r>
  <r>
    <x v="31"/>
    <x v="31"/>
    <s v="Nitrous oxide"/>
    <s v="kg/2018 USD, purchaser price"/>
    <n v="0"/>
    <n v="0"/>
    <n v="0"/>
    <n v="0"/>
    <n v="0"/>
    <n v="0"/>
  </r>
  <r>
    <x v="31"/>
    <x v="31"/>
    <s v="other GHGs"/>
    <s v="kg CO2e/2018 USD, purchaser price"/>
    <n v="1.2999999999999999E-2"/>
    <n v="1.2999999999999999E-2"/>
    <n v="0"/>
    <n v="0"/>
    <n v="1.2999999999999999E-2"/>
    <n v="1.2999999999999999E-2"/>
  </r>
  <r>
    <x v="32"/>
    <x v="32"/>
    <s v="Carbon dioxide"/>
    <s v="kg/2018 USD, purchaser price"/>
    <n v="0.29699999999999999"/>
    <n v="0.29699999999999999"/>
    <n v="0"/>
    <n v="0"/>
    <n v="0.29699999999999999"/>
    <n v="0.29699999999999999"/>
  </r>
  <r>
    <x v="32"/>
    <x v="32"/>
    <s v="Methane"/>
    <s v="kg/2018 USD, purchaser price"/>
    <n v="1E-3"/>
    <n v="2.8000000000000001E-2"/>
    <n v="0"/>
    <n v="0"/>
    <n v="1E-3"/>
    <n v="2.8000000000000001E-2"/>
  </r>
  <r>
    <x v="32"/>
    <x v="32"/>
    <s v="Nitrous oxide"/>
    <s v="kg/2018 USD, purchaser price"/>
    <n v="0"/>
    <n v="0"/>
    <n v="0"/>
    <n v="0"/>
    <n v="0"/>
    <n v="0"/>
  </r>
  <r>
    <x v="32"/>
    <x v="32"/>
    <s v="other GHGs"/>
    <s v="kg CO2e/2018 USD, purchaser price"/>
    <n v="1.9E-2"/>
    <n v="1.9E-2"/>
    <n v="0"/>
    <n v="0"/>
    <n v="1.9E-2"/>
    <n v="1.9E-2"/>
  </r>
  <r>
    <x v="33"/>
    <x v="33"/>
    <s v="Carbon dioxide"/>
    <s v="kg/2018 USD, purchaser price"/>
    <n v="0.153"/>
    <n v="0.153"/>
    <n v="0"/>
    <n v="0"/>
    <n v="0.153"/>
    <n v="0.153"/>
  </r>
  <r>
    <x v="33"/>
    <x v="33"/>
    <s v="Methane"/>
    <s v="kg/2018 USD, purchaser price"/>
    <n v="1E-3"/>
    <n v="2.8000000000000001E-2"/>
    <n v="0"/>
    <n v="0"/>
    <n v="1E-3"/>
    <n v="2.8000000000000001E-2"/>
  </r>
  <r>
    <x v="33"/>
    <x v="33"/>
    <s v="Nitrous oxide"/>
    <s v="kg/2018 USD, purchaser price"/>
    <n v="0"/>
    <n v="0"/>
    <n v="0"/>
    <n v="0"/>
    <n v="0"/>
    <n v="0"/>
  </r>
  <r>
    <x v="33"/>
    <x v="33"/>
    <s v="other GHGs"/>
    <s v="kg CO2e/2018 USD, purchaser price"/>
    <n v="1.0999999999999999E-2"/>
    <n v="1.0999999999999999E-2"/>
    <n v="0"/>
    <n v="0"/>
    <n v="1.0999999999999999E-2"/>
    <n v="1.0999999999999999E-2"/>
  </r>
  <r>
    <x v="34"/>
    <x v="34"/>
    <s v="Carbon dioxide"/>
    <s v="kg/2018 USD, purchaser price"/>
    <n v="0.08"/>
    <n v="0.08"/>
    <n v="0"/>
    <n v="0"/>
    <n v="0.08"/>
    <n v="0.08"/>
  </r>
  <r>
    <x v="34"/>
    <x v="34"/>
    <s v="Methane"/>
    <s v="kg/2018 USD, purchaser price"/>
    <n v="0"/>
    <n v="0"/>
    <n v="0"/>
    <n v="0"/>
    <n v="0"/>
    <n v="0"/>
  </r>
  <r>
    <x v="34"/>
    <x v="34"/>
    <s v="Nitrous oxide"/>
    <s v="kg/2018 USD, purchaser price"/>
    <n v="0"/>
    <n v="0"/>
    <n v="0"/>
    <n v="0"/>
    <n v="0"/>
    <n v="0"/>
  </r>
  <r>
    <x v="34"/>
    <x v="34"/>
    <s v="other GHGs"/>
    <s v="kg CO2e/2018 USD, purchaser price"/>
    <n v="6.0000000000000001E-3"/>
    <n v="6.0000000000000001E-3"/>
    <n v="0"/>
    <n v="0"/>
    <n v="6.0000000000000001E-3"/>
    <n v="6.0000000000000001E-3"/>
  </r>
  <r>
    <x v="35"/>
    <x v="35"/>
    <s v="Carbon dioxide"/>
    <s v="kg/2018 USD, purchaser price"/>
    <n v="0.26400000000000001"/>
    <n v="0.26400000000000001"/>
    <n v="0"/>
    <n v="0"/>
    <n v="0.26400000000000001"/>
    <n v="0.26400000000000001"/>
  </r>
  <r>
    <x v="35"/>
    <x v="35"/>
    <s v="Methane"/>
    <s v="kg/2018 USD, purchaser price"/>
    <n v="1E-3"/>
    <n v="2.8000000000000001E-2"/>
    <n v="0"/>
    <n v="0"/>
    <n v="1E-3"/>
    <n v="2.8000000000000001E-2"/>
  </r>
  <r>
    <x v="35"/>
    <x v="35"/>
    <s v="Nitrous oxide"/>
    <s v="kg/2018 USD, purchaser price"/>
    <n v="0"/>
    <n v="0"/>
    <n v="0"/>
    <n v="0"/>
    <n v="0"/>
    <n v="0"/>
  </r>
  <r>
    <x v="35"/>
    <x v="35"/>
    <s v="other GHGs"/>
    <s v="kg CO2e/2018 USD, purchaser price"/>
    <n v="2.3E-2"/>
    <n v="2.3E-2"/>
    <n v="0"/>
    <n v="0"/>
    <n v="2.3E-2"/>
    <n v="2.3E-2"/>
  </r>
  <r>
    <x v="36"/>
    <x v="36"/>
    <s v="Carbon dioxide"/>
    <s v="kg/2018 USD, purchaser price"/>
    <n v="0.248"/>
    <n v="0.248"/>
    <n v="7.0000000000000007E-2"/>
    <n v="7.0000000000000007E-2"/>
    <n v="0.31900000000000001"/>
    <n v="0.31900000000000001"/>
  </r>
  <r>
    <x v="36"/>
    <x v="36"/>
    <s v="Methane"/>
    <s v="kg/2018 USD, purchaser price"/>
    <n v="4.0000000000000001E-3"/>
    <n v="0.112"/>
    <n v="0"/>
    <n v="0"/>
    <n v="5.0000000000000001E-3"/>
    <n v="0.14000000000000001"/>
  </r>
  <r>
    <x v="36"/>
    <x v="36"/>
    <s v="Nitrous oxide"/>
    <s v="kg/2018 USD, purchaser price"/>
    <n v="1E-3"/>
    <n v="0.26500000000000001"/>
    <n v="0"/>
    <n v="0"/>
    <n v="1E-3"/>
    <n v="0.26500000000000001"/>
  </r>
  <r>
    <x v="36"/>
    <x v="36"/>
    <s v="other GHGs"/>
    <s v="kg CO2e/2018 USD, purchaser price"/>
    <n v="8.0000000000000002E-3"/>
    <n v="8.0000000000000002E-3"/>
    <n v="0"/>
    <n v="0"/>
    <n v="8.0000000000000002E-3"/>
    <n v="8.0000000000000002E-3"/>
  </r>
  <r>
    <x v="37"/>
    <x v="37"/>
    <s v="Carbon dioxide"/>
    <s v="kg/2018 USD, purchaser price"/>
    <n v="0.44600000000000001"/>
    <n v="0.44600000000000001"/>
    <n v="6.8000000000000005E-2"/>
    <n v="6.8000000000000005E-2"/>
    <n v="0.51400000000000001"/>
    <n v="0.51400000000000001"/>
  </r>
  <r>
    <x v="37"/>
    <x v="37"/>
    <s v="Methane"/>
    <s v="kg/2018 USD, purchaser price"/>
    <n v="4.0000000000000001E-3"/>
    <n v="0.112"/>
    <n v="0"/>
    <n v="0"/>
    <n v="4.0000000000000001E-3"/>
    <n v="0.112"/>
  </r>
  <r>
    <x v="37"/>
    <x v="37"/>
    <s v="Nitrous oxide"/>
    <s v="kg/2018 USD, purchaser price"/>
    <n v="1E-3"/>
    <n v="0.26500000000000001"/>
    <n v="0"/>
    <n v="0"/>
    <n v="1E-3"/>
    <n v="0.26500000000000001"/>
  </r>
  <r>
    <x v="37"/>
    <x v="37"/>
    <s v="other GHGs"/>
    <s v="kg CO2e/2018 USD, purchaser price"/>
    <n v="5.0000000000000001E-3"/>
    <n v="5.0000000000000001E-3"/>
    <n v="0"/>
    <n v="0"/>
    <n v="5.0000000000000001E-3"/>
    <n v="5.0000000000000001E-3"/>
  </r>
  <r>
    <x v="38"/>
    <x v="38"/>
    <s v="Carbon dioxide"/>
    <s v="kg/2018 USD, purchaser price"/>
    <n v="0.73799999999999999"/>
    <n v="0.73799999999999999"/>
    <n v="6.7000000000000004E-2"/>
    <n v="6.7000000000000004E-2"/>
    <n v="0.80500000000000005"/>
    <n v="0.80500000000000005"/>
  </r>
  <r>
    <x v="38"/>
    <x v="38"/>
    <s v="Methane"/>
    <s v="kg/2018 USD, purchaser price"/>
    <n v="5.0000000000000001E-3"/>
    <n v="0.14000000000000001"/>
    <n v="1E-3"/>
    <n v="2.8000000000000001E-2"/>
    <n v="5.0000000000000001E-3"/>
    <n v="0.14000000000000001"/>
  </r>
  <r>
    <x v="38"/>
    <x v="38"/>
    <s v="Nitrous oxide"/>
    <s v="kg/2018 USD, purchaser price"/>
    <n v="2E-3"/>
    <n v="0.53"/>
    <n v="0"/>
    <n v="0"/>
    <n v="2E-3"/>
    <n v="0.53"/>
  </r>
  <r>
    <x v="38"/>
    <x v="38"/>
    <s v="other GHGs"/>
    <s v="kg CO2e/2018 USD, purchaser price"/>
    <n v="5.0000000000000001E-3"/>
    <n v="5.0000000000000001E-3"/>
    <n v="0"/>
    <n v="0"/>
    <n v="5.0000000000000001E-3"/>
    <n v="5.0000000000000001E-3"/>
  </r>
  <r>
    <x v="39"/>
    <x v="39"/>
    <s v="Carbon dioxide"/>
    <s v="kg/2018 USD, purchaser price"/>
    <n v="1.2370000000000001"/>
    <n v="1.2370000000000001"/>
    <n v="6.5000000000000002E-2"/>
    <n v="6.5000000000000002E-2"/>
    <n v="1.302"/>
    <n v="1.302"/>
  </r>
  <r>
    <x v="39"/>
    <x v="39"/>
    <s v="Methane"/>
    <s v="kg/2018 USD, purchaser price"/>
    <n v="6.0000000000000001E-3"/>
    <n v="0.16800000000000001"/>
    <n v="1E-3"/>
    <n v="2.8000000000000001E-2"/>
    <n v="6.0000000000000001E-3"/>
    <n v="0.16800000000000001"/>
  </r>
  <r>
    <x v="39"/>
    <x v="39"/>
    <s v="Nitrous oxide"/>
    <s v="kg/2018 USD, purchaser price"/>
    <n v="2E-3"/>
    <n v="0.53"/>
    <n v="0"/>
    <n v="0"/>
    <n v="2E-3"/>
    <n v="0.53"/>
  </r>
  <r>
    <x v="39"/>
    <x v="39"/>
    <s v="other GHGs"/>
    <s v="kg CO2e/2018 USD, purchaser price"/>
    <n v="5.0000000000000001E-3"/>
    <n v="5.0000000000000001E-3"/>
    <n v="0"/>
    <n v="0"/>
    <n v="5.0000000000000001E-3"/>
    <n v="5.0000000000000001E-3"/>
  </r>
  <r>
    <x v="40"/>
    <x v="40"/>
    <s v="Carbon dioxide"/>
    <s v="kg/2018 USD, purchaser price"/>
    <n v="0.64600000000000002"/>
    <n v="0.64600000000000002"/>
    <n v="6.6000000000000003E-2"/>
    <n v="6.6000000000000003E-2"/>
    <n v="0.71199999999999997"/>
    <n v="0.71199999999999997"/>
  </r>
  <r>
    <x v="40"/>
    <x v="40"/>
    <s v="Methane"/>
    <s v="kg/2018 USD, purchaser price"/>
    <n v="2E-3"/>
    <n v="5.6000000000000001E-2"/>
    <n v="1E-3"/>
    <n v="2.8000000000000001E-2"/>
    <n v="3.0000000000000001E-3"/>
    <n v="8.4000000000000005E-2"/>
  </r>
  <r>
    <x v="40"/>
    <x v="40"/>
    <s v="Nitrous oxide"/>
    <s v="kg/2018 USD, purchaser price"/>
    <n v="2E-3"/>
    <n v="0.53"/>
    <n v="0"/>
    <n v="0"/>
    <n v="2E-3"/>
    <n v="0.53"/>
  </r>
  <r>
    <x v="40"/>
    <x v="40"/>
    <s v="other GHGs"/>
    <s v="kg CO2e/2018 USD, purchaser price"/>
    <n v="4.0000000000000001E-3"/>
    <n v="4.0000000000000001E-3"/>
    <n v="0"/>
    <n v="0"/>
    <n v="4.0000000000000001E-3"/>
    <n v="4.0000000000000001E-3"/>
  </r>
  <r>
    <x v="41"/>
    <x v="41"/>
    <s v="Carbon dioxide"/>
    <s v="kg/2018 USD, purchaser price"/>
    <n v="0.55300000000000005"/>
    <n v="0.55300000000000005"/>
    <n v="5.2999999999999999E-2"/>
    <n v="5.2999999999999999E-2"/>
    <n v="0.60599999999999998"/>
    <n v="0.60599999999999998"/>
  </r>
  <r>
    <x v="41"/>
    <x v="41"/>
    <s v="Methane"/>
    <s v="kg/2018 USD, purchaser price"/>
    <n v="3.0000000000000001E-3"/>
    <n v="8.4000000000000005E-2"/>
    <n v="0"/>
    <n v="0"/>
    <n v="3.0000000000000001E-3"/>
    <n v="8.4000000000000005E-2"/>
  </r>
  <r>
    <x v="41"/>
    <x v="41"/>
    <s v="Nitrous oxide"/>
    <s v="kg/2018 USD, purchaser price"/>
    <n v="1E-3"/>
    <n v="0.26500000000000001"/>
    <n v="0"/>
    <n v="0"/>
    <n v="1E-3"/>
    <n v="0.26500000000000001"/>
  </r>
  <r>
    <x v="41"/>
    <x v="41"/>
    <s v="other GHGs"/>
    <s v="kg CO2e/2018 USD, purchaser price"/>
    <n v="6.0000000000000001E-3"/>
    <n v="6.0000000000000001E-3"/>
    <n v="0"/>
    <n v="0"/>
    <n v="6.0000000000000001E-3"/>
    <n v="6.0000000000000001E-3"/>
  </r>
  <r>
    <x v="42"/>
    <x v="42"/>
    <s v="Carbon dioxide"/>
    <s v="kg/2018 USD, purchaser price"/>
    <n v="0.29399999999999998"/>
    <n v="0.29399999999999998"/>
    <n v="6.7000000000000004E-2"/>
    <n v="6.7000000000000004E-2"/>
    <n v="0.36199999999999999"/>
    <n v="0.36199999999999999"/>
  </r>
  <r>
    <x v="42"/>
    <x v="42"/>
    <s v="Methane"/>
    <s v="kg/2018 USD, purchaser price"/>
    <n v="1E-3"/>
    <n v="2.8000000000000001E-2"/>
    <n v="0"/>
    <n v="0"/>
    <n v="2E-3"/>
    <n v="5.6000000000000001E-2"/>
  </r>
  <r>
    <x v="42"/>
    <x v="42"/>
    <s v="Nitrous oxide"/>
    <s v="kg/2018 USD, purchaser price"/>
    <n v="0"/>
    <n v="0"/>
    <n v="0"/>
    <n v="0"/>
    <n v="0"/>
    <n v="0"/>
  </r>
  <r>
    <x v="42"/>
    <x v="42"/>
    <s v="other GHGs"/>
    <s v="kg CO2e/2018 USD, purchaser price"/>
    <n v="1.0999999999999999E-2"/>
    <n v="1.0999999999999999E-2"/>
    <n v="0"/>
    <n v="0"/>
    <n v="1.0999999999999999E-2"/>
    <n v="1.0999999999999999E-2"/>
  </r>
  <r>
    <x v="43"/>
    <x v="43"/>
    <s v="Carbon dioxide"/>
    <s v="kg/2018 USD, purchaser price"/>
    <n v="0.38"/>
    <n v="0.38"/>
    <n v="6.2E-2"/>
    <n v="6.2E-2"/>
    <n v="0.442"/>
    <n v="0.442"/>
  </r>
  <r>
    <x v="43"/>
    <x v="43"/>
    <s v="Methane"/>
    <s v="kg/2018 USD, purchaser price"/>
    <n v="2E-3"/>
    <n v="5.6000000000000001E-2"/>
    <n v="0"/>
    <n v="0"/>
    <n v="3.0000000000000001E-3"/>
    <n v="8.4000000000000005E-2"/>
  </r>
  <r>
    <x v="43"/>
    <x v="43"/>
    <s v="Nitrous oxide"/>
    <s v="kg/2018 USD, purchaser price"/>
    <n v="0"/>
    <n v="0"/>
    <n v="0"/>
    <n v="0"/>
    <n v="0"/>
    <n v="0"/>
  </r>
  <r>
    <x v="43"/>
    <x v="43"/>
    <s v="other GHGs"/>
    <s v="kg CO2e/2018 USD, purchaser price"/>
    <n v="8.0000000000000002E-3"/>
    <n v="8.0000000000000002E-3"/>
    <n v="0"/>
    <n v="0"/>
    <n v="8.0000000000000002E-3"/>
    <n v="8.0000000000000002E-3"/>
  </r>
  <r>
    <x v="44"/>
    <x v="44"/>
    <s v="Carbon dioxide"/>
    <s v="kg/2018 USD, purchaser price"/>
    <n v="0.35"/>
    <n v="0.35"/>
    <n v="6.6000000000000003E-2"/>
    <n v="6.6000000000000003E-2"/>
    <n v="0.41599999999999998"/>
    <n v="0.41599999999999998"/>
  </r>
  <r>
    <x v="44"/>
    <x v="44"/>
    <s v="Methane"/>
    <s v="kg/2018 USD, purchaser price"/>
    <n v="5.0000000000000001E-3"/>
    <n v="0.14000000000000001"/>
    <n v="0"/>
    <n v="0"/>
    <n v="5.0000000000000001E-3"/>
    <n v="0.14000000000000001"/>
  </r>
  <r>
    <x v="44"/>
    <x v="44"/>
    <s v="Nitrous oxide"/>
    <s v="kg/2018 USD, purchaser price"/>
    <n v="1E-3"/>
    <n v="0.26500000000000001"/>
    <n v="0"/>
    <n v="0"/>
    <n v="1E-3"/>
    <n v="0.26500000000000001"/>
  </r>
  <r>
    <x v="44"/>
    <x v="44"/>
    <s v="other GHGs"/>
    <s v="kg CO2e/2018 USD, purchaser price"/>
    <n v="7.0000000000000001E-3"/>
    <n v="7.0000000000000001E-3"/>
    <n v="0"/>
    <n v="0"/>
    <n v="7.0000000000000001E-3"/>
    <n v="7.0000000000000001E-3"/>
  </r>
  <r>
    <x v="45"/>
    <x v="45"/>
    <s v="Carbon dioxide"/>
    <s v="kg/2018 USD, purchaser price"/>
    <n v="0.312"/>
    <n v="0.312"/>
    <n v="6.0999999999999999E-2"/>
    <n v="6.0999999999999999E-2"/>
    <n v="0.373"/>
    <n v="0.373"/>
  </r>
  <r>
    <x v="45"/>
    <x v="45"/>
    <s v="Methane"/>
    <s v="kg/2018 USD, purchaser price"/>
    <n v="5.0000000000000001E-3"/>
    <n v="0.14000000000000001"/>
    <n v="0"/>
    <n v="0"/>
    <n v="5.0000000000000001E-3"/>
    <n v="0.14000000000000001"/>
  </r>
  <r>
    <x v="45"/>
    <x v="45"/>
    <s v="Nitrous oxide"/>
    <s v="kg/2018 USD, purchaser price"/>
    <n v="0"/>
    <n v="0"/>
    <n v="0"/>
    <n v="0"/>
    <n v="0"/>
    <n v="0"/>
  </r>
  <r>
    <x v="45"/>
    <x v="45"/>
    <s v="other GHGs"/>
    <s v="kg CO2e/2018 USD, purchaser price"/>
    <n v="4.2999999999999997E-2"/>
    <n v="4.2999999999999997E-2"/>
    <n v="0"/>
    <n v="0"/>
    <n v="4.2999999999999997E-2"/>
    <n v="4.2999999999999997E-2"/>
  </r>
  <r>
    <x v="46"/>
    <x v="46"/>
    <s v="Carbon dioxide"/>
    <s v="kg/2018 USD, purchaser price"/>
    <n v="0.40500000000000003"/>
    <n v="0.40500000000000003"/>
    <n v="0.05"/>
    <n v="0.05"/>
    <n v="0.45500000000000002"/>
    <n v="0.45500000000000002"/>
  </r>
  <r>
    <x v="46"/>
    <x v="46"/>
    <s v="Methane"/>
    <s v="kg/2018 USD, purchaser price"/>
    <n v="3.3000000000000002E-2"/>
    <n v="0.92400000000000004"/>
    <n v="0"/>
    <n v="0"/>
    <n v="3.3000000000000002E-2"/>
    <n v="0.92400000000000004"/>
  </r>
  <r>
    <x v="46"/>
    <x v="46"/>
    <s v="Nitrous oxide"/>
    <s v="kg/2018 USD, purchaser price"/>
    <n v="1E-3"/>
    <n v="0.26500000000000001"/>
    <n v="0"/>
    <n v="0"/>
    <n v="1E-3"/>
    <n v="0.26500000000000001"/>
  </r>
  <r>
    <x v="46"/>
    <x v="46"/>
    <s v="other GHGs"/>
    <s v="kg CO2e/2018 USD, purchaser price"/>
    <n v="7.0000000000000001E-3"/>
    <n v="7.0000000000000001E-3"/>
    <n v="0"/>
    <n v="0"/>
    <n v="7.0000000000000001E-3"/>
    <n v="7.0000000000000001E-3"/>
  </r>
  <r>
    <x v="47"/>
    <x v="47"/>
    <s v="Carbon dioxide"/>
    <s v="kg/2018 USD, purchaser price"/>
    <n v="0.38400000000000001"/>
    <n v="0.38400000000000001"/>
    <n v="5.5E-2"/>
    <n v="5.5E-2"/>
    <n v="0.439"/>
    <n v="0.439"/>
  </r>
  <r>
    <x v="47"/>
    <x v="47"/>
    <s v="Methane"/>
    <s v="kg/2018 USD, purchaser price"/>
    <n v="2.1999999999999999E-2"/>
    <n v="0.61599999999999999"/>
    <n v="0"/>
    <n v="0"/>
    <n v="2.3E-2"/>
    <n v="0.64400000000000002"/>
  </r>
  <r>
    <x v="47"/>
    <x v="47"/>
    <s v="Nitrous oxide"/>
    <s v="kg/2018 USD, purchaser price"/>
    <n v="1E-3"/>
    <n v="0.26500000000000001"/>
    <n v="0"/>
    <n v="0"/>
    <n v="1E-3"/>
    <n v="0.26500000000000001"/>
  </r>
  <r>
    <x v="47"/>
    <x v="47"/>
    <s v="other GHGs"/>
    <s v="kg CO2e/2018 USD, purchaser price"/>
    <n v="8.0000000000000002E-3"/>
    <n v="8.0000000000000002E-3"/>
    <n v="0"/>
    <n v="0"/>
    <n v="8.0000000000000002E-3"/>
    <n v="8.0000000000000002E-3"/>
  </r>
  <r>
    <x v="48"/>
    <x v="48"/>
    <s v="Carbon dioxide"/>
    <s v="kg/2018 USD, purchaser price"/>
    <n v="0.33700000000000002"/>
    <n v="0.33700000000000002"/>
    <n v="5.6000000000000001E-2"/>
    <n v="5.6000000000000001E-2"/>
    <n v="0.39300000000000002"/>
    <n v="0.39300000000000002"/>
  </r>
  <r>
    <x v="48"/>
    <x v="48"/>
    <s v="Methane"/>
    <s v="kg/2018 USD, purchaser price"/>
    <n v="2.4E-2"/>
    <n v="0.67200000000000004"/>
    <n v="0"/>
    <n v="0"/>
    <n v="2.5000000000000001E-2"/>
    <n v="0.70000000000000007"/>
  </r>
  <r>
    <x v="48"/>
    <x v="48"/>
    <s v="Nitrous oxide"/>
    <s v="kg/2018 USD, purchaser price"/>
    <n v="1E-3"/>
    <n v="0.26500000000000001"/>
    <n v="0"/>
    <n v="0"/>
    <n v="1E-3"/>
    <n v="0.26500000000000001"/>
  </r>
  <r>
    <x v="48"/>
    <x v="48"/>
    <s v="other GHGs"/>
    <s v="kg CO2e/2018 USD, purchaser price"/>
    <n v="7.0000000000000001E-3"/>
    <n v="7.0000000000000001E-3"/>
    <n v="0"/>
    <n v="0"/>
    <n v="7.0000000000000001E-3"/>
    <n v="7.0000000000000001E-3"/>
  </r>
  <r>
    <x v="49"/>
    <x v="49"/>
    <s v="Carbon dioxide"/>
    <s v="kg/2018 USD, purchaser price"/>
    <n v="0.32200000000000001"/>
    <n v="0.32200000000000001"/>
    <n v="3.9E-2"/>
    <n v="3.9E-2"/>
    <n v="0.36099999999999999"/>
    <n v="0.36099999999999999"/>
  </r>
  <r>
    <x v="49"/>
    <x v="49"/>
    <s v="Methane"/>
    <s v="kg/2018 USD, purchaser price"/>
    <n v="0.01"/>
    <n v="0.28000000000000003"/>
    <n v="0"/>
    <n v="0"/>
    <n v="0.01"/>
    <n v="0.28000000000000003"/>
  </r>
  <r>
    <x v="49"/>
    <x v="49"/>
    <s v="Nitrous oxide"/>
    <s v="kg/2018 USD, purchaser price"/>
    <n v="0"/>
    <n v="0"/>
    <n v="0"/>
    <n v="0"/>
    <n v="0"/>
    <n v="0"/>
  </r>
  <r>
    <x v="49"/>
    <x v="49"/>
    <s v="other GHGs"/>
    <s v="kg CO2e/2018 USD, purchaser price"/>
    <n v="1.4E-2"/>
    <n v="1.4E-2"/>
    <n v="0"/>
    <n v="0"/>
    <n v="1.4E-2"/>
    <n v="1.4E-2"/>
  </r>
  <r>
    <x v="50"/>
    <x v="50"/>
    <s v="Carbon dioxide"/>
    <s v="kg/2018 USD, purchaser price"/>
    <n v="0.46800000000000003"/>
    <n v="0.46800000000000003"/>
    <n v="5.7000000000000002E-2"/>
    <n v="5.7000000000000002E-2"/>
    <n v="0.52500000000000002"/>
    <n v="0.52500000000000002"/>
  </r>
  <r>
    <x v="50"/>
    <x v="50"/>
    <s v="Methane"/>
    <s v="kg/2018 USD, purchaser price"/>
    <n v="6.0000000000000001E-3"/>
    <n v="0.16800000000000001"/>
    <n v="0"/>
    <n v="0"/>
    <n v="6.0000000000000001E-3"/>
    <n v="0.16800000000000001"/>
  </r>
  <r>
    <x v="50"/>
    <x v="50"/>
    <s v="Nitrous oxide"/>
    <s v="kg/2018 USD, purchaser price"/>
    <n v="1E-3"/>
    <n v="0.26500000000000001"/>
    <n v="0"/>
    <n v="0"/>
    <n v="1E-3"/>
    <n v="0.26500000000000001"/>
  </r>
  <r>
    <x v="50"/>
    <x v="50"/>
    <s v="other GHGs"/>
    <s v="kg CO2e/2018 USD, purchaser price"/>
    <n v="5.0000000000000001E-3"/>
    <n v="5.0000000000000001E-3"/>
    <n v="0"/>
    <n v="0"/>
    <n v="5.0000000000000001E-3"/>
    <n v="5.0000000000000001E-3"/>
  </r>
  <r>
    <x v="51"/>
    <x v="51"/>
    <s v="Carbon dioxide"/>
    <s v="kg/2018 USD, purchaser price"/>
    <n v="0.39600000000000002"/>
    <n v="0.39600000000000002"/>
    <n v="5.2999999999999999E-2"/>
    <n v="5.2999999999999999E-2"/>
    <n v="0.44900000000000001"/>
    <n v="0.44900000000000001"/>
  </r>
  <r>
    <x v="51"/>
    <x v="51"/>
    <s v="Methane"/>
    <s v="kg/2018 USD, purchaser price"/>
    <n v="3.7999999999999999E-2"/>
    <n v="1.0640000000000001"/>
    <n v="0"/>
    <n v="0"/>
    <n v="3.7999999999999999E-2"/>
    <n v="1.0640000000000001"/>
  </r>
  <r>
    <x v="51"/>
    <x v="51"/>
    <s v="Nitrous oxide"/>
    <s v="kg/2018 USD, purchaser price"/>
    <n v="2E-3"/>
    <n v="0.53"/>
    <n v="0"/>
    <n v="0"/>
    <n v="2E-3"/>
    <n v="0.53"/>
  </r>
  <r>
    <x v="51"/>
    <x v="51"/>
    <s v="other GHGs"/>
    <s v="kg CO2e/2018 USD, purchaser price"/>
    <n v="4.0000000000000001E-3"/>
    <n v="4.0000000000000001E-3"/>
    <n v="0"/>
    <n v="0"/>
    <n v="4.0000000000000001E-3"/>
    <n v="4.0000000000000001E-3"/>
  </r>
  <r>
    <x v="52"/>
    <x v="52"/>
    <s v="Carbon dioxide"/>
    <s v="kg/2018 USD, purchaser price"/>
    <n v="0.26100000000000001"/>
    <n v="0.26100000000000001"/>
    <n v="4.2000000000000003E-2"/>
    <n v="4.2000000000000003E-2"/>
    <n v="0.30199999999999999"/>
    <n v="0.30199999999999999"/>
  </r>
  <r>
    <x v="52"/>
    <x v="52"/>
    <s v="Methane"/>
    <s v="kg/2018 USD, purchaser price"/>
    <n v="3.0000000000000001E-3"/>
    <n v="8.4000000000000005E-2"/>
    <n v="0"/>
    <n v="0"/>
    <n v="4.0000000000000001E-3"/>
    <n v="0.112"/>
  </r>
  <r>
    <x v="52"/>
    <x v="52"/>
    <s v="Nitrous oxide"/>
    <s v="kg/2018 USD, purchaser price"/>
    <n v="0"/>
    <n v="0"/>
    <n v="0"/>
    <n v="0"/>
    <n v="0"/>
    <n v="0"/>
  </r>
  <r>
    <x v="52"/>
    <x v="52"/>
    <s v="other GHGs"/>
    <s v="kg CO2e/2018 USD, purchaser price"/>
    <n v="5.0000000000000001E-3"/>
    <n v="5.0000000000000001E-3"/>
    <n v="0"/>
    <n v="0"/>
    <n v="5.0000000000000001E-3"/>
    <n v="5.0000000000000001E-3"/>
  </r>
  <r>
    <x v="53"/>
    <x v="53"/>
    <s v="Carbon dioxide"/>
    <s v="kg/2018 USD, purchaser price"/>
    <n v="0.19900000000000001"/>
    <n v="0.19900000000000001"/>
    <n v="5.3999999999999999E-2"/>
    <n v="5.3999999999999999E-2"/>
    <n v="0.254"/>
    <n v="0.254"/>
  </r>
  <r>
    <x v="53"/>
    <x v="53"/>
    <s v="Methane"/>
    <s v="kg/2018 USD, purchaser price"/>
    <n v="1E-3"/>
    <n v="2.8000000000000001E-2"/>
    <n v="0"/>
    <n v="0"/>
    <n v="2E-3"/>
    <n v="5.6000000000000001E-2"/>
  </r>
  <r>
    <x v="53"/>
    <x v="53"/>
    <s v="Nitrous oxide"/>
    <s v="kg/2018 USD, purchaser price"/>
    <n v="0"/>
    <n v="0"/>
    <n v="0"/>
    <n v="0"/>
    <n v="0"/>
    <n v="0"/>
  </r>
  <r>
    <x v="53"/>
    <x v="53"/>
    <s v="other GHGs"/>
    <s v="kg CO2e/2018 USD, purchaser price"/>
    <n v="6.0000000000000001E-3"/>
    <n v="6.0000000000000001E-3"/>
    <n v="0"/>
    <n v="0"/>
    <n v="6.0000000000000001E-3"/>
    <n v="6.0000000000000001E-3"/>
  </r>
  <r>
    <x v="54"/>
    <x v="54"/>
    <s v="Carbon dioxide"/>
    <s v="kg/2018 USD, purchaser price"/>
    <n v="0.29699999999999999"/>
    <n v="0.29699999999999999"/>
    <n v="6.7000000000000004E-2"/>
    <n v="6.7000000000000004E-2"/>
    <n v="0.36399999999999999"/>
    <n v="0.36399999999999999"/>
  </r>
  <r>
    <x v="54"/>
    <x v="54"/>
    <s v="Methane"/>
    <s v="kg/2018 USD, purchaser price"/>
    <n v="3.0000000000000001E-3"/>
    <n v="8.4000000000000005E-2"/>
    <n v="0"/>
    <n v="0"/>
    <n v="3.0000000000000001E-3"/>
    <n v="8.4000000000000005E-2"/>
  </r>
  <r>
    <x v="54"/>
    <x v="54"/>
    <s v="Nitrous oxide"/>
    <s v="kg/2018 USD, purchaser price"/>
    <n v="1E-3"/>
    <n v="0.26500000000000001"/>
    <n v="0"/>
    <n v="0"/>
    <n v="1E-3"/>
    <n v="0.26500000000000001"/>
  </r>
  <r>
    <x v="54"/>
    <x v="54"/>
    <s v="other GHGs"/>
    <s v="kg CO2e/2018 USD, purchaser price"/>
    <n v="1.0999999999999999E-2"/>
    <n v="1.0999999999999999E-2"/>
    <n v="0"/>
    <n v="0"/>
    <n v="1.0999999999999999E-2"/>
    <n v="1.0999999999999999E-2"/>
  </r>
  <r>
    <x v="55"/>
    <x v="55"/>
    <s v="Carbon dioxide"/>
    <s v="kg/2018 USD, purchaser price"/>
    <n v="0.28299999999999997"/>
    <n v="0.28299999999999997"/>
    <n v="6.6000000000000003E-2"/>
    <n v="6.6000000000000003E-2"/>
    <n v="0.34899999999999998"/>
    <n v="0.34899999999999998"/>
  </r>
  <r>
    <x v="55"/>
    <x v="55"/>
    <s v="Methane"/>
    <s v="kg/2018 USD, purchaser price"/>
    <n v="2E-3"/>
    <n v="5.6000000000000001E-2"/>
    <n v="0"/>
    <n v="0"/>
    <n v="2E-3"/>
    <n v="5.6000000000000001E-2"/>
  </r>
  <r>
    <x v="55"/>
    <x v="55"/>
    <s v="Nitrous oxide"/>
    <s v="kg/2018 USD, purchaser price"/>
    <n v="0"/>
    <n v="0"/>
    <n v="0"/>
    <n v="0"/>
    <n v="0"/>
    <n v="0"/>
  </r>
  <r>
    <x v="55"/>
    <x v="55"/>
    <s v="other GHGs"/>
    <s v="kg CO2e/2018 USD, purchaser price"/>
    <n v="8.9999999999999993E-3"/>
    <n v="8.9999999999999993E-3"/>
    <n v="0"/>
    <n v="0"/>
    <n v="8.9999999999999993E-3"/>
    <n v="8.9999999999999993E-3"/>
  </r>
  <r>
    <x v="56"/>
    <x v="56"/>
    <s v="Carbon dioxide"/>
    <s v="kg/2018 USD, purchaser price"/>
    <n v="0.30099999999999999"/>
    <n v="0.30099999999999999"/>
    <n v="6.0999999999999999E-2"/>
    <n v="6.0999999999999999E-2"/>
    <n v="0.36199999999999999"/>
    <n v="0.36199999999999999"/>
  </r>
  <r>
    <x v="56"/>
    <x v="56"/>
    <s v="Methane"/>
    <s v="kg/2018 USD, purchaser price"/>
    <n v="1E-3"/>
    <n v="2.8000000000000001E-2"/>
    <n v="0"/>
    <n v="0"/>
    <n v="2E-3"/>
    <n v="5.6000000000000001E-2"/>
  </r>
  <r>
    <x v="56"/>
    <x v="56"/>
    <s v="Nitrous oxide"/>
    <s v="kg/2018 USD, purchaser price"/>
    <n v="0"/>
    <n v="0"/>
    <n v="0"/>
    <n v="0"/>
    <n v="0"/>
    <n v="0"/>
  </r>
  <r>
    <x v="56"/>
    <x v="56"/>
    <s v="other GHGs"/>
    <s v="kg CO2e/2018 USD, purchaser price"/>
    <n v="5.0000000000000001E-3"/>
    <n v="5.0000000000000001E-3"/>
    <n v="0"/>
    <n v="0"/>
    <n v="5.0000000000000001E-3"/>
    <n v="5.0000000000000001E-3"/>
  </r>
  <r>
    <x v="57"/>
    <x v="57"/>
    <s v="Carbon dioxide"/>
    <s v="kg/2018 USD, purchaser price"/>
    <n v="0.35299999999999998"/>
    <n v="0.35299999999999998"/>
    <n v="2.8000000000000001E-2"/>
    <n v="2.8000000000000001E-2"/>
    <n v="0.38100000000000001"/>
    <n v="0.38100000000000001"/>
  </r>
  <r>
    <x v="57"/>
    <x v="57"/>
    <s v="Methane"/>
    <s v="kg/2018 USD, purchaser price"/>
    <n v="2E-3"/>
    <n v="5.6000000000000001E-2"/>
    <n v="0"/>
    <n v="0"/>
    <n v="2E-3"/>
    <n v="5.6000000000000001E-2"/>
  </r>
  <r>
    <x v="57"/>
    <x v="57"/>
    <s v="Nitrous oxide"/>
    <s v="kg/2018 USD, purchaser price"/>
    <n v="0"/>
    <n v="0"/>
    <n v="0"/>
    <n v="0"/>
    <n v="0"/>
    <n v="0"/>
  </r>
  <r>
    <x v="57"/>
    <x v="57"/>
    <s v="other GHGs"/>
    <s v="kg CO2e/2018 USD, purchaser price"/>
    <n v="7.0000000000000001E-3"/>
    <n v="7.0000000000000001E-3"/>
    <n v="0"/>
    <n v="0"/>
    <n v="7.0000000000000001E-3"/>
    <n v="7.0000000000000001E-3"/>
  </r>
  <r>
    <x v="58"/>
    <x v="58"/>
    <s v="Carbon dioxide"/>
    <s v="kg/2018 USD, purchaser price"/>
    <n v="0.26900000000000002"/>
    <n v="0.26900000000000002"/>
    <n v="0.05"/>
    <n v="0.05"/>
    <n v="0.318"/>
    <n v="0.318"/>
  </r>
  <r>
    <x v="58"/>
    <x v="58"/>
    <s v="Methane"/>
    <s v="kg/2018 USD, purchaser price"/>
    <n v="3.0000000000000001E-3"/>
    <n v="8.4000000000000005E-2"/>
    <n v="0"/>
    <n v="0"/>
    <n v="3.0000000000000001E-3"/>
    <n v="8.4000000000000005E-2"/>
  </r>
  <r>
    <x v="58"/>
    <x v="58"/>
    <s v="Nitrous oxide"/>
    <s v="kg/2018 USD, purchaser price"/>
    <n v="0"/>
    <n v="0"/>
    <n v="0"/>
    <n v="0"/>
    <n v="0"/>
    <n v="0"/>
  </r>
  <r>
    <x v="58"/>
    <x v="58"/>
    <s v="other GHGs"/>
    <s v="kg CO2e/2018 USD, purchaser price"/>
    <n v="7.0000000000000001E-3"/>
    <n v="7.0000000000000001E-3"/>
    <n v="0"/>
    <n v="0"/>
    <n v="7.0000000000000001E-3"/>
    <n v="7.0000000000000001E-3"/>
  </r>
  <r>
    <x v="59"/>
    <x v="59"/>
    <s v="Carbon dioxide"/>
    <s v="kg/2018 USD, purchaser price"/>
    <n v="0.27"/>
    <n v="0.27"/>
    <n v="6.5000000000000002E-2"/>
    <n v="6.5000000000000002E-2"/>
    <n v="0.33500000000000002"/>
    <n v="0.33500000000000002"/>
  </r>
  <r>
    <x v="59"/>
    <x v="59"/>
    <s v="Methane"/>
    <s v="kg/2018 USD, purchaser price"/>
    <n v="4.0000000000000001E-3"/>
    <n v="0.112"/>
    <n v="0"/>
    <n v="0"/>
    <n v="4.0000000000000001E-3"/>
    <n v="0.112"/>
  </r>
  <r>
    <x v="59"/>
    <x v="59"/>
    <s v="Nitrous oxide"/>
    <s v="kg/2018 USD, purchaser price"/>
    <n v="0"/>
    <n v="0"/>
    <n v="0"/>
    <n v="0"/>
    <n v="0"/>
    <n v="0"/>
  </r>
  <r>
    <x v="59"/>
    <x v="59"/>
    <s v="other GHGs"/>
    <s v="kg CO2e/2018 USD, purchaser price"/>
    <n v="6.0000000000000001E-3"/>
    <n v="6.0000000000000001E-3"/>
    <n v="0"/>
    <n v="0"/>
    <n v="6.0000000000000001E-3"/>
    <n v="6.0000000000000001E-3"/>
  </r>
  <r>
    <x v="60"/>
    <x v="60"/>
    <s v="Carbon dioxide"/>
    <s v="kg/2018 USD, purchaser price"/>
    <n v="0.30499999999999999"/>
    <n v="0.30499999999999999"/>
    <n v="6.4000000000000001E-2"/>
    <n v="6.4000000000000001E-2"/>
    <n v="0.37"/>
    <n v="0.37"/>
  </r>
  <r>
    <x v="60"/>
    <x v="60"/>
    <s v="Methane"/>
    <s v="kg/2018 USD, purchaser price"/>
    <n v="2E-3"/>
    <n v="5.6000000000000001E-2"/>
    <n v="0"/>
    <n v="0"/>
    <n v="2E-3"/>
    <n v="5.6000000000000001E-2"/>
  </r>
  <r>
    <x v="60"/>
    <x v="60"/>
    <s v="Nitrous oxide"/>
    <s v="kg/2018 USD, purchaser price"/>
    <n v="0"/>
    <n v="0"/>
    <n v="0"/>
    <n v="0"/>
    <n v="0"/>
    <n v="0"/>
  </r>
  <r>
    <x v="60"/>
    <x v="60"/>
    <s v="other GHGs"/>
    <s v="kg CO2e/2018 USD, purchaser price"/>
    <n v="2.4E-2"/>
    <n v="2.4E-2"/>
    <n v="0"/>
    <n v="0"/>
    <n v="2.4E-2"/>
    <n v="2.4E-2"/>
  </r>
  <r>
    <x v="61"/>
    <x v="61"/>
    <s v="Carbon dioxide"/>
    <s v="kg/2018 USD, purchaser price"/>
    <n v="0.20699999999999999"/>
    <n v="0.20699999999999999"/>
    <n v="7.3999999999999996E-2"/>
    <n v="7.3999999999999996E-2"/>
    <n v="0.28100000000000003"/>
    <n v="0.28100000000000003"/>
  </r>
  <r>
    <x v="61"/>
    <x v="61"/>
    <s v="Methane"/>
    <s v="kg/2018 USD, purchaser price"/>
    <n v="1E-3"/>
    <n v="2.8000000000000001E-2"/>
    <n v="0"/>
    <n v="0"/>
    <n v="1E-3"/>
    <n v="2.8000000000000001E-2"/>
  </r>
  <r>
    <x v="61"/>
    <x v="61"/>
    <s v="Nitrous oxide"/>
    <s v="kg/2018 USD, purchaser price"/>
    <n v="0"/>
    <n v="0"/>
    <n v="0"/>
    <n v="0"/>
    <n v="0"/>
    <n v="0"/>
  </r>
  <r>
    <x v="61"/>
    <x v="61"/>
    <s v="other GHGs"/>
    <s v="kg CO2e/2018 USD, purchaser price"/>
    <n v="0.01"/>
    <n v="0.01"/>
    <n v="0"/>
    <n v="0"/>
    <n v="0.01"/>
    <n v="0.01"/>
  </r>
  <r>
    <x v="62"/>
    <x v="62"/>
    <s v="Carbon dioxide"/>
    <s v="kg/2018 USD, purchaser price"/>
    <n v="0.109"/>
    <n v="0.109"/>
    <n v="8.1000000000000003E-2"/>
    <n v="8.1000000000000003E-2"/>
    <n v="0.19"/>
    <n v="0.19"/>
  </r>
  <r>
    <x v="62"/>
    <x v="62"/>
    <s v="Methane"/>
    <s v="kg/2018 USD, purchaser price"/>
    <n v="0"/>
    <n v="0"/>
    <n v="0"/>
    <n v="0"/>
    <n v="1E-3"/>
    <n v="2.8000000000000001E-2"/>
  </r>
  <r>
    <x v="62"/>
    <x v="62"/>
    <s v="Nitrous oxide"/>
    <s v="kg/2018 USD, purchaser price"/>
    <n v="0"/>
    <n v="0"/>
    <n v="0"/>
    <n v="0"/>
    <n v="0"/>
    <n v="0"/>
  </r>
  <r>
    <x v="62"/>
    <x v="62"/>
    <s v="other GHGs"/>
    <s v="kg CO2e/2018 USD, purchaser price"/>
    <n v="5.0000000000000001E-3"/>
    <n v="5.0000000000000001E-3"/>
    <n v="0"/>
    <n v="0"/>
    <n v="5.0000000000000001E-3"/>
    <n v="5.0000000000000001E-3"/>
  </r>
  <r>
    <x v="63"/>
    <x v="63"/>
    <s v="Carbon dioxide"/>
    <s v="kg/2018 USD, purchaser price"/>
    <n v="0.30499999999999999"/>
    <n v="0.30499999999999999"/>
    <n v="7.1999999999999995E-2"/>
    <n v="7.1999999999999995E-2"/>
    <n v="0.377"/>
    <n v="0.377"/>
  </r>
  <r>
    <x v="63"/>
    <x v="63"/>
    <s v="Methane"/>
    <s v="kg/2018 USD, purchaser price"/>
    <n v="1E-3"/>
    <n v="2.8000000000000001E-2"/>
    <n v="0"/>
    <n v="0"/>
    <n v="2E-3"/>
    <n v="5.6000000000000001E-2"/>
  </r>
  <r>
    <x v="63"/>
    <x v="63"/>
    <s v="Nitrous oxide"/>
    <s v="kg/2018 USD, purchaser price"/>
    <n v="0"/>
    <n v="0"/>
    <n v="0"/>
    <n v="0"/>
    <n v="0"/>
    <n v="0"/>
  </r>
  <r>
    <x v="63"/>
    <x v="63"/>
    <s v="other GHGs"/>
    <s v="kg CO2e/2018 USD, purchaser price"/>
    <n v="4.0000000000000001E-3"/>
    <n v="4.0000000000000001E-3"/>
    <n v="0"/>
    <n v="0"/>
    <n v="4.0000000000000001E-3"/>
    <n v="4.0000000000000001E-3"/>
  </r>
  <r>
    <x v="64"/>
    <x v="64"/>
    <s v="Carbon dioxide"/>
    <s v="kg/2018 USD, purchaser price"/>
    <n v="7.2999999999999995E-2"/>
    <n v="7.2999999999999995E-2"/>
    <n v="5.2999999999999999E-2"/>
    <n v="5.2999999999999999E-2"/>
    <n v="0.126"/>
    <n v="0.126"/>
  </r>
  <r>
    <x v="64"/>
    <x v="64"/>
    <s v="Methane"/>
    <s v="kg/2018 USD, purchaser price"/>
    <n v="0"/>
    <n v="0"/>
    <n v="0"/>
    <n v="0"/>
    <n v="1E-3"/>
    <n v="2.8000000000000001E-2"/>
  </r>
  <r>
    <x v="64"/>
    <x v="64"/>
    <s v="Nitrous oxide"/>
    <s v="kg/2018 USD, purchaser price"/>
    <n v="0"/>
    <n v="0"/>
    <n v="0"/>
    <n v="0"/>
    <n v="0"/>
    <n v="0"/>
  </r>
  <r>
    <x v="64"/>
    <x v="64"/>
    <s v="other GHGs"/>
    <s v="kg CO2e/2018 USD, purchaser price"/>
    <n v="2E-3"/>
    <n v="2E-3"/>
    <n v="0"/>
    <n v="0"/>
    <n v="2E-3"/>
    <n v="2E-3"/>
  </r>
  <r>
    <x v="65"/>
    <x v="65"/>
    <s v="Carbon dioxide"/>
    <s v="kg/2018 USD, purchaser price"/>
    <n v="0.64900000000000002"/>
    <n v="0.64900000000000002"/>
    <n v="4.5999999999999999E-2"/>
    <n v="4.5999999999999999E-2"/>
    <n v="0.69499999999999995"/>
    <n v="0.69499999999999995"/>
  </r>
  <r>
    <x v="65"/>
    <x v="65"/>
    <s v="Methane"/>
    <s v="kg/2018 USD, purchaser price"/>
    <n v="3.0000000000000001E-3"/>
    <n v="8.4000000000000005E-2"/>
    <n v="0"/>
    <n v="0"/>
    <n v="3.0000000000000001E-3"/>
    <n v="8.4000000000000005E-2"/>
  </r>
  <r>
    <x v="65"/>
    <x v="65"/>
    <s v="Nitrous oxide"/>
    <s v="kg/2018 USD, purchaser price"/>
    <n v="0"/>
    <n v="0"/>
    <n v="0"/>
    <n v="0"/>
    <n v="0"/>
    <n v="0"/>
  </r>
  <r>
    <x v="65"/>
    <x v="65"/>
    <s v="other GHGs"/>
    <s v="kg CO2e/2018 USD, purchaser price"/>
    <n v="5.0000000000000001E-3"/>
    <n v="5.0000000000000001E-3"/>
    <n v="0"/>
    <n v="0"/>
    <n v="5.0000000000000001E-3"/>
    <n v="5.0000000000000001E-3"/>
  </r>
  <r>
    <x v="66"/>
    <x v="66"/>
    <s v="Carbon dioxide"/>
    <s v="kg/2018 USD, purchaser price"/>
    <n v="0.48899999999999999"/>
    <n v="0.48899999999999999"/>
    <n v="5.5E-2"/>
    <n v="5.5E-2"/>
    <n v="0.54400000000000004"/>
    <n v="0.54400000000000004"/>
  </r>
  <r>
    <x v="66"/>
    <x v="66"/>
    <s v="Methane"/>
    <s v="kg/2018 USD, purchaser price"/>
    <n v="2E-3"/>
    <n v="5.6000000000000001E-2"/>
    <n v="0"/>
    <n v="0"/>
    <n v="3.0000000000000001E-3"/>
    <n v="8.4000000000000005E-2"/>
  </r>
  <r>
    <x v="66"/>
    <x v="66"/>
    <s v="Nitrous oxide"/>
    <s v="kg/2018 USD, purchaser price"/>
    <n v="0"/>
    <n v="0"/>
    <n v="0"/>
    <n v="0"/>
    <n v="0"/>
    <n v="0"/>
  </r>
  <r>
    <x v="66"/>
    <x v="66"/>
    <s v="other GHGs"/>
    <s v="kg CO2e/2018 USD, purchaser price"/>
    <n v="4.0000000000000001E-3"/>
    <n v="4.0000000000000001E-3"/>
    <n v="0"/>
    <n v="0"/>
    <n v="4.0000000000000001E-3"/>
    <n v="4.0000000000000001E-3"/>
  </r>
  <r>
    <x v="67"/>
    <x v="67"/>
    <s v="Carbon dioxide"/>
    <s v="kg/2018 USD, purchaser price"/>
    <n v="0.48299999999999998"/>
    <n v="0.48299999999999998"/>
    <n v="4.4999999999999998E-2"/>
    <n v="4.4999999999999998E-2"/>
    <n v="0.52700000000000002"/>
    <n v="0.52700000000000002"/>
  </r>
  <r>
    <x v="67"/>
    <x v="67"/>
    <s v="Methane"/>
    <s v="kg/2018 USD, purchaser price"/>
    <n v="2E-3"/>
    <n v="5.6000000000000001E-2"/>
    <n v="0"/>
    <n v="0"/>
    <n v="2E-3"/>
    <n v="5.6000000000000001E-2"/>
  </r>
  <r>
    <x v="67"/>
    <x v="67"/>
    <s v="Nitrous oxide"/>
    <s v="kg/2018 USD, purchaser price"/>
    <n v="0"/>
    <n v="0"/>
    <n v="0"/>
    <n v="0"/>
    <n v="0"/>
    <n v="0"/>
  </r>
  <r>
    <x v="67"/>
    <x v="67"/>
    <s v="other GHGs"/>
    <s v="kg CO2e/2018 USD, purchaser price"/>
    <n v="5.0000000000000001E-3"/>
    <n v="5.0000000000000001E-3"/>
    <n v="0"/>
    <n v="0"/>
    <n v="5.0000000000000001E-3"/>
    <n v="5.0000000000000001E-3"/>
  </r>
  <r>
    <x v="68"/>
    <x v="68"/>
    <s v="Carbon dioxide"/>
    <s v="kg/2018 USD, purchaser price"/>
    <n v="0.22"/>
    <n v="0.22"/>
    <n v="9.7000000000000003E-2"/>
    <n v="9.7000000000000003E-2"/>
    <n v="0.317"/>
    <n v="0.317"/>
  </r>
  <r>
    <x v="68"/>
    <x v="68"/>
    <s v="Methane"/>
    <s v="kg/2018 USD, purchaser price"/>
    <n v="1E-3"/>
    <n v="2.8000000000000001E-2"/>
    <n v="0"/>
    <n v="0"/>
    <n v="1E-3"/>
    <n v="2.8000000000000001E-2"/>
  </r>
  <r>
    <x v="68"/>
    <x v="68"/>
    <s v="Nitrous oxide"/>
    <s v="kg/2018 USD, purchaser price"/>
    <n v="0"/>
    <n v="0"/>
    <n v="0"/>
    <n v="0"/>
    <n v="0"/>
    <n v="0"/>
  </r>
  <r>
    <x v="68"/>
    <x v="68"/>
    <s v="other GHGs"/>
    <s v="kg CO2e/2018 USD, purchaser price"/>
    <n v="6.0000000000000001E-3"/>
    <n v="6.0000000000000001E-3"/>
    <n v="0"/>
    <n v="0"/>
    <n v="6.0000000000000001E-3"/>
    <n v="6.0000000000000001E-3"/>
  </r>
  <r>
    <x v="69"/>
    <x v="69"/>
    <s v="Carbon dioxide"/>
    <s v="kg/2018 USD, purchaser price"/>
    <n v="0.127"/>
    <n v="0.127"/>
    <n v="0.108"/>
    <n v="0.108"/>
    <n v="0.23499999999999999"/>
    <n v="0.23499999999999999"/>
  </r>
  <r>
    <x v="69"/>
    <x v="69"/>
    <s v="Methane"/>
    <s v="kg/2018 USD, purchaser price"/>
    <n v="0"/>
    <n v="0"/>
    <n v="1E-3"/>
    <n v="2.8000000000000001E-2"/>
    <n v="1E-3"/>
    <n v="2.8000000000000001E-2"/>
  </r>
  <r>
    <x v="69"/>
    <x v="69"/>
    <s v="Nitrous oxide"/>
    <s v="kg/2018 USD, purchaser price"/>
    <n v="0"/>
    <n v="0"/>
    <n v="0"/>
    <n v="0"/>
    <n v="0"/>
    <n v="0"/>
  </r>
  <r>
    <x v="69"/>
    <x v="69"/>
    <s v="other GHGs"/>
    <s v="kg CO2e/2018 USD, purchaser price"/>
    <n v="7.0000000000000001E-3"/>
    <n v="7.0000000000000001E-3"/>
    <n v="0"/>
    <n v="0"/>
    <n v="7.0000000000000001E-3"/>
    <n v="7.0000000000000001E-3"/>
  </r>
  <r>
    <x v="70"/>
    <x v="70"/>
    <s v="Carbon dioxide"/>
    <s v="kg/2018 USD, purchaser price"/>
    <n v="0.19400000000000001"/>
    <n v="0.19400000000000001"/>
    <n v="8.1000000000000003E-2"/>
    <n v="8.1000000000000003E-2"/>
    <n v="0.27400000000000002"/>
    <n v="0.27400000000000002"/>
  </r>
  <r>
    <x v="70"/>
    <x v="70"/>
    <s v="Methane"/>
    <s v="kg/2018 USD, purchaser price"/>
    <n v="1E-3"/>
    <n v="2.8000000000000001E-2"/>
    <n v="0"/>
    <n v="0"/>
    <n v="1E-3"/>
    <n v="2.8000000000000001E-2"/>
  </r>
  <r>
    <x v="70"/>
    <x v="70"/>
    <s v="Nitrous oxide"/>
    <s v="kg/2018 USD, purchaser price"/>
    <n v="0"/>
    <n v="0"/>
    <n v="0"/>
    <n v="0"/>
    <n v="0"/>
    <n v="0"/>
  </r>
  <r>
    <x v="70"/>
    <x v="70"/>
    <s v="other GHGs"/>
    <s v="kg CO2e/2018 USD, purchaser price"/>
    <n v="8.9999999999999993E-3"/>
    <n v="8.9999999999999993E-3"/>
    <n v="0"/>
    <n v="0"/>
    <n v="8.9999999999999993E-3"/>
    <n v="8.9999999999999993E-3"/>
  </r>
  <r>
    <x v="71"/>
    <x v="71"/>
    <s v="Carbon dioxide"/>
    <s v="kg/2018 USD, purchaser price"/>
    <n v="5.8000000000000003E-2"/>
    <n v="5.8000000000000003E-2"/>
    <n v="0.10299999999999999"/>
    <n v="0.10299999999999999"/>
    <n v="0.16"/>
    <n v="0.16"/>
  </r>
  <r>
    <x v="71"/>
    <x v="71"/>
    <s v="Methane"/>
    <s v="kg/2018 USD, purchaser price"/>
    <n v="0"/>
    <n v="0"/>
    <n v="0"/>
    <n v="0"/>
    <n v="1E-3"/>
    <n v="2.8000000000000001E-2"/>
  </r>
  <r>
    <x v="71"/>
    <x v="71"/>
    <s v="Nitrous oxide"/>
    <s v="kg/2018 USD, purchaser price"/>
    <n v="0"/>
    <n v="0"/>
    <n v="0"/>
    <n v="0"/>
    <n v="0"/>
    <n v="0"/>
  </r>
  <r>
    <x v="71"/>
    <x v="71"/>
    <s v="other GHGs"/>
    <s v="kg CO2e/2018 USD, purchaser price"/>
    <n v="2E-3"/>
    <n v="2E-3"/>
    <n v="0"/>
    <n v="0"/>
    <n v="2E-3"/>
    <n v="2E-3"/>
  </r>
  <r>
    <x v="72"/>
    <x v="72"/>
    <s v="Carbon dioxide"/>
    <s v="kg/2018 USD, purchaser price"/>
    <n v="9.6000000000000002E-2"/>
    <n v="9.6000000000000002E-2"/>
    <n v="9.9000000000000005E-2"/>
    <n v="9.9000000000000005E-2"/>
    <n v="0.19500000000000001"/>
    <n v="0.19500000000000001"/>
  </r>
  <r>
    <x v="72"/>
    <x v="72"/>
    <s v="Methane"/>
    <s v="kg/2018 USD, purchaser price"/>
    <n v="3.0000000000000001E-3"/>
    <n v="8.4000000000000005E-2"/>
    <n v="0"/>
    <n v="0"/>
    <n v="3.0000000000000001E-3"/>
    <n v="8.4000000000000005E-2"/>
  </r>
  <r>
    <x v="72"/>
    <x v="72"/>
    <s v="Nitrous oxide"/>
    <s v="kg/2018 USD, purchaser price"/>
    <n v="0"/>
    <n v="0"/>
    <n v="0"/>
    <n v="0"/>
    <n v="0"/>
    <n v="0"/>
  </r>
  <r>
    <x v="72"/>
    <x v="72"/>
    <s v="other GHGs"/>
    <s v="kg CO2e/2018 USD, purchaser price"/>
    <n v="4.0000000000000001E-3"/>
    <n v="4.0000000000000001E-3"/>
    <n v="0"/>
    <n v="0"/>
    <n v="4.0000000000000001E-3"/>
    <n v="4.0000000000000001E-3"/>
  </r>
  <r>
    <x v="73"/>
    <x v="73"/>
    <s v="Carbon dioxide"/>
    <s v="kg/2018 USD, purchaser price"/>
    <n v="0.23599999999999999"/>
    <n v="0.23599999999999999"/>
    <n v="4.4999999999999998E-2"/>
    <n v="4.4999999999999998E-2"/>
    <n v="0.28100000000000003"/>
    <n v="0.28100000000000003"/>
  </r>
  <r>
    <x v="73"/>
    <x v="73"/>
    <s v="Methane"/>
    <s v="kg/2018 USD, purchaser price"/>
    <n v="1E-3"/>
    <n v="2.8000000000000001E-2"/>
    <n v="0"/>
    <n v="0"/>
    <n v="1E-3"/>
    <n v="2.8000000000000001E-2"/>
  </r>
  <r>
    <x v="73"/>
    <x v="73"/>
    <s v="Nitrous oxide"/>
    <s v="kg/2018 USD, purchaser price"/>
    <n v="0"/>
    <n v="0"/>
    <n v="0"/>
    <n v="0"/>
    <n v="0"/>
    <n v="0"/>
  </r>
  <r>
    <x v="73"/>
    <x v="73"/>
    <s v="other GHGs"/>
    <s v="kg CO2e/2018 USD, purchaser price"/>
    <n v="6.0000000000000001E-3"/>
    <n v="6.0000000000000001E-3"/>
    <n v="0"/>
    <n v="0"/>
    <n v="6.0000000000000001E-3"/>
    <n v="6.0000000000000001E-3"/>
  </r>
  <r>
    <x v="74"/>
    <x v="74"/>
    <s v="Carbon dioxide"/>
    <s v="kg/2018 USD, purchaser price"/>
    <n v="0.311"/>
    <n v="0.311"/>
    <n v="4.3999999999999997E-2"/>
    <n v="4.3999999999999997E-2"/>
    <n v="0.35499999999999998"/>
    <n v="0.35499999999999998"/>
  </r>
  <r>
    <x v="74"/>
    <x v="74"/>
    <s v="Methane"/>
    <s v="kg/2018 USD, purchaser price"/>
    <n v="1E-3"/>
    <n v="2.8000000000000001E-2"/>
    <n v="0"/>
    <n v="0"/>
    <n v="1E-3"/>
    <n v="2.8000000000000001E-2"/>
  </r>
  <r>
    <x v="74"/>
    <x v="74"/>
    <s v="Nitrous oxide"/>
    <s v="kg/2018 USD, purchaser price"/>
    <n v="0"/>
    <n v="0"/>
    <n v="0"/>
    <n v="0"/>
    <n v="0"/>
    <n v="0"/>
  </r>
  <r>
    <x v="74"/>
    <x v="74"/>
    <s v="other GHGs"/>
    <s v="kg CO2e/2018 USD, purchaser price"/>
    <n v="5.0000000000000001E-3"/>
    <n v="5.0000000000000001E-3"/>
    <n v="0"/>
    <n v="0"/>
    <n v="5.0000000000000001E-3"/>
    <n v="5.0000000000000001E-3"/>
  </r>
  <r>
    <x v="75"/>
    <x v="75"/>
    <s v="Carbon dioxide"/>
    <s v="kg/2018 USD, purchaser price"/>
    <n v="0.17699999999999999"/>
    <n v="0.17699999999999999"/>
    <n v="5.5E-2"/>
    <n v="5.5E-2"/>
    <n v="0.23100000000000001"/>
    <n v="0.23100000000000001"/>
  </r>
  <r>
    <x v="75"/>
    <x v="75"/>
    <s v="Methane"/>
    <s v="kg/2018 USD, purchaser price"/>
    <n v="1E-3"/>
    <n v="2.8000000000000001E-2"/>
    <n v="0"/>
    <n v="0"/>
    <n v="1E-3"/>
    <n v="2.8000000000000001E-2"/>
  </r>
  <r>
    <x v="75"/>
    <x v="75"/>
    <s v="Nitrous oxide"/>
    <s v="kg/2018 USD, purchaser price"/>
    <n v="0"/>
    <n v="0"/>
    <n v="0"/>
    <n v="0"/>
    <n v="0"/>
    <n v="0"/>
  </r>
  <r>
    <x v="75"/>
    <x v="75"/>
    <s v="other GHGs"/>
    <s v="kg CO2e/2018 USD, purchaser price"/>
    <n v="1.9E-2"/>
    <n v="1.9E-2"/>
    <n v="0"/>
    <n v="0"/>
    <n v="1.9E-2"/>
    <n v="1.9E-2"/>
  </r>
  <r>
    <x v="76"/>
    <x v="76"/>
    <s v="Carbon dioxide"/>
    <s v="kg/2018 USD, purchaser price"/>
    <n v="0.19800000000000001"/>
    <n v="0.19800000000000001"/>
    <n v="5.8999999999999997E-2"/>
    <n v="5.8999999999999997E-2"/>
    <n v="0.25700000000000001"/>
    <n v="0.25700000000000001"/>
  </r>
  <r>
    <x v="76"/>
    <x v="76"/>
    <s v="Methane"/>
    <s v="kg/2018 USD, purchaser price"/>
    <n v="1E-3"/>
    <n v="2.8000000000000001E-2"/>
    <n v="0"/>
    <n v="0"/>
    <n v="1E-3"/>
    <n v="2.8000000000000001E-2"/>
  </r>
  <r>
    <x v="76"/>
    <x v="76"/>
    <s v="Nitrous oxide"/>
    <s v="kg/2018 USD, purchaser price"/>
    <n v="0"/>
    <n v="0"/>
    <n v="0"/>
    <n v="0"/>
    <n v="0"/>
    <n v="0"/>
  </r>
  <r>
    <x v="76"/>
    <x v="76"/>
    <s v="other GHGs"/>
    <s v="kg CO2e/2018 USD, purchaser price"/>
    <n v="1.7000000000000001E-2"/>
    <n v="1.7000000000000001E-2"/>
    <n v="0"/>
    <n v="0"/>
    <n v="1.7000000000000001E-2"/>
    <n v="1.7000000000000001E-2"/>
  </r>
  <r>
    <x v="77"/>
    <x v="77"/>
    <s v="Carbon dioxide"/>
    <s v="kg/2018 USD, purchaser price"/>
    <n v="0.66400000000000003"/>
    <n v="0.66400000000000003"/>
    <n v="4.2000000000000003E-2"/>
    <n v="4.2000000000000003E-2"/>
    <n v="0.70599999999999996"/>
    <n v="0.70599999999999996"/>
  </r>
  <r>
    <x v="77"/>
    <x v="77"/>
    <s v="Methane"/>
    <s v="kg/2018 USD, purchaser price"/>
    <n v="3.0000000000000001E-3"/>
    <n v="8.4000000000000005E-2"/>
    <n v="0"/>
    <n v="0"/>
    <n v="3.0000000000000001E-3"/>
    <n v="8.4000000000000005E-2"/>
  </r>
  <r>
    <x v="77"/>
    <x v="77"/>
    <s v="Nitrous oxide"/>
    <s v="kg/2018 USD, purchaser price"/>
    <n v="0"/>
    <n v="0"/>
    <n v="0"/>
    <n v="0"/>
    <n v="0"/>
    <n v="0"/>
  </r>
  <r>
    <x v="77"/>
    <x v="77"/>
    <s v="other GHGs"/>
    <s v="kg CO2e/2018 USD, purchaser price"/>
    <n v="5.0000000000000001E-3"/>
    <n v="5.0000000000000001E-3"/>
    <n v="0"/>
    <n v="0"/>
    <n v="5.0000000000000001E-3"/>
    <n v="5.0000000000000001E-3"/>
  </r>
  <r>
    <x v="78"/>
    <x v="78"/>
    <s v="Carbon dioxide"/>
    <s v="kg/2018 USD, purchaser price"/>
    <n v="0.66800000000000004"/>
    <n v="0.66800000000000004"/>
    <n v="6.5000000000000002E-2"/>
    <n v="6.5000000000000002E-2"/>
    <n v="0.73299999999999998"/>
    <n v="0.73299999999999998"/>
  </r>
  <r>
    <x v="78"/>
    <x v="78"/>
    <s v="Methane"/>
    <s v="kg/2018 USD, purchaser price"/>
    <n v="2E-3"/>
    <n v="5.6000000000000001E-2"/>
    <n v="0"/>
    <n v="0"/>
    <n v="2E-3"/>
    <n v="5.6000000000000001E-2"/>
  </r>
  <r>
    <x v="78"/>
    <x v="78"/>
    <s v="Nitrous oxide"/>
    <s v="kg/2018 USD, purchaser price"/>
    <n v="0"/>
    <n v="0"/>
    <n v="0"/>
    <n v="0"/>
    <n v="0"/>
    <n v="0"/>
  </r>
  <r>
    <x v="78"/>
    <x v="78"/>
    <s v="other GHGs"/>
    <s v="kg CO2e/2018 USD, purchaser price"/>
    <n v="5.0000000000000001E-3"/>
    <n v="5.0000000000000001E-3"/>
    <n v="0"/>
    <n v="0"/>
    <n v="5.0000000000000001E-3"/>
    <n v="5.0000000000000001E-3"/>
  </r>
  <r>
    <x v="79"/>
    <x v="79"/>
    <s v="Carbon dioxide"/>
    <s v="kg/2018 USD, purchaser price"/>
    <n v="0.751"/>
    <n v="0.751"/>
    <n v="0.05"/>
    <n v="0.05"/>
    <n v="0.80100000000000005"/>
    <n v="0.80100000000000005"/>
  </r>
  <r>
    <x v="79"/>
    <x v="79"/>
    <s v="Methane"/>
    <s v="kg/2018 USD, purchaser price"/>
    <n v="2E-3"/>
    <n v="5.6000000000000001E-2"/>
    <n v="1E-3"/>
    <n v="2.8000000000000001E-2"/>
    <n v="3.0000000000000001E-3"/>
    <n v="8.4000000000000005E-2"/>
  </r>
  <r>
    <x v="79"/>
    <x v="79"/>
    <s v="Nitrous oxide"/>
    <s v="kg/2018 USD, purchaser price"/>
    <n v="0"/>
    <n v="0"/>
    <n v="0"/>
    <n v="0"/>
    <n v="0"/>
    <n v="0"/>
  </r>
  <r>
    <x v="79"/>
    <x v="79"/>
    <s v="other GHGs"/>
    <s v="kg CO2e/2018 USD, purchaser price"/>
    <n v="5.0000000000000001E-3"/>
    <n v="5.0000000000000001E-3"/>
    <n v="0"/>
    <n v="0"/>
    <n v="5.0000000000000001E-3"/>
    <n v="5.0000000000000001E-3"/>
  </r>
  <r>
    <x v="80"/>
    <x v="80"/>
    <s v="Carbon dioxide"/>
    <s v="kg/2018 USD, purchaser price"/>
    <n v="0.47899999999999998"/>
    <n v="0.47899999999999998"/>
    <n v="3.1E-2"/>
    <n v="3.1E-2"/>
    <n v="0.51100000000000001"/>
    <n v="0.51100000000000001"/>
  </r>
  <r>
    <x v="80"/>
    <x v="80"/>
    <s v="Methane"/>
    <s v="kg/2018 USD, purchaser price"/>
    <n v="2E-3"/>
    <n v="5.6000000000000001E-2"/>
    <n v="0"/>
    <n v="0"/>
    <n v="2E-3"/>
    <n v="5.6000000000000001E-2"/>
  </r>
  <r>
    <x v="80"/>
    <x v="80"/>
    <s v="Nitrous oxide"/>
    <s v="kg/2018 USD, purchaser price"/>
    <n v="0"/>
    <n v="0"/>
    <n v="0"/>
    <n v="0"/>
    <n v="0"/>
    <n v="0"/>
  </r>
  <r>
    <x v="80"/>
    <x v="80"/>
    <s v="other GHGs"/>
    <s v="kg CO2e/2018 USD, purchaser price"/>
    <n v="6.0000000000000001E-3"/>
    <n v="6.0000000000000001E-3"/>
    <n v="0"/>
    <n v="0"/>
    <n v="6.0000000000000001E-3"/>
    <n v="6.0000000000000001E-3"/>
  </r>
  <r>
    <x v="81"/>
    <x v="81"/>
    <s v="Carbon dioxide"/>
    <s v="kg/2018 USD, purchaser price"/>
    <n v="0.502"/>
    <n v="0.502"/>
    <n v="5.1999999999999998E-2"/>
    <n v="5.1999999999999998E-2"/>
    <n v="0.55400000000000005"/>
    <n v="0.55400000000000005"/>
  </r>
  <r>
    <x v="81"/>
    <x v="81"/>
    <s v="Methane"/>
    <s v="kg/2018 USD, purchaser price"/>
    <n v="1E-3"/>
    <n v="2.8000000000000001E-2"/>
    <n v="0"/>
    <n v="0"/>
    <n v="2E-3"/>
    <n v="5.6000000000000001E-2"/>
  </r>
  <r>
    <x v="81"/>
    <x v="81"/>
    <s v="Nitrous oxide"/>
    <s v="kg/2018 USD, purchaser price"/>
    <n v="0"/>
    <n v="0"/>
    <n v="0"/>
    <n v="0"/>
    <n v="0"/>
    <n v="0"/>
  </r>
  <r>
    <x v="81"/>
    <x v="81"/>
    <s v="other GHGs"/>
    <s v="kg CO2e/2018 USD, purchaser price"/>
    <n v="6.0000000000000001E-3"/>
    <n v="6.0000000000000001E-3"/>
    <n v="0"/>
    <n v="0"/>
    <n v="6.0000000000000001E-3"/>
    <n v="6.0000000000000001E-3"/>
  </r>
  <r>
    <x v="82"/>
    <x v="82"/>
    <s v="Carbon dioxide"/>
    <s v="kg/2018 USD, purchaser price"/>
    <n v="0.38600000000000001"/>
    <n v="0.38600000000000001"/>
    <n v="4.2000000000000003E-2"/>
    <n v="4.2000000000000003E-2"/>
    <n v="0.42899999999999999"/>
    <n v="0.42899999999999999"/>
  </r>
  <r>
    <x v="82"/>
    <x v="82"/>
    <s v="Methane"/>
    <s v="kg/2018 USD, purchaser price"/>
    <n v="1E-3"/>
    <n v="2.8000000000000001E-2"/>
    <n v="0"/>
    <n v="0"/>
    <n v="2E-3"/>
    <n v="5.6000000000000001E-2"/>
  </r>
  <r>
    <x v="82"/>
    <x v="82"/>
    <s v="Nitrous oxide"/>
    <s v="kg/2018 USD, purchaser price"/>
    <n v="0"/>
    <n v="0"/>
    <n v="0"/>
    <n v="0"/>
    <n v="0"/>
    <n v="0"/>
  </r>
  <r>
    <x v="82"/>
    <x v="82"/>
    <s v="other GHGs"/>
    <s v="kg CO2e/2018 USD, purchaser price"/>
    <n v="5.0000000000000001E-3"/>
    <n v="5.0000000000000001E-3"/>
    <n v="0"/>
    <n v="0"/>
    <n v="5.0000000000000001E-3"/>
    <n v="5.0000000000000001E-3"/>
  </r>
  <r>
    <x v="83"/>
    <x v="83"/>
    <s v="Carbon dioxide"/>
    <s v="kg/2018 USD, purchaser price"/>
    <n v="0.33300000000000002"/>
    <n v="0.33300000000000002"/>
    <n v="0.11"/>
    <n v="0.11"/>
    <n v="0.443"/>
    <n v="0.443"/>
  </r>
  <r>
    <x v="83"/>
    <x v="83"/>
    <s v="Methane"/>
    <s v="kg/2018 USD, purchaser price"/>
    <n v="1E-3"/>
    <n v="2.8000000000000001E-2"/>
    <n v="1E-3"/>
    <n v="2.8000000000000001E-2"/>
    <n v="2E-3"/>
    <n v="5.6000000000000001E-2"/>
  </r>
  <r>
    <x v="83"/>
    <x v="83"/>
    <s v="Nitrous oxide"/>
    <s v="kg/2018 USD, purchaser price"/>
    <n v="0"/>
    <n v="0"/>
    <n v="0"/>
    <n v="0"/>
    <n v="0"/>
    <n v="0"/>
  </r>
  <r>
    <x v="83"/>
    <x v="83"/>
    <s v="other GHGs"/>
    <s v="kg CO2e/2018 USD, purchaser price"/>
    <n v="5.0000000000000001E-3"/>
    <n v="5.0000000000000001E-3"/>
    <n v="0"/>
    <n v="0"/>
    <n v="5.0000000000000001E-3"/>
    <n v="5.0000000000000001E-3"/>
  </r>
  <r>
    <x v="84"/>
    <x v="84"/>
    <s v="Carbon dioxide"/>
    <s v="kg/2018 USD, purchaser price"/>
    <n v="0.434"/>
    <n v="0.434"/>
    <n v="5.3999999999999999E-2"/>
    <n v="5.3999999999999999E-2"/>
    <n v="0.48799999999999999"/>
    <n v="0.48799999999999999"/>
  </r>
  <r>
    <x v="84"/>
    <x v="84"/>
    <s v="Methane"/>
    <s v="kg/2018 USD, purchaser price"/>
    <n v="1E-3"/>
    <n v="2.8000000000000001E-2"/>
    <n v="0"/>
    <n v="0"/>
    <n v="2E-3"/>
    <n v="5.6000000000000001E-2"/>
  </r>
  <r>
    <x v="84"/>
    <x v="84"/>
    <s v="Nitrous oxide"/>
    <s v="kg/2018 USD, purchaser price"/>
    <n v="0"/>
    <n v="0"/>
    <n v="0"/>
    <n v="0"/>
    <n v="0"/>
    <n v="0"/>
  </r>
  <r>
    <x v="84"/>
    <x v="84"/>
    <s v="other GHGs"/>
    <s v="kg CO2e/2018 USD, purchaser price"/>
    <n v="5.0000000000000001E-3"/>
    <n v="5.0000000000000001E-3"/>
    <n v="0"/>
    <n v="0"/>
    <n v="5.0000000000000001E-3"/>
    <n v="5.0000000000000001E-3"/>
  </r>
  <r>
    <x v="85"/>
    <x v="85"/>
    <s v="Carbon dioxide"/>
    <s v="kg/2018 USD, purchaser price"/>
    <n v="0.29799999999999999"/>
    <n v="0.29799999999999999"/>
    <n v="4.9000000000000002E-2"/>
    <n v="4.9000000000000002E-2"/>
    <n v="0.34699999999999998"/>
    <n v="0.34699999999999998"/>
  </r>
  <r>
    <x v="85"/>
    <x v="85"/>
    <s v="Methane"/>
    <s v="kg/2018 USD, purchaser price"/>
    <n v="1E-3"/>
    <n v="2.8000000000000001E-2"/>
    <n v="0"/>
    <n v="0"/>
    <n v="1E-3"/>
    <n v="2.8000000000000001E-2"/>
  </r>
  <r>
    <x v="85"/>
    <x v="85"/>
    <s v="Nitrous oxide"/>
    <s v="kg/2018 USD, purchaser price"/>
    <n v="0"/>
    <n v="0"/>
    <n v="0"/>
    <n v="0"/>
    <n v="0"/>
    <n v="0"/>
  </r>
  <r>
    <x v="85"/>
    <x v="85"/>
    <s v="other GHGs"/>
    <s v="kg CO2e/2018 USD, purchaser price"/>
    <n v="4.0000000000000001E-3"/>
    <n v="4.0000000000000001E-3"/>
    <n v="0"/>
    <n v="0"/>
    <n v="4.0000000000000001E-3"/>
    <n v="4.0000000000000001E-3"/>
  </r>
  <r>
    <x v="86"/>
    <x v="86"/>
    <s v="Carbon dioxide"/>
    <s v="kg/2018 USD, purchaser price"/>
    <n v="0.245"/>
    <n v="0.245"/>
    <n v="2.7E-2"/>
    <n v="2.7E-2"/>
    <n v="0.27200000000000002"/>
    <n v="0.27200000000000002"/>
  </r>
  <r>
    <x v="86"/>
    <x v="86"/>
    <s v="Methane"/>
    <s v="kg/2018 USD, purchaser price"/>
    <n v="1E-3"/>
    <n v="2.8000000000000001E-2"/>
    <n v="0"/>
    <n v="0"/>
    <n v="1E-3"/>
    <n v="2.8000000000000001E-2"/>
  </r>
  <r>
    <x v="86"/>
    <x v="86"/>
    <s v="Nitrous oxide"/>
    <s v="kg/2018 USD, purchaser price"/>
    <n v="0"/>
    <n v="0"/>
    <n v="0"/>
    <n v="0"/>
    <n v="0"/>
    <n v="0"/>
  </r>
  <r>
    <x v="86"/>
    <x v="86"/>
    <s v="other GHGs"/>
    <s v="kg CO2e/2018 USD, purchaser price"/>
    <n v="3.0000000000000001E-3"/>
    <n v="3.0000000000000001E-3"/>
    <n v="0"/>
    <n v="0"/>
    <n v="3.0000000000000001E-3"/>
    <n v="3.0000000000000001E-3"/>
  </r>
  <r>
    <x v="87"/>
    <x v="87"/>
    <s v="Carbon dioxide"/>
    <s v="kg/2018 USD, purchaser price"/>
    <n v="0.60299999999999998"/>
    <n v="0.60299999999999998"/>
    <n v="6.7000000000000004E-2"/>
    <n v="6.7000000000000004E-2"/>
    <n v="0.66900000000000004"/>
    <n v="0.66900000000000004"/>
  </r>
  <r>
    <x v="87"/>
    <x v="87"/>
    <s v="Methane"/>
    <s v="kg/2018 USD, purchaser price"/>
    <n v="1.6E-2"/>
    <n v="0.44800000000000001"/>
    <n v="0"/>
    <n v="0"/>
    <n v="1.6E-2"/>
    <n v="0.44800000000000001"/>
  </r>
  <r>
    <x v="87"/>
    <x v="87"/>
    <s v="Nitrous oxide"/>
    <s v="kg/2018 USD, purchaser price"/>
    <n v="0"/>
    <n v="0"/>
    <n v="0"/>
    <n v="0"/>
    <n v="0"/>
    <n v="0"/>
  </r>
  <r>
    <x v="87"/>
    <x v="87"/>
    <s v="other GHGs"/>
    <s v="kg CO2e/2018 USD, purchaser price"/>
    <n v="4.0000000000000001E-3"/>
    <n v="4.0000000000000001E-3"/>
    <n v="0"/>
    <n v="0"/>
    <n v="4.0000000000000001E-3"/>
    <n v="4.0000000000000001E-3"/>
  </r>
  <r>
    <x v="88"/>
    <x v="88"/>
    <s v="Carbon dioxide"/>
    <s v="kg/2018 USD, purchaser price"/>
    <n v="1.1000000000000001"/>
    <n v="1.1000000000000001"/>
    <n v="4.1000000000000002E-2"/>
    <n v="4.1000000000000002E-2"/>
    <n v="1.141"/>
    <n v="1.141"/>
  </r>
  <r>
    <x v="88"/>
    <x v="88"/>
    <s v="Methane"/>
    <s v="kg/2018 USD, purchaser price"/>
    <n v="6.0000000000000001E-3"/>
    <n v="0.16800000000000001"/>
    <n v="0"/>
    <n v="0"/>
    <n v="6.0000000000000001E-3"/>
    <n v="0.16800000000000001"/>
  </r>
  <r>
    <x v="88"/>
    <x v="88"/>
    <s v="Nitrous oxide"/>
    <s v="kg/2018 USD, purchaser price"/>
    <n v="0"/>
    <n v="0"/>
    <n v="0"/>
    <n v="0"/>
    <n v="0"/>
    <n v="0"/>
  </r>
  <r>
    <x v="88"/>
    <x v="88"/>
    <s v="other GHGs"/>
    <s v="kg CO2e/2018 USD, purchaser price"/>
    <n v="7.0000000000000001E-3"/>
    <n v="7.0000000000000001E-3"/>
    <n v="0"/>
    <n v="0"/>
    <n v="7.0000000000000001E-3"/>
    <n v="7.0000000000000001E-3"/>
  </r>
  <r>
    <x v="89"/>
    <x v="89"/>
    <s v="Carbon dioxide"/>
    <s v="kg/2018 USD, purchaser price"/>
    <n v="0.84699999999999998"/>
    <n v="0.84699999999999998"/>
    <n v="3.9E-2"/>
    <n v="3.9E-2"/>
    <n v="0.88500000000000001"/>
    <n v="0.88500000000000001"/>
  </r>
  <r>
    <x v="89"/>
    <x v="89"/>
    <s v="Methane"/>
    <s v="kg/2018 USD, purchaser price"/>
    <n v="4.0000000000000001E-3"/>
    <n v="0.112"/>
    <n v="0"/>
    <n v="0"/>
    <n v="5.0000000000000001E-3"/>
    <n v="0.14000000000000001"/>
  </r>
  <r>
    <x v="89"/>
    <x v="89"/>
    <s v="Nitrous oxide"/>
    <s v="kg/2018 USD, purchaser price"/>
    <n v="0"/>
    <n v="0"/>
    <n v="0"/>
    <n v="0"/>
    <n v="0"/>
    <n v="0"/>
  </r>
  <r>
    <x v="89"/>
    <x v="89"/>
    <s v="other GHGs"/>
    <s v="kg CO2e/2018 USD, purchaser price"/>
    <n v="4.0000000000000001E-3"/>
    <n v="4.0000000000000001E-3"/>
    <n v="0"/>
    <n v="0"/>
    <n v="4.0000000000000001E-3"/>
    <n v="4.0000000000000001E-3"/>
  </r>
  <r>
    <x v="90"/>
    <x v="90"/>
    <s v="Carbon dioxide"/>
    <s v="kg/2018 USD, purchaser price"/>
    <n v="0.64600000000000002"/>
    <n v="0.64600000000000002"/>
    <n v="6.8000000000000005E-2"/>
    <n v="6.8000000000000005E-2"/>
    <n v="0.71399999999999997"/>
    <n v="0.71399999999999997"/>
  </r>
  <r>
    <x v="90"/>
    <x v="90"/>
    <s v="Methane"/>
    <s v="kg/2018 USD, purchaser price"/>
    <n v="8.0000000000000002E-3"/>
    <n v="0.224"/>
    <n v="1E-3"/>
    <n v="2.8000000000000001E-2"/>
    <n v="8.9999999999999993E-3"/>
    <n v="0.252"/>
  </r>
  <r>
    <x v="90"/>
    <x v="90"/>
    <s v="Nitrous oxide"/>
    <s v="kg/2018 USD, purchaser price"/>
    <n v="0"/>
    <n v="0"/>
    <n v="0"/>
    <n v="0"/>
    <n v="0"/>
    <n v="0"/>
  </r>
  <r>
    <x v="90"/>
    <x v="90"/>
    <s v="other GHGs"/>
    <s v="kg CO2e/2018 USD, purchaser price"/>
    <n v="5.0000000000000001E-3"/>
    <n v="5.0000000000000001E-3"/>
    <n v="0"/>
    <n v="0"/>
    <n v="5.0000000000000001E-3"/>
    <n v="5.0000000000000001E-3"/>
  </r>
  <r>
    <x v="91"/>
    <x v="91"/>
    <s v="Carbon dioxide"/>
    <s v="kg/2018 USD, purchaser price"/>
    <n v="0.78200000000000003"/>
    <n v="0.78200000000000003"/>
    <n v="3.1E-2"/>
    <n v="3.1E-2"/>
    <n v="0.81200000000000006"/>
    <n v="0.81200000000000006"/>
  </r>
  <r>
    <x v="91"/>
    <x v="91"/>
    <s v="Methane"/>
    <s v="kg/2018 USD, purchaser price"/>
    <n v="8.9999999999999993E-3"/>
    <n v="0.252"/>
    <n v="0"/>
    <n v="0"/>
    <n v="8.9999999999999993E-3"/>
    <n v="0.252"/>
  </r>
  <r>
    <x v="91"/>
    <x v="91"/>
    <s v="Nitrous oxide"/>
    <s v="kg/2018 USD, purchaser price"/>
    <n v="0"/>
    <n v="0"/>
    <n v="0"/>
    <n v="0"/>
    <n v="0"/>
    <n v="0"/>
  </r>
  <r>
    <x v="91"/>
    <x v="91"/>
    <s v="other GHGs"/>
    <s v="kg CO2e/2018 USD, purchaser price"/>
    <n v="4.0000000000000001E-3"/>
    <n v="4.0000000000000001E-3"/>
    <n v="0"/>
    <n v="0"/>
    <n v="4.0000000000000001E-3"/>
    <n v="4.0000000000000001E-3"/>
  </r>
  <r>
    <x v="92"/>
    <x v="92"/>
    <s v="Carbon dioxide"/>
    <s v="kg/2018 USD, purchaser price"/>
    <n v="0.95899999999999996"/>
    <n v="0.95899999999999996"/>
    <n v="8.4000000000000005E-2"/>
    <n v="8.4000000000000005E-2"/>
    <n v="1.0429999999999999"/>
    <n v="1.0429999999999999"/>
  </r>
  <r>
    <x v="92"/>
    <x v="92"/>
    <s v="Methane"/>
    <s v="kg/2018 USD, purchaser price"/>
    <n v="3.0000000000000001E-3"/>
    <n v="8.4000000000000005E-2"/>
    <n v="1E-3"/>
    <n v="2.8000000000000001E-2"/>
    <n v="3.0000000000000001E-3"/>
    <n v="8.4000000000000005E-2"/>
  </r>
  <r>
    <x v="92"/>
    <x v="92"/>
    <s v="Nitrous oxide"/>
    <s v="kg/2018 USD, purchaser price"/>
    <n v="0"/>
    <n v="0"/>
    <n v="0"/>
    <n v="0"/>
    <n v="0"/>
    <n v="0"/>
  </r>
  <r>
    <x v="92"/>
    <x v="92"/>
    <s v="other GHGs"/>
    <s v="kg CO2e/2018 USD, purchaser price"/>
    <n v="0.29899999999999999"/>
    <n v="0.29899999999999999"/>
    <n v="0"/>
    <n v="0"/>
    <n v="0.29899999999999999"/>
    <n v="0.29899999999999999"/>
  </r>
  <r>
    <x v="93"/>
    <x v="93"/>
    <s v="Carbon dioxide"/>
    <s v="kg/2018 USD, purchaser price"/>
    <n v="1.6850000000000001"/>
    <n v="1.6850000000000001"/>
    <n v="5.7000000000000002E-2"/>
    <n v="5.7000000000000002E-2"/>
    <n v="1.742"/>
    <n v="1.742"/>
  </r>
  <r>
    <x v="93"/>
    <x v="93"/>
    <s v="Methane"/>
    <s v="kg/2018 USD, purchaser price"/>
    <n v="3.0000000000000001E-3"/>
    <n v="8.4000000000000005E-2"/>
    <n v="1E-3"/>
    <n v="2.8000000000000001E-2"/>
    <n v="4.0000000000000001E-3"/>
    <n v="0.112"/>
  </r>
  <r>
    <x v="93"/>
    <x v="93"/>
    <s v="Nitrous oxide"/>
    <s v="kg/2018 USD, purchaser price"/>
    <n v="0"/>
    <n v="0"/>
    <n v="0"/>
    <n v="0"/>
    <n v="0"/>
    <n v="0"/>
  </r>
  <r>
    <x v="93"/>
    <x v="93"/>
    <s v="other GHGs"/>
    <s v="kg CO2e/2018 USD, purchaser price"/>
    <n v="6.0000000000000001E-3"/>
    <n v="6.0000000000000001E-3"/>
    <n v="0"/>
    <n v="0"/>
    <n v="6.0000000000000001E-3"/>
    <n v="6.0000000000000001E-3"/>
  </r>
  <r>
    <x v="94"/>
    <x v="94"/>
    <s v="Carbon dioxide"/>
    <s v="kg/2018 USD, purchaser price"/>
    <n v="0.61899999999999999"/>
    <n v="0.61899999999999999"/>
    <n v="5.7000000000000002E-2"/>
    <n v="5.7000000000000002E-2"/>
    <n v="0.67600000000000005"/>
    <n v="0.67600000000000005"/>
  </r>
  <r>
    <x v="94"/>
    <x v="94"/>
    <s v="Methane"/>
    <s v="kg/2018 USD, purchaser price"/>
    <n v="2E-3"/>
    <n v="5.6000000000000001E-2"/>
    <n v="1E-3"/>
    <n v="2.8000000000000001E-2"/>
    <n v="3.0000000000000001E-3"/>
    <n v="8.4000000000000005E-2"/>
  </r>
  <r>
    <x v="94"/>
    <x v="94"/>
    <s v="Nitrous oxide"/>
    <s v="kg/2018 USD, purchaser price"/>
    <n v="0"/>
    <n v="0"/>
    <n v="0"/>
    <n v="0"/>
    <n v="0"/>
    <n v="0"/>
  </r>
  <r>
    <x v="94"/>
    <x v="94"/>
    <s v="other GHGs"/>
    <s v="kg CO2e/2018 USD, purchaser price"/>
    <n v="7.0000000000000001E-3"/>
    <n v="7.0000000000000001E-3"/>
    <n v="0"/>
    <n v="0"/>
    <n v="7.0000000000000001E-3"/>
    <n v="7.0000000000000001E-3"/>
  </r>
  <r>
    <x v="95"/>
    <x v="95"/>
    <s v="Carbon dioxide"/>
    <s v="kg/2018 USD, purchaser price"/>
    <n v="1.196"/>
    <n v="1.196"/>
    <n v="0.03"/>
    <n v="0.03"/>
    <n v="1.226"/>
    <n v="1.226"/>
  </r>
  <r>
    <x v="95"/>
    <x v="95"/>
    <s v="Methane"/>
    <s v="kg/2018 USD, purchaser price"/>
    <n v="6.0000000000000001E-3"/>
    <n v="0.16800000000000001"/>
    <n v="0"/>
    <n v="0"/>
    <n v="6.0000000000000001E-3"/>
    <n v="0.16800000000000001"/>
  </r>
  <r>
    <x v="95"/>
    <x v="95"/>
    <s v="Nitrous oxide"/>
    <s v="kg/2018 USD, purchaser price"/>
    <n v="1E-3"/>
    <n v="0.26500000000000001"/>
    <n v="0"/>
    <n v="0"/>
    <n v="1E-3"/>
    <n v="0.26500000000000001"/>
  </r>
  <r>
    <x v="95"/>
    <x v="95"/>
    <s v="other GHGs"/>
    <s v="kg CO2e/2018 USD, purchaser price"/>
    <n v="6.0000000000000001E-3"/>
    <n v="6.0000000000000001E-3"/>
    <n v="0"/>
    <n v="0"/>
    <n v="6.0000000000000001E-3"/>
    <n v="6.0000000000000001E-3"/>
  </r>
  <r>
    <x v="96"/>
    <x v="96"/>
    <s v="Carbon dioxide"/>
    <s v="kg/2018 USD, purchaser price"/>
    <n v="1.3779999999999999"/>
    <n v="1.3779999999999999"/>
    <n v="3.2000000000000001E-2"/>
    <n v="3.2000000000000001E-2"/>
    <n v="1.41"/>
    <n v="1.41"/>
  </r>
  <r>
    <x v="96"/>
    <x v="96"/>
    <s v="Methane"/>
    <s v="kg/2018 USD, purchaser price"/>
    <n v="4.0000000000000001E-3"/>
    <n v="0.112"/>
    <n v="0"/>
    <n v="0"/>
    <n v="4.0000000000000001E-3"/>
    <n v="0.112"/>
  </r>
  <r>
    <x v="96"/>
    <x v="96"/>
    <s v="Nitrous oxide"/>
    <s v="kg/2018 USD, purchaser price"/>
    <n v="0"/>
    <n v="0"/>
    <n v="0"/>
    <n v="0"/>
    <n v="0"/>
    <n v="0"/>
  </r>
  <r>
    <x v="96"/>
    <x v="96"/>
    <s v="other GHGs"/>
    <s v="kg CO2e/2018 USD, purchaser price"/>
    <n v="6.0000000000000001E-3"/>
    <n v="6.0000000000000001E-3"/>
    <n v="0"/>
    <n v="0"/>
    <n v="6.0000000000000001E-3"/>
    <n v="6.0000000000000001E-3"/>
  </r>
  <r>
    <x v="97"/>
    <x v="97"/>
    <s v="Carbon dioxide"/>
    <s v="kg/2018 USD, purchaser price"/>
    <n v="1.0109999999999999"/>
    <n v="1.0109999999999999"/>
    <n v="2.1000000000000001E-2"/>
    <n v="2.1000000000000001E-2"/>
    <n v="1.0329999999999999"/>
    <n v="1.0329999999999999"/>
  </r>
  <r>
    <x v="97"/>
    <x v="97"/>
    <s v="Methane"/>
    <s v="kg/2018 USD, purchaser price"/>
    <n v="4.0000000000000001E-3"/>
    <n v="0.112"/>
    <n v="0"/>
    <n v="0"/>
    <n v="4.0000000000000001E-3"/>
    <n v="0.112"/>
  </r>
  <r>
    <x v="97"/>
    <x v="97"/>
    <s v="Nitrous oxide"/>
    <s v="kg/2018 USD, purchaser price"/>
    <n v="0"/>
    <n v="0"/>
    <n v="0"/>
    <n v="0"/>
    <n v="0"/>
    <n v="0"/>
  </r>
  <r>
    <x v="97"/>
    <x v="97"/>
    <s v="other GHGs"/>
    <s v="kg CO2e/2018 USD, purchaser price"/>
    <n v="5.0000000000000001E-3"/>
    <n v="5.0000000000000001E-3"/>
    <n v="0"/>
    <n v="0"/>
    <n v="5.0000000000000001E-3"/>
    <n v="5.0000000000000001E-3"/>
  </r>
  <r>
    <x v="98"/>
    <x v="98"/>
    <s v="Carbon dioxide"/>
    <s v="kg/2018 USD, purchaser price"/>
    <n v="1.6160000000000001"/>
    <n v="1.6160000000000001"/>
    <n v="8.8999999999999996E-2"/>
    <n v="8.8999999999999996E-2"/>
    <n v="1.7050000000000001"/>
    <n v="1.7050000000000001"/>
  </r>
  <r>
    <x v="98"/>
    <x v="98"/>
    <s v="Methane"/>
    <s v="kg/2018 USD, purchaser price"/>
    <n v="2E-3"/>
    <n v="5.6000000000000001E-2"/>
    <n v="1E-3"/>
    <n v="2.8000000000000001E-2"/>
    <n v="3.0000000000000001E-3"/>
    <n v="8.4000000000000005E-2"/>
  </r>
  <r>
    <x v="98"/>
    <x v="98"/>
    <s v="Nitrous oxide"/>
    <s v="kg/2018 USD, purchaser price"/>
    <n v="2E-3"/>
    <n v="0.53"/>
    <n v="0"/>
    <n v="0"/>
    <n v="2E-3"/>
    <n v="0.53"/>
  </r>
  <r>
    <x v="98"/>
    <x v="98"/>
    <s v="other GHGs"/>
    <s v="kg CO2e/2018 USD, purchaser price"/>
    <n v="4.0000000000000001E-3"/>
    <n v="4.0000000000000001E-3"/>
    <n v="0"/>
    <n v="0"/>
    <n v="4.0000000000000001E-3"/>
    <n v="4.0000000000000001E-3"/>
  </r>
  <r>
    <x v="99"/>
    <x v="99"/>
    <s v="Carbon dioxide"/>
    <s v="kg/2018 USD, purchaser price"/>
    <n v="0.438"/>
    <n v="0.438"/>
    <n v="5.0999999999999997E-2"/>
    <n v="5.0999999999999997E-2"/>
    <n v="0.48899999999999999"/>
    <n v="0.48899999999999999"/>
  </r>
  <r>
    <x v="99"/>
    <x v="99"/>
    <s v="Methane"/>
    <s v="kg/2018 USD, purchaser price"/>
    <n v="2E-3"/>
    <n v="5.6000000000000001E-2"/>
    <n v="0"/>
    <n v="0"/>
    <n v="2E-3"/>
    <n v="5.6000000000000001E-2"/>
  </r>
  <r>
    <x v="99"/>
    <x v="99"/>
    <s v="Nitrous oxide"/>
    <s v="kg/2018 USD, purchaser price"/>
    <n v="0"/>
    <n v="0"/>
    <n v="0"/>
    <n v="0"/>
    <n v="0"/>
    <n v="0"/>
  </r>
  <r>
    <x v="99"/>
    <x v="99"/>
    <s v="other GHGs"/>
    <s v="kg CO2e/2018 USD, purchaser price"/>
    <n v="7.0000000000000001E-3"/>
    <n v="7.0000000000000001E-3"/>
    <n v="0"/>
    <n v="0"/>
    <n v="7.0000000000000001E-3"/>
    <n v="7.0000000000000001E-3"/>
  </r>
  <r>
    <x v="100"/>
    <x v="100"/>
    <s v="Carbon dioxide"/>
    <s v="kg/2018 USD, purchaser price"/>
    <n v="0.41499999999999998"/>
    <n v="0.41499999999999998"/>
    <n v="4.1000000000000002E-2"/>
    <n v="4.1000000000000002E-2"/>
    <n v="0.45600000000000002"/>
    <n v="0.45600000000000002"/>
  </r>
  <r>
    <x v="100"/>
    <x v="100"/>
    <s v="Methane"/>
    <s v="kg/2018 USD, purchaser price"/>
    <n v="1E-3"/>
    <n v="2.8000000000000001E-2"/>
    <n v="0"/>
    <n v="0"/>
    <n v="1E-3"/>
    <n v="2.8000000000000001E-2"/>
  </r>
  <r>
    <x v="100"/>
    <x v="100"/>
    <s v="Nitrous oxide"/>
    <s v="kg/2018 USD, purchaser price"/>
    <n v="0"/>
    <n v="0"/>
    <n v="0"/>
    <n v="0"/>
    <n v="0"/>
    <n v="0"/>
  </r>
  <r>
    <x v="100"/>
    <x v="100"/>
    <s v="other GHGs"/>
    <s v="kg CO2e/2018 USD, purchaser price"/>
    <n v="3.0000000000000001E-3"/>
    <n v="3.0000000000000001E-3"/>
    <n v="0"/>
    <n v="0"/>
    <n v="3.0000000000000001E-3"/>
    <n v="3.0000000000000001E-3"/>
  </r>
  <r>
    <x v="101"/>
    <x v="101"/>
    <s v="Carbon dioxide"/>
    <s v="kg/2018 USD, purchaser price"/>
    <n v="5.3999999999999999E-2"/>
    <n v="5.3999999999999999E-2"/>
    <n v="5.5E-2"/>
    <n v="5.5E-2"/>
    <n v="0.109"/>
    <n v="0.109"/>
  </r>
  <r>
    <x v="101"/>
    <x v="101"/>
    <s v="Methane"/>
    <s v="kg/2018 USD, purchaser price"/>
    <n v="0"/>
    <n v="0"/>
    <n v="0"/>
    <n v="0"/>
    <n v="1E-3"/>
    <n v="2.8000000000000001E-2"/>
  </r>
  <r>
    <x v="101"/>
    <x v="101"/>
    <s v="Nitrous oxide"/>
    <s v="kg/2018 USD, purchaser price"/>
    <n v="0"/>
    <n v="0"/>
    <n v="0"/>
    <n v="0"/>
    <n v="0"/>
    <n v="0"/>
  </r>
  <r>
    <x v="101"/>
    <x v="101"/>
    <s v="other GHGs"/>
    <s v="kg CO2e/2018 USD, purchaser price"/>
    <n v="3.0000000000000001E-3"/>
    <n v="3.0000000000000001E-3"/>
    <n v="0"/>
    <n v="0"/>
    <n v="3.0000000000000001E-3"/>
    <n v="3.0000000000000001E-3"/>
  </r>
  <r>
    <x v="102"/>
    <x v="102"/>
    <s v="Carbon dioxide"/>
    <s v="kg/2018 USD, purchaser price"/>
    <n v="8.3000000000000004E-2"/>
    <n v="8.3000000000000004E-2"/>
    <n v="3.5999999999999997E-2"/>
    <n v="3.5999999999999997E-2"/>
    <n v="0.11899999999999999"/>
    <n v="0.11899999999999999"/>
  </r>
  <r>
    <x v="102"/>
    <x v="102"/>
    <s v="Methane"/>
    <s v="kg/2018 USD, purchaser price"/>
    <n v="0"/>
    <n v="0"/>
    <n v="0"/>
    <n v="0"/>
    <n v="1E-3"/>
    <n v="2.8000000000000001E-2"/>
  </r>
  <r>
    <x v="102"/>
    <x v="102"/>
    <s v="Nitrous oxide"/>
    <s v="kg/2018 USD, purchaser price"/>
    <n v="0"/>
    <n v="0"/>
    <n v="0"/>
    <n v="0"/>
    <n v="0"/>
    <n v="0"/>
  </r>
  <r>
    <x v="102"/>
    <x v="102"/>
    <s v="other GHGs"/>
    <s v="kg CO2e/2018 USD, purchaser price"/>
    <n v="5.0000000000000001E-3"/>
    <n v="5.0000000000000001E-3"/>
    <n v="0"/>
    <n v="0"/>
    <n v="5.0000000000000001E-3"/>
    <n v="5.0000000000000001E-3"/>
  </r>
  <r>
    <x v="103"/>
    <x v="103"/>
    <s v="Carbon dioxide"/>
    <s v="kg/2018 USD, purchaser price"/>
    <n v="4.9000000000000002E-2"/>
    <n v="4.9000000000000002E-2"/>
    <n v="3.5999999999999997E-2"/>
    <n v="3.5999999999999997E-2"/>
    <n v="8.5000000000000006E-2"/>
    <n v="8.5000000000000006E-2"/>
  </r>
  <r>
    <x v="103"/>
    <x v="103"/>
    <s v="Methane"/>
    <s v="kg/2018 USD, purchaser price"/>
    <n v="0"/>
    <n v="0"/>
    <n v="0"/>
    <n v="0"/>
    <n v="0"/>
    <n v="0"/>
  </r>
  <r>
    <x v="103"/>
    <x v="103"/>
    <s v="Nitrous oxide"/>
    <s v="kg/2018 USD, purchaser price"/>
    <n v="0"/>
    <n v="0"/>
    <n v="0"/>
    <n v="0"/>
    <n v="0"/>
    <n v="0"/>
  </r>
  <r>
    <x v="103"/>
    <x v="103"/>
    <s v="other GHGs"/>
    <s v="kg CO2e/2018 USD, purchaser price"/>
    <n v="1E-3"/>
    <n v="1E-3"/>
    <n v="0"/>
    <n v="0"/>
    <n v="1E-3"/>
    <n v="1E-3"/>
  </r>
  <r>
    <x v="104"/>
    <x v="104"/>
    <s v="Carbon dioxide"/>
    <s v="kg/2018 USD, purchaser price"/>
    <n v="0.497"/>
    <n v="0.497"/>
    <n v="4.5999999999999999E-2"/>
    <n v="4.5999999999999999E-2"/>
    <n v="0.54300000000000004"/>
    <n v="0.54300000000000004"/>
  </r>
  <r>
    <x v="104"/>
    <x v="104"/>
    <s v="Methane"/>
    <s v="kg/2018 USD, purchaser price"/>
    <n v="2E-3"/>
    <n v="5.6000000000000001E-2"/>
    <n v="0"/>
    <n v="0"/>
    <n v="2E-3"/>
    <n v="5.6000000000000001E-2"/>
  </r>
  <r>
    <x v="104"/>
    <x v="104"/>
    <s v="Nitrous oxide"/>
    <s v="kg/2018 USD, purchaser price"/>
    <n v="0"/>
    <n v="0"/>
    <n v="0"/>
    <n v="0"/>
    <n v="0"/>
    <n v="0"/>
  </r>
  <r>
    <x v="104"/>
    <x v="104"/>
    <s v="other GHGs"/>
    <s v="kg CO2e/2018 USD, purchaser price"/>
    <n v="6.0000000000000001E-3"/>
    <n v="6.0000000000000001E-3"/>
    <n v="0"/>
    <n v="0"/>
    <n v="6.0000000000000001E-3"/>
    <n v="6.0000000000000001E-3"/>
  </r>
  <r>
    <x v="105"/>
    <x v="105"/>
    <s v="Carbon dioxide"/>
    <s v="kg/2018 USD, purchaser price"/>
    <n v="0.66600000000000004"/>
    <n v="0.66600000000000004"/>
    <n v="3.2000000000000001E-2"/>
    <n v="3.2000000000000001E-2"/>
    <n v="0.69799999999999995"/>
    <n v="0.69799999999999995"/>
  </r>
  <r>
    <x v="105"/>
    <x v="105"/>
    <s v="Methane"/>
    <s v="kg/2018 USD, purchaser price"/>
    <n v="2E-3"/>
    <n v="5.6000000000000001E-2"/>
    <n v="0"/>
    <n v="0"/>
    <n v="2E-3"/>
    <n v="5.6000000000000001E-2"/>
  </r>
  <r>
    <x v="105"/>
    <x v="105"/>
    <s v="Nitrous oxide"/>
    <s v="kg/2018 USD, purchaser price"/>
    <n v="0"/>
    <n v="0"/>
    <n v="0"/>
    <n v="0"/>
    <n v="0"/>
    <n v="0"/>
  </r>
  <r>
    <x v="105"/>
    <x v="105"/>
    <s v="other GHGs"/>
    <s v="kg CO2e/2018 USD, purchaser price"/>
    <n v="1.0999999999999999E-2"/>
    <n v="1.0999999999999999E-2"/>
    <n v="0"/>
    <n v="0"/>
    <n v="1.0999999999999999E-2"/>
    <n v="1.0999999999999999E-2"/>
  </r>
  <r>
    <x v="106"/>
    <x v="106"/>
    <s v="Carbon dioxide"/>
    <s v="kg/2018 USD, purchaser price"/>
    <n v="0.39200000000000002"/>
    <n v="0.39200000000000002"/>
    <n v="5.7000000000000002E-2"/>
    <n v="5.7000000000000002E-2"/>
    <n v="0.44900000000000001"/>
    <n v="0.44900000000000001"/>
  </r>
  <r>
    <x v="106"/>
    <x v="106"/>
    <s v="Methane"/>
    <s v="kg/2018 USD, purchaser price"/>
    <n v="1E-3"/>
    <n v="2.8000000000000001E-2"/>
    <n v="0"/>
    <n v="0"/>
    <n v="1E-3"/>
    <n v="2.8000000000000001E-2"/>
  </r>
  <r>
    <x v="106"/>
    <x v="106"/>
    <s v="Nitrous oxide"/>
    <s v="kg/2018 USD, purchaser price"/>
    <n v="0"/>
    <n v="0"/>
    <n v="0"/>
    <n v="0"/>
    <n v="0"/>
    <n v="0"/>
  </r>
  <r>
    <x v="106"/>
    <x v="106"/>
    <s v="other GHGs"/>
    <s v="kg CO2e/2018 USD, purchaser price"/>
    <n v="1.4E-2"/>
    <n v="1.4E-2"/>
    <n v="0"/>
    <n v="0"/>
    <n v="1.4E-2"/>
    <n v="1.4E-2"/>
  </r>
  <r>
    <x v="107"/>
    <x v="107"/>
    <s v="Carbon dioxide"/>
    <s v="kg/2018 USD, purchaser price"/>
    <n v="0.11799999999999999"/>
    <n v="0.11799999999999999"/>
    <n v="9.0999999999999998E-2"/>
    <n v="9.0999999999999998E-2"/>
    <n v="0.20899999999999999"/>
    <n v="0.20899999999999999"/>
  </r>
  <r>
    <x v="107"/>
    <x v="107"/>
    <s v="Methane"/>
    <s v="kg/2018 USD, purchaser price"/>
    <n v="0"/>
    <n v="0"/>
    <n v="0"/>
    <n v="0"/>
    <n v="1E-3"/>
    <n v="2.8000000000000001E-2"/>
  </r>
  <r>
    <x v="107"/>
    <x v="107"/>
    <s v="Nitrous oxide"/>
    <s v="kg/2018 USD, purchaser price"/>
    <n v="0"/>
    <n v="0"/>
    <n v="0"/>
    <n v="0"/>
    <n v="0"/>
    <n v="0"/>
  </r>
  <r>
    <x v="107"/>
    <x v="107"/>
    <s v="other GHGs"/>
    <s v="kg CO2e/2018 USD, purchaser price"/>
    <n v="7.0000000000000001E-3"/>
    <n v="7.0000000000000001E-3"/>
    <n v="0"/>
    <n v="0"/>
    <n v="7.0000000000000001E-3"/>
    <n v="7.0000000000000001E-3"/>
  </r>
  <r>
    <x v="108"/>
    <x v="108"/>
    <s v="Carbon dioxide"/>
    <s v="kg/2018 USD, purchaser price"/>
    <n v="0.63400000000000001"/>
    <n v="0.63400000000000001"/>
    <n v="0.03"/>
    <n v="0.03"/>
    <n v="0.66400000000000003"/>
    <n v="0.66400000000000003"/>
  </r>
  <r>
    <x v="108"/>
    <x v="108"/>
    <s v="Methane"/>
    <s v="kg/2018 USD, purchaser price"/>
    <n v="2E-3"/>
    <n v="5.6000000000000001E-2"/>
    <n v="0"/>
    <n v="0"/>
    <n v="2E-3"/>
    <n v="5.6000000000000001E-2"/>
  </r>
  <r>
    <x v="108"/>
    <x v="108"/>
    <s v="Nitrous oxide"/>
    <s v="kg/2018 USD, purchaser price"/>
    <n v="0"/>
    <n v="0"/>
    <n v="0"/>
    <n v="0"/>
    <n v="0"/>
    <n v="0"/>
  </r>
  <r>
    <x v="108"/>
    <x v="108"/>
    <s v="other GHGs"/>
    <s v="kg CO2e/2018 USD, purchaser price"/>
    <n v="7.0000000000000001E-3"/>
    <n v="7.0000000000000001E-3"/>
    <n v="0"/>
    <n v="0"/>
    <n v="7.0000000000000001E-3"/>
    <n v="7.0000000000000001E-3"/>
  </r>
  <r>
    <x v="109"/>
    <x v="109"/>
    <s v="Carbon dioxide"/>
    <s v="kg/2018 USD, purchaser price"/>
    <n v="0.438"/>
    <n v="0.438"/>
    <n v="4.5999999999999999E-2"/>
    <n v="4.5999999999999999E-2"/>
    <n v="0.48499999999999999"/>
    <n v="0.48499999999999999"/>
  </r>
  <r>
    <x v="109"/>
    <x v="109"/>
    <s v="Methane"/>
    <s v="kg/2018 USD, purchaser price"/>
    <n v="2E-3"/>
    <n v="5.6000000000000001E-2"/>
    <n v="0"/>
    <n v="0"/>
    <n v="2E-3"/>
    <n v="5.6000000000000001E-2"/>
  </r>
  <r>
    <x v="109"/>
    <x v="109"/>
    <s v="Nitrous oxide"/>
    <s v="kg/2018 USD, purchaser price"/>
    <n v="0"/>
    <n v="0"/>
    <n v="0"/>
    <n v="0"/>
    <n v="0"/>
    <n v="0"/>
  </r>
  <r>
    <x v="109"/>
    <x v="109"/>
    <s v="other GHGs"/>
    <s v="kg CO2e/2018 USD, purchaser price"/>
    <n v="2.7E-2"/>
    <n v="2.7E-2"/>
    <n v="0"/>
    <n v="0"/>
    <n v="2.7E-2"/>
    <n v="2.7E-2"/>
  </r>
  <r>
    <x v="110"/>
    <x v="110"/>
    <s v="Carbon dioxide"/>
    <s v="kg/2018 USD, purchaser price"/>
    <n v="0.69099999999999995"/>
    <n v="0.69099999999999995"/>
    <n v="3.1E-2"/>
    <n v="3.1E-2"/>
    <n v="0.72099999999999997"/>
    <n v="0.72099999999999997"/>
  </r>
  <r>
    <x v="110"/>
    <x v="110"/>
    <s v="Methane"/>
    <s v="kg/2018 USD, purchaser price"/>
    <n v="2E-3"/>
    <n v="5.6000000000000001E-2"/>
    <n v="0"/>
    <n v="0"/>
    <n v="2E-3"/>
    <n v="5.6000000000000001E-2"/>
  </r>
  <r>
    <x v="110"/>
    <x v="110"/>
    <s v="Nitrous oxide"/>
    <s v="kg/2018 USD, purchaser price"/>
    <n v="0"/>
    <n v="0"/>
    <n v="0"/>
    <n v="0"/>
    <n v="0"/>
    <n v="0"/>
  </r>
  <r>
    <x v="110"/>
    <x v="110"/>
    <s v="other GHGs"/>
    <s v="kg CO2e/2018 USD, purchaser price"/>
    <n v="7.0000000000000001E-3"/>
    <n v="7.0000000000000001E-3"/>
    <n v="0"/>
    <n v="0"/>
    <n v="7.0000000000000001E-3"/>
    <n v="7.0000000000000001E-3"/>
  </r>
  <r>
    <x v="111"/>
    <x v="111"/>
    <s v="Carbon dioxide"/>
    <s v="kg/2018 USD, purchaser price"/>
    <n v="0.57199999999999995"/>
    <n v="0.57199999999999995"/>
    <n v="4.4999999999999998E-2"/>
    <n v="4.4999999999999998E-2"/>
    <n v="0.61699999999999999"/>
    <n v="0.61699999999999999"/>
  </r>
  <r>
    <x v="111"/>
    <x v="111"/>
    <s v="Methane"/>
    <s v="kg/2018 USD, purchaser price"/>
    <n v="2E-3"/>
    <n v="5.6000000000000001E-2"/>
    <n v="0"/>
    <n v="0"/>
    <n v="2E-3"/>
    <n v="5.6000000000000001E-2"/>
  </r>
  <r>
    <x v="111"/>
    <x v="111"/>
    <s v="Nitrous oxide"/>
    <s v="kg/2018 USD, purchaser price"/>
    <n v="0"/>
    <n v="0"/>
    <n v="0"/>
    <n v="0"/>
    <n v="0"/>
    <n v="0"/>
  </r>
  <r>
    <x v="111"/>
    <x v="111"/>
    <s v="other GHGs"/>
    <s v="kg CO2e/2018 USD, purchaser price"/>
    <n v="5.0000000000000001E-3"/>
    <n v="5.0000000000000001E-3"/>
    <n v="0"/>
    <n v="0"/>
    <n v="5.0000000000000001E-3"/>
    <n v="5.0000000000000001E-3"/>
  </r>
  <r>
    <x v="112"/>
    <x v="112"/>
    <s v="Carbon dioxide"/>
    <s v="kg/2018 USD, purchaser price"/>
    <n v="0.505"/>
    <n v="0.505"/>
    <n v="2.1000000000000001E-2"/>
    <n v="2.1000000000000001E-2"/>
    <n v="0.52600000000000002"/>
    <n v="0.52600000000000002"/>
  </r>
  <r>
    <x v="112"/>
    <x v="112"/>
    <s v="Methane"/>
    <s v="kg/2018 USD, purchaser price"/>
    <n v="1E-3"/>
    <n v="2.8000000000000001E-2"/>
    <n v="0"/>
    <n v="0"/>
    <n v="2E-3"/>
    <n v="5.6000000000000001E-2"/>
  </r>
  <r>
    <x v="112"/>
    <x v="112"/>
    <s v="Nitrous oxide"/>
    <s v="kg/2018 USD, purchaser price"/>
    <n v="0"/>
    <n v="0"/>
    <n v="0"/>
    <n v="0"/>
    <n v="0"/>
    <n v="0"/>
  </r>
  <r>
    <x v="112"/>
    <x v="112"/>
    <s v="other GHGs"/>
    <s v="kg CO2e/2018 USD, purchaser price"/>
    <n v="6.0000000000000001E-3"/>
    <n v="6.0000000000000001E-3"/>
    <n v="0"/>
    <n v="0"/>
    <n v="6.0000000000000001E-3"/>
    <n v="6.0000000000000001E-3"/>
  </r>
  <r>
    <x v="113"/>
    <x v="113"/>
    <s v="Carbon dioxide"/>
    <s v="kg/2018 USD, purchaser price"/>
    <n v="0.42499999999999999"/>
    <n v="0.42499999999999999"/>
    <n v="4.4999999999999998E-2"/>
    <n v="4.4999999999999998E-2"/>
    <n v="0.47"/>
    <n v="0.47"/>
  </r>
  <r>
    <x v="113"/>
    <x v="113"/>
    <s v="Methane"/>
    <s v="kg/2018 USD, purchaser price"/>
    <n v="1E-3"/>
    <n v="2.8000000000000001E-2"/>
    <n v="0"/>
    <n v="0"/>
    <n v="2E-3"/>
    <n v="5.6000000000000001E-2"/>
  </r>
  <r>
    <x v="113"/>
    <x v="113"/>
    <s v="Nitrous oxide"/>
    <s v="kg/2018 USD, purchaser price"/>
    <n v="0"/>
    <n v="0"/>
    <n v="0"/>
    <n v="0"/>
    <n v="0"/>
    <n v="0"/>
  </r>
  <r>
    <x v="113"/>
    <x v="113"/>
    <s v="other GHGs"/>
    <s v="kg CO2e/2018 USD, purchaser price"/>
    <n v="8.9999999999999993E-3"/>
    <n v="8.9999999999999993E-3"/>
    <n v="0"/>
    <n v="0"/>
    <n v="8.9999999999999993E-3"/>
    <n v="8.9999999999999993E-3"/>
  </r>
  <r>
    <x v="114"/>
    <x v="114"/>
    <s v="Carbon dioxide"/>
    <s v="kg/2018 USD, purchaser price"/>
    <n v="0.32900000000000001"/>
    <n v="0.32900000000000001"/>
    <n v="5.3999999999999999E-2"/>
    <n v="5.3999999999999999E-2"/>
    <n v="0.38400000000000001"/>
    <n v="0.38400000000000001"/>
  </r>
  <r>
    <x v="114"/>
    <x v="114"/>
    <s v="Methane"/>
    <s v="kg/2018 USD, purchaser price"/>
    <n v="1E-3"/>
    <n v="2.8000000000000001E-2"/>
    <n v="0"/>
    <n v="0"/>
    <n v="1E-3"/>
    <n v="2.8000000000000001E-2"/>
  </r>
  <r>
    <x v="114"/>
    <x v="114"/>
    <s v="Nitrous oxide"/>
    <s v="kg/2018 USD, purchaser price"/>
    <n v="0"/>
    <n v="0"/>
    <n v="0"/>
    <n v="0"/>
    <n v="0"/>
    <n v="0"/>
  </r>
  <r>
    <x v="114"/>
    <x v="114"/>
    <s v="other GHGs"/>
    <s v="kg CO2e/2018 USD, purchaser price"/>
    <n v="9.0999999999999998E-2"/>
    <n v="9.0999999999999998E-2"/>
    <n v="0"/>
    <n v="0"/>
    <n v="9.0999999999999998E-2"/>
    <n v="9.0999999999999998E-2"/>
  </r>
  <r>
    <x v="115"/>
    <x v="115"/>
    <s v="Carbon dioxide"/>
    <s v="kg/2018 USD, purchaser price"/>
    <n v="0.77500000000000002"/>
    <n v="0.77500000000000002"/>
    <n v="3.1E-2"/>
    <n v="3.1E-2"/>
    <n v="0.80600000000000005"/>
    <n v="0.80600000000000005"/>
  </r>
  <r>
    <x v="115"/>
    <x v="115"/>
    <s v="Methane"/>
    <s v="kg/2018 USD, purchaser price"/>
    <n v="2E-3"/>
    <n v="5.6000000000000001E-2"/>
    <n v="0"/>
    <n v="0"/>
    <n v="2E-3"/>
    <n v="5.6000000000000001E-2"/>
  </r>
  <r>
    <x v="115"/>
    <x v="115"/>
    <s v="Nitrous oxide"/>
    <s v="kg/2018 USD, purchaser price"/>
    <n v="0"/>
    <n v="0"/>
    <n v="0"/>
    <n v="0"/>
    <n v="0"/>
    <n v="0"/>
  </r>
  <r>
    <x v="115"/>
    <x v="115"/>
    <s v="other GHGs"/>
    <s v="kg CO2e/2018 USD, purchaser price"/>
    <n v="7.0000000000000001E-3"/>
    <n v="7.0000000000000001E-3"/>
    <n v="0"/>
    <n v="0"/>
    <n v="7.0000000000000001E-3"/>
    <n v="7.0000000000000001E-3"/>
  </r>
  <r>
    <x v="116"/>
    <x v="116"/>
    <s v="Carbon dioxide"/>
    <s v="kg/2018 USD, purchaser price"/>
    <n v="0.43"/>
    <n v="0.43"/>
    <n v="4.8000000000000001E-2"/>
    <n v="4.8000000000000001E-2"/>
    <n v="0.47799999999999998"/>
    <n v="0.47799999999999998"/>
  </r>
  <r>
    <x v="116"/>
    <x v="116"/>
    <s v="Methane"/>
    <s v="kg/2018 USD, purchaser price"/>
    <n v="1E-3"/>
    <n v="2.8000000000000001E-2"/>
    <n v="0"/>
    <n v="0"/>
    <n v="2E-3"/>
    <n v="5.6000000000000001E-2"/>
  </r>
  <r>
    <x v="116"/>
    <x v="116"/>
    <s v="Nitrous oxide"/>
    <s v="kg/2018 USD, purchaser price"/>
    <n v="0"/>
    <n v="0"/>
    <n v="0"/>
    <n v="0"/>
    <n v="0"/>
    <n v="0"/>
  </r>
  <r>
    <x v="116"/>
    <x v="116"/>
    <s v="other GHGs"/>
    <s v="kg CO2e/2018 USD, purchaser price"/>
    <n v="8.0000000000000002E-3"/>
    <n v="8.0000000000000002E-3"/>
    <n v="0"/>
    <n v="0"/>
    <n v="8.0000000000000002E-3"/>
    <n v="8.0000000000000002E-3"/>
  </r>
  <r>
    <x v="117"/>
    <x v="117"/>
    <s v="Carbon dioxide"/>
    <s v="kg/2018 USD, purchaser price"/>
    <n v="0.32700000000000001"/>
    <n v="0.32700000000000001"/>
    <n v="8.3000000000000004E-2"/>
    <n v="8.3000000000000004E-2"/>
    <n v="0.41"/>
    <n v="0.41"/>
  </r>
  <r>
    <x v="117"/>
    <x v="117"/>
    <s v="Methane"/>
    <s v="kg/2018 USD, purchaser price"/>
    <n v="1E-3"/>
    <n v="2.8000000000000001E-2"/>
    <n v="0"/>
    <n v="0"/>
    <n v="2E-3"/>
    <n v="5.6000000000000001E-2"/>
  </r>
  <r>
    <x v="117"/>
    <x v="117"/>
    <s v="Nitrous oxide"/>
    <s v="kg/2018 USD, purchaser price"/>
    <n v="0"/>
    <n v="0"/>
    <n v="0"/>
    <n v="0"/>
    <n v="0"/>
    <n v="0"/>
  </r>
  <r>
    <x v="117"/>
    <x v="117"/>
    <s v="other GHGs"/>
    <s v="kg CO2e/2018 USD, purchaser price"/>
    <n v="6.0000000000000001E-3"/>
    <n v="6.0000000000000001E-3"/>
    <n v="0"/>
    <n v="0"/>
    <n v="6.0000000000000001E-3"/>
    <n v="6.0000000000000001E-3"/>
  </r>
  <r>
    <x v="118"/>
    <x v="118"/>
    <s v="Carbon dioxide"/>
    <s v="kg/2018 USD, purchaser price"/>
    <n v="0.28999999999999998"/>
    <n v="0.28999999999999998"/>
    <n v="4.3999999999999997E-2"/>
    <n v="4.3999999999999997E-2"/>
    <n v="0.33400000000000002"/>
    <n v="0.33400000000000002"/>
  </r>
  <r>
    <x v="118"/>
    <x v="118"/>
    <s v="Methane"/>
    <s v="kg/2018 USD, purchaser price"/>
    <n v="1E-3"/>
    <n v="2.8000000000000001E-2"/>
    <n v="0"/>
    <n v="0"/>
    <n v="1E-3"/>
    <n v="2.8000000000000001E-2"/>
  </r>
  <r>
    <x v="118"/>
    <x v="118"/>
    <s v="Nitrous oxide"/>
    <s v="kg/2018 USD, purchaser price"/>
    <n v="0"/>
    <n v="0"/>
    <n v="0"/>
    <n v="0"/>
    <n v="0"/>
    <n v="0"/>
  </r>
  <r>
    <x v="118"/>
    <x v="118"/>
    <s v="other GHGs"/>
    <s v="kg CO2e/2018 USD, purchaser price"/>
    <n v="6.0000000000000001E-3"/>
    <n v="6.0000000000000001E-3"/>
    <n v="0"/>
    <n v="0"/>
    <n v="6.0000000000000001E-3"/>
    <n v="6.0000000000000001E-3"/>
  </r>
  <r>
    <x v="119"/>
    <x v="119"/>
    <s v="Carbon dioxide"/>
    <s v="kg/2018 USD, purchaser price"/>
    <n v="0.39"/>
    <n v="0.39"/>
    <n v="0.04"/>
    <n v="0.04"/>
    <n v="0.43"/>
    <n v="0.43"/>
  </r>
  <r>
    <x v="119"/>
    <x v="119"/>
    <s v="Methane"/>
    <s v="kg/2018 USD, purchaser price"/>
    <n v="1E-3"/>
    <n v="2.8000000000000001E-2"/>
    <n v="0"/>
    <n v="0"/>
    <n v="2E-3"/>
    <n v="5.6000000000000001E-2"/>
  </r>
  <r>
    <x v="119"/>
    <x v="119"/>
    <s v="Nitrous oxide"/>
    <s v="kg/2018 USD, purchaser price"/>
    <n v="0"/>
    <n v="0"/>
    <n v="0"/>
    <n v="0"/>
    <n v="0"/>
    <n v="0"/>
  </r>
  <r>
    <x v="119"/>
    <x v="119"/>
    <s v="other GHGs"/>
    <s v="kg CO2e/2018 USD, purchaser price"/>
    <n v="6.0000000000000001E-3"/>
    <n v="6.0000000000000001E-3"/>
    <n v="0"/>
    <n v="0"/>
    <n v="6.0000000000000001E-3"/>
    <n v="6.0000000000000001E-3"/>
  </r>
  <r>
    <x v="120"/>
    <x v="120"/>
    <s v="Carbon dioxide"/>
    <s v="kg/2018 USD, purchaser price"/>
    <n v="0.32400000000000001"/>
    <n v="0.32400000000000001"/>
    <n v="8.6999999999999994E-2"/>
    <n v="8.6999999999999994E-2"/>
    <n v="0.41"/>
    <n v="0.41"/>
  </r>
  <r>
    <x v="120"/>
    <x v="120"/>
    <s v="Methane"/>
    <s v="kg/2018 USD, purchaser price"/>
    <n v="1E-3"/>
    <n v="2.8000000000000001E-2"/>
    <n v="1E-3"/>
    <n v="2.8000000000000001E-2"/>
    <n v="2E-3"/>
    <n v="5.6000000000000001E-2"/>
  </r>
  <r>
    <x v="120"/>
    <x v="120"/>
    <s v="Nitrous oxide"/>
    <s v="kg/2018 USD, purchaser price"/>
    <n v="0"/>
    <n v="0"/>
    <n v="0"/>
    <n v="0"/>
    <n v="0"/>
    <n v="0"/>
  </r>
  <r>
    <x v="120"/>
    <x v="120"/>
    <s v="other GHGs"/>
    <s v="kg CO2e/2018 USD, purchaser price"/>
    <n v="4.0000000000000001E-3"/>
    <n v="4.0000000000000001E-3"/>
    <n v="0"/>
    <n v="0"/>
    <n v="4.0000000000000001E-3"/>
    <n v="4.0000000000000001E-3"/>
  </r>
  <r>
    <x v="121"/>
    <x v="121"/>
    <s v="Carbon dioxide"/>
    <s v="kg/2018 USD, purchaser price"/>
    <n v="0.44500000000000001"/>
    <n v="0.44500000000000001"/>
    <n v="7.3999999999999996E-2"/>
    <n v="7.3999999999999996E-2"/>
    <n v="0.51900000000000002"/>
    <n v="0.51900000000000002"/>
  </r>
  <r>
    <x v="121"/>
    <x v="121"/>
    <s v="Methane"/>
    <s v="kg/2018 USD, purchaser price"/>
    <n v="1E-3"/>
    <n v="2.8000000000000001E-2"/>
    <n v="1E-3"/>
    <n v="2.8000000000000001E-2"/>
    <n v="2E-3"/>
    <n v="5.6000000000000001E-2"/>
  </r>
  <r>
    <x v="121"/>
    <x v="121"/>
    <s v="Nitrous oxide"/>
    <s v="kg/2018 USD, purchaser price"/>
    <n v="0"/>
    <n v="0"/>
    <n v="0"/>
    <n v="0"/>
    <n v="0"/>
    <n v="0"/>
  </r>
  <r>
    <x v="121"/>
    <x v="121"/>
    <s v="other GHGs"/>
    <s v="kg CO2e/2018 USD, purchaser price"/>
    <n v="6.0000000000000001E-3"/>
    <n v="6.0000000000000001E-3"/>
    <n v="0"/>
    <n v="0"/>
    <n v="6.0000000000000001E-3"/>
    <n v="6.0000000000000001E-3"/>
  </r>
  <r>
    <x v="122"/>
    <x v="122"/>
    <s v="Carbon dioxide"/>
    <s v="kg/2018 USD, purchaser price"/>
    <n v="4.3879999999999999"/>
    <n v="4.3879999999999999"/>
    <n v="7.9000000000000001E-2"/>
    <n v="7.9000000000000001E-2"/>
    <n v="4.4669999999999996"/>
    <n v="4.4669999999999996"/>
  </r>
  <r>
    <x v="122"/>
    <x v="122"/>
    <s v="Methane"/>
    <s v="kg/2018 USD, purchaser price"/>
    <n v="3.0000000000000001E-3"/>
    <n v="8.4000000000000005E-2"/>
    <n v="1E-3"/>
    <n v="2.8000000000000001E-2"/>
    <n v="4.0000000000000001E-3"/>
    <n v="0.112"/>
  </r>
  <r>
    <x v="122"/>
    <x v="122"/>
    <s v="Nitrous oxide"/>
    <s v="kg/2018 USD, purchaser price"/>
    <n v="0"/>
    <n v="0"/>
    <n v="0"/>
    <n v="0"/>
    <n v="0"/>
    <n v="0"/>
  </r>
  <r>
    <x v="122"/>
    <x v="122"/>
    <s v="other GHGs"/>
    <s v="kg CO2e/2018 USD, purchaser price"/>
    <n v="5.0000000000000001E-3"/>
    <n v="5.0000000000000001E-3"/>
    <n v="0"/>
    <n v="0"/>
    <n v="5.0000000000000001E-3"/>
    <n v="5.0000000000000001E-3"/>
  </r>
  <r>
    <x v="123"/>
    <x v="123"/>
    <s v="Carbon dioxide"/>
    <s v="kg/2018 USD, purchaser price"/>
    <n v="0.75600000000000001"/>
    <n v="0.75600000000000001"/>
    <n v="7.4999999999999997E-2"/>
    <n v="7.4999999999999997E-2"/>
    <n v="0.83099999999999996"/>
    <n v="0.83099999999999996"/>
  </r>
  <r>
    <x v="123"/>
    <x v="123"/>
    <s v="Methane"/>
    <s v="kg/2018 USD, purchaser price"/>
    <n v="1E-3"/>
    <n v="2.8000000000000001E-2"/>
    <n v="1E-3"/>
    <n v="2.8000000000000001E-2"/>
    <n v="2E-3"/>
    <n v="5.6000000000000001E-2"/>
  </r>
  <r>
    <x v="123"/>
    <x v="123"/>
    <s v="Nitrous oxide"/>
    <s v="kg/2018 USD, purchaser price"/>
    <n v="0"/>
    <n v="0"/>
    <n v="0"/>
    <n v="0"/>
    <n v="0"/>
    <n v="0"/>
  </r>
  <r>
    <x v="123"/>
    <x v="123"/>
    <s v="other GHGs"/>
    <s v="kg CO2e/2018 USD, purchaser price"/>
    <n v="5.0000000000000001E-3"/>
    <n v="5.0000000000000001E-3"/>
    <n v="0"/>
    <n v="0"/>
    <n v="5.0000000000000001E-3"/>
    <n v="5.0000000000000001E-3"/>
  </r>
  <r>
    <x v="124"/>
    <x v="124"/>
    <s v="Carbon dioxide"/>
    <s v="kg/2018 USD, purchaser price"/>
    <n v="0.375"/>
    <n v="0.375"/>
    <n v="8.5999999999999993E-2"/>
    <n v="8.5999999999999993E-2"/>
    <n v="0.46100000000000002"/>
    <n v="0.46100000000000002"/>
  </r>
  <r>
    <x v="124"/>
    <x v="124"/>
    <s v="Methane"/>
    <s v="kg/2018 USD, purchaser price"/>
    <n v="1E-3"/>
    <n v="2.8000000000000001E-2"/>
    <n v="1E-3"/>
    <n v="2.8000000000000001E-2"/>
    <n v="2E-3"/>
    <n v="5.6000000000000001E-2"/>
  </r>
  <r>
    <x v="124"/>
    <x v="124"/>
    <s v="Nitrous oxide"/>
    <s v="kg/2018 USD, purchaser price"/>
    <n v="0"/>
    <n v="0"/>
    <n v="0"/>
    <n v="0"/>
    <n v="0"/>
    <n v="0"/>
  </r>
  <r>
    <x v="124"/>
    <x v="124"/>
    <s v="other GHGs"/>
    <s v="kg CO2e/2018 USD, purchaser price"/>
    <n v="4.0000000000000001E-3"/>
    <n v="4.0000000000000001E-3"/>
    <n v="0"/>
    <n v="0"/>
    <n v="4.0000000000000001E-3"/>
    <n v="4.0000000000000001E-3"/>
  </r>
  <r>
    <x v="125"/>
    <x v="125"/>
    <s v="Carbon dioxide"/>
    <s v="kg/2018 USD, purchaser price"/>
    <n v="0.38"/>
    <n v="0.38"/>
    <n v="6.4000000000000001E-2"/>
    <n v="6.4000000000000001E-2"/>
    <n v="0.44500000000000001"/>
    <n v="0.44500000000000001"/>
  </r>
  <r>
    <x v="125"/>
    <x v="125"/>
    <s v="Methane"/>
    <s v="kg/2018 USD, purchaser price"/>
    <n v="1E-3"/>
    <n v="2.8000000000000001E-2"/>
    <n v="1E-3"/>
    <n v="2.8000000000000001E-2"/>
    <n v="2E-3"/>
    <n v="5.6000000000000001E-2"/>
  </r>
  <r>
    <x v="125"/>
    <x v="125"/>
    <s v="Nitrous oxide"/>
    <s v="kg/2018 USD, purchaser price"/>
    <n v="0"/>
    <n v="0"/>
    <n v="0"/>
    <n v="0"/>
    <n v="0"/>
    <n v="0"/>
  </r>
  <r>
    <x v="125"/>
    <x v="125"/>
    <s v="other GHGs"/>
    <s v="kg CO2e/2018 USD, purchaser price"/>
    <n v="4.0000000000000001E-3"/>
    <n v="4.0000000000000001E-3"/>
    <n v="0"/>
    <n v="0"/>
    <n v="4.0000000000000001E-3"/>
    <n v="4.0000000000000001E-3"/>
  </r>
  <r>
    <x v="126"/>
    <x v="126"/>
    <s v="Carbon dioxide"/>
    <s v="kg/2018 USD, purchaser price"/>
    <n v="1.9370000000000001"/>
    <n v="1.9370000000000001"/>
    <n v="7.2999999999999995E-2"/>
    <n v="7.2999999999999995E-2"/>
    <n v="2.0110000000000001"/>
    <n v="2.0110000000000001"/>
  </r>
  <r>
    <x v="126"/>
    <x v="126"/>
    <s v="Methane"/>
    <s v="kg/2018 USD, purchaser price"/>
    <n v="3.0000000000000001E-3"/>
    <n v="8.4000000000000005E-2"/>
    <n v="1E-3"/>
    <n v="2.8000000000000001E-2"/>
    <n v="4.0000000000000001E-3"/>
    <n v="0.112"/>
  </r>
  <r>
    <x v="126"/>
    <x v="126"/>
    <s v="Nitrous oxide"/>
    <s v="kg/2018 USD, purchaser price"/>
    <n v="0"/>
    <n v="0"/>
    <n v="0"/>
    <n v="0"/>
    <n v="0"/>
    <n v="0"/>
  </r>
  <r>
    <x v="126"/>
    <x v="126"/>
    <s v="other GHGs"/>
    <s v="kg CO2e/2018 USD, purchaser price"/>
    <n v="4.0000000000000001E-3"/>
    <n v="4.0000000000000001E-3"/>
    <n v="0"/>
    <n v="0"/>
    <n v="4.0000000000000001E-3"/>
    <n v="4.0000000000000001E-3"/>
  </r>
  <r>
    <x v="127"/>
    <x v="127"/>
    <s v="Carbon dioxide"/>
    <s v="kg/2018 USD, purchaser price"/>
    <n v="0.19500000000000001"/>
    <n v="0.19500000000000001"/>
    <n v="7.4999999999999997E-2"/>
    <n v="7.4999999999999997E-2"/>
    <n v="0.27"/>
    <n v="0.27"/>
  </r>
  <r>
    <x v="127"/>
    <x v="127"/>
    <s v="Methane"/>
    <s v="kg/2018 USD, purchaser price"/>
    <n v="1E-3"/>
    <n v="2.8000000000000001E-2"/>
    <n v="1E-3"/>
    <n v="2.8000000000000001E-2"/>
    <n v="1E-3"/>
    <n v="2.8000000000000001E-2"/>
  </r>
  <r>
    <x v="127"/>
    <x v="127"/>
    <s v="Nitrous oxide"/>
    <s v="kg/2018 USD, purchaser price"/>
    <n v="0"/>
    <n v="0"/>
    <n v="0"/>
    <n v="0"/>
    <n v="0"/>
    <n v="0"/>
  </r>
  <r>
    <x v="127"/>
    <x v="127"/>
    <s v="other GHGs"/>
    <s v="kg CO2e/2018 USD, purchaser price"/>
    <n v="3.0000000000000001E-3"/>
    <n v="3.0000000000000001E-3"/>
    <n v="0"/>
    <n v="0"/>
    <n v="3.0000000000000001E-3"/>
    <n v="3.0000000000000001E-3"/>
  </r>
  <r>
    <x v="128"/>
    <x v="128"/>
    <s v="Carbon dioxide"/>
    <s v="kg/2018 USD, purchaser price"/>
    <n v="0.21199999999999999"/>
    <n v="0.21199999999999999"/>
    <n v="7.8E-2"/>
    <n v="7.8E-2"/>
    <n v="0.28899999999999998"/>
    <n v="0.28899999999999998"/>
  </r>
  <r>
    <x v="128"/>
    <x v="128"/>
    <s v="Methane"/>
    <s v="kg/2018 USD, purchaser price"/>
    <n v="1E-3"/>
    <n v="2.8000000000000001E-2"/>
    <n v="1E-3"/>
    <n v="2.8000000000000001E-2"/>
    <n v="1E-3"/>
    <n v="2.8000000000000001E-2"/>
  </r>
  <r>
    <x v="128"/>
    <x v="128"/>
    <s v="Nitrous oxide"/>
    <s v="kg/2018 USD, purchaser price"/>
    <n v="0"/>
    <n v="0"/>
    <n v="0"/>
    <n v="0"/>
    <n v="0"/>
    <n v="0"/>
  </r>
  <r>
    <x v="128"/>
    <x v="128"/>
    <s v="other GHGs"/>
    <s v="kg CO2e/2018 USD, purchaser price"/>
    <n v="4.0000000000000001E-3"/>
    <n v="4.0000000000000001E-3"/>
    <n v="0"/>
    <n v="0"/>
    <n v="4.0000000000000001E-3"/>
    <n v="4.0000000000000001E-3"/>
  </r>
  <r>
    <x v="129"/>
    <x v="129"/>
    <s v="Carbon dioxide"/>
    <s v="kg/2018 USD, purchaser price"/>
    <n v="0.39500000000000002"/>
    <n v="0.39500000000000002"/>
    <n v="0.157"/>
    <n v="0.157"/>
    <n v="0.55200000000000005"/>
    <n v="0.55200000000000005"/>
  </r>
  <r>
    <x v="129"/>
    <x v="129"/>
    <s v="Methane"/>
    <s v="kg/2018 USD, purchaser price"/>
    <n v="1E-3"/>
    <n v="2.8000000000000001E-2"/>
    <n v="2E-3"/>
    <n v="5.6000000000000001E-2"/>
    <n v="3.0000000000000001E-3"/>
    <n v="8.4000000000000005E-2"/>
  </r>
  <r>
    <x v="129"/>
    <x v="129"/>
    <s v="Nitrous oxide"/>
    <s v="kg/2018 USD, purchaser price"/>
    <n v="0"/>
    <n v="0"/>
    <n v="0"/>
    <n v="0"/>
    <n v="0"/>
    <n v="0"/>
  </r>
  <r>
    <x v="129"/>
    <x v="129"/>
    <s v="other GHGs"/>
    <s v="kg CO2e/2018 USD, purchaser price"/>
    <n v="5.0000000000000001E-3"/>
    <n v="5.0000000000000001E-3"/>
    <n v="0"/>
    <n v="0"/>
    <n v="5.0000000000000001E-3"/>
    <n v="5.0000000000000001E-3"/>
  </r>
  <r>
    <x v="130"/>
    <x v="130"/>
    <s v="Carbon dioxide"/>
    <s v="kg/2018 USD, purchaser price"/>
    <n v="0.45200000000000001"/>
    <n v="0.45200000000000001"/>
    <n v="6.6000000000000003E-2"/>
    <n v="6.6000000000000003E-2"/>
    <n v="0.51800000000000002"/>
    <n v="0.51800000000000002"/>
  </r>
  <r>
    <x v="130"/>
    <x v="130"/>
    <s v="Methane"/>
    <s v="kg/2018 USD, purchaser price"/>
    <n v="2E-3"/>
    <n v="5.6000000000000001E-2"/>
    <n v="1E-3"/>
    <n v="2.8000000000000001E-2"/>
    <n v="2E-3"/>
    <n v="5.6000000000000001E-2"/>
  </r>
  <r>
    <x v="130"/>
    <x v="130"/>
    <s v="Nitrous oxide"/>
    <s v="kg/2018 USD, purchaser price"/>
    <n v="0"/>
    <n v="0"/>
    <n v="0"/>
    <n v="0"/>
    <n v="0"/>
    <n v="0"/>
  </r>
  <r>
    <x v="130"/>
    <x v="130"/>
    <s v="other GHGs"/>
    <s v="kg CO2e/2018 USD, purchaser price"/>
    <n v="5.0000000000000001E-3"/>
    <n v="5.0000000000000001E-3"/>
    <n v="0"/>
    <n v="0"/>
    <n v="5.0000000000000001E-3"/>
    <n v="5.0000000000000001E-3"/>
  </r>
  <r>
    <x v="131"/>
    <x v="131"/>
    <s v="Carbon dioxide"/>
    <s v="kg/2018 USD, purchaser price"/>
    <n v="0.65500000000000003"/>
    <n v="0.65500000000000003"/>
    <n v="7.0000000000000007E-2"/>
    <n v="7.0000000000000007E-2"/>
    <n v="0.72599999999999998"/>
    <n v="0.72599999999999998"/>
  </r>
  <r>
    <x v="131"/>
    <x v="131"/>
    <s v="Methane"/>
    <s v="kg/2018 USD, purchaser price"/>
    <n v="1E-3"/>
    <n v="2.8000000000000001E-2"/>
    <n v="1E-3"/>
    <n v="2.8000000000000001E-2"/>
    <n v="2E-3"/>
    <n v="5.6000000000000001E-2"/>
  </r>
  <r>
    <x v="131"/>
    <x v="131"/>
    <s v="Nitrous oxide"/>
    <s v="kg/2018 USD, purchaser price"/>
    <n v="0"/>
    <n v="0"/>
    <n v="0"/>
    <n v="0"/>
    <n v="0"/>
    <n v="0"/>
  </r>
  <r>
    <x v="131"/>
    <x v="131"/>
    <s v="other GHGs"/>
    <s v="kg CO2e/2018 USD, purchaser price"/>
    <n v="4.0000000000000001E-3"/>
    <n v="4.0000000000000001E-3"/>
    <n v="0"/>
    <n v="0"/>
    <n v="4.0000000000000001E-3"/>
    <n v="4.0000000000000001E-3"/>
  </r>
  <r>
    <x v="132"/>
    <x v="132"/>
    <s v="Carbon dioxide"/>
    <s v="kg/2018 USD, purchaser price"/>
    <n v="0.90100000000000002"/>
    <n v="0.90100000000000002"/>
    <n v="3.6999999999999998E-2"/>
    <n v="3.6999999999999998E-2"/>
    <n v="0.93799999999999994"/>
    <n v="0.93799999999999994"/>
  </r>
  <r>
    <x v="132"/>
    <x v="132"/>
    <s v="Methane"/>
    <s v="kg/2018 USD, purchaser price"/>
    <n v="5.0000000000000001E-3"/>
    <n v="0.14000000000000001"/>
    <n v="0"/>
    <n v="0"/>
    <n v="5.0000000000000001E-3"/>
    <n v="0.14000000000000001"/>
  </r>
  <r>
    <x v="132"/>
    <x v="132"/>
    <s v="Nitrous oxide"/>
    <s v="kg/2018 USD, purchaser price"/>
    <n v="0"/>
    <n v="0"/>
    <n v="0"/>
    <n v="0"/>
    <n v="0"/>
    <n v="0"/>
  </r>
  <r>
    <x v="132"/>
    <x v="132"/>
    <s v="other GHGs"/>
    <s v="kg CO2e/2018 USD, purchaser price"/>
    <n v="1.0999999999999999E-2"/>
    <n v="1.0999999999999999E-2"/>
    <n v="0"/>
    <n v="0"/>
    <n v="1.0999999999999999E-2"/>
    <n v="1.0999999999999999E-2"/>
  </r>
  <r>
    <x v="133"/>
    <x v="133"/>
    <s v="Carbon dioxide"/>
    <s v="kg/2018 USD, purchaser price"/>
    <n v="0.55600000000000005"/>
    <n v="0.55600000000000005"/>
    <n v="0.04"/>
    <n v="0.04"/>
    <n v="0.59499999999999997"/>
    <n v="0.59499999999999997"/>
  </r>
  <r>
    <x v="133"/>
    <x v="133"/>
    <s v="Methane"/>
    <s v="kg/2018 USD, purchaser price"/>
    <n v="2E-3"/>
    <n v="5.6000000000000001E-2"/>
    <n v="0"/>
    <n v="0"/>
    <n v="3.0000000000000001E-3"/>
    <n v="8.4000000000000005E-2"/>
  </r>
  <r>
    <x v="133"/>
    <x v="133"/>
    <s v="Nitrous oxide"/>
    <s v="kg/2018 USD, purchaser price"/>
    <n v="0"/>
    <n v="0"/>
    <n v="0"/>
    <n v="0"/>
    <n v="0"/>
    <n v="0"/>
  </r>
  <r>
    <x v="133"/>
    <x v="133"/>
    <s v="other GHGs"/>
    <s v="kg CO2e/2018 USD, purchaser price"/>
    <n v="8.9999999999999993E-3"/>
    <n v="8.9999999999999993E-3"/>
    <n v="0"/>
    <n v="0"/>
    <n v="8.9999999999999993E-3"/>
    <n v="8.9999999999999993E-3"/>
  </r>
  <r>
    <x v="134"/>
    <x v="134"/>
    <s v="Carbon dioxide"/>
    <s v="kg/2018 USD, purchaser price"/>
    <n v="1.19"/>
    <n v="1.19"/>
    <n v="2.8000000000000001E-2"/>
    <n v="2.8000000000000001E-2"/>
    <n v="1.218"/>
    <n v="1.218"/>
  </r>
  <r>
    <x v="134"/>
    <x v="134"/>
    <s v="Methane"/>
    <s v="kg/2018 USD, purchaser price"/>
    <n v="3.0000000000000001E-3"/>
    <n v="8.4000000000000005E-2"/>
    <n v="0"/>
    <n v="0"/>
    <n v="3.0000000000000001E-3"/>
    <n v="8.4000000000000005E-2"/>
  </r>
  <r>
    <x v="134"/>
    <x v="134"/>
    <s v="Nitrous oxide"/>
    <s v="kg/2018 USD, purchaser price"/>
    <n v="0"/>
    <n v="0"/>
    <n v="0"/>
    <n v="0"/>
    <n v="0"/>
    <n v="0"/>
  </r>
  <r>
    <x v="134"/>
    <x v="134"/>
    <s v="other GHGs"/>
    <s v="kg CO2e/2018 USD, purchaser price"/>
    <n v="0.14499999999999999"/>
    <n v="0.14499999999999999"/>
    <n v="0"/>
    <n v="0"/>
    <n v="0.14499999999999999"/>
    <n v="0.14499999999999999"/>
  </r>
  <r>
    <x v="135"/>
    <x v="135"/>
    <s v="Carbon dioxide"/>
    <s v="kg/2018 USD, purchaser price"/>
    <n v="0.627"/>
    <n v="0.627"/>
    <n v="2.5000000000000001E-2"/>
    <n v="2.5000000000000001E-2"/>
    <n v="0.65100000000000002"/>
    <n v="0.65100000000000002"/>
  </r>
  <r>
    <x v="135"/>
    <x v="135"/>
    <s v="Methane"/>
    <s v="kg/2018 USD, purchaser price"/>
    <n v="2E-3"/>
    <n v="5.6000000000000001E-2"/>
    <n v="0"/>
    <n v="0"/>
    <n v="2E-3"/>
    <n v="5.6000000000000001E-2"/>
  </r>
  <r>
    <x v="135"/>
    <x v="135"/>
    <s v="Nitrous oxide"/>
    <s v="kg/2018 USD, purchaser price"/>
    <n v="0"/>
    <n v="0"/>
    <n v="0"/>
    <n v="0"/>
    <n v="0"/>
    <n v="0"/>
  </r>
  <r>
    <x v="135"/>
    <x v="135"/>
    <s v="other GHGs"/>
    <s v="kg CO2e/2018 USD, purchaser price"/>
    <n v="5.8000000000000003E-2"/>
    <n v="5.8000000000000003E-2"/>
    <n v="0"/>
    <n v="0"/>
    <n v="5.8000000000000003E-2"/>
    <n v="5.8000000000000003E-2"/>
  </r>
  <r>
    <x v="136"/>
    <x v="136"/>
    <s v="Carbon dioxide"/>
    <s v="kg/2018 USD, purchaser price"/>
    <n v="0.70899999999999996"/>
    <n v="0.70899999999999996"/>
    <n v="3.2000000000000001E-2"/>
    <n v="3.2000000000000001E-2"/>
    <n v="0.74199999999999999"/>
    <n v="0.74199999999999999"/>
  </r>
  <r>
    <x v="136"/>
    <x v="136"/>
    <s v="Methane"/>
    <s v="kg/2018 USD, purchaser price"/>
    <n v="2E-3"/>
    <n v="5.6000000000000001E-2"/>
    <n v="0"/>
    <n v="0"/>
    <n v="2E-3"/>
    <n v="5.6000000000000001E-2"/>
  </r>
  <r>
    <x v="136"/>
    <x v="136"/>
    <s v="Nitrous oxide"/>
    <s v="kg/2018 USD, purchaser price"/>
    <n v="0"/>
    <n v="0"/>
    <n v="0"/>
    <n v="0"/>
    <n v="0"/>
    <n v="0"/>
  </r>
  <r>
    <x v="136"/>
    <x v="136"/>
    <s v="other GHGs"/>
    <s v="kg CO2e/2018 USD, purchaser price"/>
    <n v="0.04"/>
    <n v="0.04"/>
    <n v="0"/>
    <n v="0"/>
    <n v="0.04"/>
    <n v="0.04"/>
  </r>
  <r>
    <x v="137"/>
    <x v="137"/>
    <s v="Carbon dioxide"/>
    <s v="kg/2018 USD, purchaser price"/>
    <n v="0.6"/>
    <n v="0.6"/>
    <n v="2.9000000000000001E-2"/>
    <n v="2.9000000000000001E-2"/>
    <n v="0.63"/>
    <n v="0.63"/>
  </r>
  <r>
    <x v="137"/>
    <x v="137"/>
    <s v="Methane"/>
    <s v="kg/2018 USD, purchaser price"/>
    <n v="2E-3"/>
    <n v="5.6000000000000001E-2"/>
    <n v="0"/>
    <n v="0"/>
    <n v="2E-3"/>
    <n v="5.6000000000000001E-2"/>
  </r>
  <r>
    <x v="137"/>
    <x v="137"/>
    <s v="Nitrous oxide"/>
    <s v="kg/2018 USD, purchaser price"/>
    <n v="0"/>
    <n v="0"/>
    <n v="0"/>
    <n v="0"/>
    <n v="0"/>
    <n v="0"/>
  </r>
  <r>
    <x v="137"/>
    <x v="137"/>
    <s v="other GHGs"/>
    <s v="kg CO2e/2018 USD, purchaser price"/>
    <n v="2.3E-2"/>
    <n v="2.3E-2"/>
    <n v="0"/>
    <n v="0"/>
    <n v="2.3E-2"/>
    <n v="2.3E-2"/>
  </r>
  <r>
    <x v="138"/>
    <x v="138"/>
    <s v="Carbon dioxide"/>
    <s v="kg/2018 USD, purchaser price"/>
    <n v="0.58299999999999996"/>
    <n v="0.58299999999999996"/>
    <n v="2.9000000000000001E-2"/>
    <n v="2.9000000000000001E-2"/>
    <n v="0.61199999999999999"/>
    <n v="0.61199999999999999"/>
  </r>
  <r>
    <x v="138"/>
    <x v="138"/>
    <s v="Methane"/>
    <s v="kg/2018 USD, purchaser price"/>
    <n v="2E-3"/>
    <n v="5.6000000000000001E-2"/>
    <n v="0"/>
    <n v="0"/>
    <n v="2E-3"/>
    <n v="5.6000000000000001E-2"/>
  </r>
  <r>
    <x v="138"/>
    <x v="138"/>
    <s v="Nitrous oxide"/>
    <s v="kg/2018 USD, purchaser price"/>
    <n v="0"/>
    <n v="0"/>
    <n v="0"/>
    <n v="0"/>
    <n v="0"/>
    <n v="0"/>
  </r>
  <r>
    <x v="138"/>
    <x v="138"/>
    <s v="other GHGs"/>
    <s v="kg CO2e/2018 USD, purchaser price"/>
    <n v="0.04"/>
    <n v="0.04"/>
    <n v="0"/>
    <n v="0"/>
    <n v="0.04"/>
    <n v="0.04"/>
  </r>
  <r>
    <x v="139"/>
    <x v="139"/>
    <s v="Carbon dioxide"/>
    <s v="kg/2018 USD, purchaser price"/>
    <n v="0.38700000000000001"/>
    <n v="0.38700000000000001"/>
    <n v="2.5000000000000001E-2"/>
    <n v="2.5000000000000001E-2"/>
    <n v="0.41299999999999998"/>
    <n v="0.41299999999999998"/>
  </r>
  <r>
    <x v="139"/>
    <x v="139"/>
    <s v="Methane"/>
    <s v="kg/2018 USD, purchaser price"/>
    <n v="2E-3"/>
    <n v="5.6000000000000001E-2"/>
    <n v="0"/>
    <n v="0"/>
    <n v="2E-3"/>
    <n v="5.6000000000000001E-2"/>
  </r>
  <r>
    <x v="139"/>
    <x v="139"/>
    <s v="Nitrous oxide"/>
    <s v="kg/2018 USD, purchaser price"/>
    <n v="0"/>
    <n v="0"/>
    <n v="0"/>
    <n v="0"/>
    <n v="0"/>
    <n v="0"/>
  </r>
  <r>
    <x v="139"/>
    <x v="139"/>
    <s v="other GHGs"/>
    <s v="kg CO2e/2018 USD, purchaser price"/>
    <n v="7.0000000000000001E-3"/>
    <n v="7.0000000000000001E-3"/>
    <n v="0"/>
    <n v="0"/>
    <n v="7.0000000000000001E-3"/>
    <n v="7.0000000000000001E-3"/>
  </r>
  <r>
    <x v="140"/>
    <x v="140"/>
    <s v="Carbon dioxide"/>
    <s v="kg/2018 USD, purchaser price"/>
    <n v="0.41899999999999998"/>
    <n v="0.41899999999999998"/>
    <n v="2.5999999999999999E-2"/>
    <n v="2.5999999999999999E-2"/>
    <n v="0.44500000000000001"/>
    <n v="0.44500000000000001"/>
  </r>
  <r>
    <x v="140"/>
    <x v="140"/>
    <s v="Methane"/>
    <s v="kg/2018 USD, purchaser price"/>
    <n v="2E-3"/>
    <n v="5.6000000000000001E-2"/>
    <n v="0"/>
    <n v="0"/>
    <n v="2E-3"/>
    <n v="5.6000000000000001E-2"/>
  </r>
  <r>
    <x v="140"/>
    <x v="140"/>
    <s v="Nitrous oxide"/>
    <s v="kg/2018 USD, purchaser price"/>
    <n v="0"/>
    <n v="0"/>
    <n v="0"/>
    <n v="0"/>
    <n v="0"/>
    <n v="0"/>
  </r>
  <r>
    <x v="140"/>
    <x v="140"/>
    <s v="other GHGs"/>
    <s v="kg CO2e/2018 USD, purchaser price"/>
    <n v="4.3999999999999997E-2"/>
    <n v="4.3999999999999997E-2"/>
    <n v="0"/>
    <n v="0"/>
    <n v="4.3999999999999997E-2"/>
    <n v="4.3999999999999997E-2"/>
  </r>
  <r>
    <x v="141"/>
    <x v="141"/>
    <s v="Carbon dioxide"/>
    <s v="kg/2018 USD, purchaser price"/>
    <n v="0.68300000000000005"/>
    <n v="0.68300000000000005"/>
    <n v="0.03"/>
    <n v="0.03"/>
    <n v="0.71299999999999997"/>
    <n v="0.71299999999999997"/>
  </r>
  <r>
    <x v="141"/>
    <x v="141"/>
    <s v="Methane"/>
    <s v="kg/2018 USD, purchaser price"/>
    <n v="3.0000000000000001E-3"/>
    <n v="8.4000000000000005E-2"/>
    <n v="0"/>
    <n v="0"/>
    <n v="3.0000000000000001E-3"/>
    <n v="8.4000000000000005E-2"/>
  </r>
  <r>
    <x v="141"/>
    <x v="141"/>
    <s v="Nitrous oxide"/>
    <s v="kg/2018 USD, purchaser price"/>
    <n v="0"/>
    <n v="0"/>
    <n v="0"/>
    <n v="0"/>
    <n v="0"/>
    <n v="0"/>
  </r>
  <r>
    <x v="141"/>
    <x v="141"/>
    <s v="other GHGs"/>
    <s v="kg CO2e/2018 USD, purchaser price"/>
    <n v="1.0999999999999999E-2"/>
    <n v="1.0999999999999999E-2"/>
    <n v="0"/>
    <n v="0"/>
    <n v="1.0999999999999999E-2"/>
    <n v="1.0999999999999999E-2"/>
  </r>
  <r>
    <x v="142"/>
    <x v="142"/>
    <s v="Carbon dioxide"/>
    <s v="kg/2018 USD, purchaser price"/>
    <n v="0.35799999999999998"/>
    <n v="0.35799999999999998"/>
    <n v="3.5000000000000003E-2"/>
    <n v="3.5000000000000003E-2"/>
    <n v="0.39300000000000002"/>
    <n v="0.39300000000000002"/>
  </r>
  <r>
    <x v="142"/>
    <x v="142"/>
    <s v="Methane"/>
    <s v="kg/2018 USD, purchaser price"/>
    <n v="1E-3"/>
    <n v="2.8000000000000001E-2"/>
    <n v="0"/>
    <n v="0"/>
    <n v="2E-3"/>
    <n v="5.6000000000000001E-2"/>
  </r>
  <r>
    <x v="142"/>
    <x v="142"/>
    <s v="Nitrous oxide"/>
    <s v="kg/2018 USD, purchaser price"/>
    <n v="0"/>
    <n v="0"/>
    <n v="0"/>
    <n v="0"/>
    <n v="0"/>
    <n v="0"/>
  </r>
  <r>
    <x v="142"/>
    <x v="142"/>
    <s v="other GHGs"/>
    <s v="kg CO2e/2018 USD, purchaser price"/>
    <n v="1.0999999999999999E-2"/>
    <n v="1.0999999999999999E-2"/>
    <n v="0"/>
    <n v="0"/>
    <n v="1.0999999999999999E-2"/>
    <n v="1.0999999999999999E-2"/>
  </r>
  <r>
    <x v="143"/>
    <x v="143"/>
    <s v="Carbon dioxide"/>
    <s v="kg/2018 USD, purchaser price"/>
    <n v="0.55300000000000005"/>
    <n v="0.55300000000000005"/>
    <n v="2.7E-2"/>
    <n v="2.7E-2"/>
    <n v="0.57899999999999996"/>
    <n v="0.57899999999999996"/>
  </r>
  <r>
    <x v="143"/>
    <x v="143"/>
    <s v="Methane"/>
    <s v="kg/2018 USD, purchaser price"/>
    <n v="2E-3"/>
    <n v="5.6000000000000001E-2"/>
    <n v="0"/>
    <n v="0"/>
    <n v="2E-3"/>
    <n v="5.6000000000000001E-2"/>
  </r>
  <r>
    <x v="143"/>
    <x v="143"/>
    <s v="Nitrous oxide"/>
    <s v="kg/2018 USD, purchaser price"/>
    <n v="0"/>
    <n v="0"/>
    <n v="0"/>
    <n v="0"/>
    <n v="0"/>
    <n v="0"/>
  </r>
  <r>
    <x v="143"/>
    <x v="143"/>
    <s v="other GHGs"/>
    <s v="kg CO2e/2018 USD, purchaser price"/>
    <n v="1.2999999999999999E-2"/>
    <n v="1.2999999999999999E-2"/>
    <n v="0"/>
    <n v="0"/>
    <n v="1.2999999999999999E-2"/>
    <n v="1.2999999999999999E-2"/>
  </r>
  <r>
    <x v="144"/>
    <x v="144"/>
    <s v="Carbon dioxide"/>
    <s v="kg/2018 USD, purchaser price"/>
    <n v="0.16800000000000001"/>
    <n v="0.16800000000000001"/>
    <n v="7.6999999999999999E-2"/>
    <n v="7.6999999999999999E-2"/>
    <n v="0.245"/>
    <n v="0.245"/>
  </r>
  <r>
    <x v="144"/>
    <x v="144"/>
    <s v="Methane"/>
    <s v="kg/2018 USD, purchaser price"/>
    <n v="1E-3"/>
    <n v="2.8000000000000001E-2"/>
    <n v="0"/>
    <n v="0"/>
    <n v="1E-3"/>
    <n v="2.8000000000000001E-2"/>
  </r>
  <r>
    <x v="144"/>
    <x v="144"/>
    <s v="Nitrous oxide"/>
    <s v="kg/2018 USD, purchaser price"/>
    <n v="0"/>
    <n v="0"/>
    <n v="0"/>
    <n v="0"/>
    <n v="0"/>
    <n v="0"/>
  </r>
  <r>
    <x v="144"/>
    <x v="144"/>
    <s v="other GHGs"/>
    <s v="kg CO2e/2018 USD, purchaser price"/>
    <n v="7.0000000000000001E-3"/>
    <n v="7.0000000000000001E-3"/>
    <n v="0"/>
    <n v="0"/>
    <n v="7.0000000000000001E-3"/>
    <n v="7.0000000000000001E-3"/>
  </r>
  <r>
    <x v="145"/>
    <x v="145"/>
    <s v="Carbon dioxide"/>
    <s v="kg/2018 USD, purchaser price"/>
    <n v="0.32100000000000001"/>
    <n v="0.32100000000000001"/>
    <n v="2.8000000000000001E-2"/>
    <n v="2.8000000000000001E-2"/>
    <n v="0.34899999999999998"/>
    <n v="0.34899999999999998"/>
  </r>
  <r>
    <x v="145"/>
    <x v="145"/>
    <s v="Methane"/>
    <s v="kg/2018 USD, purchaser price"/>
    <n v="1E-3"/>
    <n v="2.8000000000000001E-2"/>
    <n v="0"/>
    <n v="0"/>
    <n v="2E-3"/>
    <n v="5.6000000000000001E-2"/>
  </r>
  <r>
    <x v="145"/>
    <x v="145"/>
    <s v="Nitrous oxide"/>
    <s v="kg/2018 USD, purchaser price"/>
    <n v="0"/>
    <n v="0"/>
    <n v="0"/>
    <n v="0"/>
    <n v="0"/>
    <n v="0"/>
  </r>
  <r>
    <x v="145"/>
    <x v="145"/>
    <s v="other GHGs"/>
    <s v="kg CO2e/2018 USD, purchaser price"/>
    <n v="8.0000000000000002E-3"/>
    <n v="8.0000000000000002E-3"/>
    <n v="0"/>
    <n v="0"/>
    <n v="8.0000000000000002E-3"/>
    <n v="8.0000000000000002E-3"/>
  </r>
  <r>
    <x v="146"/>
    <x v="146"/>
    <s v="Carbon dioxide"/>
    <s v="kg/2018 USD, purchaser price"/>
    <n v="0.24399999999999999"/>
    <n v="0.24399999999999999"/>
    <n v="5.0999999999999997E-2"/>
    <n v="5.0999999999999997E-2"/>
    <n v="0.29499999999999998"/>
    <n v="0.29499999999999998"/>
  </r>
  <r>
    <x v="146"/>
    <x v="146"/>
    <s v="Methane"/>
    <s v="kg/2018 USD, purchaser price"/>
    <n v="1E-3"/>
    <n v="2.8000000000000001E-2"/>
    <n v="0"/>
    <n v="0"/>
    <n v="1E-3"/>
    <n v="2.8000000000000001E-2"/>
  </r>
  <r>
    <x v="146"/>
    <x v="146"/>
    <s v="Nitrous oxide"/>
    <s v="kg/2018 USD, purchaser price"/>
    <n v="0"/>
    <n v="0"/>
    <n v="0"/>
    <n v="0"/>
    <n v="0"/>
    <n v="0"/>
  </r>
  <r>
    <x v="146"/>
    <x v="146"/>
    <s v="other GHGs"/>
    <s v="kg CO2e/2018 USD, purchaser price"/>
    <n v="1.2E-2"/>
    <n v="1.2E-2"/>
    <n v="0"/>
    <n v="0"/>
    <n v="1.2E-2"/>
    <n v="1.2E-2"/>
  </r>
  <r>
    <x v="147"/>
    <x v="147"/>
    <s v="Carbon dioxide"/>
    <s v="kg/2018 USD, purchaser price"/>
    <n v="0.20599999999999999"/>
    <n v="0.20599999999999999"/>
    <n v="3.5000000000000003E-2"/>
    <n v="3.5000000000000003E-2"/>
    <n v="0.24099999999999999"/>
    <n v="0.24099999999999999"/>
  </r>
  <r>
    <x v="147"/>
    <x v="147"/>
    <s v="Methane"/>
    <s v="kg/2018 USD, purchaser price"/>
    <n v="1E-3"/>
    <n v="2.8000000000000001E-2"/>
    <n v="0"/>
    <n v="0"/>
    <n v="1E-3"/>
    <n v="2.8000000000000001E-2"/>
  </r>
  <r>
    <x v="147"/>
    <x v="147"/>
    <s v="Nitrous oxide"/>
    <s v="kg/2018 USD, purchaser price"/>
    <n v="0"/>
    <n v="0"/>
    <n v="0"/>
    <n v="0"/>
    <n v="0"/>
    <n v="0"/>
  </r>
  <r>
    <x v="147"/>
    <x v="147"/>
    <s v="other GHGs"/>
    <s v="kg CO2e/2018 USD, purchaser price"/>
    <n v="1.4E-2"/>
    <n v="1.4E-2"/>
    <n v="0"/>
    <n v="0"/>
    <n v="1.4E-2"/>
    <n v="1.4E-2"/>
  </r>
  <r>
    <x v="148"/>
    <x v="148"/>
    <s v="Carbon dioxide"/>
    <s v="kg/2018 USD, purchaser price"/>
    <n v="0.40500000000000003"/>
    <n v="0.40500000000000003"/>
    <n v="2.1999999999999999E-2"/>
    <n v="2.1999999999999999E-2"/>
    <n v="0.42699999999999999"/>
    <n v="0.42699999999999999"/>
  </r>
  <r>
    <x v="148"/>
    <x v="148"/>
    <s v="Methane"/>
    <s v="kg/2018 USD, purchaser price"/>
    <n v="2E-3"/>
    <n v="5.6000000000000001E-2"/>
    <n v="0"/>
    <n v="0"/>
    <n v="2E-3"/>
    <n v="5.6000000000000001E-2"/>
  </r>
  <r>
    <x v="148"/>
    <x v="148"/>
    <s v="Nitrous oxide"/>
    <s v="kg/2018 USD, purchaser price"/>
    <n v="0"/>
    <n v="0"/>
    <n v="0"/>
    <n v="0"/>
    <n v="0"/>
    <n v="0"/>
  </r>
  <r>
    <x v="148"/>
    <x v="148"/>
    <s v="other GHGs"/>
    <s v="kg CO2e/2018 USD, purchaser price"/>
    <n v="8.9999999999999993E-3"/>
    <n v="8.9999999999999993E-3"/>
    <n v="0"/>
    <n v="0"/>
    <n v="8.9999999999999993E-3"/>
    <n v="8.9999999999999993E-3"/>
  </r>
  <r>
    <x v="149"/>
    <x v="149"/>
    <s v="Carbon dioxide"/>
    <s v="kg/2018 USD, purchaser price"/>
    <n v="0.53500000000000003"/>
    <n v="0.53500000000000003"/>
    <n v="2.5000000000000001E-2"/>
    <n v="2.5000000000000001E-2"/>
    <n v="0.56000000000000005"/>
    <n v="0.56000000000000005"/>
  </r>
  <r>
    <x v="149"/>
    <x v="149"/>
    <s v="Methane"/>
    <s v="kg/2018 USD, purchaser price"/>
    <n v="2E-3"/>
    <n v="5.6000000000000001E-2"/>
    <n v="0"/>
    <n v="0"/>
    <n v="2E-3"/>
    <n v="5.6000000000000001E-2"/>
  </r>
  <r>
    <x v="149"/>
    <x v="149"/>
    <s v="Nitrous oxide"/>
    <s v="kg/2018 USD, purchaser price"/>
    <n v="0"/>
    <n v="0"/>
    <n v="0"/>
    <n v="0"/>
    <n v="0"/>
    <n v="0"/>
  </r>
  <r>
    <x v="149"/>
    <x v="149"/>
    <s v="other GHGs"/>
    <s v="kg CO2e/2018 USD, purchaser price"/>
    <n v="3.1E-2"/>
    <n v="3.1E-2"/>
    <n v="0"/>
    <n v="0"/>
    <n v="3.1E-2"/>
    <n v="3.1E-2"/>
  </r>
  <r>
    <x v="150"/>
    <x v="150"/>
    <s v="Carbon dioxide"/>
    <s v="kg/2018 USD, purchaser price"/>
    <n v="0.186"/>
    <n v="0.186"/>
    <n v="5.6000000000000001E-2"/>
    <n v="5.6000000000000001E-2"/>
    <n v="0.24299999999999999"/>
    <n v="0.24299999999999999"/>
  </r>
  <r>
    <x v="150"/>
    <x v="150"/>
    <s v="Methane"/>
    <s v="kg/2018 USD, purchaser price"/>
    <n v="1E-3"/>
    <n v="2.8000000000000001E-2"/>
    <n v="0"/>
    <n v="0"/>
    <n v="1E-3"/>
    <n v="2.8000000000000001E-2"/>
  </r>
  <r>
    <x v="150"/>
    <x v="150"/>
    <s v="Nitrous oxide"/>
    <s v="kg/2018 USD, purchaser price"/>
    <n v="0"/>
    <n v="0"/>
    <n v="0"/>
    <n v="0"/>
    <n v="0"/>
    <n v="0"/>
  </r>
  <r>
    <x v="150"/>
    <x v="150"/>
    <s v="other GHGs"/>
    <s v="kg CO2e/2018 USD, purchaser price"/>
    <n v="8.0000000000000002E-3"/>
    <n v="8.0000000000000002E-3"/>
    <n v="0"/>
    <n v="0"/>
    <n v="8.0000000000000002E-3"/>
    <n v="8.0000000000000002E-3"/>
  </r>
  <r>
    <x v="151"/>
    <x v="151"/>
    <s v="Carbon dioxide"/>
    <s v="kg/2018 USD, purchaser price"/>
    <n v="0.35099999999999998"/>
    <n v="0.35099999999999998"/>
    <n v="2.7E-2"/>
    <n v="2.7E-2"/>
    <n v="0.378"/>
    <n v="0.378"/>
  </r>
  <r>
    <x v="151"/>
    <x v="151"/>
    <s v="Methane"/>
    <s v="kg/2018 USD, purchaser price"/>
    <n v="1E-3"/>
    <n v="2.8000000000000001E-2"/>
    <n v="0"/>
    <n v="0"/>
    <n v="1E-3"/>
    <n v="2.8000000000000001E-2"/>
  </r>
  <r>
    <x v="151"/>
    <x v="151"/>
    <s v="Nitrous oxide"/>
    <s v="kg/2018 USD, purchaser price"/>
    <n v="0"/>
    <n v="0"/>
    <n v="0"/>
    <n v="0"/>
    <n v="0"/>
    <n v="0"/>
  </r>
  <r>
    <x v="151"/>
    <x v="151"/>
    <s v="other GHGs"/>
    <s v="kg CO2e/2018 USD, purchaser price"/>
    <n v="8.9999999999999993E-3"/>
    <n v="8.9999999999999993E-3"/>
    <n v="0"/>
    <n v="0"/>
    <n v="8.9999999999999993E-3"/>
    <n v="8.9999999999999993E-3"/>
  </r>
  <r>
    <x v="152"/>
    <x v="152"/>
    <s v="Carbon dioxide"/>
    <s v="kg/2018 USD, purchaser price"/>
    <n v="0.27100000000000002"/>
    <n v="0.27100000000000002"/>
    <n v="1.6E-2"/>
    <n v="1.6E-2"/>
    <n v="0.28699999999999998"/>
    <n v="0.28699999999999998"/>
  </r>
  <r>
    <x v="152"/>
    <x v="152"/>
    <s v="Methane"/>
    <s v="kg/2018 USD, purchaser price"/>
    <n v="1E-3"/>
    <n v="2.8000000000000001E-2"/>
    <n v="0"/>
    <n v="0"/>
    <n v="1E-3"/>
    <n v="2.8000000000000001E-2"/>
  </r>
  <r>
    <x v="152"/>
    <x v="152"/>
    <s v="Nitrous oxide"/>
    <s v="kg/2018 USD, purchaser price"/>
    <n v="0"/>
    <n v="0"/>
    <n v="0"/>
    <n v="0"/>
    <n v="0"/>
    <n v="0"/>
  </r>
  <r>
    <x v="152"/>
    <x v="152"/>
    <s v="other GHGs"/>
    <s v="kg CO2e/2018 USD, purchaser price"/>
    <n v="7.0000000000000001E-3"/>
    <n v="7.0000000000000001E-3"/>
    <n v="0"/>
    <n v="0"/>
    <n v="7.0000000000000001E-3"/>
    <n v="7.0000000000000001E-3"/>
  </r>
  <r>
    <x v="153"/>
    <x v="153"/>
    <s v="Carbon dioxide"/>
    <s v="kg/2018 USD, purchaser price"/>
    <n v="0.29099999999999998"/>
    <n v="0.29099999999999998"/>
    <n v="3.1E-2"/>
    <n v="3.1E-2"/>
    <n v="0.32200000000000001"/>
    <n v="0.32200000000000001"/>
  </r>
  <r>
    <x v="153"/>
    <x v="153"/>
    <s v="Methane"/>
    <s v="kg/2018 USD, purchaser price"/>
    <n v="1E-3"/>
    <n v="2.8000000000000001E-2"/>
    <n v="0"/>
    <n v="0"/>
    <n v="1E-3"/>
    <n v="2.8000000000000001E-2"/>
  </r>
  <r>
    <x v="153"/>
    <x v="153"/>
    <s v="Nitrous oxide"/>
    <s v="kg/2018 USD, purchaser price"/>
    <n v="0"/>
    <n v="0"/>
    <n v="0"/>
    <n v="0"/>
    <n v="0"/>
    <n v="0"/>
  </r>
  <r>
    <x v="153"/>
    <x v="153"/>
    <s v="other GHGs"/>
    <s v="kg CO2e/2018 USD, purchaser price"/>
    <n v="8.0000000000000002E-3"/>
    <n v="8.0000000000000002E-3"/>
    <n v="0"/>
    <n v="0"/>
    <n v="8.0000000000000002E-3"/>
    <n v="8.0000000000000002E-3"/>
  </r>
  <r>
    <x v="154"/>
    <x v="154"/>
    <s v="Carbon dioxide"/>
    <s v="kg/2018 USD, purchaser price"/>
    <n v="0.49299999999999999"/>
    <n v="0.49299999999999999"/>
    <n v="1.6E-2"/>
    <n v="1.6E-2"/>
    <n v="0.50900000000000001"/>
    <n v="0.50900000000000001"/>
  </r>
  <r>
    <x v="154"/>
    <x v="154"/>
    <s v="Methane"/>
    <s v="kg/2018 USD, purchaser price"/>
    <n v="2E-3"/>
    <n v="5.6000000000000001E-2"/>
    <n v="0"/>
    <n v="0"/>
    <n v="2E-3"/>
    <n v="5.6000000000000001E-2"/>
  </r>
  <r>
    <x v="154"/>
    <x v="154"/>
    <s v="Nitrous oxide"/>
    <s v="kg/2018 USD, purchaser price"/>
    <n v="0"/>
    <n v="0"/>
    <n v="0"/>
    <n v="0"/>
    <n v="0"/>
    <n v="0"/>
  </r>
  <r>
    <x v="154"/>
    <x v="154"/>
    <s v="other GHGs"/>
    <s v="kg CO2e/2018 USD, purchaser price"/>
    <n v="7.0000000000000001E-3"/>
    <n v="7.0000000000000001E-3"/>
    <n v="0"/>
    <n v="0"/>
    <n v="7.0000000000000001E-3"/>
    <n v="7.0000000000000001E-3"/>
  </r>
  <r>
    <x v="155"/>
    <x v="155"/>
    <s v="Carbon dioxide"/>
    <s v="kg/2018 USD, purchaser price"/>
    <n v="0.14899999999999999"/>
    <n v="0.14899999999999999"/>
    <n v="7.2999999999999995E-2"/>
    <n v="7.2999999999999995E-2"/>
    <n v="0.222"/>
    <n v="0.222"/>
  </r>
  <r>
    <x v="155"/>
    <x v="155"/>
    <s v="Methane"/>
    <s v="kg/2018 USD, purchaser price"/>
    <n v="0"/>
    <n v="0"/>
    <n v="0"/>
    <n v="0"/>
    <n v="1E-3"/>
    <n v="2.8000000000000001E-2"/>
  </r>
  <r>
    <x v="155"/>
    <x v="155"/>
    <s v="Nitrous oxide"/>
    <s v="kg/2018 USD, purchaser price"/>
    <n v="0"/>
    <n v="0"/>
    <n v="0"/>
    <n v="0"/>
    <n v="0"/>
    <n v="0"/>
  </r>
  <r>
    <x v="155"/>
    <x v="155"/>
    <s v="other GHGs"/>
    <s v="kg CO2e/2018 USD, purchaser price"/>
    <n v="8.9999999999999993E-3"/>
    <n v="8.9999999999999993E-3"/>
    <n v="0"/>
    <n v="0"/>
    <n v="8.9999999999999993E-3"/>
    <n v="8.9999999999999993E-3"/>
  </r>
  <r>
    <x v="156"/>
    <x v="156"/>
    <s v="Carbon dioxide"/>
    <s v="kg/2018 USD, purchaser price"/>
    <n v="0.19800000000000001"/>
    <n v="0.19800000000000001"/>
    <n v="3.5000000000000003E-2"/>
    <n v="3.5000000000000003E-2"/>
    <n v="0.23300000000000001"/>
    <n v="0.23300000000000001"/>
  </r>
  <r>
    <x v="156"/>
    <x v="156"/>
    <s v="Methane"/>
    <s v="kg/2018 USD, purchaser price"/>
    <n v="1E-3"/>
    <n v="2.8000000000000001E-2"/>
    <n v="0"/>
    <n v="0"/>
    <n v="1E-3"/>
    <n v="2.8000000000000001E-2"/>
  </r>
  <r>
    <x v="156"/>
    <x v="156"/>
    <s v="Nitrous oxide"/>
    <s v="kg/2018 USD, purchaser price"/>
    <n v="0"/>
    <n v="0"/>
    <n v="0"/>
    <n v="0"/>
    <n v="0"/>
    <n v="0"/>
  </r>
  <r>
    <x v="156"/>
    <x v="156"/>
    <s v="other GHGs"/>
    <s v="kg CO2e/2018 USD, purchaser price"/>
    <n v="8.0000000000000002E-3"/>
    <n v="8.0000000000000002E-3"/>
    <n v="0"/>
    <n v="0"/>
    <n v="8.0000000000000002E-3"/>
    <n v="8.0000000000000002E-3"/>
  </r>
  <r>
    <x v="157"/>
    <x v="157"/>
    <s v="Carbon dioxide"/>
    <s v="kg/2018 USD, purchaser price"/>
    <n v="0.23699999999999999"/>
    <n v="0.23699999999999999"/>
    <n v="3.1E-2"/>
    <n v="3.1E-2"/>
    <n v="0.26800000000000002"/>
    <n v="0.26800000000000002"/>
  </r>
  <r>
    <x v="157"/>
    <x v="157"/>
    <s v="Methane"/>
    <s v="kg/2018 USD, purchaser price"/>
    <n v="1E-3"/>
    <n v="2.8000000000000001E-2"/>
    <n v="0"/>
    <n v="0"/>
    <n v="1E-3"/>
    <n v="2.8000000000000001E-2"/>
  </r>
  <r>
    <x v="157"/>
    <x v="157"/>
    <s v="Nitrous oxide"/>
    <s v="kg/2018 USD, purchaser price"/>
    <n v="0"/>
    <n v="0"/>
    <n v="0"/>
    <n v="0"/>
    <n v="0"/>
    <n v="0"/>
  </r>
  <r>
    <x v="157"/>
    <x v="157"/>
    <s v="other GHGs"/>
    <s v="kg CO2e/2018 USD, purchaser price"/>
    <n v="5.0000000000000001E-3"/>
    <n v="5.0000000000000001E-3"/>
    <n v="0"/>
    <n v="0"/>
    <n v="5.0000000000000001E-3"/>
    <n v="5.0000000000000001E-3"/>
  </r>
  <r>
    <x v="158"/>
    <x v="158"/>
    <s v="Carbon dioxide"/>
    <s v="kg/2018 USD, purchaser price"/>
    <n v="0.318"/>
    <n v="0.318"/>
    <n v="3.5999999999999997E-2"/>
    <n v="3.5999999999999997E-2"/>
    <n v="0.35399999999999998"/>
    <n v="0.35399999999999998"/>
  </r>
  <r>
    <x v="158"/>
    <x v="158"/>
    <s v="Methane"/>
    <s v="kg/2018 USD, purchaser price"/>
    <n v="1E-3"/>
    <n v="2.8000000000000001E-2"/>
    <n v="0"/>
    <n v="0"/>
    <n v="2E-3"/>
    <n v="5.6000000000000001E-2"/>
  </r>
  <r>
    <x v="158"/>
    <x v="158"/>
    <s v="Nitrous oxide"/>
    <s v="kg/2018 USD, purchaser price"/>
    <n v="0"/>
    <n v="0"/>
    <n v="0"/>
    <n v="0"/>
    <n v="0"/>
    <n v="0"/>
  </r>
  <r>
    <x v="158"/>
    <x v="158"/>
    <s v="other GHGs"/>
    <s v="kg CO2e/2018 USD, purchaser price"/>
    <n v="7.0000000000000001E-3"/>
    <n v="7.0000000000000001E-3"/>
    <n v="0"/>
    <n v="0"/>
    <n v="7.0000000000000001E-3"/>
    <n v="7.0000000000000001E-3"/>
  </r>
  <r>
    <x v="159"/>
    <x v="159"/>
    <s v="Carbon dioxide"/>
    <s v="kg/2018 USD, purchaser price"/>
    <n v="0.28499999999999998"/>
    <n v="0.28499999999999998"/>
    <n v="4.3999999999999997E-2"/>
    <n v="4.3999999999999997E-2"/>
    <n v="0.33"/>
    <n v="0.33"/>
  </r>
  <r>
    <x v="159"/>
    <x v="159"/>
    <s v="Methane"/>
    <s v="kg/2018 USD, purchaser price"/>
    <n v="1E-3"/>
    <n v="2.8000000000000001E-2"/>
    <n v="0"/>
    <n v="0"/>
    <n v="1E-3"/>
    <n v="2.8000000000000001E-2"/>
  </r>
  <r>
    <x v="159"/>
    <x v="159"/>
    <s v="Nitrous oxide"/>
    <s v="kg/2018 USD, purchaser price"/>
    <n v="0"/>
    <n v="0"/>
    <n v="0"/>
    <n v="0"/>
    <n v="0"/>
    <n v="0"/>
  </r>
  <r>
    <x v="159"/>
    <x v="159"/>
    <s v="other GHGs"/>
    <s v="kg CO2e/2018 USD, purchaser price"/>
    <n v="1.2E-2"/>
    <n v="1.2E-2"/>
    <n v="0"/>
    <n v="0"/>
    <n v="1.2E-2"/>
    <n v="1.2E-2"/>
  </r>
  <r>
    <x v="160"/>
    <x v="160"/>
    <s v="Carbon dioxide"/>
    <s v="kg/2018 USD, purchaser price"/>
    <n v="0.129"/>
    <n v="0.129"/>
    <n v="6.9000000000000006E-2"/>
    <n v="6.9000000000000006E-2"/>
    <n v="0.19800000000000001"/>
    <n v="0.19800000000000001"/>
  </r>
  <r>
    <x v="160"/>
    <x v="160"/>
    <s v="Methane"/>
    <s v="kg/2018 USD, purchaser price"/>
    <n v="0"/>
    <n v="0"/>
    <n v="0"/>
    <n v="0"/>
    <n v="1E-3"/>
    <n v="2.8000000000000001E-2"/>
  </r>
  <r>
    <x v="160"/>
    <x v="160"/>
    <s v="Nitrous oxide"/>
    <s v="kg/2018 USD, purchaser price"/>
    <n v="0"/>
    <n v="0"/>
    <n v="0"/>
    <n v="0"/>
    <n v="0"/>
    <n v="0"/>
  </r>
  <r>
    <x v="160"/>
    <x v="160"/>
    <s v="other GHGs"/>
    <s v="kg CO2e/2018 USD, purchaser price"/>
    <n v="6.0000000000000001E-3"/>
    <n v="6.0000000000000001E-3"/>
    <n v="0"/>
    <n v="0"/>
    <n v="6.0000000000000001E-3"/>
    <n v="6.0000000000000001E-3"/>
  </r>
  <r>
    <x v="161"/>
    <x v="161"/>
    <s v="Carbon dioxide"/>
    <s v="kg/2018 USD, purchaser price"/>
    <n v="0.215"/>
    <n v="0.215"/>
    <n v="4.1000000000000002E-2"/>
    <n v="4.1000000000000002E-2"/>
    <n v="0.25600000000000001"/>
    <n v="0.25600000000000001"/>
  </r>
  <r>
    <x v="161"/>
    <x v="161"/>
    <s v="Methane"/>
    <s v="kg/2018 USD, purchaser price"/>
    <n v="1E-3"/>
    <n v="2.8000000000000001E-2"/>
    <n v="0"/>
    <n v="0"/>
    <n v="1E-3"/>
    <n v="2.8000000000000001E-2"/>
  </r>
  <r>
    <x v="161"/>
    <x v="161"/>
    <s v="Nitrous oxide"/>
    <s v="kg/2018 USD, purchaser price"/>
    <n v="0"/>
    <n v="0"/>
    <n v="0"/>
    <n v="0"/>
    <n v="0"/>
    <n v="0"/>
  </r>
  <r>
    <x v="161"/>
    <x v="161"/>
    <s v="other GHGs"/>
    <s v="kg CO2e/2018 USD, purchaser price"/>
    <n v="8.0000000000000002E-3"/>
    <n v="8.0000000000000002E-3"/>
    <n v="0"/>
    <n v="0"/>
    <n v="8.0000000000000002E-3"/>
    <n v="8.0000000000000002E-3"/>
  </r>
  <r>
    <x v="162"/>
    <x v="162"/>
    <s v="Carbon dioxide"/>
    <s v="kg/2018 USD, purchaser price"/>
    <n v="9.4E-2"/>
    <n v="9.4E-2"/>
    <n v="0.12"/>
    <n v="0.12"/>
    <n v="0.214"/>
    <n v="0.214"/>
  </r>
  <r>
    <x v="162"/>
    <x v="162"/>
    <s v="Methane"/>
    <s v="kg/2018 USD, purchaser price"/>
    <n v="0"/>
    <n v="0"/>
    <n v="0"/>
    <n v="0"/>
    <n v="1E-3"/>
    <n v="2.8000000000000001E-2"/>
  </r>
  <r>
    <x v="162"/>
    <x v="162"/>
    <s v="Nitrous oxide"/>
    <s v="kg/2018 USD, purchaser price"/>
    <n v="0"/>
    <n v="0"/>
    <n v="0"/>
    <n v="0"/>
    <n v="0"/>
    <n v="0"/>
  </r>
  <r>
    <x v="162"/>
    <x v="162"/>
    <s v="other GHGs"/>
    <s v="kg CO2e/2018 USD, purchaser price"/>
    <n v="8.9999999999999993E-3"/>
    <n v="8.9999999999999993E-3"/>
    <n v="0"/>
    <n v="0"/>
    <n v="8.9999999999999993E-3"/>
    <n v="8.9999999999999993E-3"/>
  </r>
  <r>
    <x v="163"/>
    <x v="163"/>
    <s v="Carbon dioxide"/>
    <s v="kg/2018 USD, purchaser price"/>
    <n v="0.19900000000000001"/>
    <n v="0.19900000000000001"/>
    <n v="3.7999999999999999E-2"/>
    <n v="3.7999999999999999E-2"/>
    <n v="0.23699999999999999"/>
    <n v="0.23699999999999999"/>
  </r>
  <r>
    <x v="163"/>
    <x v="163"/>
    <s v="Methane"/>
    <s v="kg/2018 USD, purchaser price"/>
    <n v="1E-3"/>
    <n v="2.8000000000000001E-2"/>
    <n v="0"/>
    <n v="0"/>
    <n v="1E-3"/>
    <n v="2.8000000000000001E-2"/>
  </r>
  <r>
    <x v="163"/>
    <x v="163"/>
    <s v="Nitrous oxide"/>
    <s v="kg/2018 USD, purchaser price"/>
    <n v="0"/>
    <n v="0"/>
    <n v="0"/>
    <n v="0"/>
    <n v="0"/>
    <n v="0"/>
  </r>
  <r>
    <x v="163"/>
    <x v="163"/>
    <s v="other GHGs"/>
    <s v="kg CO2e/2018 USD, purchaser price"/>
    <n v="7.0000000000000001E-3"/>
    <n v="7.0000000000000001E-3"/>
    <n v="0"/>
    <n v="0"/>
    <n v="7.0000000000000001E-3"/>
    <n v="7.0000000000000001E-3"/>
  </r>
  <r>
    <x v="164"/>
    <x v="164"/>
    <s v="Carbon dioxide"/>
    <s v="kg/2018 USD, purchaser price"/>
    <n v="0.23200000000000001"/>
    <n v="0.23200000000000001"/>
    <n v="0.04"/>
    <n v="0.04"/>
    <n v="0.27200000000000002"/>
    <n v="0.27200000000000002"/>
  </r>
  <r>
    <x v="164"/>
    <x v="164"/>
    <s v="Methane"/>
    <s v="kg/2018 USD, purchaser price"/>
    <n v="1E-3"/>
    <n v="2.8000000000000001E-2"/>
    <n v="0"/>
    <n v="0"/>
    <n v="1E-3"/>
    <n v="2.8000000000000001E-2"/>
  </r>
  <r>
    <x v="164"/>
    <x v="164"/>
    <s v="Nitrous oxide"/>
    <s v="kg/2018 USD, purchaser price"/>
    <n v="0"/>
    <n v="0"/>
    <n v="0"/>
    <n v="0"/>
    <n v="0"/>
    <n v="0"/>
  </r>
  <r>
    <x v="164"/>
    <x v="164"/>
    <s v="other GHGs"/>
    <s v="kg CO2e/2018 USD, purchaser price"/>
    <n v="8.0000000000000002E-3"/>
    <n v="8.0000000000000002E-3"/>
    <n v="0"/>
    <n v="0"/>
    <n v="8.0000000000000002E-3"/>
    <n v="8.0000000000000002E-3"/>
  </r>
  <r>
    <x v="165"/>
    <x v="165"/>
    <s v="Carbon dioxide"/>
    <s v="kg/2018 USD, purchaser price"/>
    <n v="0.16600000000000001"/>
    <n v="0.16600000000000001"/>
    <n v="3.4000000000000002E-2"/>
    <n v="3.4000000000000002E-2"/>
    <n v="0.2"/>
    <n v="0.2"/>
  </r>
  <r>
    <x v="165"/>
    <x v="165"/>
    <s v="Methane"/>
    <s v="kg/2018 USD, purchaser price"/>
    <n v="1E-3"/>
    <n v="2.8000000000000001E-2"/>
    <n v="0"/>
    <n v="0"/>
    <n v="1E-3"/>
    <n v="2.8000000000000001E-2"/>
  </r>
  <r>
    <x v="165"/>
    <x v="165"/>
    <s v="Nitrous oxide"/>
    <s v="kg/2018 USD, purchaser price"/>
    <n v="0"/>
    <n v="0"/>
    <n v="0"/>
    <n v="0"/>
    <n v="0"/>
    <n v="0"/>
  </r>
  <r>
    <x v="165"/>
    <x v="165"/>
    <s v="other GHGs"/>
    <s v="kg CO2e/2018 USD, purchaser price"/>
    <n v="6.0000000000000001E-3"/>
    <n v="6.0000000000000001E-3"/>
    <n v="0"/>
    <n v="0"/>
    <n v="6.0000000000000001E-3"/>
    <n v="6.0000000000000001E-3"/>
  </r>
  <r>
    <x v="166"/>
    <x v="166"/>
    <s v="Carbon dioxide"/>
    <s v="kg/2018 USD, purchaser price"/>
    <n v="0.184"/>
    <n v="0.184"/>
    <n v="0.03"/>
    <n v="0.03"/>
    <n v="0.21299999999999999"/>
    <n v="0.21299999999999999"/>
  </r>
  <r>
    <x v="166"/>
    <x v="166"/>
    <s v="Methane"/>
    <s v="kg/2018 USD, purchaser price"/>
    <n v="1E-3"/>
    <n v="2.8000000000000001E-2"/>
    <n v="0"/>
    <n v="0"/>
    <n v="1E-3"/>
    <n v="2.8000000000000001E-2"/>
  </r>
  <r>
    <x v="166"/>
    <x v="166"/>
    <s v="Nitrous oxide"/>
    <s v="kg/2018 USD, purchaser price"/>
    <n v="0"/>
    <n v="0"/>
    <n v="0"/>
    <n v="0"/>
    <n v="0"/>
    <n v="0"/>
  </r>
  <r>
    <x v="166"/>
    <x v="166"/>
    <s v="other GHGs"/>
    <s v="kg CO2e/2018 USD, purchaser price"/>
    <n v="6.0000000000000001E-3"/>
    <n v="6.0000000000000001E-3"/>
    <n v="0"/>
    <n v="0"/>
    <n v="6.0000000000000001E-3"/>
    <n v="6.0000000000000001E-3"/>
  </r>
  <r>
    <x v="167"/>
    <x v="167"/>
    <s v="Carbon dioxide"/>
    <s v="kg/2018 USD, purchaser price"/>
    <n v="0.13200000000000001"/>
    <n v="0.13200000000000001"/>
    <n v="3.5999999999999997E-2"/>
    <n v="3.5999999999999997E-2"/>
    <n v="0.16800000000000001"/>
    <n v="0.16800000000000001"/>
  </r>
  <r>
    <x v="167"/>
    <x v="167"/>
    <s v="Methane"/>
    <s v="kg/2018 USD, purchaser price"/>
    <n v="0"/>
    <n v="0"/>
    <n v="0"/>
    <n v="0"/>
    <n v="1E-3"/>
    <n v="2.8000000000000001E-2"/>
  </r>
  <r>
    <x v="167"/>
    <x v="167"/>
    <s v="Nitrous oxide"/>
    <s v="kg/2018 USD, purchaser price"/>
    <n v="0"/>
    <n v="0"/>
    <n v="0"/>
    <n v="0"/>
    <n v="0"/>
    <n v="0"/>
  </r>
  <r>
    <x v="167"/>
    <x v="167"/>
    <s v="other GHGs"/>
    <s v="kg CO2e/2018 USD, purchaser price"/>
    <n v="4.0000000000000001E-3"/>
    <n v="4.0000000000000001E-3"/>
    <n v="0"/>
    <n v="0"/>
    <n v="4.0000000000000001E-3"/>
    <n v="4.0000000000000001E-3"/>
  </r>
  <r>
    <x v="168"/>
    <x v="168"/>
    <s v="Carbon dioxide"/>
    <s v="kg/2018 USD, purchaser price"/>
    <n v="0.09"/>
    <n v="0.09"/>
    <n v="0.10199999999999999"/>
    <n v="0.10199999999999999"/>
    <n v="0.192"/>
    <n v="0.192"/>
  </r>
  <r>
    <x v="168"/>
    <x v="168"/>
    <s v="Methane"/>
    <s v="kg/2018 USD, purchaser price"/>
    <n v="0"/>
    <n v="0"/>
    <n v="0"/>
    <n v="0"/>
    <n v="1E-3"/>
    <n v="2.8000000000000001E-2"/>
  </r>
  <r>
    <x v="168"/>
    <x v="168"/>
    <s v="Nitrous oxide"/>
    <s v="kg/2018 USD, purchaser price"/>
    <n v="0"/>
    <n v="0"/>
    <n v="0"/>
    <n v="0"/>
    <n v="0"/>
    <n v="0"/>
  </r>
  <r>
    <x v="168"/>
    <x v="168"/>
    <s v="other GHGs"/>
    <s v="kg CO2e/2018 USD, purchaser price"/>
    <n v="1.2E-2"/>
    <n v="1.2E-2"/>
    <n v="0"/>
    <n v="0"/>
    <n v="1.2E-2"/>
    <n v="1.2E-2"/>
  </r>
  <r>
    <x v="169"/>
    <x v="169"/>
    <s v="Carbon dioxide"/>
    <s v="kg/2018 USD, purchaser price"/>
    <n v="0.19800000000000001"/>
    <n v="0.19800000000000001"/>
    <n v="4.9000000000000002E-2"/>
    <n v="4.9000000000000002E-2"/>
    <n v="0.248"/>
    <n v="0.248"/>
  </r>
  <r>
    <x v="169"/>
    <x v="169"/>
    <s v="Methane"/>
    <s v="kg/2018 USD, purchaser price"/>
    <n v="1E-3"/>
    <n v="2.8000000000000001E-2"/>
    <n v="0"/>
    <n v="0"/>
    <n v="1E-3"/>
    <n v="2.8000000000000001E-2"/>
  </r>
  <r>
    <x v="169"/>
    <x v="169"/>
    <s v="Nitrous oxide"/>
    <s v="kg/2018 USD, purchaser price"/>
    <n v="0"/>
    <n v="0"/>
    <n v="0"/>
    <n v="0"/>
    <n v="0"/>
    <n v="0"/>
  </r>
  <r>
    <x v="169"/>
    <x v="169"/>
    <s v="other GHGs"/>
    <s v="kg CO2e/2018 USD, purchaser price"/>
    <n v="3.4000000000000002E-2"/>
    <n v="3.4000000000000002E-2"/>
    <n v="0"/>
    <n v="0"/>
    <n v="3.4000000000000002E-2"/>
    <n v="3.4000000000000002E-2"/>
  </r>
  <r>
    <x v="170"/>
    <x v="170"/>
    <s v="Carbon dioxide"/>
    <s v="kg/2018 USD, purchaser price"/>
    <n v="0.20499999999999999"/>
    <n v="0.20499999999999999"/>
    <n v="3.4000000000000002E-2"/>
    <n v="3.4000000000000002E-2"/>
    <n v="0.23899999999999999"/>
    <n v="0.23899999999999999"/>
  </r>
  <r>
    <x v="170"/>
    <x v="170"/>
    <s v="Methane"/>
    <s v="kg/2018 USD, purchaser price"/>
    <n v="1E-3"/>
    <n v="2.8000000000000001E-2"/>
    <n v="0"/>
    <n v="0"/>
    <n v="1E-3"/>
    <n v="2.8000000000000001E-2"/>
  </r>
  <r>
    <x v="170"/>
    <x v="170"/>
    <s v="Nitrous oxide"/>
    <s v="kg/2018 USD, purchaser price"/>
    <n v="0"/>
    <n v="0"/>
    <n v="0"/>
    <n v="0"/>
    <n v="0"/>
    <n v="0"/>
  </r>
  <r>
    <x v="170"/>
    <x v="170"/>
    <s v="other GHGs"/>
    <s v="kg CO2e/2018 USD, purchaser price"/>
    <n v="2.7E-2"/>
    <n v="2.7E-2"/>
    <n v="0"/>
    <n v="0"/>
    <n v="2.7E-2"/>
    <n v="2.7E-2"/>
  </r>
  <r>
    <x v="171"/>
    <x v="171"/>
    <s v="Carbon dioxide"/>
    <s v="kg/2018 USD, purchaser price"/>
    <n v="0.16500000000000001"/>
    <n v="0.16500000000000001"/>
    <n v="0.06"/>
    <n v="0.06"/>
    <n v="0.22500000000000001"/>
    <n v="0.22500000000000001"/>
  </r>
  <r>
    <x v="171"/>
    <x v="171"/>
    <s v="Methane"/>
    <s v="kg/2018 USD, purchaser price"/>
    <n v="1E-3"/>
    <n v="2.8000000000000001E-2"/>
    <n v="0"/>
    <n v="0"/>
    <n v="1E-3"/>
    <n v="2.8000000000000001E-2"/>
  </r>
  <r>
    <x v="171"/>
    <x v="171"/>
    <s v="Nitrous oxide"/>
    <s v="kg/2018 USD, purchaser price"/>
    <n v="0"/>
    <n v="0"/>
    <n v="0"/>
    <n v="0"/>
    <n v="0"/>
    <n v="0"/>
  </r>
  <r>
    <x v="171"/>
    <x v="171"/>
    <s v="other GHGs"/>
    <s v="kg CO2e/2018 USD, purchaser price"/>
    <n v="8.0000000000000002E-3"/>
    <n v="8.0000000000000002E-3"/>
    <n v="0"/>
    <n v="0"/>
    <n v="8.0000000000000002E-3"/>
    <n v="8.0000000000000002E-3"/>
  </r>
  <r>
    <x v="172"/>
    <x v="172"/>
    <s v="Carbon dioxide"/>
    <s v="kg/2018 USD, purchaser price"/>
    <n v="0.14699999999999999"/>
    <n v="0.14699999999999999"/>
    <n v="0.05"/>
    <n v="0.05"/>
    <n v="0.19700000000000001"/>
    <n v="0.19700000000000001"/>
  </r>
  <r>
    <x v="172"/>
    <x v="172"/>
    <s v="Methane"/>
    <s v="kg/2018 USD, purchaser price"/>
    <n v="1E-3"/>
    <n v="2.8000000000000001E-2"/>
    <n v="0"/>
    <n v="0"/>
    <n v="1E-3"/>
    <n v="2.8000000000000001E-2"/>
  </r>
  <r>
    <x v="172"/>
    <x v="172"/>
    <s v="Nitrous oxide"/>
    <s v="kg/2018 USD, purchaser price"/>
    <n v="0"/>
    <n v="0"/>
    <n v="0"/>
    <n v="0"/>
    <n v="0"/>
    <n v="0"/>
  </r>
  <r>
    <x v="172"/>
    <x v="172"/>
    <s v="other GHGs"/>
    <s v="kg CO2e/2018 USD, purchaser price"/>
    <n v="0.433"/>
    <n v="0.433"/>
    <n v="0"/>
    <n v="0"/>
    <n v="0.433"/>
    <n v="0.433"/>
  </r>
  <r>
    <x v="173"/>
    <x v="173"/>
    <s v="Carbon dioxide"/>
    <s v="kg/2018 USD, purchaser price"/>
    <n v="0.307"/>
    <n v="0.307"/>
    <n v="3.2000000000000001E-2"/>
    <n v="3.2000000000000001E-2"/>
    <n v="0.33900000000000002"/>
    <n v="0.33900000000000002"/>
  </r>
  <r>
    <x v="173"/>
    <x v="173"/>
    <s v="Methane"/>
    <s v="kg/2018 USD, purchaser price"/>
    <n v="1E-3"/>
    <n v="2.8000000000000001E-2"/>
    <n v="0"/>
    <n v="0"/>
    <n v="1E-3"/>
    <n v="2.8000000000000001E-2"/>
  </r>
  <r>
    <x v="173"/>
    <x v="173"/>
    <s v="Nitrous oxide"/>
    <s v="kg/2018 USD, purchaser price"/>
    <n v="0"/>
    <n v="0"/>
    <n v="0"/>
    <n v="0"/>
    <n v="0"/>
    <n v="0"/>
  </r>
  <r>
    <x v="173"/>
    <x v="173"/>
    <s v="other GHGs"/>
    <s v="kg CO2e/2018 USD, purchaser price"/>
    <n v="7.0000000000000001E-3"/>
    <n v="7.0000000000000001E-3"/>
    <n v="0"/>
    <n v="0"/>
    <n v="7.0000000000000001E-3"/>
    <n v="7.0000000000000001E-3"/>
  </r>
  <r>
    <x v="174"/>
    <x v="174"/>
    <s v="Carbon dioxide"/>
    <s v="kg/2018 USD, purchaser price"/>
    <n v="0.20399999999999999"/>
    <n v="0.20399999999999999"/>
    <n v="3.1E-2"/>
    <n v="3.1E-2"/>
    <n v="0.23499999999999999"/>
    <n v="0.23499999999999999"/>
  </r>
  <r>
    <x v="174"/>
    <x v="174"/>
    <s v="Methane"/>
    <s v="kg/2018 USD, purchaser price"/>
    <n v="1E-3"/>
    <n v="2.8000000000000001E-2"/>
    <n v="0"/>
    <n v="0"/>
    <n v="1E-3"/>
    <n v="2.8000000000000001E-2"/>
  </r>
  <r>
    <x v="174"/>
    <x v="174"/>
    <s v="Nitrous oxide"/>
    <s v="kg/2018 USD, purchaser price"/>
    <n v="0"/>
    <n v="0"/>
    <n v="0"/>
    <n v="0"/>
    <n v="0"/>
    <n v="0"/>
  </r>
  <r>
    <x v="174"/>
    <x v="174"/>
    <s v="other GHGs"/>
    <s v="kg CO2e/2018 USD, purchaser price"/>
    <n v="6.0000000000000001E-3"/>
    <n v="6.0000000000000001E-3"/>
    <n v="0"/>
    <n v="0"/>
    <n v="6.0000000000000001E-3"/>
    <n v="6.0000000000000001E-3"/>
  </r>
  <r>
    <x v="175"/>
    <x v="175"/>
    <s v="Carbon dioxide"/>
    <s v="kg/2018 USD, purchaser price"/>
    <n v="0.20799999999999999"/>
    <n v="0.20799999999999999"/>
    <n v="3.1E-2"/>
    <n v="3.1E-2"/>
    <n v="0.23799999999999999"/>
    <n v="0.23799999999999999"/>
  </r>
  <r>
    <x v="175"/>
    <x v="175"/>
    <s v="Methane"/>
    <s v="kg/2018 USD, purchaser price"/>
    <n v="1E-3"/>
    <n v="2.8000000000000001E-2"/>
    <n v="0"/>
    <n v="0"/>
    <n v="1E-3"/>
    <n v="2.8000000000000001E-2"/>
  </r>
  <r>
    <x v="175"/>
    <x v="175"/>
    <s v="Nitrous oxide"/>
    <s v="kg/2018 USD, purchaser price"/>
    <n v="0"/>
    <n v="0"/>
    <n v="0"/>
    <n v="0"/>
    <n v="0"/>
    <n v="0"/>
  </r>
  <r>
    <x v="175"/>
    <x v="175"/>
    <s v="other GHGs"/>
    <s v="kg CO2e/2018 USD, purchaser price"/>
    <n v="7.0000000000000001E-3"/>
    <n v="7.0000000000000001E-3"/>
    <n v="0"/>
    <n v="0"/>
    <n v="7.0000000000000001E-3"/>
    <n v="7.0000000000000001E-3"/>
  </r>
  <r>
    <x v="176"/>
    <x v="176"/>
    <s v="Carbon dioxide"/>
    <s v="kg/2018 USD, purchaser price"/>
    <n v="0.21299999999999999"/>
    <n v="0.21299999999999999"/>
    <n v="2.9000000000000001E-2"/>
    <n v="2.9000000000000001E-2"/>
    <n v="0.24199999999999999"/>
    <n v="0.24199999999999999"/>
  </r>
  <r>
    <x v="176"/>
    <x v="176"/>
    <s v="Methane"/>
    <s v="kg/2018 USD, purchaser price"/>
    <n v="1E-3"/>
    <n v="2.8000000000000001E-2"/>
    <n v="0"/>
    <n v="0"/>
    <n v="1E-3"/>
    <n v="2.8000000000000001E-2"/>
  </r>
  <r>
    <x v="176"/>
    <x v="176"/>
    <s v="Nitrous oxide"/>
    <s v="kg/2018 USD, purchaser price"/>
    <n v="0"/>
    <n v="0"/>
    <n v="0"/>
    <n v="0"/>
    <n v="0"/>
    <n v="0"/>
  </r>
  <r>
    <x v="176"/>
    <x v="176"/>
    <s v="other GHGs"/>
    <s v="kg CO2e/2018 USD, purchaser price"/>
    <n v="7.0000000000000001E-3"/>
    <n v="7.0000000000000001E-3"/>
    <n v="0"/>
    <n v="0"/>
    <n v="7.0000000000000001E-3"/>
    <n v="7.0000000000000001E-3"/>
  </r>
  <r>
    <x v="177"/>
    <x v="177"/>
    <s v="Carbon dioxide"/>
    <s v="kg/2018 USD, purchaser price"/>
    <n v="0.214"/>
    <n v="0.214"/>
    <n v="3.3000000000000002E-2"/>
    <n v="3.3000000000000002E-2"/>
    <n v="0.246"/>
    <n v="0.246"/>
  </r>
  <r>
    <x v="177"/>
    <x v="177"/>
    <s v="Methane"/>
    <s v="kg/2018 USD, purchaser price"/>
    <n v="1E-3"/>
    <n v="2.8000000000000001E-2"/>
    <n v="0"/>
    <n v="0"/>
    <n v="1E-3"/>
    <n v="2.8000000000000001E-2"/>
  </r>
  <r>
    <x v="177"/>
    <x v="177"/>
    <s v="Nitrous oxide"/>
    <s v="kg/2018 USD, purchaser price"/>
    <n v="0"/>
    <n v="0"/>
    <n v="0"/>
    <n v="0"/>
    <n v="0"/>
    <n v="0"/>
  </r>
  <r>
    <x v="177"/>
    <x v="177"/>
    <s v="other GHGs"/>
    <s v="kg CO2e/2018 USD, purchaser price"/>
    <n v="7.0000000000000001E-3"/>
    <n v="7.0000000000000001E-3"/>
    <n v="0"/>
    <n v="0"/>
    <n v="7.0000000000000001E-3"/>
    <n v="7.0000000000000001E-3"/>
  </r>
  <r>
    <x v="178"/>
    <x v="178"/>
    <s v="Carbon dioxide"/>
    <s v="kg/2018 USD, purchaser price"/>
    <n v="0.19700000000000001"/>
    <n v="0.19700000000000001"/>
    <n v="2.9000000000000001E-2"/>
    <n v="2.9000000000000001E-2"/>
    <n v="0.22600000000000001"/>
    <n v="0.22600000000000001"/>
  </r>
  <r>
    <x v="178"/>
    <x v="178"/>
    <s v="Methane"/>
    <s v="kg/2018 USD, purchaser price"/>
    <n v="1E-3"/>
    <n v="2.8000000000000001E-2"/>
    <n v="0"/>
    <n v="0"/>
    <n v="1E-3"/>
    <n v="2.8000000000000001E-2"/>
  </r>
  <r>
    <x v="178"/>
    <x v="178"/>
    <s v="Nitrous oxide"/>
    <s v="kg/2018 USD, purchaser price"/>
    <n v="0"/>
    <n v="0"/>
    <n v="0"/>
    <n v="0"/>
    <n v="0"/>
    <n v="0"/>
  </r>
  <r>
    <x v="178"/>
    <x v="178"/>
    <s v="other GHGs"/>
    <s v="kg CO2e/2018 USD, purchaser price"/>
    <n v="6.0000000000000001E-3"/>
    <n v="6.0000000000000001E-3"/>
    <n v="0"/>
    <n v="0"/>
    <n v="6.0000000000000001E-3"/>
    <n v="6.0000000000000001E-3"/>
  </r>
  <r>
    <x v="179"/>
    <x v="179"/>
    <s v="Carbon dioxide"/>
    <s v="kg/2018 USD, purchaser price"/>
    <n v="0.21199999999999999"/>
    <n v="0.21199999999999999"/>
    <n v="3.1E-2"/>
    <n v="3.1E-2"/>
    <n v="0.24299999999999999"/>
    <n v="0.24299999999999999"/>
  </r>
  <r>
    <x v="179"/>
    <x v="179"/>
    <s v="Methane"/>
    <s v="kg/2018 USD, purchaser price"/>
    <n v="1E-3"/>
    <n v="2.8000000000000001E-2"/>
    <n v="0"/>
    <n v="0"/>
    <n v="1E-3"/>
    <n v="2.8000000000000001E-2"/>
  </r>
  <r>
    <x v="179"/>
    <x v="179"/>
    <s v="Nitrous oxide"/>
    <s v="kg/2018 USD, purchaser price"/>
    <n v="0"/>
    <n v="0"/>
    <n v="0"/>
    <n v="0"/>
    <n v="0"/>
    <n v="0"/>
  </r>
  <r>
    <x v="179"/>
    <x v="179"/>
    <s v="other GHGs"/>
    <s v="kg CO2e/2018 USD, purchaser price"/>
    <n v="6.0000000000000001E-3"/>
    <n v="6.0000000000000001E-3"/>
    <n v="0"/>
    <n v="0"/>
    <n v="6.0000000000000001E-3"/>
    <n v="6.0000000000000001E-3"/>
  </r>
  <r>
    <x v="180"/>
    <x v="180"/>
    <s v="Carbon dioxide"/>
    <s v="kg/2018 USD, purchaser price"/>
    <n v="0.25800000000000001"/>
    <n v="0.25800000000000001"/>
    <n v="3.4000000000000002E-2"/>
    <n v="3.4000000000000002E-2"/>
    <n v="0.29199999999999998"/>
    <n v="0.29199999999999998"/>
  </r>
  <r>
    <x v="180"/>
    <x v="180"/>
    <s v="Methane"/>
    <s v="kg/2018 USD, purchaser price"/>
    <n v="1E-3"/>
    <n v="2.8000000000000001E-2"/>
    <n v="0"/>
    <n v="0"/>
    <n v="1E-3"/>
    <n v="2.8000000000000001E-2"/>
  </r>
  <r>
    <x v="180"/>
    <x v="180"/>
    <s v="Nitrous oxide"/>
    <s v="kg/2018 USD, purchaser price"/>
    <n v="0"/>
    <n v="0"/>
    <n v="0"/>
    <n v="0"/>
    <n v="0"/>
    <n v="0"/>
  </r>
  <r>
    <x v="180"/>
    <x v="180"/>
    <s v="other GHGs"/>
    <s v="kg CO2e/2018 USD, purchaser price"/>
    <n v="1.6E-2"/>
    <n v="1.6E-2"/>
    <n v="0"/>
    <n v="0"/>
    <n v="1.6E-2"/>
    <n v="1.6E-2"/>
  </r>
  <r>
    <x v="181"/>
    <x v="181"/>
    <s v="Carbon dioxide"/>
    <s v="kg/2018 USD, purchaser price"/>
    <n v="0.184"/>
    <n v="0.184"/>
    <n v="2.8000000000000001E-2"/>
    <n v="2.8000000000000001E-2"/>
    <n v="0.21299999999999999"/>
    <n v="0.21299999999999999"/>
  </r>
  <r>
    <x v="181"/>
    <x v="181"/>
    <s v="Methane"/>
    <s v="kg/2018 USD, purchaser price"/>
    <n v="1E-3"/>
    <n v="2.8000000000000001E-2"/>
    <n v="0"/>
    <n v="0"/>
    <n v="1E-3"/>
    <n v="2.8000000000000001E-2"/>
  </r>
  <r>
    <x v="181"/>
    <x v="181"/>
    <s v="Nitrous oxide"/>
    <s v="kg/2018 USD, purchaser price"/>
    <n v="0"/>
    <n v="0"/>
    <n v="0"/>
    <n v="0"/>
    <n v="0"/>
    <n v="0"/>
  </r>
  <r>
    <x v="181"/>
    <x v="181"/>
    <s v="other GHGs"/>
    <s v="kg CO2e/2018 USD, purchaser price"/>
    <n v="8.0000000000000002E-3"/>
    <n v="8.0000000000000002E-3"/>
    <n v="0"/>
    <n v="0"/>
    <n v="8.0000000000000002E-3"/>
    <n v="8.0000000000000002E-3"/>
  </r>
  <r>
    <x v="182"/>
    <x v="182"/>
    <s v="Carbon dioxide"/>
    <s v="kg/2018 USD, purchaser price"/>
    <n v="0.16400000000000001"/>
    <n v="0.16400000000000001"/>
    <n v="2.7E-2"/>
    <n v="2.7E-2"/>
    <n v="0.192"/>
    <n v="0.192"/>
  </r>
  <r>
    <x v="182"/>
    <x v="182"/>
    <s v="Methane"/>
    <s v="kg/2018 USD, purchaser price"/>
    <n v="1E-3"/>
    <n v="2.8000000000000001E-2"/>
    <n v="0"/>
    <n v="0"/>
    <n v="1E-3"/>
    <n v="2.8000000000000001E-2"/>
  </r>
  <r>
    <x v="182"/>
    <x v="182"/>
    <s v="Nitrous oxide"/>
    <s v="kg/2018 USD, purchaser price"/>
    <n v="0"/>
    <n v="0"/>
    <n v="0"/>
    <n v="0"/>
    <n v="0"/>
    <n v="0"/>
  </r>
  <r>
    <x v="182"/>
    <x v="182"/>
    <s v="other GHGs"/>
    <s v="kg CO2e/2018 USD, purchaser price"/>
    <n v="8.0000000000000002E-3"/>
    <n v="8.0000000000000002E-3"/>
    <n v="0"/>
    <n v="0"/>
    <n v="8.0000000000000002E-3"/>
    <n v="8.0000000000000002E-3"/>
  </r>
  <r>
    <x v="183"/>
    <x v="183"/>
    <s v="Carbon dioxide"/>
    <s v="kg/2018 USD, purchaser price"/>
    <n v="0.23799999999999999"/>
    <n v="0.23799999999999999"/>
    <n v="2.8000000000000001E-2"/>
    <n v="2.8000000000000001E-2"/>
    <n v="0.26600000000000001"/>
    <n v="0.26600000000000001"/>
  </r>
  <r>
    <x v="183"/>
    <x v="183"/>
    <s v="Methane"/>
    <s v="kg/2018 USD, purchaser price"/>
    <n v="1E-3"/>
    <n v="2.8000000000000001E-2"/>
    <n v="0"/>
    <n v="0"/>
    <n v="1E-3"/>
    <n v="2.8000000000000001E-2"/>
  </r>
  <r>
    <x v="183"/>
    <x v="183"/>
    <s v="Nitrous oxide"/>
    <s v="kg/2018 USD, purchaser price"/>
    <n v="0"/>
    <n v="0"/>
    <n v="0"/>
    <n v="0"/>
    <n v="0"/>
    <n v="0"/>
  </r>
  <r>
    <x v="183"/>
    <x v="183"/>
    <s v="other GHGs"/>
    <s v="kg CO2e/2018 USD, purchaser price"/>
    <n v="7.0000000000000001E-3"/>
    <n v="7.0000000000000001E-3"/>
    <n v="0"/>
    <n v="0"/>
    <n v="7.0000000000000001E-3"/>
    <n v="7.0000000000000001E-3"/>
  </r>
  <r>
    <x v="184"/>
    <x v="184"/>
    <s v="Carbon dioxide"/>
    <s v="kg/2018 USD, purchaser price"/>
    <n v="0.10100000000000001"/>
    <n v="0.10100000000000001"/>
    <n v="8.8999999999999996E-2"/>
    <n v="8.8999999999999996E-2"/>
    <n v="0.19"/>
    <n v="0.19"/>
  </r>
  <r>
    <x v="184"/>
    <x v="184"/>
    <s v="Methane"/>
    <s v="kg/2018 USD, purchaser price"/>
    <n v="0"/>
    <n v="0"/>
    <n v="0"/>
    <n v="0"/>
    <n v="1E-3"/>
    <n v="2.8000000000000001E-2"/>
  </r>
  <r>
    <x v="184"/>
    <x v="184"/>
    <s v="Nitrous oxide"/>
    <s v="kg/2018 USD, purchaser price"/>
    <n v="0"/>
    <n v="0"/>
    <n v="0"/>
    <n v="0"/>
    <n v="0"/>
    <n v="0"/>
  </r>
  <r>
    <x v="184"/>
    <x v="184"/>
    <s v="other GHGs"/>
    <s v="kg CO2e/2018 USD, purchaser price"/>
    <n v="6.0000000000000001E-3"/>
    <n v="6.0000000000000001E-3"/>
    <n v="0"/>
    <n v="0"/>
    <n v="6.0000000000000001E-3"/>
    <n v="6.0000000000000001E-3"/>
  </r>
  <r>
    <x v="185"/>
    <x v="185"/>
    <s v="Carbon dioxide"/>
    <s v="kg/2018 USD, purchaser price"/>
    <n v="0.14199999999999999"/>
    <n v="0.14199999999999999"/>
    <n v="2.7E-2"/>
    <n v="2.7E-2"/>
    <n v="0.16900000000000001"/>
    <n v="0.16900000000000001"/>
  </r>
  <r>
    <x v="185"/>
    <x v="185"/>
    <s v="Methane"/>
    <s v="kg/2018 USD, purchaser price"/>
    <n v="1E-3"/>
    <n v="2.8000000000000001E-2"/>
    <n v="0"/>
    <n v="0"/>
    <n v="1E-3"/>
    <n v="2.8000000000000001E-2"/>
  </r>
  <r>
    <x v="185"/>
    <x v="185"/>
    <s v="Nitrous oxide"/>
    <s v="kg/2018 USD, purchaser price"/>
    <n v="0"/>
    <n v="0"/>
    <n v="0"/>
    <n v="0"/>
    <n v="0"/>
    <n v="0"/>
  </r>
  <r>
    <x v="185"/>
    <x v="185"/>
    <s v="other GHGs"/>
    <s v="kg CO2e/2018 USD, purchaser price"/>
    <n v="6.0000000000000001E-3"/>
    <n v="6.0000000000000001E-3"/>
    <n v="0"/>
    <n v="0"/>
    <n v="6.0000000000000001E-3"/>
    <n v="6.0000000000000001E-3"/>
  </r>
  <r>
    <x v="186"/>
    <x v="186"/>
    <s v="Carbon dioxide"/>
    <s v="kg/2018 USD, purchaser price"/>
    <n v="0.18"/>
    <n v="0.18"/>
    <n v="2.9000000000000001E-2"/>
    <n v="2.9000000000000001E-2"/>
    <n v="0.20899999999999999"/>
    <n v="0.20899999999999999"/>
  </r>
  <r>
    <x v="186"/>
    <x v="186"/>
    <s v="Methane"/>
    <s v="kg/2018 USD, purchaser price"/>
    <n v="1E-3"/>
    <n v="2.8000000000000001E-2"/>
    <n v="0"/>
    <n v="0"/>
    <n v="1E-3"/>
    <n v="2.8000000000000001E-2"/>
  </r>
  <r>
    <x v="186"/>
    <x v="186"/>
    <s v="Nitrous oxide"/>
    <s v="kg/2018 USD, purchaser price"/>
    <n v="0"/>
    <n v="0"/>
    <n v="0"/>
    <n v="0"/>
    <n v="0"/>
    <n v="0"/>
  </r>
  <r>
    <x v="186"/>
    <x v="186"/>
    <s v="other GHGs"/>
    <s v="kg CO2e/2018 USD, purchaser price"/>
    <n v="6.0000000000000001E-3"/>
    <n v="6.0000000000000001E-3"/>
    <n v="0"/>
    <n v="0"/>
    <n v="6.0000000000000001E-3"/>
    <n v="6.0000000000000001E-3"/>
  </r>
  <r>
    <x v="187"/>
    <x v="187"/>
    <s v="Carbon dioxide"/>
    <s v="kg/2018 USD, purchaser price"/>
    <n v="0.22"/>
    <n v="0.22"/>
    <n v="3.1E-2"/>
    <n v="3.1E-2"/>
    <n v="0.251"/>
    <n v="0.251"/>
  </r>
  <r>
    <x v="187"/>
    <x v="187"/>
    <s v="Methane"/>
    <s v="kg/2018 USD, purchaser price"/>
    <n v="1E-3"/>
    <n v="2.8000000000000001E-2"/>
    <n v="0"/>
    <n v="0"/>
    <n v="1E-3"/>
    <n v="2.8000000000000001E-2"/>
  </r>
  <r>
    <x v="187"/>
    <x v="187"/>
    <s v="Nitrous oxide"/>
    <s v="kg/2018 USD, purchaser price"/>
    <n v="0"/>
    <n v="0"/>
    <n v="0"/>
    <n v="0"/>
    <n v="0"/>
    <n v="0"/>
  </r>
  <r>
    <x v="187"/>
    <x v="187"/>
    <s v="other GHGs"/>
    <s v="kg CO2e/2018 USD, purchaser price"/>
    <n v="6.0000000000000001E-3"/>
    <n v="6.0000000000000001E-3"/>
    <n v="0"/>
    <n v="0"/>
    <n v="6.0000000000000001E-3"/>
    <n v="6.0000000000000001E-3"/>
  </r>
  <r>
    <x v="188"/>
    <x v="188"/>
    <s v="Carbon dioxide"/>
    <s v="kg/2018 USD, purchaser price"/>
    <n v="0.217"/>
    <n v="0.217"/>
    <n v="0.03"/>
    <n v="0.03"/>
    <n v="0.247"/>
    <n v="0.247"/>
  </r>
  <r>
    <x v="188"/>
    <x v="188"/>
    <s v="Methane"/>
    <s v="kg/2018 USD, purchaser price"/>
    <n v="1E-3"/>
    <n v="2.8000000000000001E-2"/>
    <n v="0"/>
    <n v="0"/>
    <n v="1E-3"/>
    <n v="2.8000000000000001E-2"/>
  </r>
  <r>
    <x v="188"/>
    <x v="188"/>
    <s v="Nitrous oxide"/>
    <s v="kg/2018 USD, purchaser price"/>
    <n v="0"/>
    <n v="0"/>
    <n v="0"/>
    <n v="0"/>
    <n v="0"/>
    <n v="0"/>
  </r>
  <r>
    <x v="188"/>
    <x v="188"/>
    <s v="other GHGs"/>
    <s v="kg CO2e/2018 USD, purchaser price"/>
    <n v="7.0000000000000001E-3"/>
    <n v="7.0000000000000001E-3"/>
    <n v="0"/>
    <n v="0"/>
    <n v="7.0000000000000001E-3"/>
    <n v="7.0000000000000001E-3"/>
  </r>
  <r>
    <x v="189"/>
    <x v="189"/>
    <s v="Carbon dioxide"/>
    <s v="kg/2018 USD, purchaser price"/>
    <n v="3.5999999999999997E-2"/>
    <n v="3.5999999999999997E-2"/>
    <n v="6.6000000000000003E-2"/>
    <n v="6.6000000000000003E-2"/>
    <n v="0.10199999999999999"/>
    <n v="0.10199999999999999"/>
  </r>
  <r>
    <x v="189"/>
    <x v="189"/>
    <s v="Methane"/>
    <s v="kg/2018 USD, purchaser price"/>
    <n v="0"/>
    <n v="0"/>
    <n v="0"/>
    <n v="0"/>
    <n v="0"/>
    <n v="0"/>
  </r>
  <r>
    <x v="189"/>
    <x v="189"/>
    <s v="Nitrous oxide"/>
    <s v="kg/2018 USD, purchaser price"/>
    <n v="0"/>
    <n v="0"/>
    <n v="0"/>
    <n v="0"/>
    <n v="0"/>
    <n v="0"/>
  </r>
  <r>
    <x v="189"/>
    <x v="189"/>
    <s v="other GHGs"/>
    <s v="kg CO2e/2018 USD, purchaser price"/>
    <n v="7.0000000000000001E-3"/>
    <n v="7.0000000000000001E-3"/>
    <n v="0"/>
    <n v="0"/>
    <n v="7.0000000000000001E-3"/>
    <n v="7.0000000000000001E-3"/>
  </r>
  <r>
    <x v="190"/>
    <x v="190"/>
    <s v="Carbon dioxide"/>
    <s v="kg/2018 USD, purchaser price"/>
    <n v="7.5999999999999998E-2"/>
    <n v="7.5999999999999998E-2"/>
    <n v="5.8000000000000003E-2"/>
    <n v="5.8000000000000003E-2"/>
    <n v="0.13400000000000001"/>
    <n v="0.13400000000000001"/>
  </r>
  <r>
    <x v="190"/>
    <x v="190"/>
    <s v="Methane"/>
    <s v="kg/2018 USD, purchaser price"/>
    <n v="0"/>
    <n v="0"/>
    <n v="0"/>
    <n v="0"/>
    <n v="1E-3"/>
    <n v="2.8000000000000001E-2"/>
  </r>
  <r>
    <x v="190"/>
    <x v="190"/>
    <s v="Nitrous oxide"/>
    <s v="kg/2018 USD, purchaser price"/>
    <n v="0"/>
    <n v="0"/>
    <n v="0"/>
    <n v="0"/>
    <n v="0"/>
    <n v="0"/>
  </r>
  <r>
    <x v="190"/>
    <x v="190"/>
    <s v="other GHGs"/>
    <s v="kg CO2e/2018 USD, purchaser price"/>
    <n v="7.0000000000000001E-3"/>
    <n v="7.0000000000000001E-3"/>
    <n v="0"/>
    <n v="0"/>
    <n v="7.0000000000000001E-3"/>
    <n v="7.0000000000000001E-3"/>
  </r>
  <r>
    <x v="191"/>
    <x v="191"/>
    <s v="Carbon dioxide"/>
    <s v="kg/2018 USD, purchaser price"/>
    <n v="0.11700000000000001"/>
    <n v="0.11700000000000001"/>
    <n v="0.05"/>
    <n v="0.05"/>
    <n v="0.16700000000000001"/>
    <n v="0.16700000000000001"/>
  </r>
  <r>
    <x v="191"/>
    <x v="191"/>
    <s v="Methane"/>
    <s v="kg/2018 USD, purchaser price"/>
    <n v="0"/>
    <n v="0"/>
    <n v="0"/>
    <n v="0"/>
    <n v="1E-3"/>
    <n v="2.8000000000000001E-2"/>
  </r>
  <r>
    <x v="191"/>
    <x v="191"/>
    <s v="Nitrous oxide"/>
    <s v="kg/2018 USD, purchaser price"/>
    <n v="0"/>
    <n v="0"/>
    <n v="0"/>
    <n v="0"/>
    <n v="0"/>
    <n v="0"/>
  </r>
  <r>
    <x v="191"/>
    <x v="191"/>
    <s v="other GHGs"/>
    <s v="kg CO2e/2018 USD, purchaser price"/>
    <n v="4.0000000000000001E-3"/>
    <n v="4.0000000000000001E-3"/>
    <n v="0"/>
    <n v="0"/>
    <n v="4.0000000000000001E-3"/>
    <n v="4.0000000000000001E-3"/>
  </r>
  <r>
    <x v="192"/>
    <x v="192"/>
    <s v="Carbon dioxide"/>
    <s v="kg/2018 USD, purchaser price"/>
    <n v="6.6000000000000003E-2"/>
    <n v="6.6000000000000003E-2"/>
    <n v="9.7000000000000003E-2"/>
    <n v="9.7000000000000003E-2"/>
    <n v="0.16300000000000001"/>
    <n v="0.16300000000000001"/>
  </r>
  <r>
    <x v="192"/>
    <x v="192"/>
    <s v="Methane"/>
    <s v="kg/2018 USD, purchaser price"/>
    <n v="0"/>
    <n v="0"/>
    <n v="0"/>
    <n v="0"/>
    <n v="1E-3"/>
    <n v="2.8000000000000001E-2"/>
  </r>
  <r>
    <x v="192"/>
    <x v="192"/>
    <s v="Nitrous oxide"/>
    <s v="kg/2018 USD, purchaser price"/>
    <n v="0"/>
    <n v="0"/>
    <n v="0"/>
    <n v="0"/>
    <n v="0"/>
    <n v="0"/>
  </r>
  <r>
    <x v="192"/>
    <x v="192"/>
    <s v="other GHGs"/>
    <s v="kg CO2e/2018 USD, purchaser price"/>
    <n v="3.0000000000000001E-3"/>
    <n v="3.0000000000000001E-3"/>
    <n v="0"/>
    <n v="0"/>
    <n v="3.0000000000000001E-3"/>
    <n v="3.0000000000000001E-3"/>
  </r>
  <r>
    <x v="193"/>
    <x v="193"/>
    <s v="Carbon dioxide"/>
    <s v="kg/2018 USD, purchaser price"/>
    <n v="7.9000000000000001E-2"/>
    <n v="7.9000000000000001E-2"/>
    <n v="8.8999999999999996E-2"/>
    <n v="8.8999999999999996E-2"/>
    <n v="0.16700000000000001"/>
    <n v="0.16700000000000001"/>
  </r>
  <r>
    <x v="193"/>
    <x v="193"/>
    <s v="Methane"/>
    <s v="kg/2018 USD, purchaser price"/>
    <n v="0"/>
    <n v="0"/>
    <n v="0"/>
    <n v="0"/>
    <n v="1E-3"/>
    <n v="2.8000000000000001E-2"/>
  </r>
  <r>
    <x v="193"/>
    <x v="193"/>
    <s v="Nitrous oxide"/>
    <s v="kg/2018 USD, purchaser price"/>
    <n v="0"/>
    <n v="0"/>
    <n v="0"/>
    <n v="0"/>
    <n v="0"/>
    <n v="0"/>
  </r>
  <r>
    <x v="193"/>
    <x v="193"/>
    <s v="other GHGs"/>
    <s v="kg CO2e/2018 USD, purchaser price"/>
    <n v="2E-3"/>
    <n v="2E-3"/>
    <n v="0"/>
    <n v="0"/>
    <n v="2E-3"/>
    <n v="2E-3"/>
  </r>
  <r>
    <x v="194"/>
    <x v="194"/>
    <s v="Carbon dioxide"/>
    <s v="kg/2018 USD, purchaser price"/>
    <n v="6.4000000000000001E-2"/>
    <n v="6.4000000000000001E-2"/>
    <n v="0.05"/>
    <n v="0.05"/>
    <n v="0.114"/>
    <n v="0.114"/>
  </r>
  <r>
    <x v="194"/>
    <x v="194"/>
    <s v="Methane"/>
    <s v="kg/2018 USD, purchaser price"/>
    <n v="0"/>
    <n v="0"/>
    <n v="0"/>
    <n v="0"/>
    <n v="1E-3"/>
    <n v="2.8000000000000001E-2"/>
  </r>
  <r>
    <x v="194"/>
    <x v="194"/>
    <s v="Nitrous oxide"/>
    <s v="kg/2018 USD, purchaser price"/>
    <n v="0"/>
    <n v="0"/>
    <n v="0"/>
    <n v="0"/>
    <n v="0"/>
    <n v="0"/>
  </r>
  <r>
    <x v="194"/>
    <x v="194"/>
    <s v="other GHGs"/>
    <s v="kg CO2e/2018 USD, purchaser price"/>
    <n v="3.0000000000000001E-3"/>
    <n v="3.0000000000000001E-3"/>
    <n v="0"/>
    <n v="0"/>
    <n v="3.0000000000000001E-3"/>
    <n v="3.0000000000000001E-3"/>
  </r>
  <r>
    <x v="195"/>
    <x v="195"/>
    <s v="Carbon dioxide"/>
    <s v="kg/2018 USD, purchaser price"/>
    <n v="6.5000000000000002E-2"/>
    <n v="6.5000000000000002E-2"/>
    <n v="7.5999999999999998E-2"/>
    <n v="7.5999999999999998E-2"/>
    <n v="0.14099999999999999"/>
    <n v="0.14099999999999999"/>
  </r>
  <r>
    <x v="195"/>
    <x v="195"/>
    <s v="Methane"/>
    <s v="kg/2018 USD, purchaser price"/>
    <n v="0"/>
    <n v="0"/>
    <n v="0"/>
    <n v="0"/>
    <n v="1E-3"/>
    <n v="2.8000000000000001E-2"/>
  </r>
  <r>
    <x v="195"/>
    <x v="195"/>
    <s v="Nitrous oxide"/>
    <s v="kg/2018 USD, purchaser price"/>
    <n v="0"/>
    <n v="0"/>
    <n v="0"/>
    <n v="0"/>
    <n v="0"/>
    <n v="0"/>
  </r>
  <r>
    <x v="195"/>
    <x v="195"/>
    <s v="other GHGs"/>
    <s v="kg CO2e/2018 USD, purchaser price"/>
    <n v="3.0000000000000001E-3"/>
    <n v="3.0000000000000001E-3"/>
    <n v="0"/>
    <n v="0"/>
    <n v="3.0000000000000001E-3"/>
    <n v="3.0000000000000001E-3"/>
  </r>
  <r>
    <x v="196"/>
    <x v="196"/>
    <s v="Carbon dioxide"/>
    <s v="kg/2018 USD, purchaser price"/>
    <n v="0.13800000000000001"/>
    <n v="0.13800000000000001"/>
    <n v="3.4000000000000002E-2"/>
    <n v="3.4000000000000002E-2"/>
    <n v="0.17199999999999999"/>
    <n v="0.17199999999999999"/>
  </r>
  <r>
    <x v="196"/>
    <x v="196"/>
    <s v="Methane"/>
    <s v="kg/2018 USD, purchaser price"/>
    <n v="0"/>
    <n v="0"/>
    <n v="0"/>
    <n v="0"/>
    <n v="1E-3"/>
    <n v="2.8000000000000001E-2"/>
  </r>
  <r>
    <x v="196"/>
    <x v="196"/>
    <s v="Nitrous oxide"/>
    <s v="kg/2018 USD, purchaser price"/>
    <n v="0"/>
    <n v="0"/>
    <n v="0"/>
    <n v="0"/>
    <n v="0"/>
    <n v="0"/>
  </r>
  <r>
    <x v="196"/>
    <x v="196"/>
    <s v="other GHGs"/>
    <s v="kg CO2e/2018 USD, purchaser price"/>
    <n v="7.9000000000000001E-2"/>
    <n v="7.9000000000000001E-2"/>
    <n v="0"/>
    <n v="0"/>
    <n v="7.9000000000000001E-2"/>
    <n v="7.9000000000000001E-2"/>
  </r>
  <r>
    <x v="197"/>
    <x v="197"/>
    <s v="Carbon dioxide"/>
    <s v="kg/2018 USD, purchaser price"/>
    <n v="0.11"/>
    <n v="0.11"/>
    <n v="2.9000000000000001E-2"/>
    <n v="2.9000000000000001E-2"/>
    <n v="0.13900000000000001"/>
    <n v="0.13900000000000001"/>
  </r>
  <r>
    <x v="197"/>
    <x v="197"/>
    <s v="Methane"/>
    <s v="kg/2018 USD, purchaser price"/>
    <n v="0"/>
    <n v="0"/>
    <n v="0"/>
    <n v="0"/>
    <n v="1E-3"/>
    <n v="2.8000000000000001E-2"/>
  </r>
  <r>
    <x v="197"/>
    <x v="197"/>
    <s v="Nitrous oxide"/>
    <s v="kg/2018 USD, purchaser price"/>
    <n v="0"/>
    <n v="0"/>
    <n v="0"/>
    <n v="0"/>
    <n v="0"/>
    <n v="0"/>
  </r>
  <r>
    <x v="197"/>
    <x v="197"/>
    <s v="other GHGs"/>
    <s v="kg CO2e/2018 USD, purchaser price"/>
    <n v="1.2E-2"/>
    <n v="1.2E-2"/>
    <n v="0"/>
    <n v="0"/>
    <n v="1.2E-2"/>
    <n v="1.2E-2"/>
  </r>
  <r>
    <x v="198"/>
    <x v="198"/>
    <s v="Carbon dioxide"/>
    <s v="kg/2018 USD, purchaser price"/>
    <n v="0.14399999999999999"/>
    <n v="0.14399999999999999"/>
    <n v="2.5999999999999999E-2"/>
    <n v="2.5999999999999999E-2"/>
    <n v="0.17100000000000001"/>
    <n v="0.17100000000000001"/>
  </r>
  <r>
    <x v="198"/>
    <x v="198"/>
    <s v="Methane"/>
    <s v="kg/2018 USD, purchaser price"/>
    <n v="0"/>
    <n v="0"/>
    <n v="0"/>
    <n v="0"/>
    <n v="1E-3"/>
    <n v="2.8000000000000001E-2"/>
  </r>
  <r>
    <x v="198"/>
    <x v="198"/>
    <s v="Nitrous oxide"/>
    <s v="kg/2018 USD, purchaser price"/>
    <n v="0"/>
    <n v="0"/>
    <n v="0"/>
    <n v="0"/>
    <n v="0"/>
    <n v="0"/>
  </r>
  <r>
    <x v="198"/>
    <x v="198"/>
    <s v="other GHGs"/>
    <s v="kg CO2e/2018 USD, purchaser price"/>
    <n v="8.0000000000000002E-3"/>
    <n v="8.0000000000000002E-3"/>
    <n v="0"/>
    <n v="0"/>
    <n v="8.0000000000000002E-3"/>
    <n v="8.0000000000000002E-3"/>
  </r>
  <r>
    <x v="199"/>
    <x v="199"/>
    <s v="Carbon dioxide"/>
    <s v="kg/2018 USD, purchaser price"/>
    <n v="7.0000000000000007E-2"/>
    <n v="7.0000000000000007E-2"/>
    <n v="6.7000000000000004E-2"/>
    <n v="6.7000000000000004E-2"/>
    <n v="0.13700000000000001"/>
    <n v="0.13700000000000001"/>
  </r>
  <r>
    <x v="199"/>
    <x v="199"/>
    <s v="Methane"/>
    <s v="kg/2018 USD, purchaser price"/>
    <n v="0"/>
    <n v="0"/>
    <n v="0"/>
    <n v="0"/>
    <n v="1E-3"/>
    <n v="2.8000000000000001E-2"/>
  </r>
  <r>
    <x v="199"/>
    <x v="199"/>
    <s v="Nitrous oxide"/>
    <s v="kg/2018 USD, purchaser price"/>
    <n v="0"/>
    <n v="0"/>
    <n v="0"/>
    <n v="0"/>
    <n v="0"/>
    <n v="0"/>
  </r>
  <r>
    <x v="199"/>
    <x v="199"/>
    <s v="other GHGs"/>
    <s v="kg CO2e/2018 USD, purchaser price"/>
    <n v="2E-3"/>
    <n v="2E-3"/>
    <n v="0"/>
    <n v="0"/>
    <n v="2E-3"/>
    <n v="2E-3"/>
  </r>
  <r>
    <x v="200"/>
    <x v="200"/>
    <s v="Carbon dioxide"/>
    <s v="kg/2018 USD, purchaser price"/>
    <n v="4.2000000000000003E-2"/>
    <n v="4.2000000000000003E-2"/>
    <n v="1.7999999999999999E-2"/>
    <n v="1.7999999999999999E-2"/>
    <n v="0.06"/>
    <n v="0.06"/>
  </r>
  <r>
    <x v="200"/>
    <x v="200"/>
    <s v="Methane"/>
    <s v="kg/2018 USD, purchaser price"/>
    <n v="0"/>
    <n v="0"/>
    <n v="0"/>
    <n v="0"/>
    <n v="0"/>
    <n v="0"/>
  </r>
  <r>
    <x v="200"/>
    <x v="200"/>
    <s v="Nitrous oxide"/>
    <s v="kg/2018 USD, purchaser price"/>
    <n v="0"/>
    <n v="0"/>
    <n v="0"/>
    <n v="0"/>
    <n v="0"/>
    <n v="0"/>
  </r>
  <r>
    <x v="200"/>
    <x v="200"/>
    <s v="other GHGs"/>
    <s v="kg CO2e/2018 USD, purchaser price"/>
    <n v="2E-3"/>
    <n v="2E-3"/>
    <n v="0"/>
    <n v="0"/>
    <n v="2E-3"/>
    <n v="2E-3"/>
  </r>
  <r>
    <x v="201"/>
    <x v="201"/>
    <s v="Carbon dioxide"/>
    <s v="kg/2018 USD, purchaser price"/>
    <n v="0.107"/>
    <n v="0.107"/>
    <n v="2.7E-2"/>
    <n v="2.7E-2"/>
    <n v="0.13400000000000001"/>
    <n v="0.13400000000000001"/>
  </r>
  <r>
    <x v="201"/>
    <x v="201"/>
    <s v="Methane"/>
    <s v="kg/2018 USD, purchaser price"/>
    <n v="0"/>
    <n v="0"/>
    <n v="0"/>
    <n v="0"/>
    <n v="1E-3"/>
    <n v="2.8000000000000001E-2"/>
  </r>
  <r>
    <x v="201"/>
    <x v="201"/>
    <s v="Nitrous oxide"/>
    <s v="kg/2018 USD, purchaser price"/>
    <n v="0"/>
    <n v="0"/>
    <n v="0"/>
    <n v="0"/>
    <n v="0"/>
    <n v="0"/>
  </r>
  <r>
    <x v="201"/>
    <x v="201"/>
    <s v="other GHGs"/>
    <s v="kg CO2e/2018 USD, purchaser price"/>
    <n v="8.9999999999999993E-3"/>
    <n v="8.9999999999999993E-3"/>
    <n v="0"/>
    <n v="0"/>
    <n v="8.9999999999999993E-3"/>
    <n v="8.9999999999999993E-3"/>
  </r>
  <r>
    <x v="202"/>
    <x v="202"/>
    <s v="Carbon dioxide"/>
    <s v="kg/2018 USD, purchaser price"/>
    <n v="9.0999999999999998E-2"/>
    <n v="9.0999999999999998E-2"/>
    <n v="1.7999999999999999E-2"/>
    <n v="1.7999999999999999E-2"/>
    <n v="0.11"/>
    <n v="0.11"/>
  </r>
  <r>
    <x v="202"/>
    <x v="202"/>
    <s v="Methane"/>
    <s v="kg/2018 USD, purchaser price"/>
    <n v="0"/>
    <n v="0"/>
    <n v="0"/>
    <n v="0"/>
    <n v="0"/>
    <n v="0"/>
  </r>
  <r>
    <x v="202"/>
    <x v="202"/>
    <s v="Nitrous oxide"/>
    <s v="kg/2018 USD, purchaser price"/>
    <n v="0"/>
    <n v="0"/>
    <n v="0"/>
    <n v="0"/>
    <n v="0"/>
    <n v="0"/>
  </r>
  <r>
    <x v="202"/>
    <x v="202"/>
    <s v="other GHGs"/>
    <s v="kg CO2e/2018 USD, purchaser price"/>
    <n v="3.0000000000000001E-3"/>
    <n v="3.0000000000000001E-3"/>
    <n v="0"/>
    <n v="0"/>
    <n v="3.0000000000000001E-3"/>
    <n v="3.0000000000000001E-3"/>
  </r>
  <r>
    <x v="203"/>
    <x v="203"/>
    <s v="Carbon dioxide"/>
    <s v="kg/2018 USD, purchaser price"/>
    <n v="4.2999999999999997E-2"/>
    <n v="4.2999999999999997E-2"/>
    <n v="2.5000000000000001E-2"/>
    <n v="2.5000000000000001E-2"/>
    <n v="6.8000000000000005E-2"/>
    <n v="6.8000000000000005E-2"/>
  </r>
  <r>
    <x v="203"/>
    <x v="203"/>
    <s v="Methane"/>
    <s v="kg/2018 USD, purchaser price"/>
    <n v="0"/>
    <n v="0"/>
    <n v="0"/>
    <n v="0"/>
    <n v="0"/>
    <n v="0"/>
  </r>
  <r>
    <x v="203"/>
    <x v="203"/>
    <s v="Nitrous oxide"/>
    <s v="kg/2018 USD, purchaser price"/>
    <n v="0"/>
    <n v="0"/>
    <n v="0"/>
    <n v="0"/>
    <n v="0"/>
    <n v="0"/>
  </r>
  <r>
    <x v="203"/>
    <x v="203"/>
    <s v="other GHGs"/>
    <s v="kg CO2e/2018 USD, purchaser price"/>
    <n v="2E-3"/>
    <n v="2E-3"/>
    <n v="0"/>
    <n v="0"/>
    <n v="2E-3"/>
    <n v="2E-3"/>
  </r>
  <r>
    <x v="204"/>
    <x v="204"/>
    <s v="Carbon dioxide"/>
    <s v="kg/2018 USD, purchaser price"/>
    <n v="7.9000000000000001E-2"/>
    <n v="7.9000000000000001E-2"/>
    <n v="2.9000000000000001E-2"/>
    <n v="2.9000000000000001E-2"/>
    <n v="0.108"/>
    <n v="0.108"/>
  </r>
  <r>
    <x v="204"/>
    <x v="204"/>
    <s v="Methane"/>
    <s v="kg/2018 USD, purchaser price"/>
    <n v="0"/>
    <n v="0"/>
    <n v="0"/>
    <n v="0"/>
    <n v="0"/>
    <n v="0"/>
  </r>
  <r>
    <x v="204"/>
    <x v="204"/>
    <s v="Nitrous oxide"/>
    <s v="kg/2018 USD, purchaser price"/>
    <n v="0"/>
    <n v="0"/>
    <n v="0"/>
    <n v="0"/>
    <n v="0"/>
    <n v="0"/>
  </r>
  <r>
    <x v="204"/>
    <x v="204"/>
    <s v="other GHGs"/>
    <s v="kg CO2e/2018 USD, purchaser price"/>
    <n v="2E-3"/>
    <n v="2E-3"/>
    <n v="0"/>
    <n v="0"/>
    <n v="2E-3"/>
    <n v="2E-3"/>
  </r>
  <r>
    <x v="205"/>
    <x v="205"/>
    <s v="Carbon dioxide"/>
    <s v="kg/2018 USD, purchaser price"/>
    <n v="5.8999999999999997E-2"/>
    <n v="5.8999999999999997E-2"/>
    <n v="2.5999999999999999E-2"/>
    <n v="2.5999999999999999E-2"/>
    <n v="8.5999999999999993E-2"/>
    <n v="8.5999999999999993E-2"/>
  </r>
  <r>
    <x v="205"/>
    <x v="205"/>
    <s v="Methane"/>
    <s v="kg/2018 USD, purchaser price"/>
    <n v="0"/>
    <n v="0"/>
    <n v="0"/>
    <n v="0"/>
    <n v="0"/>
    <n v="0"/>
  </r>
  <r>
    <x v="205"/>
    <x v="205"/>
    <s v="Nitrous oxide"/>
    <s v="kg/2018 USD, purchaser price"/>
    <n v="0"/>
    <n v="0"/>
    <n v="0"/>
    <n v="0"/>
    <n v="0"/>
    <n v="0"/>
  </r>
  <r>
    <x v="205"/>
    <x v="205"/>
    <s v="other GHGs"/>
    <s v="kg CO2e/2018 USD, purchaser price"/>
    <n v="2E-3"/>
    <n v="2E-3"/>
    <n v="0"/>
    <n v="0"/>
    <n v="2E-3"/>
    <n v="2E-3"/>
  </r>
  <r>
    <x v="206"/>
    <x v="206"/>
    <s v="Carbon dioxide"/>
    <s v="kg/2018 USD, purchaser price"/>
    <n v="0.12"/>
    <n v="0.12"/>
    <n v="4.5999999999999999E-2"/>
    <n v="4.5999999999999999E-2"/>
    <n v="0.16600000000000001"/>
    <n v="0.16600000000000001"/>
  </r>
  <r>
    <x v="206"/>
    <x v="206"/>
    <s v="Methane"/>
    <s v="kg/2018 USD, purchaser price"/>
    <n v="0"/>
    <n v="0"/>
    <n v="0"/>
    <n v="0"/>
    <n v="1E-3"/>
    <n v="2.8000000000000001E-2"/>
  </r>
  <r>
    <x v="206"/>
    <x v="206"/>
    <s v="Nitrous oxide"/>
    <s v="kg/2018 USD, purchaser price"/>
    <n v="0"/>
    <n v="0"/>
    <n v="0"/>
    <n v="0"/>
    <n v="0"/>
    <n v="0"/>
  </r>
  <r>
    <x v="206"/>
    <x v="206"/>
    <s v="other GHGs"/>
    <s v="kg CO2e/2018 USD, purchaser price"/>
    <n v="3.0000000000000001E-3"/>
    <n v="3.0000000000000001E-3"/>
    <n v="0"/>
    <n v="0"/>
    <n v="3.0000000000000001E-3"/>
    <n v="3.0000000000000001E-3"/>
  </r>
  <r>
    <x v="207"/>
    <x v="207"/>
    <s v="Carbon dioxide"/>
    <s v="kg/2018 USD, purchaser price"/>
    <n v="3.5000000000000003E-2"/>
    <n v="3.5000000000000003E-2"/>
    <n v="7.1999999999999995E-2"/>
    <n v="7.1999999999999995E-2"/>
    <n v="0.106"/>
    <n v="0.106"/>
  </r>
  <r>
    <x v="207"/>
    <x v="207"/>
    <s v="Methane"/>
    <s v="kg/2018 USD, purchaser price"/>
    <n v="0"/>
    <n v="0"/>
    <n v="0"/>
    <n v="0"/>
    <n v="0"/>
    <n v="0"/>
  </r>
  <r>
    <x v="207"/>
    <x v="207"/>
    <s v="Nitrous oxide"/>
    <s v="kg/2018 USD, purchaser price"/>
    <n v="0"/>
    <n v="0"/>
    <n v="0"/>
    <n v="0"/>
    <n v="0"/>
    <n v="0"/>
  </r>
  <r>
    <x v="207"/>
    <x v="207"/>
    <s v="other GHGs"/>
    <s v="kg CO2e/2018 USD, purchaser price"/>
    <n v="2E-3"/>
    <n v="2E-3"/>
    <n v="0"/>
    <n v="0"/>
    <n v="2E-3"/>
    <n v="2E-3"/>
  </r>
  <r>
    <x v="208"/>
    <x v="208"/>
    <s v="Carbon dioxide"/>
    <s v="kg/2018 USD, purchaser price"/>
    <n v="0.10299999999999999"/>
    <n v="0.10299999999999999"/>
    <n v="2.5000000000000001E-2"/>
    <n v="2.5000000000000001E-2"/>
    <n v="0.128"/>
    <n v="0.128"/>
  </r>
  <r>
    <x v="208"/>
    <x v="208"/>
    <s v="Methane"/>
    <s v="kg/2018 USD, purchaser price"/>
    <n v="0"/>
    <n v="0"/>
    <n v="0"/>
    <n v="0"/>
    <n v="0"/>
    <n v="0"/>
  </r>
  <r>
    <x v="208"/>
    <x v="208"/>
    <s v="Nitrous oxide"/>
    <s v="kg/2018 USD, purchaser price"/>
    <n v="0"/>
    <n v="0"/>
    <n v="0"/>
    <n v="0"/>
    <n v="0"/>
    <n v="0"/>
  </r>
  <r>
    <x v="208"/>
    <x v="208"/>
    <s v="other GHGs"/>
    <s v="kg CO2e/2018 USD, purchaser price"/>
    <n v="3.0000000000000001E-3"/>
    <n v="3.0000000000000001E-3"/>
    <n v="0"/>
    <n v="0"/>
    <n v="3.0000000000000001E-3"/>
    <n v="3.0000000000000001E-3"/>
  </r>
  <r>
    <x v="209"/>
    <x v="209"/>
    <s v="Carbon dioxide"/>
    <s v="kg/2018 USD, purchaser price"/>
    <n v="0.22700000000000001"/>
    <n v="0.22700000000000001"/>
    <n v="9.6000000000000002E-2"/>
    <n v="9.6000000000000002E-2"/>
    <n v="0.32300000000000001"/>
    <n v="0.32300000000000001"/>
  </r>
  <r>
    <x v="209"/>
    <x v="209"/>
    <s v="Methane"/>
    <s v="kg/2018 USD, purchaser price"/>
    <n v="1E-3"/>
    <n v="2.8000000000000001E-2"/>
    <n v="0"/>
    <n v="0"/>
    <n v="1E-3"/>
    <n v="2.8000000000000001E-2"/>
  </r>
  <r>
    <x v="209"/>
    <x v="209"/>
    <s v="Nitrous oxide"/>
    <s v="kg/2018 USD, purchaser price"/>
    <n v="0"/>
    <n v="0"/>
    <n v="0"/>
    <n v="0"/>
    <n v="0"/>
    <n v="0"/>
  </r>
  <r>
    <x v="209"/>
    <x v="209"/>
    <s v="other GHGs"/>
    <s v="kg CO2e/2018 USD, purchaser price"/>
    <n v="0.01"/>
    <n v="0.01"/>
    <n v="0"/>
    <n v="0"/>
    <n v="0.01"/>
    <n v="0.01"/>
  </r>
  <r>
    <x v="210"/>
    <x v="210"/>
    <s v="Carbon dioxide"/>
    <s v="kg/2018 USD, purchaser price"/>
    <n v="0.158"/>
    <n v="0.158"/>
    <n v="9.2999999999999999E-2"/>
    <n v="9.2999999999999999E-2"/>
    <n v="0.252"/>
    <n v="0.252"/>
  </r>
  <r>
    <x v="210"/>
    <x v="210"/>
    <s v="Methane"/>
    <s v="kg/2018 USD, purchaser price"/>
    <n v="1E-3"/>
    <n v="2.8000000000000001E-2"/>
    <n v="1E-3"/>
    <n v="2.8000000000000001E-2"/>
    <n v="1E-3"/>
    <n v="2.8000000000000001E-2"/>
  </r>
  <r>
    <x v="210"/>
    <x v="210"/>
    <s v="Nitrous oxide"/>
    <s v="kg/2018 USD, purchaser price"/>
    <n v="0"/>
    <n v="0"/>
    <n v="0"/>
    <n v="0"/>
    <n v="0"/>
    <n v="0"/>
  </r>
  <r>
    <x v="210"/>
    <x v="210"/>
    <s v="other GHGs"/>
    <s v="kg CO2e/2018 USD, purchaser price"/>
    <n v="1.6E-2"/>
    <n v="1.6E-2"/>
    <n v="0"/>
    <n v="0"/>
    <n v="1.6E-2"/>
    <n v="1.6E-2"/>
  </r>
  <r>
    <x v="211"/>
    <x v="211"/>
    <s v="Carbon dioxide"/>
    <s v="kg/2018 USD, purchaser price"/>
    <n v="0.17499999999999999"/>
    <n v="0.17499999999999999"/>
    <n v="0.13100000000000001"/>
    <n v="0.13100000000000001"/>
    <n v="0.30599999999999999"/>
    <n v="0.30599999999999999"/>
  </r>
  <r>
    <x v="211"/>
    <x v="211"/>
    <s v="Methane"/>
    <s v="kg/2018 USD, purchaser price"/>
    <n v="1E-3"/>
    <n v="2.8000000000000001E-2"/>
    <n v="1E-3"/>
    <n v="2.8000000000000001E-2"/>
    <n v="2E-3"/>
    <n v="5.6000000000000001E-2"/>
  </r>
  <r>
    <x v="211"/>
    <x v="211"/>
    <s v="Nitrous oxide"/>
    <s v="kg/2018 USD, purchaser price"/>
    <n v="0"/>
    <n v="0"/>
    <n v="0"/>
    <n v="0"/>
    <n v="0"/>
    <n v="0"/>
  </r>
  <r>
    <x v="211"/>
    <x v="211"/>
    <s v="other GHGs"/>
    <s v="kg CO2e/2018 USD, purchaser price"/>
    <n v="6.0000000000000001E-3"/>
    <n v="6.0000000000000001E-3"/>
    <n v="0"/>
    <n v="0"/>
    <n v="6.0000000000000001E-3"/>
    <n v="6.0000000000000001E-3"/>
  </r>
  <r>
    <x v="212"/>
    <x v="212"/>
    <s v="Carbon dioxide"/>
    <s v="kg/2018 USD, purchaser price"/>
    <n v="0.16500000000000001"/>
    <n v="0.16500000000000001"/>
    <n v="8.4000000000000005E-2"/>
    <n v="8.4000000000000005E-2"/>
    <n v="0.249"/>
    <n v="0.249"/>
  </r>
  <r>
    <x v="212"/>
    <x v="212"/>
    <s v="Methane"/>
    <s v="kg/2018 USD, purchaser price"/>
    <n v="1E-3"/>
    <n v="2.8000000000000001E-2"/>
    <n v="0"/>
    <n v="0"/>
    <n v="1E-3"/>
    <n v="2.8000000000000001E-2"/>
  </r>
  <r>
    <x v="212"/>
    <x v="212"/>
    <s v="Nitrous oxide"/>
    <s v="kg/2018 USD, purchaser price"/>
    <n v="0"/>
    <n v="0"/>
    <n v="0"/>
    <n v="0"/>
    <n v="0"/>
    <n v="0"/>
  </r>
  <r>
    <x v="212"/>
    <x v="212"/>
    <s v="other GHGs"/>
    <s v="kg CO2e/2018 USD, purchaser price"/>
    <n v="1.4E-2"/>
    <n v="1.4E-2"/>
    <n v="0"/>
    <n v="0"/>
    <n v="1.4E-2"/>
    <n v="1.4E-2"/>
  </r>
  <r>
    <x v="213"/>
    <x v="213"/>
    <s v="Carbon dioxide"/>
    <s v="kg/2018 USD, purchaser price"/>
    <n v="0.152"/>
    <n v="0.152"/>
    <n v="8.3000000000000004E-2"/>
    <n v="8.3000000000000004E-2"/>
    <n v="0.23499999999999999"/>
    <n v="0.23499999999999999"/>
  </r>
  <r>
    <x v="213"/>
    <x v="213"/>
    <s v="Methane"/>
    <s v="kg/2018 USD, purchaser price"/>
    <n v="1E-3"/>
    <n v="2.8000000000000001E-2"/>
    <n v="0"/>
    <n v="0"/>
    <n v="1E-3"/>
    <n v="2.8000000000000001E-2"/>
  </r>
  <r>
    <x v="213"/>
    <x v="213"/>
    <s v="Nitrous oxide"/>
    <s v="kg/2018 USD, purchaser price"/>
    <n v="0"/>
    <n v="0"/>
    <n v="0"/>
    <n v="0"/>
    <n v="0"/>
    <n v="0"/>
  </r>
  <r>
    <x v="213"/>
    <x v="213"/>
    <s v="other GHGs"/>
    <s v="kg CO2e/2018 USD, purchaser price"/>
    <n v="0.111"/>
    <n v="0.111"/>
    <n v="0"/>
    <n v="0"/>
    <n v="0.111"/>
    <n v="0.111"/>
  </r>
  <r>
    <x v="214"/>
    <x v="214"/>
    <s v="Carbon dioxide"/>
    <s v="kg/2018 USD, purchaser price"/>
    <n v="0.17199999999999999"/>
    <n v="0.17199999999999999"/>
    <n v="8.2000000000000003E-2"/>
    <n v="8.2000000000000003E-2"/>
    <n v="0.254"/>
    <n v="0.254"/>
  </r>
  <r>
    <x v="214"/>
    <x v="214"/>
    <s v="Methane"/>
    <s v="kg/2018 USD, purchaser price"/>
    <n v="1E-3"/>
    <n v="2.8000000000000001E-2"/>
    <n v="0"/>
    <n v="0"/>
    <n v="1E-3"/>
    <n v="2.8000000000000001E-2"/>
  </r>
  <r>
    <x v="214"/>
    <x v="214"/>
    <s v="Nitrous oxide"/>
    <s v="kg/2018 USD, purchaser price"/>
    <n v="0"/>
    <n v="0"/>
    <n v="0"/>
    <n v="0"/>
    <n v="0"/>
    <n v="0"/>
  </r>
  <r>
    <x v="214"/>
    <x v="214"/>
    <s v="other GHGs"/>
    <s v="kg CO2e/2018 USD, purchaser price"/>
    <n v="8.0000000000000002E-3"/>
    <n v="8.0000000000000002E-3"/>
    <n v="0"/>
    <n v="0"/>
    <n v="8.0000000000000002E-3"/>
    <n v="8.0000000000000002E-3"/>
  </r>
  <r>
    <x v="215"/>
    <x v="215"/>
    <s v="Carbon dioxide"/>
    <s v="kg/2018 USD, purchaser price"/>
    <n v="0.16"/>
    <n v="0.16"/>
    <n v="0.05"/>
    <n v="0.05"/>
    <n v="0.20899999999999999"/>
    <n v="0.20899999999999999"/>
  </r>
  <r>
    <x v="215"/>
    <x v="215"/>
    <s v="Methane"/>
    <s v="kg/2018 USD, purchaser price"/>
    <n v="1E-3"/>
    <n v="2.8000000000000001E-2"/>
    <n v="0"/>
    <n v="0"/>
    <n v="1E-3"/>
    <n v="2.8000000000000001E-2"/>
  </r>
  <r>
    <x v="215"/>
    <x v="215"/>
    <s v="Nitrous oxide"/>
    <s v="kg/2018 USD, purchaser price"/>
    <n v="0"/>
    <n v="0"/>
    <n v="0"/>
    <n v="0"/>
    <n v="0"/>
    <n v="0"/>
  </r>
  <r>
    <x v="215"/>
    <x v="215"/>
    <s v="other GHGs"/>
    <s v="kg CO2e/2018 USD, purchaser price"/>
    <n v="7.0000000000000001E-3"/>
    <n v="7.0000000000000001E-3"/>
    <n v="0"/>
    <n v="0"/>
    <n v="7.0000000000000001E-3"/>
    <n v="7.0000000000000001E-3"/>
  </r>
  <r>
    <x v="216"/>
    <x v="216"/>
    <s v="Carbon dioxide"/>
    <s v="kg/2018 USD, purchaser price"/>
    <n v="0.25800000000000001"/>
    <n v="0.25800000000000001"/>
    <n v="3.3000000000000002E-2"/>
    <n v="3.3000000000000002E-2"/>
    <n v="0.28999999999999998"/>
    <n v="0.28999999999999998"/>
  </r>
  <r>
    <x v="216"/>
    <x v="216"/>
    <s v="Methane"/>
    <s v="kg/2018 USD, purchaser price"/>
    <n v="1E-3"/>
    <n v="2.8000000000000001E-2"/>
    <n v="0"/>
    <n v="0"/>
    <n v="1E-3"/>
    <n v="2.8000000000000001E-2"/>
  </r>
  <r>
    <x v="216"/>
    <x v="216"/>
    <s v="Nitrous oxide"/>
    <s v="kg/2018 USD, purchaser price"/>
    <n v="0"/>
    <n v="0"/>
    <n v="0"/>
    <n v="0"/>
    <n v="0"/>
    <n v="0"/>
  </r>
  <r>
    <x v="216"/>
    <x v="216"/>
    <s v="other GHGs"/>
    <s v="kg CO2e/2018 USD, purchaser price"/>
    <n v="6.0000000000000001E-3"/>
    <n v="6.0000000000000001E-3"/>
    <n v="0"/>
    <n v="0"/>
    <n v="6.0000000000000001E-3"/>
    <n v="6.0000000000000001E-3"/>
  </r>
  <r>
    <x v="217"/>
    <x v="217"/>
    <s v="Carbon dioxide"/>
    <s v="kg/2018 USD, purchaser price"/>
    <n v="0.182"/>
    <n v="0.182"/>
    <n v="3.5000000000000003E-2"/>
    <n v="3.5000000000000003E-2"/>
    <n v="0.217"/>
    <n v="0.217"/>
  </r>
  <r>
    <x v="217"/>
    <x v="217"/>
    <s v="Methane"/>
    <s v="kg/2018 USD, purchaser price"/>
    <n v="1E-3"/>
    <n v="2.8000000000000001E-2"/>
    <n v="0"/>
    <n v="0"/>
    <n v="1E-3"/>
    <n v="2.8000000000000001E-2"/>
  </r>
  <r>
    <x v="217"/>
    <x v="217"/>
    <s v="Nitrous oxide"/>
    <s v="kg/2018 USD, purchaser price"/>
    <n v="0"/>
    <n v="0"/>
    <n v="0"/>
    <n v="0"/>
    <n v="0"/>
    <n v="0"/>
  </r>
  <r>
    <x v="217"/>
    <x v="217"/>
    <s v="other GHGs"/>
    <s v="kg CO2e/2018 USD, purchaser price"/>
    <n v="1.2999999999999999E-2"/>
    <n v="1.2999999999999999E-2"/>
    <n v="0"/>
    <n v="0"/>
    <n v="1.2999999999999999E-2"/>
    <n v="1.2999999999999999E-2"/>
  </r>
  <r>
    <x v="218"/>
    <x v="218"/>
    <s v="Carbon dioxide"/>
    <s v="kg/2018 USD, purchaser price"/>
    <n v="0.20399999999999999"/>
    <n v="0.20399999999999999"/>
    <n v="3.4000000000000002E-2"/>
    <n v="3.4000000000000002E-2"/>
    <n v="0.23799999999999999"/>
    <n v="0.23799999999999999"/>
  </r>
  <r>
    <x v="218"/>
    <x v="218"/>
    <s v="Methane"/>
    <s v="kg/2018 USD, purchaser price"/>
    <n v="1E-3"/>
    <n v="2.8000000000000001E-2"/>
    <n v="0"/>
    <n v="0"/>
    <n v="1E-3"/>
    <n v="2.8000000000000001E-2"/>
  </r>
  <r>
    <x v="218"/>
    <x v="218"/>
    <s v="Nitrous oxide"/>
    <s v="kg/2018 USD, purchaser price"/>
    <n v="0"/>
    <n v="0"/>
    <n v="0"/>
    <n v="0"/>
    <n v="0"/>
    <n v="0"/>
  </r>
  <r>
    <x v="218"/>
    <x v="218"/>
    <s v="other GHGs"/>
    <s v="kg CO2e/2018 USD, purchaser price"/>
    <n v="8.0000000000000002E-3"/>
    <n v="8.0000000000000002E-3"/>
    <n v="0"/>
    <n v="0"/>
    <n v="8.0000000000000002E-3"/>
    <n v="8.0000000000000002E-3"/>
  </r>
  <r>
    <x v="219"/>
    <x v="219"/>
    <s v="Carbon dioxide"/>
    <s v="kg/2018 USD, purchaser price"/>
    <n v="0.13300000000000001"/>
    <n v="0.13300000000000001"/>
    <n v="2.9000000000000001E-2"/>
    <n v="2.9000000000000001E-2"/>
    <n v="0.16200000000000001"/>
    <n v="0.16200000000000001"/>
  </r>
  <r>
    <x v="219"/>
    <x v="219"/>
    <s v="Methane"/>
    <s v="kg/2018 USD, purchaser price"/>
    <n v="0"/>
    <n v="0"/>
    <n v="0"/>
    <n v="0"/>
    <n v="1E-3"/>
    <n v="2.8000000000000001E-2"/>
  </r>
  <r>
    <x v="219"/>
    <x v="219"/>
    <s v="Nitrous oxide"/>
    <s v="kg/2018 USD, purchaser price"/>
    <n v="0"/>
    <n v="0"/>
    <n v="0"/>
    <n v="0"/>
    <n v="0"/>
    <n v="0"/>
  </r>
  <r>
    <x v="219"/>
    <x v="219"/>
    <s v="other GHGs"/>
    <s v="kg CO2e/2018 USD, purchaser price"/>
    <n v="5.0000000000000001E-3"/>
    <n v="5.0000000000000001E-3"/>
    <n v="0"/>
    <n v="0"/>
    <n v="5.0000000000000001E-3"/>
    <n v="5.0000000000000001E-3"/>
  </r>
  <r>
    <x v="220"/>
    <x v="220"/>
    <s v="Carbon dioxide"/>
    <s v="kg/2018 USD, purchaser price"/>
    <n v="0.255"/>
    <n v="0.255"/>
    <n v="5.1999999999999998E-2"/>
    <n v="5.1999999999999998E-2"/>
    <n v="0.307"/>
    <n v="0.307"/>
  </r>
  <r>
    <x v="220"/>
    <x v="220"/>
    <s v="Methane"/>
    <s v="kg/2018 USD, purchaser price"/>
    <n v="1E-3"/>
    <n v="2.8000000000000001E-2"/>
    <n v="0"/>
    <n v="0"/>
    <n v="1E-3"/>
    <n v="2.8000000000000001E-2"/>
  </r>
  <r>
    <x v="220"/>
    <x v="220"/>
    <s v="Nitrous oxide"/>
    <s v="kg/2018 USD, purchaser price"/>
    <n v="0"/>
    <n v="0"/>
    <n v="0"/>
    <n v="0"/>
    <n v="0"/>
    <n v="0"/>
  </r>
  <r>
    <x v="220"/>
    <x v="220"/>
    <s v="other GHGs"/>
    <s v="kg CO2e/2018 USD, purchaser price"/>
    <n v="1.6E-2"/>
    <n v="1.6E-2"/>
    <n v="0"/>
    <n v="0"/>
    <n v="1.6E-2"/>
    <n v="1.6E-2"/>
  </r>
  <r>
    <x v="221"/>
    <x v="221"/>
    <s v="Carbon dioxide"/>
    <s v="kg/2018 USD, purchaser price"/>
    <n v="0.13600000000000001"/>
    <n v="0.13600000000000001"/>
    <n v="9.7000000000000003E-2"/>
    <n v="9.7000000000000003E-2"/>
    <n v="0.23400000000000001"/>
    <n v="0.23400000000000001"/>
  </r>
  <r>
    <x v="221"/>
    <x v="221"/>
    <s v="Methane"/>
    <s v="kg/2018 USD, purchaser price"/>
    <n v="0"/>
    <n v="0"/>
    <n v="0"/>
    <n v="0"/>
    <n v="1E-3"/>
    <n v="2.8000000000000001E-2"/>
  </r>
  <r>
    <x v="221"/>
    <x v="221"/>
    <s v="Nitrous oxide"/>
    <s v="kg/2018 USD, purchaser price"/>
    <n v="0"/>
    <n v="0"/>
    <n v="0"/>
    <n v="0"/>
    <n v="0"/>
    <n v="0"/>
  </r>
  <r>
    <x v="221"/>
    <x v="221"/>
    <s v="other GHGs"/>
    <s v="kg CO2e/2018 USD, purchaser price"/>
    <n v="1.0999999999999999E-2"/>
    <n v="1.0999999999999999E-2"/>
    <n v="0"/>
    <n v="0"/>
    <n v="1.0999999999999999E-2"/>
    <n v="1.0999999999999999E-2"/>
  </r>
  <r>
    <x v="222"/>
    <x v="222"/>
    <s v="Carbon dioxide"/>
    <s v="kg/2018 USD, purchaser price"/>
    <n v="0.39"/>
    <n v="0.39"/>
    <n v="3.2000000000000001E-2"/>
    <n v="3.2000000000000001E-2"/>
    <n v="0.42299999999999999"/>
    <n v="0.42299999999999999"/>
  </r>
  <r>
    <x v="222"/>
    <x v="222"/>
    <s v="Methane"/>
    <s v="kg/2018 USD, purchaser price"/>
    <n v="1E-3"/>
    <n v="2.8000000000000001E-2"/>
    <n v="0"/>
    <n v="0"/>
    <n v="1E-3"/>
    <n v="2.8000000000000001E-2"/>
  </r>
  <r>
    <x v="222"/>
    <x v="222"/>
    <s v="Nitrous oxide"/>
    <s v="kg/2018 USD, purchaser price"/>
    <n v="0"/>
    <n v="0"/>
    <n v="0"/>
    <n v="0"/>
    <n v="0"/>
    <n v="0"/>
  </r>
  <r>
    <x v="222"/>
    <x v="222"/>
    <s v="other GHGs"/>
    <s v="kg CO2e/2018 USD, purchaser price"/>
    <n v="1.2999999999999999E-2"/>
    <n v="1.2999999999999999E-2"/>
    <n v="0"/>
    <n v="0"/>
    <n v="1.2999999999999999E-2"/>
    <n v="1.2999999999999999E-2"/>
  </r>
  <r>
    <x v="223"/>
    <x v="223"/>
    <s v="Carbon dioxide"/>
    <s v="kg/2018 USD, purchaser price"/>
    <n v="0.223"/>
    <n v="0.223"/>
    <n v="5.8000000000000003E-2"/>
    <n v="5.8000000000000003E-2"/>
    <n v="0.28100000000000003"/>
    <n v="0.28100000000000003"/>
  </r>
  <r>
    <x v="223"/>
    <x v="223"/>
    <s v="Methane"/>
    <s v="kg/2018 USD, purchaser price"/>
    <n v="1E-3"/>
    <n v="2.8000000000000001E-2"/>
    <n v="0"/>
    <n v="0"/>
    <n v="1E-3"/>
    <n v="2.8000000000000001E-2"/>
  </r>
  <r>
    <x v="223"/>
    <x v="223"/>
    <s v="Nitrous oxide"/>
    <s v="kg/2018 USD, purchaser price"/>
    <n v="0"/>
    <n v="0"/>
    <n v="0"/>
    <n v="0"/>
    <n v="0"/>
    <n v="0"/>
  </r>
  <r>
    <x v="223"/>
    <x v="223"/>
    <s v="other GHGs"/>
    <s v="kg CO2e/2018 USD, purchaser price"/>
    <n v="8.0000000000000002E-3"/>
    <n v="8.0000000000000002E-3"/>
    <n v="0"/>
    <n v="0"/>
    <n v="8.0000000000000002E-3"/>
    <n v="8.0000000000000002E-3"/>
  </r>
  <r>
    <x v="224"/>
    <x v="224"/>
    <s v="Carbon dioxide"/>
    <s v="kg/2018 USD, purchaser price"/>
    <n v="0.27700000000000002"/>
    <n v="0.27700000000000002"/>
    <n v="1.2999999999999999E-2"/>
    <n v="1.2999999999999999E-2"/>
    <n v="0.28999999999999998"/>
    <n v="0.28999999999999998"/>
  </r>
  <r>
    <x v="224"/>
    <x v="224"/>
    <s v="Methane"/>
    <s v="kg/2018 USD, purchaser price"/>
    <n v="2E-3"/>
    <n v="5.6000000000000001E-2"/>
    <n v="0"/>
    <n v="0"/>
    <n v="2E-3"/>
    <n v="5.6000000000000001E-2"/>
  </r>
  <r>
    <x v="224"/>
    <x v="224"/>
    <s v="Nitrous oxide"/>
    <s v="kg/2018 USD, purchaser price"/>
    <n v="0"/>
    <n v="0"/>
    <n v="0"/>
    <n v="0"/>
    <n v="0"/>
    <n v="0"/>
  </r>
  <r>
    <x v="224"/>
    <x v="224"/>
    <s v="other GHGs"/>
    <s v="kg CO2e/2018 USD, purchaser price"/>
    <n v="5.0000000000000001E-3"/>
    <n v="5.0000000000000001E-3"/>
    <n v="0"/>
    <n v="0"/>
    <n v="5.0000000000000001E-3"/>
    <n v="5.0000000000000001E-3"/>
  </r>
  <r>
    <x v="225"/>
    <x v="225"/>
    <s v="Carbon dioxide"/>
    <s v="kg/2018 USD, purchaser price"/>
    <n v="0.151"/>
    <n v="0.151"/>
    <n v="3.1E-2"/>
    <n v="3.1E-2"/>
    <n v="0.182"/>
    <n v="0.182"/>
  </r>
  <r>
    <x v="225"/>
    <x v="225"/>
    <s v="Methane"/>
    <s v="kg/2018 USD, purchaser price"/>
    <n v="1E-3"/>
    <n v="2.8000000000000001E-2"/>
    <n v="0"/>
    <n v="0"/>
    <n v="1E-3"/>
    <n v="2.8000000000000001E-2"/>
  </r>
  <r>
    <x v="225"/>
    <x v="225"/>
    <s v="Nitrous oxide"/>
    <s v="kg/2018 USD, purchaser price"/>
    <n v="0"/>
    <n v="0"/>
    <n v="0"/>
    <n v="0"/>
    <n v="0"/>
    <n v="0"/>
  </r>
  <r>
    <x v="225"/>
    <x v="225"/>
    <s v="other GHGs"/>
    <s v="kg CO2e/2018 USD, purchaser price"/>
    <n v="8.0000000000000002E-3"/>
    <n v="8.0000000000000002E-3"/>
    <n v="0"/>
    <n v="0"/>
    <n v="8.0000000000000002E-3"/>
    <n v="8.0000000000000002E-3"/>
  </r>
  <r>
    <x v="226"/>
    <x v="226"/>
    <s v="Carbon dioxide"/>
    <s v="kg/2018 USD, purchaser price"/>
    <n v="0.19"/>
    <n v="0.19"/>
    <n v="6.4000000000000001E-2"/>
    <n v="6.4000000000000001E-2"/>
    <n v="0.253"/>
    <n v="0.253"/>
  </r>
  <r>
    <x v="226"/>
    <x v="226"/>
    <s v="Methane"/>
    <s v="kg/2018 USD, purchaser price"/>
    <n v="1E-3"/>
    <n v="2.8000000000000001E-2"/>
    <n v="0"/>
    <n v="0"/>
    <n v="1E-3"/>
    <n v="2.8000000000000001E-2"/>
  </r>
  <r>
    <x v="226"/>
    <x v="226"/>
    <s v="Nitrous oxide"/>
    <s v="kg/2018 USD, purchaser price"/>
    <n v="0"/>
    <n v="0"/>
    <n v="0"/>
    <n v="0"/>
    <n v="0"/>
    <n v="0"/>
  </r>
  <r>
    <x v="226"/>
    <x v="226"/>
    <s v="other GHGs"/>
    <s v="kg CO2e/2018 USD, purchaser price"/>
    <n v="2.1000000000000001E-2"/>
    <n v="2.1000000000000001E-2"/>
    <n v="0"/>
    <n v="0"/>
    <n v="2.1000000000000001E-2"/>
    <n v="2.1000000000000001E-2"/>
  </r>
  <r>
    <x v="227"/>
    <x v="227"/>
    <s v="Carbon dioxide"/>
    <s v="kg/2018 USD, purchaser price"/>
    <n v="0.254"/>
    <n v="0.254"/>
    <n v="2.8000000000000001E-2"/>
    <n v="2.8000000000000001E-2"/>
    <n v="0.28199999999999997"/>
    <n v="0.28199999999999997"/>
  </r>
  <r>
    <x v="227"/>
    <x v="227"/>
    <s v="Methane"/>
    <s v="kg/2018 USD, purchaser price"/>
    <n v="1E-3"/>
    <n v="2.8000000000000001E-2"/>
    <n v="0"/>
    <n v="0"/>
    <n v="1E-3"/>
    <n v="2.8000000000000001E-2"/>
  </r>
  <r>
    <x v="227"/>
    <x v="227"/>
    <s v="Nitrous oxide"/>
    <s v="kg/2018 USD, purchaser price"/>
    <n v="0"/>
    <n v="0"/>
    <n v="0"/>
    <n v="0"/>
    <n v="0"/>
    <n v="0"/>
  </r>
  <r>
    <x v="227"/>
    <x v="227"/>
    <s v="other GHGs"/>
    <s v="kg CO2e/2018 USD, purchaser price"/>
    <n v="0.02"/>
    <n v="0.02"/>
    <n v="0"/>
    <n v="0"/>
    <n v="0.02"/>
    <n v="0.02"/>
  </r>
  <r>
    <x v="228"/>
    <x v="228"/>
    <s v="Carbon dioxide"/>
    <s v="kg/2018 USD, purchaser price"/>
    <n v="0.255"/>
    <n v="0.255"/>
    <n v="1.2E-2"/>
    <n v="1.2E-2"/>
    <n v="0.26700000000000002"/>
    <n v="0.26700000000000002"/>
  </r>
  <r>
    <x v="228"/>
    <x v="228"/>
    <s v="Methane"/>
    <s v="kg/2018 USD, purchaser price"/>
    <n v="1E-3"/>
    <n v="2.8000000000000001E-2"/>
    <n v="0"/>
    <n v="0"/>
    <n v="1E-3"/>
    <n v="2.8000000000000001E-2"/>
  </r>
  <r>
    <x v="228"/>
    <x v="228"/>
    <s v="Nitrous oxide"/>
    <s v="kg/2018 USD, purchaser price"/>
    <n v="0"/>
    <n v="0"/>
    <n v="0"/>
    <n v="0"/>
    <n v="0"/>
    <n v="0"/>
  </r>
  <r>
    <x v="228"/>
    <x v="228"/>
    <s v="other GHGs"/>
    <s v="kg CO2e/2018 USD, purchaser price"/>
    <n v="4.2999999999999997E-2"/>
    <n v="4.2999999999999997E-2"/>
    <n v="0"/>
    <n v="0"/>
    <n v="4.2999999999999997E-2"/>
    <n v="4.2999999999999997E-2"/>
  </r>
  <r>
    <x v="229"/>
    <x v="229"/>
    <s v="Carbon dioxide"/>
    <s v="kg/2018 USD, purchaser price"/>
    <n v="0.192"/>
    <n v="0.192"/>
    <n v="0.04"/>
    <n v="0.04"/>
    <n v="0.23200000000000001"/>
    <n v="0.23200000000000001"/>
  </r>
  <r>
    <x v="229"/>
    <x v="229"/>
    <s v="Methane"/>
    <s v="kg/2018 USD, purchaser price"/>
    <n v="1E-3"/>
    <n v="2.8000000000000001E-2"/>
    <n v="0"/>
    <n v="0"/>
    <n v="1E-3"/>
    <n v="2.8000000000000001E-2"/>
  </r>
  <r>
    <x v="229"/>
    <x v="229"/>
    <s v="Nitrous oxide"/>
    <s v="kg/2018 USD, purchaser price"/>
    <n v="0"/>
    <n v="0"/>
    <n v="0"/>
    <n v="0"/>
    <n v="0"/>
    <n v="0"/>
  </r>
  <r>
    <x v="229"/>
    <x v="229"/>
    <s v="other GHGs"/>
    <s v="kg CO2e/2018 USD, purchaser price"/>
    <n v="1.4999999999999999E-2"/>
    <n v="1.4999999999999999E-2"/>
    <n v="0"/>
    <n v="0"/>
    <n v="1.4999999999999999E-2"/>
    <n v="1.4999999999999999E-2"/>
  </r>
  <r>
    <x v="230"/>
    <x v="230"/>
    <s v="Carbon dioxide"/>
    <s v="kg/2018 USD, purchaser price"/>
    <n v="0.23"/>
    <n v="0.23"/>
    <n v="3.4000000000000002E-2"/>
    <n v="3.4000000000000002E-2"/>
    <n v="0.26400000000000001"/>
    <n v="0.26400000000000001"/>
  </r>
  <r>
    <x v="230"/>
    <x v="230"/>
    <s v="Methane"/>
    <s v="kg/2018 USD, purchaser price"/>
    <n v="1E-3"/>
    <n v="2.8000000000000001E-2"/>
    <n v="0"/>
    <n v="0"/>
    <n v="1E-3"/>
    <n v="2.8000000000000001E-2"/>
  </r>
  <r>
    <x v="230"/>
    <x v="230"/>
    <s v="Nitrous oxide"/>
    <s v="kg/2018 USD, purchaser price"/>
    <n v="0"/>
    <n v="0"/>
    <n v="0"/>
    <n v="0"/>
    <n v="0"/>
    <n v="0"/>
  </r>
  <r>
    <x v="230"/>
    <x v="230"/>
    <s v="other GHGs"/>
    <s v="kg CO2e/2018 USD, purchaser price"/>
    <n v="4.7E-2"/>
    <n v="4.7E-2"/>
    <n v="0"/>
    <n v="0"/>
    <n v="4.7E-2"/>
    <n v="4.7E-2"/>
  </r>
  <r>
    <x v="231"/>
    <x v="231"/>
    <s v="Carbon dioxide"/>
    <s v="kg/2018 USD, purchaser price"/>
    <n v="0.14199999999999999"/>
    <n v="0.14199999999999999"/>
    <n v="7.0000000000000007E-2"/>
    <n v="7.0000000000000007E-2"/>
    <n v="0.21199999999999999"/>
    <n v="0.21199999999999999"/>
  </r>
  <r>
    <x v="231"/>
    <x v="231"/>
    <s v="Methane"/>
    <s v="kg/2018 USD, purchaser price"/>
    <n v="1E-3"/>
    <n v="2.8000000000000001E-2"/>
    <n v="0"/>
    <n v="0"/>
    <n v="1E-3"/>
    <n v="2.8000000000000001E-2"/>
  </r>
  <r>
    <x v="231"/>
    <x v="231"/>
    <s v="Nitrous oxide"/>
    <s v="kg/2018 USD, purchaser price"/>
    <n v="0"/>
    <n v="0"/>
    <n v="0"/>
    <n v="0"/>
    <n v="0"/>
    <n v="0"/>
  </r>
  <r>
    <x v="231"/>
    <x v="231"/>
    <s v="other GHGs"/>
    <s v="kg CO2e/2018 USD, purchaser price"/>
    <n v="3.4000000000000002E-2"/>
    <n v="3.4000000000000002E-2"/>
    <n v="0"/>
    <n v="0"/>
    <n v="3.4000000000000002E-2"/>
    <n v="3.4000000000000002E-2"/>
  </r>
  <r>
    <x v="232"/>
    <x v="232"/>
    <s v="Carbon dioxide"/>
    <s v="kg/2018 USD, purchaser price"/>
    <n v="0.22"/>
    <n v="0.22"/>
    <n v="4.9000000000000002E-2"/>
    <n v="4.9000000000000002E-2"/>
    <n v="0.26900000000000002"/>
    <n v="0.26900000000000002"/>
  </r>
  <r>
    <x v="232"/>
    <x v="232"/>
    <s v="Methane"/>
    <s v="kg/2018 USD, purchaser price"/>
    <n v="1E-3"/>
    <n v="2.8000000000000001E-2"/>
    <n v="0"/>
    <n v="0"/>
    <n v="1E-3"/>
    <n v="2.8000000000000001E-2"/>
  </r>
  <r>
    <x v="232"/>
    <x v="232"/>
    <s v="Nitrous oxide"/>
    <s v="kg/2018 USD, purchaser price"/>
    <n v="0"/>
    <n v="0"/>
    <n v="0"/>
    <n v="0"/>
    <n v="0"/>
    <n v="0"/>
  </r>
  <r>
    <x v="232"/>
    <x v="232"/>
    <s v="other GHGs"/>
    <s v="kg CO2e/2018 USD, purchaser price"/>
    <n v="3.7999999999999999E-2"/>
    <n v="3.7999999999999999E-2"/>
    <n v="0"/>
    <n v="0"/>
    <n v="3.7999999999999999E-2"/>
    <n v="3.7999999999999999E-2"/>
  </r>
  <r>
    <x v="233"/>
    <x v="233"/>
    <s v="Carbon dioxide"/>
    <s v="kg/2018 USD, purchaser price"/>
    <n v="0.28299999999999997"/>
    <n v="0.28299999999999997"/>
    <n v="3.6999999999999998E-2"/>
    <n v="3.6999999999999998E-2"/>
    <n v="0.31900000000000001"/>
    <n v="0.31900000000000001"/>
  </r>
  <r>
    <x v="233"/>
    <x v="233"/>
    <s v="Methane"/>
    <s v="kg/2018 USD, purchaser price"/>
    <n v="1E-3"/>
    <n v="2.8000000000000001E-2"/>
    <n v="0"/>
    <n v="0"/>
    <n v="1E-3"/>
    <n v="2.8000000000000001E-2"/>
  </r>
  <r>
    <x v="233"/>
    <x v="233"/>
    <s v="Nitrous oxide"/>
    <s v="kg/2018 USD, purchaser price"/>
    <n v="0"/>
    <n v="0"/>
    <n v="0"/>
    <n v="0"/>
    <n v="0"/>
    <n v="0"/>
  </r>
  <r>
    <x v="233"/>
    <x v="233"/>
    <s v="other GHGs"/>
    <s v="kg CO2e/2018 USD, purchaser price"/>
    <n v="1.0999999999999999E-2"/>
    <n v="1.0999999999999999E-2"/>
    <n v="0"/>
    <n v="0"/>
    <n v="1.0999999999999999E-2"/>
    <n v="1.0999999999999999E-2"/>
  </r>
  <r>
    <x v="234"/>
    <x v="234"/>
    <s v="Carbon dioxide"/>
    <s v="kg/2018 USD, purchaser price"/>
    <n v="0.22800000000000001"/>
    <n v="0.22800000000000001"/>
    <n v="4.3999999999999997E-2"/>
    <n v="4.3999999999999997E-2"/>
    <n v="0.27200000000000002"/>
    <n v="0.27200000000000002"/>
  </r>
  <r>
    <x v="234"/>
    <x v="234"/>
    <s v="Methane"/>
    <s v="kg/2018 USD, purchaser price"/>
    <n v="1E-3"/>
    <n v="2.8000000000000001E-2"/>
    <n v="0"/>
    <n v="0"/>
    <n v="1E-3"/>
    <n v="2.8000000000000001E-2"/>
  </r>
  <r>
    <x v="234"/>
    <x v="234"/>
    <s v="Nitrous oxide"/>
    <s v="kg/2018 USD, purchaser price"/>
    <n v="0"/>
    <n v="0"/>
    <n v="0"/>
    <n v="0"/>
    <n v="0"/>
    <n v="0"/>
  </r>
  <r>
    <x v="234"/>
    <x v="234"/>
    <s v="other GHGs"/>
    <s v="kg CO2e/2018 USD, purchaser price"/>
    <n v="1.2999999999999999E-2"/>
    <n v="1.2999999999999999E-2"/>
    <n v="0"/>
    <n v="0"/>
    <n v="1.2999999999999999E-2"/>
    <n v="1.2999999999999999E-2"/>
  </r>
  <r>
    <x v="235"/>
    <x v="235"/>
    <s v="Carbon dioxide"/>
    <s v="kg/2018 USD, purchaser price"/>
    <n v="0.30599999999999999"/>
    <n v="0.30599999999999999"/>
    <n v="3.4000000000000002E-2"/>
    <n v="3.4000000000000002E-2"/>
    <n v="0.34"/>
    <n v="0.34"/>
  </r>
  <r>
    <x v="235"/>
    <x v="235"/>
    <s v="Methane"/>
    <s v="kg/2018 USD, purchaser price"/>
    <n v="1E-3"/>
    <n v="2.8000000000000001E-2"/>
    <n v="0"/>
    <n v="0"/>
    <n v="1E-3"/>
    <n v="2.8000000000000001E-2"/>
  </r>
  <r>
    <x v="235"/>
    <x v="235"/>
    <s v="Nitrous oxide"/>
    <s v="kg/2018 USD, purchaser price"/>
    <n v="0"/>
    <n v="0"/>
    <n v="0"/>
    <n v="0"/>
    <n v="0"/>
    <n v="0"/>
  </r>
  <r>
    <x v="235"/>
    <x v="235"/>
    <s v="other GHGs"/>
    <s v="kg CO2e/2018 USD, purchaser price"/>
    <n v="1.0999999999999999E-2"/>
    <n v="1.0999999999999999E-2"/>
    <n v="0"/>
    <n v="0"/>
    <n v="1.0999999999999999E-2"/>
    <n v="1.0999999999999999E-2"/>
  </r>
  <r>
    <x v="236"/>
    <x v="236"/>
    <s v="Carbon dioxide"/>
    <s v="kg/2018 USD, purchaser price"/>
    <n v="0.315"/>
    <n v="0.315"/>
    <n v="1.9E-2"/>
    <n v="1.9E-2"/>
    <n v="0.33500000000000002"/>
    <n v="0.33500000000000002"/>
  </r>
  <r>
    <x v="236"/>
    <x v="236"/>
    <s v="Methane"/>
    <s v="kg/2018 USD, purchaser price"/>
    <n v="2E-3"/>
    <n v="5.6000000000000001E-2"/>
    <n v="0"/>
    <n v="0"/>
    <n v="2E-3"/>
    <n v="5.6000000000000001E-2"/>
  </r>
  <r>
    <x v="236"/>
    <x v="236"/>
    <s v="Nitrous oxide"/>
    <s v="kg/2018 USD, purchaser price"/>
    <n v="0"/>
    <n v="0"/>
    <n v="0"/>
    <n v="0"/>
    <n v="0"/>
    <n v="0"/>
  </r>
  <r>
    <x v="236"/>
    <x v="236"/>
    <s v="other GHGs"/>
    <s v="kg CO2e/2018 USD, purchaser price"/>
    <n v="2.1000000000000001E-2"/>
    <n v="2.1000000000000001E-2"/>
    <n v="0"/>
    <n v="0"/>
    <n v="2.1000000000000001E-2"/>
    <n v="2.1000000000000001E-2"/>
  </r>
  <r>
    <x v="237"/>
    <x v="237"/>
    <s v="Carbon dioxide"/>
    <s v="kg/2018 USD, purchaser price"/>
    <n v="0.51900000000000002"/>
    <n v="0.51900000000000002"/>
    <n v="2.1999999999999999E-2"/>
    <n v="2.1999999999999999E-2"/>
    <n v="0.54100000000000004"/>
    <n v="0.54100000000000004"/>
  </r>
  <r>
    <x v="237"/>
    <x v="237"/>
    <s v="Methane"/>
    <s v="kg/2018 USD, purchaser price"/>
    <n v="2E-3"/>
    <n v="5.6000000000000001E-2"/>
    <n v="0"/>
    <n v="0"/>
    <n v="2E-3"/>
    <n v="5.6000000000000001E-2"/>
  </r>
  <r>
    <x v="237"/>
    <x v="237"/>
    <s v="Nitrous oxide"/>
    <s v="kg/2018 USD, purchaser price"/>
    <n v="0"/>
    <n v="0"/>
    <n v="0"/>
    <n v="0"/>
    <n v="0"/>
    <n v="0"/>
  </r>
  <r>
    <x v="237"/>
    <x v="237"/>
    <s v="other GHGs"/>
    <s v="kg CO2e/2018 USD, purchaser price"/>
    <n v="1.0999999999999999E-2"/>
    <n v="1.0999999999999999E-2"/>
    <n v="0"/>
    <n v="0"/>
    <n v="1.0999999999999999E-2"/>
    <n v="1.0999999999999999E-2"/>
  </r>
  <r>
    <x v="238"/>
    <x v="238"/>
    <s v="Carbon dioxide"/>
    <s v="kg/2018 USD, purchaser price"/>
    <n v="0.317"/>
    <n v="0.317"/>
    <n v="4.2999999999999997E-2"/>
    <n v="4.2999999999999997E-2"/>
    <n v="0.36"/>
    <n v="0.36"/>
  </r>
  <r>
    <x v="238"/>
    <x v="238"/>
    <s v="Methane"/>
    <s v="kg/2018 USD, purchaser price"/>
    <n v="1E-3"/>
    <n v="2.8000000000000001E-2"/>
    <n v="0"/>
    <n v="0"/>
    <n v="1E-3"/>
    <n v="2.8000000000000001E-2"/>
  </r>
  <r>
    <x v="238"/>
    <x v="238"/>
    <s v="Nitrous oxide"/>
    <s v="kg/2018 USD, purchaser price"/>
    <n v="0"/>
    <n v="0"/>
    <n v="0"/>
    <n v="0"/>
    <n v="0"/>
    <n v="0"/>
  </r>
  <r>
    <x v="238"/>
    <x v="238"/>
    <s v="other GHGs"/>
    <s v="kg CO2e/2018 USD, purchaser price"/>
    <n v="1.4999999999999999E-2"/>
    <n v="1.4999999999999999E-2"/>
    <n v="0"/>
    <n v="0"/>
    <n v="1.4999999999999999E-2"/>
    <n v="1.4999999999999999E-2"/>
  </r>
  <r>
    <x v="239"/>
    <x v="239"/>
    <s v="Carbon dioxide"/>
    <s v="kg/2018 USD, purchaser price"/>
    <n v="0.314"/>
    <n v="0.314"/>
    <n v="4.3999999999999997E-2"/>
    <n v="4.3999999999999997E-2"/>
    <n v="0.35799999999999998"/>
    <n v="0.35799999999999998"/>
  </r>
  <r>
    <x v="239"/>
    <x v="239"/>
    <s v="Methane"/>
    <s v="kg/2018 USD, purchaser price"/>
    <n v="1E-3"/>
    <n v="2.8000000000000001E-2"/>
    <n v="0"/>
    <n v="0"/>
    <n v="1E-3"/>
    <n v="2.8000000000000001E-2"/>
  </r>
  <r>
    <x v="239"/>
    <x v="239"/>
    <s v="Nitrous oxide"/>
    <s v="kg/2018 USD, purchaser price"/>
    <n v="0"/>
    <n v="0"/>
    <n v="0"/>
    <n v="0"/>
    <n v="0"/>
    <n v="0"/>
  </r>
  <r>
    <x v="239"/>
    <x v="239"/>
    <s v="other GHGs"/>
    <s v="kg CO2e/2018 USD, purchaser price"/>
    <n v="8.9999999999999993E-3"/>
    <n v="8.9999999999999993E-3"/>
    <n v="0"/>
    <n v="0"/>
    <n v="8.9999999999999993E-3"/>
    <n v="8.9999999999999993E-3"/>
  </r>
  <r>
    <x v="240"/>
    <x v="240"/>
    <s v="Carbon dioxide"/>
    <s v="kg/2018 USD, purchaser price"/>
    <n v="0.125"/>
    <n v="0.125"/>
    <n v="1.0999999999999999E-2"/>
    <n v="1.0999999999999999E-2"/>
    <n v="0.13600000000000001"/>
    <n v="0.13600000000000001"/>
  </r>
  <r>
    <x v="240"/>
    <x v="240"/>
    <s v="Methane"/>
    <s v="kg/2018 USD, purchaser price"/>
    <n v="0"/>
    <n v="0"/>
    <n v="0"/>
    <n v="0"/>
    <n v="1E-3"/>
    <n v="2.8000000000000001E-2"/>
  </r>
  <r>
    <x v="240"/>
    <x v="240"/>
    <s v="Nitrous oxide"/>
    <s v="kg/2018 USD, purchaser price"/>
    <n v="0"/>
    <n v="0"/>
    <n v="0"/>
    <n v="0"/>
    <n v="0"/>
    <n v="0"/>
  </r>
  <r>
    <x v="240"/>
    <x v="240"/>
    <s v="other GHGs"/>
    <s v="kg CO2e/2018 USD, purchaser price"/>
    <n v="5.0000000000000001E-3"/>
    <n v="5.0000000000000001E-3"/>
    <n v="0"/>
    <n v="0"/>
    <n v="5.0000000000000001E-3"/>
    <n v="5.0000000000000001E-3"/>
  </r>
  <r>
    <x v="241"/>
    <x v="241"/>
    <s v="Carbon dioxide"/>
    <s v="kg/2018 USD, purchaser price"/>
    <n v="9.6000000000000002E-2"/>
    <n v="9.6000000000000002E-2"/>
    <n v="8.9999999999999993E-3"/>
    <n v="8.9999999999999993E-3"/>
    <n v="0.105"/>
    <n v="0.105"/>
  </r>
  <r>
    <x v="241"/>
    <x v="241"/>
    <s v="Methane"/>
    <s v="kg/2018 USD, purchaser price"/>
    <n v="0"/>
    <n v="0"/>
    <n v="0"/>
    <n v="0"/>
    <n v="0"/>
    <n v="0"/>
  </r>
  <r>
    <x v="241"/>
    <x v="241"/>
    <s v="Nitrous oxide"/>
    <s v="kg/2018 USD, purchaser price"/>
    <n v="0"/>
    <n v="0"/>
    <n v="0"/>
    <n v="0"/>
    <n v="0"/>
    <n v="0"/>
  </r>
  <r>
    <x v="241"/>
    <x v="241"/>
    <s v="other GHGs"/>
    <s v="kg CO2e/2018 USD, purchaser price"/>
    <n v="2E-3"/>
    <n v="2E-3"/>
    <n v="0"/>
    <n v="0"/>
    <n v="2E-3"/>
    <n v="2E-3"/>
  </r>
  <r>
    <x v="242"/>
    <x v="242"/>
    <s v="Carbon dioxide"/>
    <s v="kg/2018 USD, purchaser price"/>
    <n v="0.185"/>
    <n v="0.185"/>
    <n v="0.01"/>
    <n v="0.01"/>
    <n v="0.19500000000000001"/>
    <n v="0.19500000000000001"/>
  </r>
  <r>
    <x v="242"/>
    <x v="242"/>
    <s v="Methane"/>
    <s v="kg/2018 USD, purchaser price"/>
    <n v="1E-3"/>
    <n v="2.8000000000000001E-2"/>
    <n v="0"/>
    <n v="0"/>
    <n v="1E-3"/>
    <n v="2.8000000000000001E-2"/>
  </r>
  <r>
    <x v="242"/>
    <x v="242"/>
    <s v="Nitrous oxide"/>
    <s v="kg/2018 USD, purchaser price"/>
    <n v="0"/>
    <n v="0"/>
    <n v="0"/>
    <n v="0"/>
    <n v="0"/>
    <n v="0"/>
  </r>
  <r>
    <x v="242"/>
    <x v="242"/>
    <s v="other GHGs"/>
    <s v="kg CO2e/2018 USD, purchaser price"/>
    <n v="5.0000000000000001E-3"/>
    <n v="5.0000000000000001E-3"/>
    <n v="0"/>
    <n v="0"/>
    <n v="5.0000000000000001E-3"/>
    <n v="5.0000000000000001E-3"/>
  </r>
  <r>
    <x v="243"/>
    <x v="243"/>
    <s v="Carbon dioxide"/>
    <s v="kg/2018 USD, purchaser price"/>
    <n v="0.13600000000000001"/>
    <n v="0.13600000000000001"/>
    <n v="0.01"/>
    <n v="0.01"/>
    <n v="0.14599999999999999"/>
    <n v="0.14599999999999999"/>
  </r>
  <r>
    <x v="243"/>
    <x v="243"/>
    <s v="Methane"/>
    <s v="kg/2018 USD, purchaser price"/>
    <n v="0"/>
    <n v="0"/>
    <n v="0"/>
    <n v="0"/>
    <n v="0"/>
    <n v="0"/>
  </r>
  <r>
    <x v="243"/>
    <x v="243"/>
    <s v="Nitrous oxide"/>
    <s v="kg/2018 USD, purchaser price"/>
    <n v="0"/>
    <n v="0"/>
    <n v="0"/>
    <n v="0"/>
    <n v="0"/>
    <n v="0"/>
  </r>
  <r>
    <x v="243"/>
    <x v="243"/>
    <s v="other GHGs"/>
    <s v="kg CO2e/2018 USD, purchaser price"/>
    <n v="4.0000000000000001E-3"/>
    <n v="4.0000000000000001E-3"/>
    <n v="0"/>
    <n v="0"/>
    <n v="4.0000000000000001E-3"/>
    <n v="4.0000000000000001E-3"/>
  </r>
  <r>
    <x v="244"/>
    <x v="244"/>
    <s v="Carbon dioxide"/>
    <s v="kg/2018 USD, purchaser price"/>
    <n v="0.13800000000000001"/>
    <n v="0.13800000000000001"/>
    <n v="0.01"/>
    <n v="0.01"/>
    <n v="0.14899999999999999"/>
    <n v="0.14899999999999999"/>
  </r>
  <r>
    <x v="244"/>
    <x v="244"/>
    <s v="Methane"/>
    <s v="kg/2018 USD, purchaser price"/>
    <n v="0"/>
    <n v="0"/>
    <n v="0"/>
    <n v="0"/>
    <n v="0"/>
    <n v="0"/>
  </r>
  <r>
    <x v="244"/>
    <x v="244"/>
    <s v="Nitrous oxide"/>
    <s v="kg/2018 USD, purchaser price"/>
    <n v="0"/>
    <n v="0"/>
    <n v="0"/>
    <n v="0"/>
    <n v="0"/>
    <n v="0"/>
  </r>
  <r>
    <x v="244"/>
    <x v="244"/>
    <s v="other GHGs"/>
    <s v="kg CO2e/2018 USD, purchaser price"/>
    <n v="3.0000000000000001E-3"/>
    <n v="3.0000000000000001E-3"/>
    <n v="0"/>
    <n v="0"/>
    <n v="3.0000000000000001E-3"/>
    <n v="3.0000000000000001E-3"/>
  </r>
  <r>
    <x v="245"/>
    <x v="245"/>
    <s v="Carbon dioxide"/>
    <s v="kg/2018 USD, purchaser price"/>
    <n v="0.307"/>
    <n v="0.307"/>
    <n v="2.3E-2"/>
    <n v="2.3E-2"/>
    <n v="0.33100000000000002"/>
    <n v="0.33100000000000002"/>
  </r>
  <r>
    <x v="245"/>
    <x v="245"/>
    <s v="Methane"/>
    <s v="kg/2018 USD, purchaser price"/>
    <n v="1E-3"/>
    <n v="2.8000000000000001E-2"/>
    <n v="0"/>
    <n v="0"/>
    <n v="1E-3"/>
    <n v="2.8000000000000001E-2"/>
  </r>
  <r>
    <x v="245"/>
    <x v="245"/>
    <s v="Nitrous oxide"/>
    <s v="kg/2018 USD, purchaser price"/>
    <n v="0"/>
    <n v="0"/>
    <n v="0"/>
    <n v="0"/>
    <n v="0"/>
    <n v="0"/>
  </r>
  <r>
    <x v="245"/>
    <x v="245"/>
    <s v="other GHGs"/>
    <s v="kg CO2e/2018 USD, purchaser price"/>
    <n v="7.0000000000000001E-3"/>
    <n v="7.0000000000000001E-3"/>
    <n v="0"/>
    <n v="0"/>
    <n v="7.0000000000000001E-3"/>
    <n v="7.0000000000000001E-3"/>
  </r>
  <r>
    <x v="246"/>
    <x v="246"/>
    <s v="Carbon dioxide"/>
    <s v="kg/2018 USD, purchaser price"/>
    <n v="0.2"/>
    <n v="0.2"/>
    <n v="1.0999999999999999E-2"/>
    <n v="1.0999999999999999E-2"/>
    <n v="0.21199999999999999"/>
    <n v="0.21199999999999999"/>
  </r>
  <r>
    <x v="246"/>
    <x v="246"/>
    <s v="Methane"/>
    <s v="kg/2018 USD, purchaser price"/>
    <n v="1E-3"/>
    <n v="2.8000000000000001E-2"/>
    <n v="0"/>
    <n v="0"/>
    <n v="1E-3"/>
    <n v="2.8000000000000001E-2"/>
  </r>
  <r>
    <x v="246"/>
    <x v="246"/>
    <s v="Nitrous oxide"/>
    <s v="kg/2018 USD, purchaser price"/>
    <n v="0"/>
    <n v="0"/>
    <n v="0"/>
    <n v="0"/>
    <n v="0"/>
    <n v="0"/>
  </r>
  <r>
    <x v="246"/>
    <x v="246"/>
    <s v="other GHGs"/>
    <s v="kg CO2e/2018 USD, purchaser price"/>
    <n v="6.0000000000000001E-3"/>
    <n v="6.0000000000000001E-3"/>
    <n v="0"/>
    <n v="0"/>
    <n v="6.0000000000000001E-3"/>
    <n v="6.0000000000000001E-3"/>
  </r>
  <r>
    <x v="247"/>
    <x v="247"/>
    <s v="Carbon dioxide"/>
    <s v="kg/2018 USD, purchaser price"/>
    <n v="0.13300000000000001"/>
    <n v="0.13300000000000001"/>
    <n v="6.8000000000000005E-2"/>
    <n v="6.8000000000000005E-2"/>
    <n v="0.20100000000000001"/>
    <n v="0.20100000000000001"/>
  </r>
  <r>
    <x v="247"/>
    <x v="247"/>
    <s v="Methane"/>
    <s v="kg/2018 USD, purchaser price"/>
    <n v="0"/>
    <n v="0"/>
    <n v="0"/>
    <n v="0"/>
    <n v="1E-3"/>
    <n v="2.8000000000000001E-2"/>
  </r>
  <r>
    <x v="247"/>
    <x v="247"/>
    <s v="Nitrous oxide"/>
    <s v="kg/2018 USD, purchaser price"/>
    <n v="0"/>
    <n v="0"/>
    <n v="0"/>
    <n v="0"/>
    <n v="0"/>
    <n v="0"/>
  </r>
  <r>
    <x v="247"/>
    <x v="247"/>
    <s v="other GHGs"/>
    <s v="kg CO2e/2018 USD, purchaser price"/>
    <n v="7.0000000000000001E-3"/>
    <n v="7.0000000000000001E-3"/>
    <n v="0"/>
    <n v="0"/>
    <n v="7.0000000000000001E-3"/>
    <n v="7.0000000000000001E-3"/>
  </r>
  <r>
    <x v="248"/>
    <x v="248"/>
    <s v="Carbon dioxide"/>
    <s v="kg/2018 USD, purchaser price"/>
    <n v="0.15"/>
    <n v="0.15"/>
    <n v="7.0000000000000007E-2"/>
    <n v="7.0000000000000007E-2"/>
    <n v="0.22"/>
    <n v="0.22"/>
  </r>
  <r>
    <x v="248"/>
    <x v="248"/>
    <s v="Methane"/>
    <s v="kg/2018 USD, purchaser price"/>
    <n v="1E-3"/>
    <n v="2.8000000000000001E-2"/>
    <n v="0"/>
    <n v="0"/>
    <n v="1E-3"/>
    <n v="2.8000000000000001E-2"/>
  </r>
  <r>
    <x v="248"/>
    <x v="248"/>
    <s v="Nitrous oxide"/>
    <s v="kg/2018 USD, purchaser price"/>
    <n v="0"/>
    <n v="0"/>
    <n v="0"/>
    <n v="0"/>
    <n v="0"/>
    <n v="0"/>
  </r>
  <r>
    <x v="248"/>
    <x v="248"/>
    <s v="other GHGs"/>
    <s v="kg CO2e/2018 USD, purchaser price"/>
    <n v="8.9999999999999993E-3"/>
    <n v="8.9999999999999993E-3"/>
    <n v="0"/>
    <n v="0"/>
    <n v="8.9999999999999993E-3"/>
    <n v="8.9999999999999993E-3"/>
  </r>
  <r>
    <x v="249"/>
    <x v="249"/>
    <s v="Carbon dioxide"/>
    <s v="kg/2018 USD, purchaser price"/>
    <n v="0.30299999999999999"/>
    <n v="0.30299999999999999"/>
    <n v="1.2E-2"/>
    <n v="1.2E-2"/>
    <n v="0.316"/>
    <n v="0.316"/>
  </r>
  <r>
    <x v="249"/>
    <x v="249"/>
    <s v="Methane"/>
    <s v="kg/2018 USD, purchaser price"/>
    <n v="1E-3"/>
    <n v="2.8000000000000001E-2"/>
    <n v="0"/>
    <n v="0"/>
    <n v="1E-3"/>
    <n v="2.8000000000000001E-2"/>
  </r>
  <r>
    <x v="249"/>
    <x v="249"/>
    <s v="Nitrous oxide"/>
    <s v="kg/2018 USD, purchaser price"/>
    <n v="0"/>
    <n v="0"/>
    <n v="0"/>
    <n v="0"/>
    <n v="0"/>
    <n v="0"/>
  </r>
  <r>
    <x v="249"/>
    <x v="249"/>
    <s v="other GHGs"/>
    <s v="kg CO2e/2018 USD, purchaser price"/>
    <n v="0.01"/>
    <n v="0.01"/>
    <n v="0"/>
    <n v="0"/>
    <n v="0.01"/>
    <n v="0.01"/>
  </r>
  <r>
    <x v="250"/>
    <x v="250"/>
    <s v="Carbon dioxide"/>
    <s v="kg/2018 USD, purchaser price"/>
    <n v="0.22500000000000001"/>
    <n v="0.22500000000000001"/>
    <n v="6.2E-2"/>
    <n v="6.2E-2"/>
    <n v="0.28699999999999998"/>
    <n v="0.28699999999999998"/>
  </r>
  <r>
    <x v="250"/>
    <x v="250"/>
    <s v="Methane"/>
    <s v="kg/2018 USD, purchaser price"/>
    <n v="1E-3"/>
    <n v="2.8000000000000001E-2"/>
    <n v="0"/>
    <n v="0"/>
    <n v="1E-3"/>
    <n v="2.8000000000000001E-2"/>
  </r>
  <r>
    <x v="250"/>
    <x v="250"/>
    <s v="Nitrous oxide"/>
    <s v="kg/2018 USD, purchaser price"/>
    <n v="0"/>
    <n v="0"/>
    <n v="0"/>
    <n v="0"/>
    <n v="0"/>
    <n v="0"/>
  </r>
  <r>
    <x v="250"/>
    <x v="250"/>
    <s v="other GHGs"/>
    <s v="kg CO2e/2018 USD, purchaser price"/>
    <n v="8.9999999999999993E-3"/>
    <n v="8.9999999999999993E-3"/>
    <n v="0"/>
    <n v="0"/>
    <n v="8.9999999999999993E-3"/>
    <n v="8.9999999999999993E-3"/>
  </r>
  <r>
    <x v="251"/>
    <x v="251"/>
    <s v="Carbon dioxide"/>
    <s v="kg/2018 USD, purchaser price"/>
    <n v="0.13300000000000001"/>
    <n v="0.13300000000000001"/>
    <n v="8.5000000000000006E-2"/>
    <n v="8.5000000000000006E-2"/>
    <n v="0.218"/>
    <n v="0.218"/>
  </r>
  <r>
    <x v="251"/>
    <x v="251"/>
    <s v="Methane"/>
    <s v="kg/2018 USD, purchaser price"/>
    <n v="1E-3"/>
    <n v="2.8000000000000001E-2"/>
    <n v="0"/>
    <n v="0"/>
    <n v="1E-3"/>
    <n v="2.8000000000000001E-2"/>
  </r>
  <r>
    <x v="251"/>
    <x v="251"/>
    <s v="Nitrous oxide"/>
    <s v="kg/2018 USD, purchaser price"/>
    <n v="0"/>
    <n v="0"/>
    <n v="0"/>
    <n v="0"/>
    <n v="0"/>
    <n v="0"/>
  </r>
  <r>
    <x v="251"/>
    <x v="251"/>
    <s v="other GHGs"/>
    <s v="kg CO2e/2018 USD, purchaser price"/>
    <n v="6.0000000000000001E-3"/>
    <n v="6.0000000000000001E-3"/>
    <n v="0"/>
    <n v="0"/>
    <n v="6.0000000000000001E-3"/>
    <n v="6.0000000000000001E-3"/>
  </r>
  <r>
    <x v="252"/>
    <x v="252"/>
    <s v="Carbon dioxide"/>
    <s v="kg/2018 USD, purchaser price"/>
    <n v="0.152"/>
    <n v="0.152"/>
    <n v="0.112"/>
    <n v="0.112"/>
    <n v="0.26400000000000001"/>
    <n v="0.26400000000000001"/>
  </r>
  <r>
    <x v="252"/>
    <x v="252"/>
    <s v="Methane"/>
    <s v="kg/2018 USD, purchaser price"/>
    <n v="1E-3"/>
    <n v="2.8000000000000001E-2"/>
    <n v="1E-3"/>
    <n v="2.8000000000000001E-2"/>
    <n v="1E-3"/>
    <n v="2.8000000000000001E-2"/>
  </r>
  <r>
    <x v="252"/>
    <x v="252"/>
    <s v="Nitrous oxide"/>
    <s v="kg/2018 USD, purchaser price"/>
    <n v="0"/>
    <n v="0"/>
    <n v="0"/>
    <n v="0"/>
    <n v="0"/>
    <n v="0"/>
  </r>
  <r>
    <x v="252"/>
    <x v="252"/>
    <s v="other GHGs"/>
    <s v="kg CO2e/2018 USD, purchaser price"/>
    <n v="4.3999999999999997E-2"/>
    <n v="4.3999999999999997E-2"/>
    <n v="0"/>
    <n v="0"/>
    <n v="4.3999999999999997E-2"/>
    <n v="4.3999999999999997E-2"/>
  </r>
  <r>
    <x v="253"/>
    <x v="253"/>
    <s v="Carbon dioxide"/>
    <s v="kg/2018 USD, purchaser price"/>
    <n v="0.126"/>
    <n v="0.126"/>
    <n v="0.11600000000000001"/>
    <n v="0.11600000000000001"/>
    <n v="0.24099999999999999"/>
    <n v="0.24099999999999999"/>
  </r>
  <r>
    <x v="253"/>
    <x v="253"/>
    <s v="Methane"/>
    <s v="kg/2018 USD, purchaser price"/>
    <n v="0"/>
    <n v="0"/>
    <n v="1E-3"/>
    <n v="2.8000000000000001E-2"/>
    <n v="1E-3"/>
    <n v="2.8000000000000001E-2"/>
  </r>
  <r>
    <x v="253"/>
    <x v="253"/>
    <s v="Nitrous oxide"/>
    <s v="kg/2018 USD, purchaser price"/>
    <n v="0"/>
    <n v="0"/>
    <n v="0"/>
    <n v="0"/>
    <n v="0"/>
    <n v="0"/>
  </r>
  <r>
    <x v="253"/>
    <x v="253"/>
    <s v="other GHGs"/>
    <s v="kg CO2e/2018 USD, purchaser price"/>
    <n v="1.4E-2"/>
    <n v="1.4E-2"/>
    <n v="0"/>
    <n v="0"/>
    <n v="1.4E-2"/>
    <n v="1.4E-2"/>
  </r>
  <r>
    <x v="254"/>
    <x v="254"/>
    <s v="Carbon dioxide"/>
    <s v="kg/2018 USD, purchaser price"/>
    <n v="0.221"/>
    <n v="0.221"/>
    <n v="8.3000000000000004E-2"/>
    <n v="8.3000000000000004E-2"/>
    <n v="0.30399999999999999"/>
    <n v="0.30399999999999999"/>
  </r>
  <r>
    <x v="254"/>
    <x v="254"/>
    <s v="Methane"/>
    <s v="kg/2018 USD, purchaser price"/>
    <n v="1E-3"/>
    <n v="2.8000000000000001E-2"/>
    <n v="1E-3"/>
    <n v="2.8000000000000001E-2"/>
    <n v="2E-3"/>
    <n v="5.6000000000000001E-2"/>
  </r>
  <r>
    <x v="254"/>
    <x v="254"/>
    <s v="Nitrous oxide"/>
    <s v="kg/2018 USD, purchaser price"/>
    <n v="0"/>
    <n v="0"/>
    <n v="0"/>
    <n v="0"/>
    <n v="0"/>
    <n v="0"/>
  </r>
  <r>
    <x v="254"/>
    <x v="254"/>
    <s v="other GHGs"/>
    <s v="kg CO2e/2018 USD, purchaser price"/>
    <n v="1.4999999999999999E-2"/>
    <n v="1.4999999999999999E-2"/>
    <n v="0"/>
    <n v="0"/>
    <n v="1.4999999999999999E-2"/>
    <n v="1.4999999999999999E-2"/>
  </r>
  <r>
    <x v="255"/>
    <x v="255"/>
    <s v="Carbon dioxide"/>
    <s v="kg/2018 USD, purchaser price"/>
    <n v="0.182"/>
    <n v="0.182"/>
    <n v="0.125"/>
    <n v="0.125"/>
    <n v="0.307"/>
    <n v="0.307"/>
  </r>
  <r>
    <x v="255"/>
    <x v="255"/>
    <s v="Methane"/>
    <s v="kg/2018 USD, purchaser price"/>
    <n v="1E-3"/>
    <n v="2.8000000000000001E-2"/>
    <n v="1E-3"/>
    <n v="2.8000000000000001E-2"/>
    <n v="1E-3"/>
    <n v="2.8000000000000001E-2"/>
  </r>
  <r>
    <x v="255"/>
    <x v="255"/>
    <s v="Nitrous oxide"/>
    <s v="kg/2018 USD, purchaser price"/>
    <n v="0"/>
    <n v="0"/>
    <n v="0"/>
    <n v="0"/>
    <n v="0"/>
    <n v="0"/>
  </r>
  <r>
    <x v="255"/>
    <x v="255"/>
    <s v="other GHGs"/>
    <s v="kg CO2e/2018 USD, purchaser price"/>
    <n v="2.7E-2"/>
    <n v="2.7E-2"/>
    <n v="0"/>
    <n v="0"/>
    <n v="2.7E-2"/>
    <n v="2.7E-2"/>
  </r>
  <r>
    <x v="256"/>
    <x v="256"/>
    <s v="Carbon dioxide"/>
    <s v="kg/2018 USD, purchaser price"/>
    <n v="0.26300000000000001"/>
    <n v="0.26300000000000001"/>
    <n v="8.6999999999999994E-2"/>
    <n v="8.6999999999999994E-2"/>
    <n v="0.34899999999999998"/>
    <n v="0.34899999999999998"/>
  </r>
  <r>
    <x v="256"/>
    <x v="256"/>
    <s v="Methane"/>
    <s v="kg/2018 USD, purchaser price"/>
    <n v="1E-3"/>
    <n v="2.8000000000000001E-2"/>
    <n v="1E-3"/>
    <n v="2.8000000000000001E-2"/>
    <n v="2E-3"/>
    <n v="5.6000000000000001E-2"/>
  </r>
  <r>
    <x v="256"/>
    <x v="256"/>
    <s v="Nitrous oxide"/>
    <s v="kg/2018 USD, purchaser price"/>
    <n v="0"/>
    <n v="0"/>
    <n v="0"/>
    <n v="0"/>
    <n v="0"/>
    <n v="0"/>
  </r>
  <r>
    <x v="256"/>
    <x v="256"/>
    <s v="other GHGs"/>
    <s v="kg CO2e/2018 USD, purchaser price"/>
    <n v="1.2E-2"/>
    <n v="1.2E-2"/>
    <n v="0"/>
    <n v="0"/>
    <n v="1.2E-2"/>
    <n v="1.2E-2"/>
  </r>
  <r>
    <x v="257"/>
    <x v="257"/>
    <s v="Carbon dioxide"/>
    <s v="kg/2018 USD, purchaser price"/>
    <n v="0.222"/>
    <n v="0.222"/>
    <n v="8.1000000000000003E-2"/>
    <n v="8.1000000000000003E-2"/>
    <n v="0.30299999999999999"/>
    <n v="0.30299999999999999"/>
  </r>
  <r>
    <x v="257"/>
    <x v="257"/>
    <s v="Methane"/>
    <s v="kg/2018 USD, purchaser price"/>
    <n v="1E-3"/>
    <n v="2.8000000000000001E-2"/>
    <n v="1E-3"/>
    <n v="2.8000000000000001E-2"/>
    <n v="2E-3"/>
    <n v="5.6000000000000001E-2"/>
  </r>
  <r>
    <x v="257"/>
    <x v="257"/>
    <s v="Nitrous oxide"/>
    <s v="kg/2018 USD, purchaser price"/>
    <n v="0"/>
    <n v="0"/>
    <n v="0"/>
    <n v="0"/>
    <n v="0"/>
    <n v="0"/>
  </r>
  <r>
    <x v="257"/>
    <x v="257"/>
    <s v="other GHGs"/>
    <s v="kg CO2e/2018 USD, purchaser price"/>
    <n v="1.2E-2"/>
    <n v="1.2E-2"/>
    <n v="0"/>
    <n v="0"/>
    <n v="1.2E-2"/>
    <n v="1.2E-2"/>
  </r>
  <r>
    <x v="258"/>
    <x v="258"/>
    <s v="Carbon dioxide"/>
    <s v="kg/2018 USD, purchaser price"/>
    <n v="0.108"/>
    <n v="0.108"/>
    <n v="0.122"/>
    <n v="0.122"/>
    <n v="0.23"/>
    <n v="0.23"/>
  </r>
  <r>
    <x v="258"/>
    <x v="258"/>
    <s v="Methane"/>
    <s v="kg/2018 USD, purchaser price"/>
    <n v="0"/>
    <n v="0"/>
    <n v="1E-3"/>
    <n v="2.8000000000000001E-2"/>
    <n v="1E-3"/>
    <n v="2.8000000000000001E-2"/>
  </r>
  <r>
    <x v="258"/>
    <x v="258"/>
    <s v="Nitrous oxide"/>
    <s v="kg/2018 USD, purchaser price"/>
    <n v="0"/>
    <n v="0"/>
    <n v="0"/>
    <n v="0"/>
    <n v="0"/>
    <n v="0"/>
  </r>
  <r>
    <x v="258"/>
    <x v="258"/>
    <s v="other GHGs"/>
    <s v="kg CO2e/2018 USD, purchaser price"/>
    <n v="7.4999999999999997E-2"/>
    <n v="7.4999999999999997E-2"/>
    <n v="0"/>
    <n v="0"/>
    <n v="7.4999999999999997E-2"/>
    <n v="7.4999999999999997E-2"/>
  </r>
  <r>
    <x v="259"/>
    <x v="259"/>
    <s v="Carbon dioxide"/>
    <s v="kg/2018 USD, purchaser price"/>
    <n v="0.13900000000000001"/>
    <n v="0.13900000000000001"/>
    <n v="3.6999999999999998E-2"/>
    <n v="3.6999999999999998E-2"/>
    <n v="0.17599999999999999"/>
    <n v="0.17599999999999999"/>
  </r>
  <r>
    <x v="259"/>
    <x v="259"/>
    <s v="Methane"/>
    <s v="kg/2018 USD, purchaser price"/>
    <n v="1E-3"/>
    <n v="2.8000000000000001E-2"/>
    <n v="0"/>
    <n v="0"/>
    <n v="1E-3"/>
    <n v="2.8000000000000001E-2"/>
  </r>
  <r>
    <x v="259"/>
    <x v="259"/>
    <s v="Nitrous oxide"/>
    <s v="kg/2018 USD, purchaser price"/>
    <n v="0"/>
    <n v="0"/>
    <n v="0"/>
    <n v="0"/>
    <n v="0"/>
    <n v="0"/>
  </r>
  <r>
    <x v="259"/>
    <x v="259"/>
    <s v="other GHGs"/>
    <s v="kg CO2e/2018 USD, purchaser price"/>
    <n v="4.0000000000000001E-3"/>
    <n v="4.0000000000000001E-3"/>
    <n v="0"/>
    <n v="0"/>
    <n v="4.0000000000000001E-3"/>
    <n v="4.0000000000000001E-3"/>
  </r>
  <r>
    <x v="260"/>
    <x v="260"/>
    <s v="Carbon dioxide"/>
    <s v="kg/2018 USD, purchaser price"/>
    <n v="0.112"/>
    <n v="0.112"/>
    <n v="6.0999999999999999E-2"/>
    <n v="6.0999999999999999E-2"/>
    <n v="0.17299999999999999"/>
    <n v="0.17299999999999999"/>
  </r>
  <r>
    <x v="260"/>
    <x v="260"/>
    <s v="Methane"/>
    <s v="kg/2018 USD, purchaser price"/>
    <n v="0"/>
    <n v="0"/>
    <n v="0"/>
    <n v="0"/>
    <n v="1E-3"/>
    <n v="2.8000000000000001E-2"/>
  </r>
  <r>
    <x v="260"/>
    <x v="260"/>
    <s v="Nitrous oxide"/>
    <s v="kg/2018 USD, purchaser price"/>
    <n v="0"/>
    <n v="0"/>
    <n v="0"/>
    <n v="0"/>
    <n v="0"/>
    <n v="0"/>
  </r>
  <r>
    <x v="260"/>
    <x v="260"/>
    <s v="other GHGs"/>
    <s v="kg CO2e/2018 USD, purchaser price"/>
    <n v="5.0000000000000001E-3"/>
    <n v="5.0000000000000001E-3"/>
    <n v="0"/>
    <n v="0"/>
    <n v="5.0000000000000001E-3"/>
    <n v="5.0000000000000001E-3"/>
  </r>
  <r>
    <x v="261"/>
    <x v="261"/>
    <s v="Carbon dioxide"/>
    <s v="kg/2018 USD, purchaser price"/>
    <n v="0.15"/>
    <n v="0.15"/>
    <n v="0.03"/>
    <n v="0.03"/>
    <n v="0.18"/>
    <n v="0.18"/>
  </r>
  <r>
    <x v="261"/>
    <x v="261"/>
    <s v="Methane"/>
    <s v="kg/2018 USD, purchaser price"/>
    <n v="0"/>
    <n v="0"/>
    <n v="0"/>
    <n v="0"/>
    <n v="1E-3"/>
    <n v="2.8000000000000001E-2"/>
  </r>
  <r>
    <x v="261"/>
    <x v="261"/>
    <s v="Nitrous oxide"/>
    <s v="kg/2018 USD, purchaser price"/>
    <n v="0"/>
    <n v="0"/>
    <n v="0"/>
    <n v="0"/>
    <n v="0"/>
    <n v="0"/>
  </r>
  <r>
    <x v="261"/>
    <x v="261"/>
    <s v="other GHGs"/>
    <s v="kg CO2e/2018 USD, purchaser price"/>
    <n v="8.9999999999999993E-3"/>
    <n v="8.9999999999999993E-3"/>
    <n v="0"/>
    <n v="0"/>
    <n v="8.9999999999999993E-3"/>
    <n v="8.9999999999999993E-3"/>
  </r>
  <r>
    <x v="262"/>
    <x v="262"/>
    <s v="Carbon dioxide"/>
    <s v="kg/2018 USD, purchaser price"/>
    <n v="6.4000000000000001E-2"/>
    <n v="6.4000000000000001E-2"/>
    <n v="9.7000000000000003E-2"/>
    <n v="9.7000000000000003E-2"/>
    <n v="0.16200000000000001"/>
    <n v="0.16200000000000001"/>
  </r>
  <r>
    <x v="262"/>
    <x v="262"/>
    <s v="Methane"/>
    <s v="kg/2018 USD, purchaser price"/>
    <n v="0"/>
    <n v="0"/>
    <n v="0"/>
    <n v="0"/>
    <n v="1E-3"/>
    <n v="2.8000000000000001E-2"/>
  </r>
  <r>
    <x v="262"/>
    <x v="262"/>
    <s v="Nitrous oxide"/>
    <s v="kg/2018 USD, purchaser price"/>
    <n v="0"/>
    <n v="0"/>
    <n v="0"/>
    <n v="0"/>
    <n v="0"/>
    <n v="0"/>
  </r>
  <r>
    <x v="262"/>
    <x v="262"/>
    <s v="other GHGs"/>
    <s v="kg CO2e/2018 USD, purchaser price"/>
    <n v="2E-3"/>
    <n v="2E-3"/>
    <n v="0"/>
    <n v="0"/>
    <n v="2E-3"/>
    <n v="2E-3"/>
  </r>
  <r>
    <x v="263"/>
    <x v="263"/>
    <s v="Carbon dioxide"/>
    <s v="kg/2018 USD, purchaser price"/>
    <n v="8.7999999999999995E-2"/>
    <n v="8.7999999999999995E-2"/>
    <n v="2.8000000000000001E-2"/>
    <n v="2.8000000000000001E-2"/>
    <n v="0.11700000000000001"/>
    <n v="0.11700000000000001"/>
  </r>
  <r>
    <x v="263"/>
    <x v="263"/>
    <s v="Methane"/>
    <s v="kg/2018 USD, purchaser price"/>
    <n v="0"/>
    <n v="0"/>
    <n v="0"/>
    <n v="0"/>
    <n v="0"/>
    <n v="0"/>
  </r>
  <r>
    <x v="263"/>
    <x v="263"/>
    <s v="Nitrous oxide"/>
    <s v="kg/2018 USD, purchaser price"/>
    <n v="0"/>
    <n v="0"/>
    <n v="0"/>
    <n v="0"/>
    <n v="0"/>
    <n v="0"/>
  </r>
  <r>
    <x v="263"/>
    <x v="263"/>
    <s v="other GHGs"/>
    <s v="kg CO2e/2018 USD, purchaser price"/>
    <n v="5.0000000000000001E-3"/>
    <n v="5.0000000000000001E-3"/>
    <n v="0"/>
    <n v="0"/>
    <n v="5.0000000000000001E-3"/>
    <n v="5.0000000000000001E-3"/>
  </r>
  <r>
    <x v="264"/>
    <x v="264"/>
    <s v="Carbon dioxide"/>
    <s v="kg/2018 USD, purchaser price"/>
    <n v="8.7999999999999995E-2"/>
    <n v="8.7999999999999995E-2"/>
    <n v="0.106"/>
    <n v="0.106"/>
    <n v="0.19400000000000001"/>
    <n v="0.19400000000000001"/>
  </r>
  <r>
    <x v="264"/>
    <x v="264"/>
    <s v="Methane"/>
    <s v="kg/2018 USD, purchaser price"/>
    <n v="0"/>
    <n v="0"/>
    <n v="0"/>
    <n v="0"/>
    <n v="1E-3"/>
    <n v="2.8000000000000001E-2"/>
  </r>
  <r>
    <x v="264"/>
    <x v="264"/>
    <s v="Nitrous oxide"/>
    <s v="kg/2018 USD, purchaser price"/>
    <n v="0"/>
    <n v="0"/>
    <n v="0"/>
    <n v="0"/>
    <n v="0"/>
    <n v="0"/>
  </r>
  <r>
    <x v="264"/>
    <x v="264"/>
    <s v="other GHGs"/>
    <s v="kg CO2e/2018 USD, purchaser price"/>
    <n v="8.9999999999999993E-3"/>
    <n v="8.9999999999999993E-3"/>
    <n v="0"/>
    <n v="0"/>
    <n v="8.9999999999999993E-3"/>
    <n v="8.9999999999999993E-3"/>
  </r>
  <r>
    <x v="265"/>
    <x v="265"/>
    <s v="Carbon dioxide"/>
    <s v="kg/2018 USD, purchaser price"/>
    <n v="0.13300000000000001"/>
    <n v="0.13300000000000001"/>
    <n v="0.12"/>
    <n v="0.12"/>
    <n v="0.252"/>
    <n v="0.252"/>
  </r>
  <r>
    <x v="265"/>
    <x v="265"/>
    <s v="Methane"/>
    <s v="kg/2018 USD, purchaser price"/>
    <n v="0"/>
    <n v="0"/>
    <n v="1E-3"/>
    <n v="2.8000000000000001E-2"/>
    <n v="1E-3"/>
    <n v="2.8000000000000001E-2"/>
  </r>
  <r>
    <x v="265"/>
    <x v="265"/>
    <s v="Nitrous oxide"/>
    <s v="kg/2018 USD, purchaser price"/>
    <n v="0"/>
    <n v="0"/>
    <n v="0"/>
    <n v="0"/>
    <n v="0"/>
    <n v="0"/>
  </r>
  <r>
    <x v="265"/>
    <x v="265"/>
    <s v="other GHGs"/>
    <s v="kg CO2e/2018 USD, purchaser price"/>
    <n v="7.0000000000000001E-3"/>
    <n v="7.0000000000000001E-3"/>
    <n v="0"/>
    <n v="0"/>
    <n v="7.0000000000000001E-3"/>
    <n v="7.0000000000000001E-3"/>
  </r>
  <r>
    <x v="266"/>
    <x v="266"/>
    <s v="Carbon dioxide"/>
    <s v="kg/2018 USD, purchaser price"/>
    <n v="9.0999999999999998E-2"/>
    <n v="9.0999999999999998E-2"/>
    <n v="0.126"/>
    <n v="0.126"/>
    <n v="0.217"/>
    <n v="0.217"/>
  </r>
  <r>
    <x v="266"/>
    <x v="266"/>
    <s v="Methane"/>
    <s v="kg/2018 USD, purchaser price"/>
    <n v="0"/>
    <n v="0"/>
    <n v="1E-3"/>
    <n v="2.8000000000000001E-2"/>
    <n v="1E-3"/>
    <n v="2.8000000000000001E-2"/>
  </r>
  <r>
    <x v="266"/>
    <x v="266"/>
    <s v="Nitrous oxide"/>
    <s v="kg/2018 USD, purchaser price"/>
    <n v="0"/>
    <n v="0"/>
    <n v="0"/>
    <n v="0"/>
    <n v="0"/>
    <n v="0"/>
  </r>
  <r>
    <x v="266"/>
    <x v="266"/>
    <s v="other GHGs"/>
    <s v="kg CO2e/2018 USD, purchaser price"/>
    <n v="8.9999999999999993E-3"/>
    <n v="8.9999999999999993E-3"/>
    <n v="0"/>
    <n v="0"/>
    <n v="8.9999999999999993E-3"/>
    <n v="8.9999999999999993E-3"/>
  </r>
  <r>
    <x v="267"/>
    <x v="267"/>
    <s v="Carbon dioxide"/>
    <s v="kg/2018 USD, purchaser price"/>
    <n v="0.192"/>
    <n v="0.192"/>
    <n v="9.6000000000000002E-2"/>
    <n v="9.6000000000000002E-2"/>
    <n v="0.28799999999999998"/>
    <n v="0.28799999999999998"/>
  </r>
  <r>
    <x v="267"/>
    <x v="267"/>
    <s v="Methane"/>
    <s v="kg/2018 USD, purchaser price"/>
    <n v="1E-3"/>
    <n v="2.8000000000000001E-2"/>
    <n v="1E-3"/>
    <n v="2.8000000000000001E-2"/>
    <n v="2E-3"/>
    <n v="5.6000000000000001E-2"/>
  </r>
  <r>
    <x v="267"/>
    <x v="267"/>
    <s v="Nitrous oxide"/>
    <s v="kg/2018 USD, purchaser price"/>
    <n v="0"/>
    <n v="0"/>
    <n v="0"/>
    <n v="0"/>
    <n v="0"/>
    <n v="0"/>
  </r>
  <r>
    <x v="267"/>
    <x v="267"/>
    <s v="other GHGs"/>
    <s v="kg CO2e/2018 USD, purchaser price"/>
    <n v="5.0000000000000001E-3"/>
    <n v="5.0000000000000001E-3"/>
    <n v="0"/>
    <n v="0"/>
    <n v="5.0000000000000001E-3"/>
    <n v="5.0000000000000001E-3"/>
  </r>
  <r>
    <x v="268"/>
    <x v="268"/>
    <s v="Carbon dioxide"/>
    <s v="kg/2018 USD, purchaser price"/>
    <n v="0.214"/>
    <n v="0.214"/>
    <n v="8.2000000000000003E-2"/>
    <n v="8.2000000000000003E-2"/>
    <n v="0.29599999999999999"/>
    <n v="0.29599999999999999"/>
  </r>
  <r>
    <x v="268"/>
    <x v="268"/>
    <s v="Methane"/>
    <s v="kg/2018 USD, purchaser price"/>
    <n v="1E-3"/>
    <n v="2.8000000000000001E-2"/>
    <n v="1E-3"/>
    <n v="2.8000000000000001E-2"/>
    <n v="2E-3"/>
    <n v="5.6000000000000001E-2"/>
  </r>
  <r>
    <x v="268"/>
    <x v="268"/>
    <s v="Nitrous oxide"/>
    <s v="kg/2018 USD, purchaser price"/>
    <n v="0"/>
    <n v="0"/>
    <n v="0"/>
    <n v="0"/>
    <n v="0"/>
    <n v="0"/>
  </r>
  <r>
    <x v="268"/>
    <x v="268"/>
    <s v="other GHGs"/>
    <s v="kg CO2e/2018 USD, purchaser price"/>
    <n v="1.0999999999999999E-2"/>
    <n v="1.0999999999999999E-2"/>
    <n v="0"/>
    <n v="0"/>
    <n v="1.0999999999999999E-2"/>
    <n v="1.0999999999999999E-2"/>
  </r>
  <r>
    <x v="269"/>
    <x v="269"/>
    <s v="Carbon dioxide"/>
    <s v="kg/2018 USD, purchaser price"/>
    <n v="0.13500000000000001"/>
    <n v="0.13500000000000001"/>
    <n v="0.109"/>
    <n v="0.109"/>
    <n v="0.24399999999999999"/>
    <n v="0.24399999999999999"/>
  </r>
  <r>
    <x v="269"/>
    <x v="269"/>
    <s v="Methane"/>
    <s v="kg/2018 USD, purchaser price"/>
    <n v="0"/>
    <n v="0"/>
    <n v="1E-3"/>
    <n v="2.8000000000000001E-2"/>
    <n v="1E-3"/>
    <n v="2.8000000000000001E-2"/>
  </r>
  <r>
    <x v="269"/>
    <x v="269"/>
    <s v="Nitrous oxide"/>
    <s v="kg/2018 USD, purchaser price"/>
    <n v="0"/>
    <n v="0"/>
    <n v="0"/>
    <n v="0"/>
    <n v="0"/>
    <n v="0"/>
  </r>
  <r>
    <x v="269"/>
    <x v="269"/>
    <s v="other GHGs"/>
    <s v="kg CO2e/2018 USD, purchaser price"/>
    <n v="6.0000000000000001E-3"/>
    <n v="6.0000000000000001E-3"/>
    <n v="0"/>
    <n v="0"/>
    <n v="6.0000000000000001E-3"/>
    <n v="6.0000000000000001E-3"/>
  </r>
  <r>
    <x v="270"/>
    <x v="270"/>
    <s v="Carbon dioxide"/>
    <s v="kg/2018 USD, purchaser price"/>
    <n v="0"/>
    <n v="0"/>
    <n v="0"/>
    <n v="0"/>
    <n v="0"/>
    <n v="0"/>
  </r>
  <r>
    <x v="270"/>
    <x v="270"/>
    <s v="Methane"/>
    <s v="kg/2018 USD, purchaser price"/>
    <n v="0"/>
    <n v="0"/>
    <n v="0"/>
    <n v="0"/>
    <n v="0"/>
    <n v="0"/>
  </r>
  <r>
    <x v="270"/>
    <x v="270"/>
    <s v="Nitrous oxide"/>
    <s v="kg/2018 USD, purchaser price"/>
    <n v="0"/>
    <n v="0"/>
    <n v="0"/>
    <n v="0"/>
    <n v="0"/>
    <n v="0"/>
  </r>
  <r>
    <x v="270"/>
    <x v="270"/>
    <s v="other GHGs"/>
    <s v="kg CO2e/2018 USD, purchaser price"/>
    <n v="0"/>
    <n v="0"/>
    <n v="0"/>
    <n v="0"/>
    <n v="0"/>
    <n v="0"/>
  </r>
  <r>
    <x v="271"/>
    <x v="271"/>
    <s v="Carbon dioxide"/>
    <s v="kg/2018 USD, purchaser price"/>
    <n v="0.152"/>
    <n v="0.152"/>
    <n v="0"/>
    <n v="0"/>
    <n v="0.152"/>
    <n v="0.152"/>
  </r>
  <r>
    <x v="271"/>
    <x v="271"/>
    <s v="Methane"/>
    <s v="kg/2018 USD, purchaser price"/>
    <n v="1E-3"/>
    <n v="2.8000000000000001E-2"/>
    <n v="0"/>
    <n v="0"/>
    <n v="1E-3"/>
    <n v="2.8000000000000001E-2"/>
  </r>
  <r>
    <x v="271"/>
    <x v="271"/>
    <s v="Nitrous oxide"/>
    <s v="kg/2018 USD, purchaser price"/>
    <n v="0"/>
    <n v="0"/>
    <n v="0"/>
    <n v="0"/>
    <n v="0"/>
    <n v="0"/>
  </r>
  <r>
    <x v="271"/>
    <x v="271"/>
    <s v="other GHGs"/>
    <s v="kg CO2e/2018 USD, purchaser price"/>
    <n v="5.0000000000000001E-3"/>
    <n v="5.0000000000000001E-3"/>
    <n v="0"/>
    <n v="0"/>
    <n v="5.0000000000000001E-3"/>
    <n v="5.0000000000000001E-3"/>
  </r>
  <r>
    <x v="272"/>
    <x v="272"/>
    <s v="Carbon dioxide"/>
    <s v="kg/2018 USD, purchaser price"/>
    <n v="8.8999999999999996E-2"/>
    <n v="8.8999999999999996E-2"/>
    <n v="0"/>
    <n v="0"/>
    <n v="8.8999999999999996E-2"/>
    <n v="8.8999999999999996E-2"/>
  </r>
  <r>
    <x v="272"/>
    <x v="272"/>
    <s v="Methane"/>
    <s v="kg/2018 USD, purchaser price"/>
    <n v="0"/>
    <n v="0"/>
    <n v="0"/>
    <n v="0"/>
    <n v="0"/>
    <n v="0"/>
  </r>
  <r>
    <x v="272"/>
    <x v="272"/>
    <s v="Nitrous oxide"/>
    <s v="kg/2018 USD, purchaser price"/>
    <n v="0"/>
    <n v="0"/>
    <n v="0"/>
    <n v="0"/>
    <n v="0"/>
    <n v="0"/>
  </r>
  <r>
    <x v="272"/>
    <x v="272"/>
    <s v="other GHGs"/>
    <s v="kg CO2e/2018 USD, purchaser price"/>
    <n v="3.0000000000000001E-3"/>
    <n v="3.0000000000000001E-3"/>
    <n v="0"/>
    <n v="0"/>
    <n v="3.0000000000000001E-3"/>
    <n v="3.0000000000000001E-3"/>
  </r>
  <r>
    <x v="273"/>
    <x v="273"/>
    <s v="Carbon dioxide"/>
    <s v="kg/2018 USD, purchaser price"/>
    <n v="0.13900000000000001"/>
    <n v="0.13900000000000001"/>
    <n v="0"/>
    <n v="0"/>
    <n v="0.13900000000000001"/>
    <n v="0.13900000000000001"/>
  </r>
  <r>
    <x v="273"/>
    <x v="273"/>
    <s v="Methane"/>
    <s v="kg/2018 USD, purchaser price"/>
    <n v="1E-3"/>
    <n v="2.8000000000000001E-2"/>
    <n v="0"/>
    <n v="0"/>
    <n v="1E-3"/>
    <n v="2.8000000000000001E-2"/>
  </r>
  <r>
    <x v="273"/>
    <x v="273"/>
    <s v="Nitrous oxide"/>
    <s v="kg/2018 USD, purchaser price"/>
    <n v="0"/>
    <n v="0"/>
    <n v="0"/>
    <n v="0"/>
    <n v="0"/>
    <n v="0"/>
  </r>
  <r>
    <x v="273"/>
    <x v="273"/>
    <s v="other GHGs"/>
    <s v="kg CO2e/2018 USD, purchaser price"/>
    <n v="4.0000000000000001E-3"/>
    <n v="4.0000000000000001E-3"/>
    <n v="0"/>
    <n v="0"/>
    <n v="4.0000000000000001E-3"/>
    <n v="4.0000000000000001E-3"/>
  </r>
  <r>
    <x v="274"/>
    <x v="274"/>
    <s v="Carbon dioxide"/>
    <s v="kg/2018 USD, purchaser price"/>
    <n v="0.123"/>
    <n v="0.123"/>
    <n v="0"/>
    <n v="0"/>
    <n v="0.123"/>
    <n v="0.123"/>
  </r>
  <r>
    <x v="274"/>
    <x v="274"/>
    <s v="Methane"/>
    <s v="kg/2018 USD, purchaser price"/>
    <n v="0"/>
    <n v="0"/>
    <n v="0"/>
    <n v="0"/>
    <n v="0"/>
    <n v="0"/>
  </r>
  <r>
    <x v="274"/>
    <x v="274"/>
    <s v="Nitrous oxide"/>
    <s v="kg/2018 USD, purchaser price"/>
    <n v="0"/>
    <n v="0"/>
    <n v="0"/>
    <n v="0"/>
    <n v="0"/>
    <n v="0"/>
  </r>
  <r>
    <x v="274"/>
    <x v="274"/>
    <s v="other GHGs"/>
    <s v="kg CO2e/2018 USD, purchaser price"/>
    <n v="6.0000000000000001E-3"/>
    <n v="6.0000000000000001E-3"/>
    <n v="0"/>
    <n v="0"/>
    <n v="6.0000000000000001E-3"/>
    <n v="6.0000000000000001E-3"/>
  </r>
  <r>
    <x v="275"/>
    <x v="275"/>
    <s v="Carbon dioxide"/>
    <s v="kg/2018 USD, purchaser price"/>
    <n v="0.17399999999999999"/>
    <n v="0.17399999999999999"/>
    <n v="0"/>
    <n v="0"/>
    <n v="0.17399999999999999"/>
    <n v="0.17399999999999999"/>
  </r>
  <r>
    <x v="275"/>
    <x v="275"/>
    <s v="Methane"/>
    <s v="kg/2018 USD, purchaser price"/>
    <n v="1E-3"/>
    <n v="2.8000000000000001E-2"/>
    <n v="0"/>
    <n v="0"/>
    <n v="1E-3"/>
    <n v="2.8000000000000001E-2"/>
  </r>
  <r>
    <x v="275"/>
    <x v="275"/>
    <s v="Nitrous oxide"/>
    <s v="kg/2018 USD, purchaser price"/>
    <n v="0"/>
    <n v="0"/>
    <n v="0"/>
    <n v="0"/>
    <n v="0"/>
    <n v="0"/>
  </r>
  <r>
    <x v="275"/>
    <x v="275"/>
    <s v="other GHGs"/>
    <s v="kg CO2e/2018 USD, purchaser price"/>
    <n v="6.0000000000000001E-3"/>
    <n v="6.0000000000000001E-3"/>
    <n v="0"/>
    <n v="0"/>
    <n v="6.0000000000000001E-3"/>
    <n v="6.0000000000000001E-3"/>
  </r>
  <r>
    <x v="276"/>
    <x v="276"/>
    <s v="Carbon dioxide"/>
    <s v="kg/2018 USD, purchaser price"/>
    <n v="0.13900000000000001"/>
    <n v="0.13900000000000001"/>
    <n v="0"/>
    <n v="0"/>
    <n v="0.13900000000000001"/>
    <n v="0.13900000000000001"/>
  </r>
  <r>
    <x v="276"/>
    <x v="276"/>
    <s v="Methane"/>
    <s v="kg/2018 USD, purchaser price"/>
    <n v="1E-3"/>
    <n v="2.8000000000000001E-2"/>
    <n v="0"/>
    <n v="0"/>
    <n v="1E-3"/>
    <n v="2.8000000000000001E-2"/>
  </r>
  <r>
    <x v="276"/>
    <x v="276"/>
    <s v="Nitrous oxide"/>
    <s v="kg/2018 USD, purchaser price"/>
    <n v="0"/>
    <n v="0"/>
    <n v="0"/>
    <n v="0"/>
    <n v="0"/>
    <n v="0"/>
  </r>
  <r>
    <x v="276"/>
    <x v="276"/>
    <s v="other GHGs"/>
    <s v="kg CO2e/2018 USD, purchaser price"/>
    <n v="3.0000000000000001E-3"/>
    <n v="3.0000000000000001E-3"/>
    <n v="0"/>
    <n v="0"/>
    <n v="3.0000000000000001E-3"/>
    <n v="3.0000000000000001E-3"/>
  </r>
  <r>
    <x v="277"/>
    <x v="277"/>
    <s v="Carbon dioxide"/>
    <s v="kg/2018 USD, purchaser price"/>
    <n v="0.21"/>
    <n v="0.21"/>
    <n v="0"/>
    <n v="0"/>
    <n v="0.21"/>
    <n v="0.21"/>
  </r>
  <r>
    <x v="277"/>
    <x v="277"/>
    <s v="Methane"/>
    <s v="kg/2018 USD, purchaser price"/>
    <n v="2E-3"/>
    <n v="5.6000000000000001E-2"/>
    <n v="0"/>
    <n v="0"/>
    <n v="2E-3"/>
    <n v="5.6000000000000001E-2"/>
  </r>
  <r>
    <x v="277"/>
    <x v="277"/>
    <s v="Nitrous oxide"/>
    <s v="kg/2018 USD, purchaser price"/>
    <n v="0"/>
    <n v="0"/>
    <n v="0"/>
    <n v="0"/>
    <n v="0"/>
    <n v="0"/>
  </r>
  <r>
    <x v="277"/>
    <x v="277"/>
    <s v="other GHGs"/>
    <s v="kg CO2e/2018 USD, purchaser price"/>
    <n v="6.0000000000000001E-3"/>
    <n v="6.0000000000000001E-3"/>
    <n v="0"/>
    <n v="0"/>
    <n v="6.0000000000000001E-3"/>
    <n v="6.0000000000000001E-3"/>
  </r>
  <r>
    <x v="278"/>
    <x v="278"/>
    <s v="Carbon dioxide"/>
    <s v="kg/2018 USD, purchaser price"/>
    <n v="7.1999999999999995E-2"/>
    <n v="7.1999999999999995E-2"/>
    <n v="0"/>
    <n v="0"/>
    <n v="7.1999999999999995E-2"/>
    <n v="7.1999999999999995E-2"/>
  </r>
  <r>
    <x v="278"/>
    <x v="278"/>
    <s v="Methane"/>
    <s v="kg/2018 USD, purchaser price"/>
    <n v="1E-3"/>
    <n v="2.8000000000000001E-2"/>
    <n v="0"/>
    <n v="0"/>
    <n v="1E-3"/>
    <n v="2.8000000000000001E-2"/>
  </r>
  <r>
    <x v="278"/>
    <x v="278"/>
    <s v="Nitrous oxide"/>
    <s v="kg/2018 USD, purchaser price"/>
    <n v="0"/>
    <n v="0"/>
    <n v="0"/>
    <n v="0"/>
    <n v="0"/>
    <n v="0"/>
  </r>
  <r>
    <x v="278"/>
    <x v="278"/>
    <s v="other GHGs"/>
    <s v="kg CO2e/2018 USD, purchaser price"/>
    <n v="2E-3"/>
    <n v="2E-3"/>
    <n v="0"/>
    <n v="0"/>
    <n v="2E-3"/>
    <n v="2E-3"/>
  </r>
  <r>
    <x v="279"/>
    <x v="279"/>
    <s v="Carbon dioxide"/>
    <s v="kg/2018 USD, purchaser price"/>
    <n v="0.16600000000000001"/>
    <n v="0.16600000000000001"/>
    <n v="0"/>
    <n v="0"/>
    <n v="0.16600000000000001"/>
    <n v="0.16600000000000001"/>
  </r>
  <r>
    <x v="279"/>
    <x v="279"/>
    <s v="Methane"/>
    <s v="kg/2018 USD, purchaser price"/>
    <n v="1E-3"/>
    <n v="2.8000000000000001E-2"/>
    <n v="0"/>
    <n v="0"/>
    <n v="1E-3"/>
    <n v="2.8000000000000001E-2"/>
  </r>
  <r>
    <x v="279"/>
    <x v="279"/>
    <s v="Nitrous oxide"/>
    <s v="kg/2018 USD, purchaser price"/>
    <n v="0"/>
    <n v="0"/>
    <n v="0"/>
    <n v="0"/>
    <n v="0"/>
    <n v="0"/>
  </r>
  <r>
    <x v="279"/>
    <x v="279"/>
    <s v="other GHGs"/>
    <s v="kg CO2e/2018 USD, purchaser price"/>
    <n v="5.0000000000000001E-3"/>
    <n v="5.0000000000000001E-3"/>
    <n v="0"/>
    <n v="0"/>
    <n v="5.0000000000000001E-3"/>
    <n v="5.0000000000000001E-3"/>
  </r>
  <r>
    <x v="280"/>
    <x v="280"/>
    <s v="Carbon dioxide"/>
    <s v="kg/2018 USD, purchaser price"/>
    <n v="5.5E-2"/>
    <n v="5.5E-2"/>
    <n v="0"/>
    <n v="0"/>
    <n v="5.5E-2"/>
    <n v="5.5E-2"/>
  </r>
  <r>
    <x v="280"/>
    <x v="280"/>
    <s v="Methane"/>
    <s v="kg/2018 USD, purchaser price"/>
    <n v="0"/>
    <n v="0"/>
    <n v="0"/>
    <n v="0"/>
    <n v="0"/>
    <n v="0"/>
  </r>
  <r>
    <x v="280"/>
    <x v="280"/>
    <s v="Nitrous oxide"/>
    <s v="kg/2018 USD, purchaser price"/>
    <n v="0"/>
    <n v="0"/>
    <n v="0"/>
    <n v="0"/>
    <n v="0"/>
    <n v="0"/>
  </r>
  <r>
    <x v="280"/>
    <x v="280"/>
    <s v="other GHGs"/>
    <s v="kg CO2e/2018 USD, purchaser price"/>
    <n v="2E-3"/>
    <n v="2E-3"/>
    <n v="0"/>
    <n v="0"/>
    <n v="2E-3"/>
    <n v="2E-3"/>
  </r>
  <r>
    <x v="281"/>
    <x v="281"/>
    <s v="Carbon dioxide"/>
    <s v="kg/2018 USD, purchaser price"/>
    <n v="0.14099999999999999"/>
    <n v="0.14099999999999999"/>
    <n v="0"/>
    <n v="0"/>
    <n v="0.14099999999999999"/>
    <n v="0.14099999999999999"/>
  </r>
  <r>
    <x v="281"/>
    <x v="281"/>
    <s v="Methane"/>
    <s v="kg/2018 USD, purchaser price"/>
    <n v="1E-3"/>
    <n v="2.8000000000000001E-2"/>
    <n v="0"/>
    <n v="0"/>
    <n v="1E-3"/>
    <n v="2.8000000000000001E-2"/>
  </r>
  <r>
    <x v="281"/>
    <x v="281"/>
    <s v="Nitrous oxide"/>
    <s v="kg/2018 USD, purchaser price"/>
    <n v="0"/>
    <n v="0"/>
    <n v="0"/>
    <n v="0"/>
    <n v="0"/>
    <n v="0"/>
  </r>
  <r>
    <x v="281"/>
    <x v="281"/>
    <s v="other GHGs"/>
    <s v="kg CO2e/2018 USD, purchaser price"/>
    <n v="2E-3"/>
    <n v="2E-3"/>
    <n v="0"/>
    <n v="0"/>
    <n v="2E-3"/>
    <n v="2E-3"/>
  </r>
  <r>
    <x v="282"/>
    <x v="282"/>
    <s v="Carbon dioxide"/>
    <s v="kg/2018 USD, purchaser price"/>
    <n v="0.13700000000000001"/>
    <n v="0.13700000000000001"/>
    <n v="0"/>
    <n v="0"/>
    <n v="0.13700000000000001"/>
    <n v="0.13700000000000001"/>
  </r>
  <r>
    <x v="282"/>
    <x v="282"/>
    <s v="Methane"/>
    <s v="kg/2018 USD, purchaser price"/>
    <n v="0"/>
    <n v="0"/>
    <n v="0"/>
    <n v="0"/>
    <n v="0"/>
    <n v="0"/>
  </r>
  <r>
    <x v="282"/>
    <x v="282"/>
    <s v="Nitrous oxide"/>
    <s v="kg/2018 USD, purchaser price"/>
    <n v="0"/>
    <n v="0"/>
    <n v="0"/>
    <n v="0"/>
    <n v="0"/>
    <n v="0"/>
  </r>
  <r>
    <x v="282"/>
    <x v="282"/>
    <s v="other GHGs"/>
    <s v="kg CO2e/2018 USD, purchaser price"/>
    <n v="2E-3"/>
    <n v="2E-3"/>
    <n v="0"/>
    <n v="0"/>
    <n v="2E-3"/>
    <n v="2E-3"/>
  </r>
  <r>
    <x v="283"/>
    <x v="283"/>
    <s v="Carbon dioxide"/>
    <s v="kg/2018 USD, purchaser price"/>
    <n v="0.247"/>
    <n v="0.247"/>
    <n v="0"/>
    <n v="0"/>
    <n v="0.247"/>
    <n v="0.247"/>
  </r>
  <r>
    <x v="283"/>
    <x v="283"/>
    <s v="Methane"/>
    <s v="kg/2018 USD, purchaser price"/>
    <n v="1E-3"/>
    <n v="2.8000000000000001E-2"/>
    <n v="0"/>
    <n v="0"/>
    <n v="1E-3"/>
    <n v="2.8000000000000001E-2"/>
  </r>
  <r>
    <x v="283"/>
    <x v="283"/>
    <s v="Nitrous oxide"/>
    <s v="kg/2018 USD, purchaser price"/>
    <n v="0"/>
    <n v="0"/>
    <n v="0"/>
    <n v="0"/>
    <n v="0"/>
    <n v="0"/>
  </r>
  <r>
    <x v="283"/>
    <x v="283"/>
    <s v="other GHGs"/>
    <s v="kg CO2e/2018 USD, purchaser price"/>
    <n v="5.0000000000000001E-3"/>
    <n v="5.0000000000000001E-3"/>
    <n v="0"/>
    <n v="0"/>
    <n v="5.0000000000000001E-3"/>
    <n v="5.0000000000000001E-3"/>
  </r>
  <r>
    <x v="284"/>
    <x v="284"/>
    <s v="Carbon dioxide"/>
    <s v="kg/2018 USD, purchaser price"/>
    <n v="0.151"/>
    <n v="0.151"/>
    <n v="0"/>
    <n v="0"/>
    <n v="0.151"/>
    <n v="0.151"/>
  </r>
  <r>
    <x v="284"/>
    <x v="284"/>
    <s v="Methane"/>
    <s v="kg/2018 USD, purchaser price"/>
    <n v="0"/>
    <n v="0"/>
    <n v="0"/>
    <n v="0"/>
    <n v="0"/>
    <n v="0"/>
  </r>
  <r>
    <x v="284"/>
    <x v="284"/>
    <s v="Nitrous oxide"/>
    <s v="kg/2018 USD, purchaser price"/>
    <n v="0"/>
    <n v="0"/>
    <n v="0"/>
    <n v="0"/>
    <n v="0"/>
    <n v="0"/>
  </r>
  <r>
    <x v="284"/>
    <x v="284"/>
    <s v="other GHGs"/>
    <s v="kg CO2e/2018 USD, purchaser price"/>
    <n v="3.0000000000000001E-3"/>
    <n v="3.0000000000000001E-3"/>
    <n v="0"/>
    <n v="0"/>
    <n v="3.0000000000000001E-3"/>
    <n v="3.0000000000000001E-3"/>
  </r>
  <r>
    <x v="285"/>
    <x v="285"/>
    <s v="Carbon dioxide"/>
    <s v="kg/2018 USD, purchaser price"/>
    <n v="0.22600000000000001"/>
    <n v="0.22600000000000001"/>
    <n v="0"/>
    <n v="0"/>
    <n v="0.22600000000000001"/>
    <n v="0.22600000000000001"/>
  </r>
  <r>
    <x v="285"/>
    <x v="285"/>
    <s v="Methane"/>
    <s v="kg/2018 USD, purchaser price"/>
    <n v="1E-3"/>
    <n v="2.8000000000000001E-2"/>
    <n v="0"/>
    <n v="0"/>
    <n v="1E-3"/>
    <n v="2.8000000000000001E-2"/>
  </r>
  <r>
    <x v="285"/>
    <x v="285"/>
    <s v="Nitrous oxide"/>
    <s v="kg/2018 USD, purchaser price"/>
    <n v="0"/>
    <n v="0"/>
    <n v="0"/>
    <n v="0"/>
    <n v="0"/>
    <n v="0"/>
  </r>
  <r>
    <x v="285"/>
    <x v="285"/>
    <s v="other GHGs"/>
    <s v="kg CO2e/2018 USD, purchaser price"/>
    <n v="6.0000000000000001E-3"/>
    <n v="6.0000000000000001E-3"/>
    <n v="0"/>
    <n v="0"/>
    <n v="6.0000000000000001E-3"/>
    <n v="6.0000000000000001E-3"/>
  </r>
  <r>
    <x v="286"/>
    <x v="286"/>
    <s v="Carbon dioxide"/>
    <s v="kg/2018 USD, purchaser price"/>
    <n v="0.20499999999999999"/>
    <n v="0.20499999999999999"/>
    <n v="0"/>
    <n v="0"/>
    <n v="0.20499999999999999"/>
    <n v="0.20499999999999999"/>
  </r>
  <r>
    <x v="286"/>
    <x v="286"/>
    <s v="Methane"/>
    <s v="kg/2018 USD, purchaser price"/>
    <n v="1E-3"/>
    <n v="2.8000000000000001E-2"/>
    <n v="0"/>
    <n v="0"/>
    <n v="1E-3"/>
    <n v="2.8000000000000001E-2"/>
  </r>
  <r>
    <x v="286"/>
    <x v="286"/>
    <s v="Nitrous oxide"/>
    <s v="kg/2018 USD, purchaser price"/>
    <n v="0"/>
    <n v="0"/>
    <n v="0"/>
    <n v="0"/>
    <n v="0"/>
    <n v="0"/>
  </r>
  <r>
    <x v="286"/>
    <x v="286"/>
    <s v="other GHGs"/>
    <s v="kg CO2e/2018 USD, purchaser price"/>
    <n v="4.0000000000000001E-3"/>
    <n v="4.0000000000000001E-3"/>
    <n v="0"/>
    <n v="0"/>
    <n v="4.0000000000000001E-3"/>
    <n v="4.0000000000000001E-3"/>
  </r>
  <r>
    <x v="287"/>
    <x v="287"/>
    <s v="Carbon dioxide"/>
    <s v="kg/2018 USD, purchaser price"/>
    <n v="0.20300000000000001"/>
    <n v="0.20300000000000001"/>
    <n v="0"/>
    <n v="0"/>
    <n v="0.20300000000000001"/>
    <n v="0.20300000000000001"/>
  </r>
  <r>
    <x v="287"/>
    <x v="287"/>
    <s v="Methane"/>
    <s v="kg/2018 USD, purchaser price"/>
    <n v="1E-3"/>
    <n v="2.8000000000000001E-2"/>
    <n v="0"/>
    <n v="0"/>
    <n v="1E-3"/>
    <n v="2.8000000000000001E-2"/>
  </r>
  <r>
    <x v="287"/>
    <x v="287"/>
    <s v="Nitrous oxide"/>
    <s v="kg/2018 USD, purchaser price"/>
    <n v="0"/>
    <n v="0"/>
    <n v="0"/>
    <n v="0"/>
    <n v="0"/>
    <n v="0"/>
  </r>
  <r>
    <x v="287"/>
    <x v="287"/>
    <s v="other GHGs"/>
    <s v="kg CO2e/2018 USD, purchaser price"/>
    <n v="3.0000000000000001E-3"/>
    <n v="3.0000000000000001E-3"/>
    <n v="0"/>
    <n v="0"/>
    <n v="3.0000000000000001E-3"/>
    <n v="3.0000000000000001E-3"/>
  </r>
  <r>
    <x v="288"/>
    <x v="288"/>
    <s v="Carbon dioxide"/>
    <s v="kg/2018 USD, purchaser price"/>
    <n v="0.10199999999999999"/>
    <n v="0.10199999999999999"/>
    <n v="0"/>
    <n v="0"/>
    <n v="0.10199999999999999"/>
    <n v="0.10199999999999999"/>
  </r>
  <r>
    <x v="288"/>
    <x v="288"/>
    <s v="Methane"/>
    <s v="kg/2018 USD, purchaser price"/>
    <n v="0"/>
    <n v="0"/>
    <n v="0"/>
    <n v="0"/>
    <n v="0"/>
    <n v="0"/>
  </r>
  <r>
    <x v="288"/>
    <x v="288"/>
    <s v="Nitrous oxide"/>
    <s v="kg/2018 USD, purchaser price"/>
    <n v="0"/>
    <n v="0"/>
    <n v="0"/>
    <n v="0"/>
    <n v="0"/>
    <n v="0"/>
  </r>
  <r>
    <x v="288"/>
    <x v="288"/>
    <s v="other GHGs"/>
    <s v="kg CO2e/2018 USD, purchaser price"/>
    <n v="3.0000000000000001E-3"/>
    <n v="3.0000000000000001E-3"/>
    <n v="0"/>
    <n v="0"/>
    <n v="3.0000000000000001E-3"/>
    <n v="3.0000000000000001E-3"/>
  </r>
  <r>
    <x v="289"/>
    <x v="289"/>
    <s v="Carbon dioxide"/>
    <s v="kg/2018 USD, purchaser price"/>
    <n v="0.877"/>
    <n v="0.877"/>
    <n v="0"/>
    <n v="0"/>
    <n v="0.877"/>
    <n v="0.877"/>
  </r>
  <r>
    <x v="289"/>
    <x v="289"/>
    <s v="Methane"/>
    <s v="kg/2018 USD, purchaser price"/>
    <n v="3.0000000000000001E-3"/>
    <n v="8.4000000000000005E-2"/>
    <n v="0"/>
    <n v="0"/>
    <n v="3.0000000000000001E-3"/>
    <n v="8.4000000000000005E-2"/>
  </r>
  <r>
    <x v="289"/>
    <x v="289"/>
    <s v="Nitrous oxide"/>
    <s v="kg/2018 USD, purchaser price"/>
    <n v="0"/>
    <n v="0"/>
    <n v="0"/>
    <n v="0"/>
    <n v="0"/>
    <n v="0"/>
  </r>
  <r>
    <x v="289"/>
    <x v="289"/>
    <s v="other GHGs"/>
    <s v="kg CO2e/2018 USD, purchaser price"/>
    <n v="2E-3"/>
    <n v="2E-3"/>
    <n v="0"/>
    <n v="0"/>
    <n v="2E-3"/>
    <n v="2E-3"/>
  </r>
  <r>
    <x v="290"/>
    <x v="290"/>
    <s v="Carbon dioxide"/>
    <s v="kg/2018 USD, purchaser price"/>
    <n v="0.65300000000000002"/>
    <n v="0.65300000000000002"/>
    <n v="0"/>
    <n v="0"/>
    <n v="0.65300000000000002"/>
    <n v="0.65300000000000002"/>
  </r>
  <r>
    <x v="290"/>
    <x v="290"/>
    <s v="Methane"/>
    <s v="kg/2018 USD, purchaser price"/>
    <n v="2E-3"/>
    <n v="5.6000000000000001E-2"/>
    <n v="0"/>
    <n v="0"/>
    <n v="2E-3"/>
    <n v="5.6000000000000001E-2"/>
  </r>
  <r>
    <x v="290"/>
    <x v="290"/>
    <s v="Nitrous oxide"/>
    <s v="kg/2018 USD, purchaser price"/>
    <n v="0"/>
    <n v="0"/>
    <n v="0"/>
    <n v="0"/>
    <n v="0"/>
    <n v="0"/>
  </r>
  <r>
    <x v="290"/>
    <x v="290"/>
    <s v="other GHGs"/>
    <s v="kg CO2e/2018 USD, purchaser price"/>
    <n v="4.0000000000000001E-3"/>
    <n v="4.0000000000000001E-3"/>
    <n v="0"/>
    <n v="0"/>
    <n v="4.0000000000000001E-3"/>
    <n v="4.0000000000000001E-3"/>
  </r>
  <r>
    <x v="291"/>
    <x v="291"/>
    <s v="Carbon dioxide"/>
    <s v="kg/2018 USD, purchaser price"/>
    <n v="0.57199999999999995"/>
    <n v="0.57199999999999995"/>
    <n v="0"/>
    <n v="0"/>
    <n v="0.57199999999999995"/>
    <n v="0.57199999999999995"/>
  </r>
  <r>
    <x v="291"/>
    <x v="291"/>
    <s v="Methane"/>
    <s v="kg/2018 USD, purchaser price"/>
    <n v="3.0000000000000001E-3"/>
    <n v="8.4000000000000005E-2"/>
    <n v="0"/>
    <n v="0"/>
    <n v="3.0000000000000001E-3"/>
    <n v="8.4000000000000005E-2"/>
  </r>
  <r>
    <x v="291"/>
    <x v="291"/>
    <s v="Nitrous oxide"/>
    <s v="kg/2018 USD, purchaser price"/>
    <n v="0"/>
    <n v="0"/>
    <n v="0"/>
    <n v="0"/>
    <n v="0"/>
    <n v="0"/>
  </r>
  <r>
    <x v="291"/>
    <x v="291"/>
    <s v="other GHGs"/>
    <s v="kg CO2e/2018 USD, purchaser price"/>
    <n v="5.8999999999999997E-2"/>
    <n v="5.8999999999999997E-2"/>
    <n v="0"/>
    <n v="0"/>
    <n v="5.8999999999999997E-2"/>
    <n v="5.8999999999999997E-2"/>
  </r>
  <r>
    <x v="292"/>
    <x v="292"/>
    <s v="Carbon dioxide"/>
    <s v="kg/2018 USD, purchaser price"/>
    <n v="1.236"/>
    <n v="1.236"/>
    <n v="0"/>
    <n v="0"/>
    <n v="1.236"/>
    <n v="1.236"/>
  </r>
  <r>
    <x v="292"/>
    <x v="292"/>
    <s v="Methane"/>
    <s v="kg/2018 USD, purchaser price"/>
    <n v="3.0000000000000001E-3"/>
    <n v="8.4000000000000005E-2"/>
    <n v="0"/>
    <n v="0"/>
    <n v="3.0000000000000001E-3"/>
    <n v="8.4000000000000005E-2"/>
  </r>
  <r>
    <x v="292"/>
    <x v="292"/>
    <s v="Nitrous oxide"/>
    <s v="kg/2018 USD, purchaser price"/>
    <n v="0"/>
    <n v="0"/>
    <n v="0"/>
    <n v="0"/>
    <n v="0"/>
    <n v="0"/>
  </r>
  <r>
    <x v="292"/>
    <x v="292"/>
    <s v="other GHGs"/>
    <s v="kg CO2e/2018 USD, purchaser price"/>
    <n v="2.1000000000000001E-2"/>
    <n v="2.1000000000000001E-2"/>
    <n v="0"/>
    <n v="0"/>
    <n v="2.1000000000000001E-2"/>
    <n v="2.1000000000000001E-2"/>
  </r>
  <r>
    <x v="293"/>
    <x v="293"/>
    <s v="Carbon dioxide"/>
    <s v="kg/2018 USD, purchaser price"/>
    <n v="0.40799999999999997"/>
    <n v="0.40799999999999997"/>
    <n v="0"/>
    <n v="0"/>
    <n v="0.40799999999999997"/>
    <n v="0.40799999999999997"/>
  </r>
  <r>
    <x v="293"/>
    <x v="293"/>
    <s v="Methane"/>
    <s v="kg/2018 USD, purchaser price"/>
    <n v="4.0000000000000001E-3"/>
    <n v="0.112"/>
    <n v="0"/>
    <n v="0"/>
    <n v="4.0000000000000001E-3"/>
    <n v="0.112"/>
  </r>
  <r>
    <x v="293"/>
    <x v="293"/>
    <s v="Nitrous oxide"/>
    <s v="kg/2018 USD, purchaser price"/>
    <n v="0"/>
    <n v="0"/>
    <n v="0"/>
    <n v="0"/>
    <n v="0"/>
    <n v="0"/>
  </r>
  <r>
    <x v="293"/>
    <x v="293"/>
    <s v="other GHGs"/>
    <s v="kg CO2e/2018 USD, purchaser price"/>
    <n v="7.0000000000000001E-3"/>
    <n v="7.0000000000000001E-3"/>
    <n v="0"/>
    <n v="0"/>
    <n v="7.0000000000000001E-3"/>
    <n v="7.0000000000000001E-3"/>
  </r>
  <r>
    <x v="294"/>
    <x v="294"/>
    <s v="Carbon dioxide"/>
    <s v="kg/2018 USD, purchaser price"/>
    <n v="0.97799999999999998"/>
    <n v="0.97799999999999998"/>
    <n v="0"/>
    <n v="0"/>
    <n v="0.97799999999999998"/>
    <n v="0.97799999999999998"/>
  </r>
  <r>
    <x v="294"/>
    <x v="294"/>
    <s v="Methane"/>
    <s v="kg/2018 USD, purchaser price"/>
    <n v="2.7E-2"/>
    <n v="0.75600000000000001"/>
    <n v="0"/>
    <n v="0"/>
    <n v="2.7E-2"/>
    <n v="0.75600000000000001"/>
  </r>
  <r>
    <x v="294"/>
    <x v="294"/>
    <s v="Nitrous oxide"/>
    <s v="kg/2018 USD, purchaser price"/>
    <n v="0"/>
    <n v="0"/>
    <n v="0"/>
    <n v="0"/>
    <n v="0"/>
    <n v="0"/>
  </r>
  <r>
    <x v="294"/>
    <x v="294"/>
    <s v="other GHGs"/>
    <s v="kg CO2e/2018 USD, purchaser price"/>
    <n v="1.4999999999999999E-2"/>
    <n v="1.4999999999999999E-2"/>
    <n v="0"/>
    <n v="0"/>
    <n v="1.4999999999999999E-2"/>
    <n v="1.4999999999999999E-2"/>
  </r>
  <r>
    <x v="295"/>
    <x v="295"/>
    <s v="Carbon dioxide"/>
    <s v="kg/2018 USD, purchaser price"/>
    <n v="0.23100000000000001"/>
    <n v="0.23100000000000001"/>
    <n v="0"/>
    <n v="0"/>
    <n v="0.23100000000000001"/>
    <n v="0.23100000000000001"/>
  </r>
  <r>
    <x v="295"/>
    <x v="295"/>
    <s v="Methane"/>
    <s v="kg/2018 USD, purchaser price"/>
    <n v="1E-3"/>
    <n v="2.8000000000000001E-2"/>
    <n v="0"/>
    <n v="0"/>
    <n v="1E-3"/>
    <n v="2.8000000000000001E-2"/>
  </r>
  <r>
    <x v="295"/>
    <x v="295"/>
    <s v="Nitrous oxide"/>
    <s v="kg/2018 USD, purchaser price"/>
    <n v="0"/>
    <n v="0"/>
    <n v="0"/>
    <n v="0"/>
    <n v="0"/>
    <n v="0"/>
  </r>
  <r>
    <x v="295"/>
    <x v="295"/>
    <s v="other GHGs"/>
    <s v="kg CO2e/2018 USD, purchaser price"/>
    <n v="6.0000000000000001E-3"/>
    <n v="6.0000000000000001E-3"/>
    <n v="0"/>
    <n v="0"/>
    <n v="6.0000000000000001E-3"/>
    <n v="6.0000000000000001E-3"/>
  </r>
  <r>
    <x v="296"/>
    <x v="296"/>
    <s v="Carbon dioxide"/>
    <s v="kg/2018 USD, purchaser price"/>
    <n v="0.16800000000000001"/>
    <n v="0.16800000000000001"/>
    <n v="0"/>
    <n v="0"/>
    <n v="0.16800000000000001"/>
    <n v="0.16800000000000001"/>
  </r>
  <r>
    <x v="296"/>
    <x v="296"/>
    <s v="Methane"/>
    <s v="kg/2018 USD, purchaser price"/>
    <n v="1E-3"/>
    <n v="2.8000000000000001E-2"/>
    <n v="0"/>
    <n v="0"/>
    <n v="1E-3"/>
    <n v="2.8000000000000001E-2"/>
  </r>
  <r>
    <x v="296"/>
    <x v="296"/>
    <s v="Nitrous oxide"/>
    <s v="kg/2018 USD, purchaser price"/>
    <n v="0"/>
    <n v="0"/>
    <n v="0"/>
    <n v="0"/>
    <n v="0"/>
    <n v="0"/>
  </r>
  <r>
    <x v="296"/>
    <x v="296"/>
    <s v="other GHGs"/>
    <s v="kg CO2e/2018 USD, purchaser price"/>
    <n v="3.0000000000000001E-3"/>
    <n v="3.0000000000000001E-3"/>
    <n v="0"/>
    <n v="0"/>
    <n v="3.0000000000000001E-3"/>
    <n v="3.0000000000000001E-3"/>
  </r>
  <r>
    <x v="297"/>
    <x v="297"/>
    <s v="Carbon dioxide"/>
    <s v="kg/2018 USD, purchaser price"/>
    <n v="0.43099999999999999"/>
    <n v="0.43099999999999999"/>
    <n v="0"/>
    <n v="0"/>
    <n v="0.43099999999999999"/>
    <n v="0.43099999999999999"/>
  </r>
  <r>
    <x v="297"/>
    <x v="297"/>
    <s v="Methane"/>
    <s v="kg/2018 USD, purchaser price"/>
    <n v="2E-3"/>
    <n v="5.6000000000000001E-2"/>
    <n v="0"/>
    <n v="0"/>
    <n v="2E-3"/>
    <n v="5.6000000000000001E-2"/>
  </r>
  <r>
    <x v="297"/>
    <x v="297"/>
    <s v="Nitrous oxide"/>
    <s v="kg/2018 USD, purchaser price"/>
    <n v="0"/>
    <n v="0"/>
    <n v="0"/>
    <n v="0"/>
    <n v="0"/>
    <n v="0"/>
  </r>
  <r>
    <x v="297"/>
    <x v="297"/>
    <s v="other GHGs"/>
    <s v="kg CO2e/2018 USD, purchaser price"/>
    <n v="3.0000000000000001E-3"/>
    <n v="3.0000000000000001E-3"/>
    <n v="0"/>
    <n v="0"/>
    <n v="3.0000000000000001E-3"/>
    <n v="3.0000000000000001E-3"/>
  </r>
  <r>
    <x v="298"/>
    <x v="298"/>
    <s v="Carbon dioxide"/>
    <s v="kg/2018 USD, purchaser price"/>
    <n v="0.625"/>
    <n v="0.625"/>
    <n v="0"/>
    <n v="0"/>
    <n v="0.625"/>
    <n v="0.625"/>
  </r>
  <r>
    <x v="298"/>
    <x v="298"/>
    <s v="Methane"/>
    <s v="kg/2018 USD, purchaser price"/>
    <n v="2E-3"/>
    <n v="5.6000000000000001E-2"/>
    <n v="0"/>
    <n v="0"/>
    <n v="2E-3"/>
    <n v="5.6000000000000001E-2"/>
  </r>
  <r>
    <x v="298"/>
    <x v="298"/>
    <s v="Nitrous oxide"/>
    <s v="kg/2018 USD, purchaser price"/>
    <n v="0"/>
    <n v="0"/>
    <n v="0"/>
    <n v="0"/>
    <n v="0"/>
    <n v="0"/>
  </r>
  <r>
    <x v="298"/>
    <x v="298"/>
    <s v="other GHGs"/>
    <s v="kg CO2e/2018 USD, purchaser price"/>
    <n v="5.0000000000000001E-3"/>
    <n v="5.0000000000000001E-3"/>
    <n v="0"/>
    <n v="0"/>
    <n v="5.0000000000000001E-3"/>
    <n v="5.0000000000000001E-3"/>
  </r>
  <r>
    <x v="299"/>
    <x v="299"/>
    <s v="Carbon dioxide"/>
    <s v="kg/2018 USD, purchaser price"/>
    <n v="0.17199999999999999"/>
    <n v="0.17199999999999999"/>
    <n v="0"/>
    <n v="0"/>
    <n v="0.17199999999999999"/>
    <n v="0.17199999999999999"/>
  </r>
  <r>
    <x v="299"/>
    <x v="299"/>
    <s v="Methane"/>
    <s v="kg/2018 USD, purchaser price"/>
    <n v="1E-3"/>
    <n v="2.8000000000000001E-2"/>
    <n v="0"/>
    <n v="0"/>
    <n v="1E-3"/>
    <n v="2.8000000000000001E-2"/>
  </r>
  <r>
    <x v="299"/>
    <x v="299"/>
    <s v="Nitrous oxide"/>
    <s v="kg/2018 USD, purchaser price"/>
    <n v="0"/>
    <n v="0"/>
    <n v="0"/>
    <n v="0"/>
    <n v="0"/>
    <n v="0"/>
  </r>
  <r>
    <x v="299"/>
    <x v="299"/>
    <s v="other GHGs"/>
    <s v="kg CO2e/2018 USD, purchaser price"/>
    <n v="4.0000000000000001E-3"/>
    <n v="4.0000000000000001E-3"/>
    <n v="0"/>
    <n v="0"/>
    <n v="4.0000000000000001E-3"/>
    <n v="4.0000000000000001E-3"/>
  </r>
  <r>
    <x v="300"/>
    <x v="300"/>
    <s v="Carbon dioxide"/>
    <s v="kg/2018 USD, purchaser price"/>
    <n v="0.08"/>
    <n v="0.08"/>
    <n v="5.0999999999999997E-2"/>
    <n v="5.0999999999999997E-2"/>
    <n v="0.13100000000000001"/>
    <n v="0.13100000000000001"/>
  </r>
  <r>
    <x v="300"/>
    <x v="300"/>
    <s v="Methane"/>
    <s v="kg/2018 USD, purchaser price"/>
    <n v="0"/>
    <n v="0"/>
    <n v="0"/>
    <n v="0"/>
    <n v="1E-3"/>
    <n v="2.8000000000000001E-2"/>
  </r>
  <r>
    <x v="300"/>
    <x v="300"/>
    <s v="Nitrous oxide"/>
    <s v="kg/2018 USD, purchaser price"/>
    <n v="0"/>
    <n v="0"/>
    <n v="0"/>
    <n v="0"/>
    <n v="0"/>
    <n v="0"/>
  </r>
  <r>
    <x v="300"/>
    <x v="300"/>
    <s v="other GHGs"/>
    <s v="kg CO2e/2018 USD, purchaser price"/>
    <n v="2E-3"/>
    <n v="2E-3"/>
    <n v="0"/>
    <n v="0"/>
    <n v="2E-3"/>
    <n v="2E-3"/>
  </r>
  <r>
    <x v="301"/>
    <x v="301"/>
    <s v="Carbon dioxide"/>
    <s v="kg/2018 USD, purchaser price"/>
    <n v="8.1000000000000003E-2"/>
    <n v="8.1000000000000003E-2"/>
    <n v="4.8000000000000001E-2"/>
    <n v="4.8000000000000001E-2"/>
    <n v="0.129"/>
    <n v="0.129"/>
  </r>
  <r>
    <x v="301"/>
    <x v="301"/>
    <s v="Methane"/>
    <s v="kg/2018 USD, purchaser price"/>
    <n v="0"/>
    <n v="0"/>
    <n v="0"/>
    <n v="0"/>
    <n v="1E-3"/>
    <n v="2.8000000000000001E-2"/>
  </r>
  <r>
    <x v="301"/>
    <x v="301"/>
    <s v="Nitrous oxide"/>
    <s v="kg/2018 USD, purchaser price"/>
    <n v="0"/>
    <n v="0"/>
    <n v="0"/>
    <n v="0"/>
    <n v="0"/>
    <n v="0"/>
  </r>
  <r>
    <x v="301"/>
    <x v="301"/>
    <s v="other GHGs"/>
    <s v="kg CO2e/2018 USD, purchaser price"/>
    <n v="2E-3"/>
    <n v="2E-3"/>
    <n v="0"/>
    <n v="0"/>
    <n v="2E-3"/>
    <n v="2E-3"/>
  </r>
  <r>
    <x v="302"/>
    <x v="302"/>
    <s v="Carbon dioxide"/>
    <s v="kg/2018 USD, purchaser price"/>
    <n v="7.9000000000000001E-2"/>
    <n v="7.9000000000000001E-2"/>
    <n v="5.8000000000000003E-2"/>
    <n v="5.8000000000000003E-2"/>
    <n v="0.13800000000000001"/>
    <n v="0.13800000000000001"/>
  </r>
  <r>
    <x v="302"/>
    <x v="302"/>
    <s v="Methane"/>
    <s v="kg/2018 USD, purchaser price"/>
    <n v="0"/>
    <n v="0"/>
    <n v="0"/>
    <n v="0"/>
    <n v="1E-3"/>
    <n v="2.8000000000000001E-2"/>
  </r>
  <r>
    <x v="302"/>
    <x v="302"/>
    <s v="Nitrous oxide"/>
    <s v="kg/2018 USD, purchaser price"/>
    <n v="0"/>
    <n v="0"/>
    <n v="0"/>
    <n v="0"/>
    <n v="0"/>
    <n v="0"/>
  </r>
  <r>
    <x v="302"/>
    <x v="302"/>
    <s v="other GHGs"/>
    <s v="kg CO2e/2018 USD, purchaser price"/>
    <n v="2E-3"/>
    <n v="2E-3"/>
    <n v="0"/>
    <n v="0"/>
    <n v="2E-3"/>
    <n v="2E-3"/>
  </r>
  <r>
    <x v="303"/>
    <x v="303"/>
    <s v="Carbon dioxide"/>
    <s v="kg/2018 USD, purchaser price"/>
    <n v="9.1999999999999998E-2"/>
    <n v="9.1999999999999998E-2"/>
    <n v="6.8000000000000005E-2"/>
    <n v="6.8000000000000005E-2"/>
    <n v="0.16"/>
    <n v="0.16"/>
  </r>
  <r>
    <x v="303"/>
    <x v="303"/>
    <s v="Methane"/>
    <s v="kg/2018 USD, purchaser price"/>
    <n v="0"/>
    <n v="0"/>
    <n v="0"/>
    <n v="0"/>
    <n v="1E-3"/>
    <n v="2.8000000000000001E-2"/>
  </r>
  <r>
    <x v="303"/>
    <x v="303"/>
    <s v="Nitrous oxide"/>
    <s v="kg/2018 USD, purchaser price"/>
    <n v="0"/>
    <n v="0"/>
    <n v="0"/>
    <n v="0"/>
    <n v="0"/>
    <n v="0"/>
  </r>
  <r>
    <x v="303"/>
    <x v="303"/>
    <s v="other GHGs"/>
    <s v="kg CO2e/2018 USD, purchaser price"/>
    <n v="3.0000000000000001E-3"/>
    <n v="3.0000000000000001E-3"/>
    <n v="0"/>
    <n v="0"/>
    <n v="3.0000000000000001E-3"/>
    <n v="3.0000000000000001E-3"/>
  </r>
  <r>
    <x v="304"/>
    <x v="304"/>
    <s v="Carbon dioxide"/>
    <s v="kg/2018 USD, purchaser price"/>
    <n v="3.7999999999999999E-2"/>
    <n v="3.7999999999999999E-2"/>
    <n v="4.2000000000000003E-2"/>
    <n v="4.2000000000000003E-2"/>
    <n v="0.08"/>
    <n v="0.08"/>
  </r>
  <r>
    <x v="304"/>
    <x v="304"/>
    <s v="Methane"/>
    <s v="kg/2018 USD, purchaser price"/>
    <n v="0"/>
    <n v="0"/>
    <n v="0"/>
    <n v="0"/>
    <n v="0"/>
    <n v="0"/>
  </r>
  <r>
    <x v="304"/>
    <x v="304"/>
    <s v="Nitrous oxide"/>
    <s v="kg/2018 USD, purchaser price"/>
    <n v="0"/>
    <n v="0"/>
    <n v="0"/>
    <n v="0"/>
    <n v="0"/>
    <n v="0"/>
  </r>
  <r>
    <x v="304"/>
    <x v="304"/>
    <s v="other GHGs"/>
    <s v="kg CO2e/2018 USD, purchaser price"/>
    <n v="2E-3"/>
    <n v="2E-3"/>
    <n v="0"/>
    <n v="0"/>
    <n v="2E-3"/>
    <n v="2E-3"/>
  </r>
  <r>
    <x v="305"/>
    <x v="305"/>
    <s v="Carbon dioxide"/>
    <s v="kg/2018 USD, purchaser price"/>
    <n v="5.8999999999999997E-2"/>
    <n v="5.8999999999999997E-2"/>
    <n v="8.9999999999999993E-3"/>
    <n v="8.9999999999999993E-3"/>
    <n v="6.8000000000000005E-2"/>
    <n v="6.8000000000000005E-2"/>
  </r>
  <r>
    <x v="305"/>
    <x v="305"/>
    <s v="Methane"/>
    <s v="kg/2018 USD, purchaser price"/>
    <n v="0"/>
    <n v="0"/>
    <n v="0"/>
    <n v="0"/>
    <n v="0"/>
    <n v="0"/>
  </r>
  <r>
    <x v="305"/>
    <x v="305"/>
    <s v="Nitrous oxide"/>
    <s v="kg/2018 USD, purchaser price"/>
    <n v="0"/>
    <n v="0"/>
    <n v="0"/>
    <n v="0"/>
    <n v="0"/>
    <n v="0"/>
  </r>
  <r>
    <x v="305"/>
    <x v="305"/>
    <s v="other GHGs"/>
    <s v="kg CO2e/2018 USD, purchaser price"/>
    <n v="2E-3"/>
    <n v="2E-3"/>
    <n v="0"/>
    <n v="0"/>
    <n v="2E-3"/>
    <n v="2E-3"/>
  </r>
  <r>
    <x v="306"/>
    <x v="306"/>
    <s v="Carbon dioxide"/>
    <s v="kg/2018 USD, purchaser price"/>
    <n v="2.4E-2"/>
    <n v="2.4E-2"/>
    <n v="3.9E-2"/>
    <n v="3.9E-2"/>
    <n v="6.2E-2"/>
    <n v="6.2E-2"/>
  </r>
  <r>
    <x v="306"/>
    <x v="306"/>
    <s v="Methane"/>
    <s v="kg/2018 USD, purchaser price"/>
    <n v="0"/>
    <n v="0"/>
    <n v="0"/>
    <n v="0"/>
    <n v="0"/>
    <n v="0"/>
  </r>
  <r>
    <x v="306"/>
    <x v="306"/>
    <s v="Nitrous oxide"/>
    <s v="kg/2018 USD, purchaser price"/>
    <n v="0"/>
    <n v="0"/>
    <n v="0"/>
    <n v="0"/>
    <n v="0"/>
    <n v="0"/>
  </r>
  <r>
    <x v="306"/>
    <x v="306"/>
    <s v="other GHGs"/>
    <s v="kg CO2e/2018 USD, purchaser price"/>
    <n v="1E-3"/>
    <n v="1E-3"/>
    <n v="0"/>
    <n v="0"/>
    <n v="1E-3"/>
    <n v="1E-3"/>
  </r>
  <r>
    <x v="307"/>
    <x v="307"/>
    <s v="Carbon dioxide"/>
    <s v="kg/2018 USD, purchaser price"/>
    <n v="6.4000000000000001E-2"/>
    <n v="6.4000000000000001E-2"/>
    <n v="0"/>
    <n v="0"/>
    <n v="6.4000000000000001E-2"/>
    <n v="6.4000000000000001E-2"/>
  </r>
  <r>
    <x v="307"/>
    <x v="307"/>
    <s v="Methane"/>
    <s v="kg/2018 USD, purchaser price"/>
    <n v="0"/>
    <n v="0"/>
    <n v="0"/>
    <n v="0"/>
    <n v="0"/>
    <n v="0"/>
  </r>
  <r>
    <x v="307"/>
    <x v="307"/>
    <s v="Nitrous oxide"/>
    <s v="kg/2018 USD, purchaser price"/>
    <n v="0"/>
    <n v="0"/>
    <n v="0"/>
    <n v="0"/>
    <n v="0"/>
    <n v="0"/>
  </r>
  <r>
    <x v="307"/>
    <x v="307"/>
    <s v="other GHGs"/>
    <s v="kg CO2e/2018 USD, purchaser price"/>
    <n v="2.3E-2"/>
    <n v="2.3E-2"/>
    <n v="0"/>
    <n v="0"/>
    <n v="2.3E-2"/>
    <n v="2.3E-2"/>
  </r>
  <r>
    <x v="308"/>
    <x v="308"/>
    <s v="Carbon dioxide"/>
    <s v="kg/2018 USD, purchaser price"/>
    <n v="7.9000000000000001E-2"/>
    <n v="7.9000000000000001E-2"/>
    <n v="0"/>
    <n v="0"/>
    <n v="7.9000000000000001E-2"/>
    <n v="7.9000000000000001E-2"/>
  </r>
  <r>
    <x v="308"/>
    <x v="308"/>
    <s v="Methane"/>
    <s v="kg/2018 USD, purchaser price"/>
    <n v="0"/>
    <n v="0"/>
    <n v="0"/>
    <n v="0"/>
    <n v="0"/>
    <n v="0"/>
  </r>
  <r>
    <x v="308"/>
    <x v="308"/>
    <s v="Nitrous oxide"/>
    <s v="kg/2018 USD, purchaser price"/>
    <n v="0"/>
    <n v="0"/>
    <n v="0"/>
    <n v="0"/>
    <n v="0"/>
    <n v="0"/>
  </r>
  <r>
    <x v="308"/>
    <x v="308"/>
    <s v="other GHGs"/>
    <s v="kg CO2e/2018 USD, purchaser price"/>
    <n v="3.5000000000000003E-2"/>
    <n v="3.5000000000000003E-2"/>
    <n v="0"/>
    <n v="0"/>
    <n v="3.5000000000000003E-2"/>
    <n v="3.5000000000000003E-2"/>
  </r>
  <r>
    <x v="309"/>
    <x v="309"/>
    <s v="Carbon dioxide"/>
    <s v="kg/2018 USD, purchaser price"/>
    <n v="8.1000000000000003E-2"/>
    <n v="8.1000000000000003E-2"/>
    <n v="0"/>
    <n v="0"/>
    <n v="8.1000000000000003E-2"/>
    <n v="8.1000000000000003E-2"/>
  </r>
  <r>
    <x v="309"/>
    <x v="309"/>
    <s v="Methane"/>
    <s v="kg/2018 USD, purchaser price"/>
    <n v="0"/>
    <n v="0"/>
    <n v="0"/>
    <n v="0"/>
    <n v="0"/>
    <n v="0"/>
  </r>
  <r>
    <x v="309"/>
    <x v="309"/>
    <s v="Nitrous oxide"/>
    <s v="kg/2018 USD, purchaser price"/>
    <n v="0"/>
    <n v="0"/>
    <n v="0"/>
    <n v="0"/>
    <n v="0"/>
    <n v="0"/>
  </r>
  <r>
    <x v="309"/>
    <x v="309"/>
    <s v="other GHGs"/>
    <s v="kg CO2e/2018 USD, purchaser price"/>
    <n v="4.0000000000000001E-3"/>
    <n v="4.0000000000000001E-3"/>
    <n v="0"/>
    <n v="0"/>
    <n v="4.0000000000000001E-3"/>
    <n v="4.0000000000000001E-3"/>
  </r>
  <r>
    <x v="310"/>
    <x v="310"/>
    <s v="Carbon dioxide"/>
    <s v="kg/2018 USD, purchaser price"/>
    <n v="0.156"/>
    <n v="0.156"/>
    <n v="0"/>
    <n v="0"/>
    <n v="0.156"/>
    <n v="0.156"/>
  </r>
  <r>
    <x v="310"/>
    <x v="310"/>
    <s v="Methane"/>
    <s v="kg/2018 USD, purchaser price"/>
    <n v="1E-3"/>
    <n v="2.8000000000000001E-2"/>
    <n v="0"/>
    <n v="0"/>
    <n v="1E-3"/>
    <n v="2.8000000000000001E-2"/>
  </r>
  <r>
    <x v="310"/>
    <x v="310"/>
    <s v="Nitrous oxide"/>
    <s v="kg/2018 USD, purchaser price"/>
    <n v="0"/>
    <n v="0"/>
    <n v="0"/>
    <n v="0"/>
    <n v="0"/>
    <n v="0"/>
  </r>
  <r>
    <x v="310"/>
    <x v="310"/>
    <s v="other GHGs"/>
    <s v="kg CO2e/2018 USD, purchaser price"/>
    <n v="4.0000000000000001E-3"/>
    <n v="4.0000000000000001E-3"/>
    <n v="0"/>
    <n v="0"/>
    <n v="4.0000000000000001E-3"/>
    <n v="4.0000000000000001E-3"/>
  </r>
  <r>
    <x v="311"/>
    <x v="311"/>
    <s v="Carbon dioxide"/>
    <s v="kg/2018 USD, purchaser price"/>
    <n v="0.12"/>
    <n v="0.12"/>
    <n v="0"/>
    <n v="0"/>
    <n v="0.12"/>
    <n v="0.12"/>
  </r>
  <r>
    <x v="311"/>
    <x v="311"/>
    <s v="Methane"/>
    <s v="kg/2018 USD, purchaser price"/>
    <n v="0"/>
    <n v="0"/>
    <n v="0"/>
    <n v="0"/>
    <n v="0"/>
    <n v="0"/>
  </r>
  <r>
    <x v="311"/>
    <x v="311"/>
    <s v="Nitrous oxide"/>
    <s v="kg/2018 USD, purchaser price"/>
    <n v="0"/>
    <n v="0"/>
    <n v="0"/>
    <n v="0"/>
    <n v="0"/>
    <n v="0"/>
  </r>
  <r>
    <x v="311"/>
    <x v="311"/>
    <s v="other GHGs"/>
    <s v="kg CO2e/2018 USD, purchaser price"/>
    <n v="3.0000000000000001E-3"/>
    <n v="3.0000000000000001E-3"/>
    <n v="0"/>
    <n v="0"/>
    <n v="3.0000000000000001E-3"/>
    <n v="3.0000000000000001E-3"/>
  </r>
  <r>
    <x v="312"/>
    <x v="312"/>
    <s v="Carbon dioxide"/>
    <s v="kg/2018 USD, purchaser price"/>
    <n v="0.13900000000000001"/>
    <n v="0.13900000000000001"/>
    <n v="0"/>
    <n v="0"/>
    <n v="0.13900000000000001"/>
    <n v="0.13900000000000001"/>
  </r>
  <r>
    <x v="312"/>
    <x v="312"/>
    <s v="Methane"/>
    <s v="kg/2018 USD, purchaser price"/>
    <n v="1E-3"/>
    <n v="2.8000000000000001E-2"/>
    <n v="0"/>
    <n v="0"/>
    <n v="1E-3"/>
    <n v="2.8000000000000001E-2"/>
  </r>
  <r>
    <x v="312"/>
    <x v="312"/>
    <s v="Nitrous oxide"/>
    <s v="kg/2018 USD, purchaser price"/>
    <n v="0"/>
    <n v="0"/>
    <n v="0"/>
    <n v="0"/>
    <n v="0"/>
    <n v="0"/>
  </r>
  <r>
    <x v="312"/>
    <x v="312"/>
    <s v="other GHGs"/>
    <s v="kg CO2e/2018 USD, purchaser price"/>
    <n v="8.0000000000000002E-3"/>
    <n v="8.0000000000000002E-3"/>
    <n v="0"/>
    <n v="0"/>
    <n v="8.0000000000000002E-3"/>
    <n v="8.0000000000000002E-3"/>
  </r>
  <r>
    <x v="313"/>
    <x v="313"/>
    <s v="Carbon dioxide"/>
    <s v="kg/2018 USD, purchaser price"/>
    <n v="0.125"/>
    <n v="0.125"/>
    <n v="0"/>
    <n v="0"/>
    <n v="0.125"/>
    <n v="0.125"/>
  </r>
  <r>
    <x v="313"/>
    <x v="313"/>
    <s v="Methane"/>
    <s v="kg/2018 USD, purchaser price"/>
    <n v="0"/>
    <n v="0"/>
    <n v="0"/>
    <n v="0"/>
    <n v="0"/>
    <n v="0"/>
  </r>
  <r>
    <x v="313"/>
    <x v="313"/>
    <s v="Nitrous oxide"/>
    <s v="kg/2018 USD, purchaser price"/>
    <n v="0"/>
    <n v="0"/>
    <n v="0"/>
    <n v="0"/>
    <n v="0"/>
    <n v="0"/>
  </r>
  <r>
    <x v="313"/>
    <x v="313"/>
    <s v="other GHGs"/>
    <s v="kg CO2e/2018 USD, purchaser price"/>
    <n v="2E-3"/>
    <n v="2E-3"/>
    <n v="0"/>
    <n v="0"/>
    <n v="2E-3"/>
    <n v="2E-3"/>
  </r>
  <r>
    <x v="314"/>
    <x v="314"/>
    <s v="Carbon dioxide"/>
    <s v="kg/2018 USD, purchaser price"/>
    <n v="0.115"/>
    <n v="0.115"/>
    <n v="0"/>
    <n v="0"/>
    <n v="0.115"/>
    <n v="0.115"/>
  </r>
  <r>
    <x v="314"/>
    <x v="314"/>
    <s v="Methane"/>
    <s v="kg/2018 USD, purchaser price"/>
    <n v="1E-3"/>
    <n v="2.8000000000000001E-2"/>
    <n v="0"/>
    <n v="0"/>
    <n v="1E-3"/>
    <n v="2.8000000000000001E-2"/>
  </r>
  <r>
    <x v="314"/>
    <x v="314"/>
    <s v="Nitrous oxide"/>
    <s v="kg/2018 USD, purchaser price"/>
    <n v="0"/>
    <n v="0"/>
    <n v="0"/>
    <n v="0"/>
    <n v="0"/>
    <n v="0"/>
  </r>
  <r>
    <x v="314"/>
    <x v="314"/>
    <s v="other GHGs"/>
    <s v="kg CO2e/2018 USD, purchaser price"/>
    <n v="2E-3"/>
    <n v="2E-3"/>
    <n v="0"/>
    <n v="0"/>
    <n v="2E-3"/>
    <n v="2E-3"/>
  </r>
  <r>
    <x v="315"/>
    <x v="315"/>
    <s v="Carbon dioxide"/>
    <s v="kg/2018 USD, purchaser price"/>
    <n v="6.0999999999999999E-2"/>
    <n v="6.0999999999999999E-2"/>
    <n v="0"/>
    <n v="0"/>
    <n v="6.0999999999999999E-2"/>
    <n v="6.0999999999999999E-2"/>
  </r>
  <r>
    <x v="315"/>
    <x v="315"/>
    <s v="Methane"/>
    <s v="kg/2018 USD, purchaser price"/>
    <n v="0"/>
    <n v="0"/>
    <n v="0"/>
    <n v="0"/>
    <n v="0"/>
    <n v="0"/>
  </r>
  <r>
    <x v="315"/>
    <x v="315"/>
    <s v="Nitrous oxide"/>
    <s v="kg/2018 USD, purchaser price"/>
    <n v="0"/>
    <n v="0"/>
    <n v="0"/>
    <n v="0"/>
    <n v="0"/>
    <n v="0"/>
  </r>
  <r>
    <x v="315"/>
    <x v="315"/>
    <s v="other GHGs"/>
    <s v="kg CO2e/2018 USD, purchaser price"/>
    <n v="1E-3"/>
    <n v="1E-3"/>
    <n v="0"/>
    <n v="0"/>
    <n v="1E-3"/>
    <n v="1E-3"/>
  </r>
  <r>
    <x v="316"/>
    <x v="316"/>
    <s v="Carbon dioxide"/>
    <s v="kg/2018 USD, purchaser price"/>
    <n v="7.0000000000000007E-2"/>
    <n v="7.0000000000000007E-2"/>
    <n v="0"/>
    <n v="0"/>
    <n v="7.0000000000000007E-2"/>
    <n v="7.0000000000000007E-2"/>
  </r>
  <r>
    <x v="316"/>
    <x v="316"/>
    <s v="Methane"/>
    <s v="kg/2018 USD, purchaser price"/>
    <n v="0"/>
    <n v="0"/>
    <n v="0"/>
    <n v="0"/>
    <n v="0"/>
    <n v="0"/>
  </r>
  <r>
    <x v="316"/>
    <x v="316"/>
    <s v="Nitrous oxide"/>
    <s v="kg/2018 USD, purchaser price"/>
    <n v="0"/>
    <n v="0"/>
    <n v="0"/>
    <n v="0"/>
    <n v="0"/>
    <n v="0"/>
  </r>
  <r>
    <x v="316"/>
    <x v="316"/>
    <s v="other GHGs"/>
    <s v="kg CO2e/2018 USD, purchaser price"/>
    <n v="2E-3"/>
    <n v="2E-3"/>
    <n v="0"/>
    <n v="0"/>
    <n v="2E-3"/>
    <n v="2E-3"/>
  </r>
  <r>
    <x v="317"/>
    <x v="317"/>
    <s v="Carbon dioxide"/>
    <s v="kg/2018 USD, purchaser price"/>
    <n v="6.2E-2"/>
    <n v="6.2E-2"/>
    <n v="0"/>
    <n v="0"/>
    <n v="6.2E-2"/>
    <n v="6.2E-2"/>
  </r>
  <r>
    <x v="317"/>
    <x v="317"/>
    <s v="Methane"/>
    <s v="kg/2018 USD, purchaser price"/>
    <n v="0"/>
    <n v="0"/>
    <n v="0"/>
    <n v="0"/>
    <n v="0"/>
    <n v="0"/>
  </r>
  <r>
    <x v="317"/>
    <x v="317"/>
    <s v="Nitrous oxide"/>
    <s v="kg/2018 USD, purchaser price"/>
    <n v="0"/>
    <n v="0"/>
    <n v="0"/>
    <n v="0"/>
    <n v="0"/>
    <n v="0"/>
  </r>
  <r>
    <x v="317"/>
    <x v="317"/>
    <s v="other GHGs"/>
    <s v="kg CO2e/2018 USD, purchaser price"/>
    <n v="1E-3"/>
    <n v="1E-3"/>
    <n v="0"/>
    <n v="0"/>
    <n v="1E-3"/>
    <n v="1E-3"/>
  </r>
  <r>
    <x v="318"/>
    <x v="318"/>
    <s v="Carbon dioxide"/>
    <s v="kg/2018 USD, purchaser price"/>
    <n v="2.4E-2"/>
    <n v="2.4E-2"/>
    <n v="0"/>
    <n v="0"/>
    <n v="2.4E-2"/>
    <n v="2.4E-2"/>
  </r>
  <r>
    <x v="318"/>
    <x v="318"/>
    <s v="Methane"/>
    <s v="kg/2018 USD, purchaser price"/>
    <n v="0"/>
    <n v="0"/>
    <n v="0"/>
    <n v="0"/>
    <n v="0"/>
    <n v="0"/>
  </r>
  <r>
    <x v="318"/>
    <x v="318"/>
    <s v="Nitrous oxide"/>
    <s v="kg/2018 USD, purchaser price"/>
    <n v="0"/>
    <n v="0"/>
    <n v="0"/>
    <n v="0"/>
    <n v="0"/>
    <n v="0"/>
  </r>
  <r>
    <x v="318"/>
    <x v="318"/>
    <s v="other GHGs"/>
    <s v="kg CO2e/2018 USD, purchaser price"/>
    <n v="1E-3"/>
    <n v="1E-3"/>
    <n v="0"/>
    <n v="0"/>
    <n v="1E-3"/>
    <n v="1E-3"/>
  </r>
  <r>
    <x v="319"/>
    <x v="319"/>
    <s v="Carbon dioxide"/>
    <s v="kg/2018 USD, purchaser price"/>
    <n v="3.4000000000000002E-2"/>
    <n v="3.4000000000000002E-2"/>
    <n v="0"/>
    <n v="0"/>
    <n v="3.4000000000000002E-2"/>
    <n v="3.4000000000000002E-2"/>
  </r>
  <r>
    <x v="319"/>
    <x v="319"/>
    <s v="Methane"/>
    <s v="kg/2018 USD, purchaser price"/>
    <n v="0"/>
    <n v="0"/>
    <n v="0"/>
    <n v="0"/>
    <n v="0"/>
    <n v="0"/>
  </r>
  <r>
    <x v="319"/>
    <x v="319"/>
    <s v="Nitrous oxide"/>
    <s v="kg/2018 USD, purchaser price"/>
    <n v="0"/>
    <n v="0"/>
    <n v="0"/>
    <n v="0"/>
    <n v="0"/>
    <n v="0"/>
  </r>
  <r>
    <x v="319"/>
    <x v="319"/>
    <s v="other GHGs"/>
    <s v="kg CO2e/2018 USD, purchaser price"/>
    <n v="1E-3"/>
    <n v="1E-3"/>
    <n v="0"/>
    <n v="0"/>
    <n v="1E-3"/>
    <n v="1E-3"/>
  </r>
  <r>
    <x v="320"/>
    <x v="320"/>
    <s v="Carbon dioxide"/>
    <s v="kg/2018 USD, purchaser price"/>
    <n v="3.2000000000000001E-2"/>
    <n v="3.2000000000000001E-2"/>
    <n v="0"/>
    <n v="0"/>
    <n v="3.2000000000000001E-2"/>
    <n v="3.2000000000000001E-2"/>
  </r>
  <r>
    <x v="320"/>
    <x v="320"/>
    <s v="Methane"/>
    <s v="kg/2018 USD, purchaser price"/>
    <n v="0"/>
    <n v="0"/>
    <n v="0"/>
    <n v="0"/>
    <n v="0"/>
    <n v="0"/>
  </r>
  <r>
    <x v="320"/>
    <x v="320"/>
    <s v="Nitrous oxide"/>
    <s v="kg/2018 USD, purchaser price"/>
    <n v="0"/>
    <n v="0"/>
    <n v="0"/>
    <n v="0"/>
    <n v="0"/>
    <n v="0"/>
  </r>
  <r>
    <x v="320"/>
    <x v="320"/>
    <s v="other GHGs"/>
    <s v="kg CO2e/2018 USD, purchaser price"/>
    <n v="1E-3"/>
    <n v="1E-3"/>
    <n v="0"/>
    <n v="0"/>
    <n v="1E-3"/>
    <n v="1E-3"/>
  </r>
  <r>
    <x v="321"/>
    <x v="321"/>
    <s v="Carbon dioxide"/>
    <s v="kg/2018 USD, purchaser price"/>
    <n v="0.14399999999999999"/>
    <n v="0.14399999999999999"/>
    <n v="0"/>
    <n v="0"/>
    <n v="0.14399999999999999"/>
    <n v="0.14399999999999999"/>
  </r>
  <r>
    <x v="321"/>
    <x v="321"/>
    <s v="Methane"/>
    <s v="kg/2018 USD, purchaser price"/>
    <n v="1E-3"/>
    <n v="2.8000000000000001E-2"/>
    <n v="0"/>
    <n v="0"/>
    <n v="1E-3"/>
    <n v="2.8000000000000001E-2"/>
  </r>
  <r>
    <x v="321"/>
    <x v="321"/>
    <s v="Nitrous oxide"/>
    <s v="kg/2018 USD, purchaser price"/>
    <n v="0"/>
    <n v="0"/>
    <n v="0"/>
    <n v="0"/>
    <n v="0"/>
    <n v="0"/>
  </r>
  <r>
    <x v="321"/>
    <x v="321"/>
    <s v="other GHGs"/>
    <s v="kg CO2e/2018 USD, purchaser price"/>
    <n v="2E-3"/>
    <n v="2E-3"/>
    <n v="0"/>
    <n v="0"/>
    <n v="2E-3"/>
    <n v="2E-3"/>
  </r>
  <r>
    <x v="322"/>
    <x v="322"/>
    <s v="Carbon dioxide"/>
    <s v="kg/2018 USD, purchaser price"/>
    <n v="4.5999999999999999E-2"/>
    <n v="4.5999999999999999E-2"/>
    <n v="0"/>
    <n v="0"/>
    <n v="4.5999999999999999E-2"/>
    <n v="4.5999999999999999E-2"/>
  </r>
  <r>
    <x v="322"/>
    <x v="322"/>
    <s v="Methane"/>
    <s v="kg/2018 USD, purchaser price"/>
    <n v="0"/>
    <n v="0"/>
    <n v="0"/>
    <n v="0"/>
    <n v="0"/>
    <n v="0"/>
  </r>
  <r>
    <x v="322"/>
    <x v="322"/>
    <s v="Nitrous oxide"/>
    <s v="kg/2018 USD, purchaser price"/>
    <n v="0"/>
    <n v="0"/>
    <n v="0"/>
    <n v="0"/>
    <n v="0"/>
    <n v="0"/>
  </r>
  <r>
    <x v="322"/>
    <x v="322"/>
    <s v="other GHGs"/>
    <s v="kg CO2e/2018 USD, purchaser price"/>
    <n v="1E-3"/>
    <n v="1E-3"/>
    <n v="0"/>
    <n v="0"/>
    <n v="1E-3"/>
    <n v="1E-3"/>
  </r>
  <r>
    <x v="323"/>
    <x v="323"/>
    <s v="Carbon dioxide"/>
    <s v="kg/2018 USD, purchaser price"/>
    <n v="1.9E-2"/>
    <n v="1.9E-2"/>
    <n v="0"/>
    <n v="0"/>
    <n v="1.9E-2"/>
    <n v="1.9E-2"/>
  </r>
  <r>
    <x v="323"/>
    <x v="323"/>
    <s v="Methane"/>
    <s v="kg/2018 USD, purchaser price"/>
    <n v="0"/>
    <n v="0"/>
    <n v="0"/>
    <n v="0"/>
    <n v="0"/>
    <n v="0"/>
  </r>
  <r>
    <x v="323"/>
    <x v="323"/>
    <s v="Nitrous oxide"/>
    <s v="kg/2018 USD, purchaser price"/>
    <n v="0"/>
    <n v="0"/>
    <n v="0"/>
    <n v="0"/>
    <n v="0"/>
    <n v="0"/>
  </r>
  <r>
    <x v="323"/>
    <x v="323"/>
    <s v="other GHGs"/>
    <s v="kg CO2e/2018 USD, purchaser price"/>
    <n v="2E-3"/>
    <n v="2E-3"/>
    <n v="0"/>
    <n v="0"/>
    <n v="2E-3"/>
    <n v="2E-3"/>
  </r>
  <r>
    <x v="324"/>
    <x v="324"/>
    <s v="Carbon dioxide"/>
    <s v="kg/2018 USD, purchaser price"/>
    <n v="8.0000000000000002E-3"/>
    <n v="8.0000000000000002E-3"/>
    <n v="0"/>
    <n v="0"/>
    <n v="8.0000000000000002E-3"/>
    <n v="8.0000000000000002E-3"/>
  </r>
  <r>
    <x v="324"/>
    <x v="324"/>
    <s v="Methane"/>
    <s v="kg/2018 USD, purchaser price"/>
    <n v="0"/>
    <n v="0"/>
    <n v="0"/>
    <n v="0"/>
    <n v="0"/>
    <n v="0"/>
  </r>
  <r>
    <x v="324"/>
    <x v="324"/>
    <s v="Nitrous oxide"/>
    <s v="kg/2018 USD, purchaser price"/>
    <n v="0"/>
    <n v="0"/>
    <n v="0"/>
    <n v="0"/>
    <n v="0"/>
    <n v="0"/>
  </r>
  <r>
    <x v="324"/>
    <x v="324"/>
    <s v="other GHGs"/>
    <s v="kg CO2e/2018 USD, purchaser price"/>
    <n v="1E-3"/>
    <n v="1E-3"/>
    <n v="0"/>
    <n v="0"/>
    <n v="1E-3"/>
    <n v="1E-3"/>
  </r>
  <r>
    <x v="325"/>
    <x v="325"/>
    <s v="Carbon dioxide"/>
    <s v="kg/2018 USD, purchaser price"/>
    <n v="0.38100000000000001"/>
    <n v="0.38100000000000001"/>
    <n v="0"/>
    <n v="0"/>
    <n v="0.38100000000000001"/>
    <n v="0.38100000000000001"/>
  </r>
  <r>
    <x v="325"/>
    <x v="325"/>
    <s v="Methane"/>
    <s v="kg/2018 USD, purchaser price"/>
    <n v="1E-3"/>
    <n v="2.8000000000000001E-2"/>
    <n v="0"/>
    <n v="0"/>
    <n v="1E-3"/>
    <n v="2.8000000000000001E-2"/>
  </r>
  <r>
    <x v="325"/>
    <x v="325"/>
    <s v="Nitrous oxide"/>
    <s v="kg/2018 USD, purchaser price"/>
    <n v="0"/>
    <n v="0"/>
    <n v="0"/>
    <n v="0"/>
    <n v="0"/>
    <n v="0"/>
  </r>
  <r>
    <x v="325"/>
    <x v="325"/>
    <s v="other GHGs"/>
    <s v="kg CO2e/2018 USD, purchaser price"/>
    <n v="6.0000000000000001E-3"/>
    <n v="6.0000000000000001E-3"/>
    <n v="0"/>
    <n v="0"/>
    <n v="6.0000000000000001E-3"/>
    <n v="6.0000000000000001E-3"/>
  </r>
  <r>
    <x v="326"/>
    <x v="326"/>
    <s v="Carbon dioxide"/>
    <s v="kg/2018 USD, purchaser price"/>
    <n v="0.14199999999999999"/>
    <n v="0.14199999999999999"/>
    <n v="0"/>
    <n v="0"/>
    <n v="0.14199999999999999"/>
    <n v="0.14199999999999999"/>
  </r>
  <r>
    <x v="326"/>
    <x v="326"/>
    <s v="Methane"/>
    <s v="kg/2018 USD, purchaser price"/>
    <n v="1E-3"/>
    <n v="2.8000000000000001E-2"/>
    <n v="0"/>
    <n v="0"/>
    <n v="1E-3"/>
    <n v="2.8000000000000001E-2"/>
  </r>
  <r>
    <x v="326"/>
    <x v="326"/>
    <s v="Nitrous oxide"/>
    <s v="kg/2018 USD, purchaser price"/>
    <n v="0"/>
    <n v="0"/>
    <n v="0"/>
    <n v="0"/>
    <n v="0"/>
    <n v="0"/>
  </r>
  <r>
    <x v="326"/>
    <x v="326"/>
    <s v="other GHGs"/>
    <s v="kg CO2e/2018 USD, purchaser price"/>
    <n v="2E-3"/>
    <n v="2E-3"/>
    <n v="0"/>
    <n v="0"/>
    <n v="2E-3"/>
    <n v="2E-3"/>
  </r>
  <r>
    <x v="327"/>
    <x v="327"/>
    <s v="Carbon dioxide"/>
    <s v="kg/2018 USD, purchaser price"/>
    <n v="0.121"/>
    <n v="0.121"/>
    <n v="0"/>
    <n v="0"/>
    <n v="0.121"/>
    <n v="0.121"/>
  </r>
  <r>
    <x v="327"/>
    <x v="327"/>
    <s v="Methane"/>
    <s v="kg/2018 USD, purchaser price"/>
    <n v="1E-3"/>
    <n v="2.8000000000000001E-2"/>
    <n v="0"/>
    <n v="0"/>
    <n v="1E-3"/>
    <n v="2.8000000000000001E-2"/>
  </r>
  <r>
    <x v="327"/>
    <x v="327"/>
    <s v="Nitrous oxide"/>
    <s v="kg/2018 USD, purchaser price"/>
    <n v="0"/>
    <n v="0"/>
    <n v="0"/>
    <n v="0"/>
    <n v="0"/>
    <n v="0"/>
  </r>
  <r>
    <x v="327"/>
    <x v="327"/>
    <s v="other GHGs"/>
    <s v="kg CO2e/2018 USD, purchaser price"/>
    <n v="8.0000000000000002E-3"/>
    <n v="8.0000000000000002E-3"/>
    <n v="0"/>
    <n v="0"/>
    <n v="8.0000000000000002E-3"/>
    <n v="8.0000000000000002E-3"/>
  </r>
  <r>
    <x v="328"/>
    <x v="328"/>
    <s v="Carbon dioxide"/>
    <s v="kg/2018 USD, purchaser price"/>
    <n v="0.14000000000000001"/>
    <n v="0.14000000000000001"/>
    <n v="0"/>
    <n v="0"/>
    <n v="0.14000000000000001"/>
    <n v="0.14000000000000001"/>
  </r>
  <r>
    <x v="328"/>
    <x v="328"/>
    <s v="Methane"/>
    <s v="kg/2018 USD, purchaser price"/>
    <n v="1E-3"/>
    <n v="2.8000000000000001E-2"/>
    <n v="0"/>
    <n v="0"/>
    <n v="1E-3"/>
    <n v="2.8000000000000001E-2"/>
  </r>
  <r>
    <x v="328"/>
    <x v="328"/>
    <s v="Nitrous oxide"/>
    <s v="kg/2018 USD, purchaser price"/>
    <n v="0"/>
    <n v="0"/>
    <n v="0"/>
    <n v="0"/>
    <n v="0"/>
    <n v="0"/>
  </r>
  <r>
    <x v="328"/>
    <x v="328"/>
    <s v="other GHGs"/>
    <s v="kg CO2e/2018 USD, purchaser price"/>
    <n v="2E-3"/>
    <n v="2E-3"/>
    <n v="0"/>
    <n v="0"/>
    <n v="2E-3"/>
    <n v="2E-3"/>
  </r>
  <r>
    <x v="329"/>
    <x v="329"/>
    <s v="Carbon dioxide"/>
    <s v="kg/2018 USD, purchaser price"/>
    <n v="5.7000000000000002E-2"/>
    <n v="5.7000000000000002E-2"/>
    <n v="0"/>
    <n v="0"/>
    <n v="5.7000000000000002E-2"/>
    <n v="5.7000000000000002E-2"/>
  </r>
  <r>
    <x v="329"/>
    <x v="329"/>
    <s v="Methane"/>
    <s v="kg/2018 USD, purchaser price"/>
    <n v="0"/>
    <n v="0"/>
    <n v="0"/>
    <n v="0"/>
    <n v="0"/>
    <n v="0"/>
  </r>
  <r>
    <x v="329"/>
    <x v="329"/>
    <s v="Nitrous oxide"/>
    <s v="kg/2018 USD, purchaser price"/>
    <n v="0"/>
    <n v="0"/>
    <n v="0"/>
    <n v="0"/>
    <n v="0"/>
    <n v="0"/>
  </r>
  <r>
    <x v="329"/>
    <x v="329"/>
    <s v="other GHGs"/>
    <s v="kg CO2e/2018 USD, purchaser price"/>
    <n v="1E-3"/>
    <n v="1E-3"/>
    <n v="0"/>
    <n v="0"/>
    <n v="1E-3"/>
    <n v="1E-3"/>
  </r>
  <r>
    <x v="330"/>
    <x v="330"/>
    <s v="Carbon dioxide"/>
    <s v="kg/2018 USD, purchaser price"/>
    <n v="5.8000000000000003E-2"/>
    <n v="5.8000000000000003E-2"/>
    <n v="0"/>
    <n v="0"/>
    <n v="5.8000000000000003E-2"/>
    <n v="5.8000000000000003E-2"/>
  </r>
  <r>
    <x v="330"/>
    <x v="330"/>
    <s v="Methane"/>
    <s v="kg/2018 USD, purchaser price"/>
    <n v="0"/>
    <n v="0"/>
    <n v="0"/>
    <n v="0"/>
    <n v="0"/>
    <n v="0"/>
  </r>
  <r>
    <x v="330"/>
    <x v="330"/>
    <s v="Nitrous oxide"/>
    <s v="kg/2018 USD, purchaser price"/>
    <n v="0"/>
    <n v="0"/>
    <n v="0"/>
    <n v="0"/>
    <n v="0"/>
    <n v="0"/>
  </r>
  <r>
    <x v="330"/>
    <x v="330"/>
    <s v="other GHGs"/>
    <s v="kg CO2e/2018 USD, purchaser price"/>
    <n v="2E-3"/>
    <n v="2E-3"/>
    <n v="0"/>
    <n v="0"/>
    <n v="2E-3"/>
    <n v="2E-3"/>
  </r>
  <r>
    <x v="331"/>
    <x v="331"/>
    <s v="Carbon dioxide"/>
    <s v="kg/2018 USD, purchaser price"/>
    <n v="5.0999999999999997E-2"/>
    <n v="5.0999999999999997E-2"/>
    <n v="0"/>
    <n v="0"/>
    <n v="5.0999999999999997E-2"/>
    <n v="5.0999999999999997E-2"/>
  </r>
  <r>
    <x v="331"/>
    <x v="331"/>
    <s v="Methane"/>
    <s v="kg/2018 USD, purchaser price"/>
    <n v="0"/>
    <n v="0"/>
    <n v="0"/>
    <n v="0"/>
    <n v="0"/>
    <n v="0"/>
  </r>
  <r>
    <x v="331"/>
    <x v="331"/>
    <s v="Nitrous oxide"/>
    <s v="kg/2018 USD, purchaser price"/>
    <n v="0"/>
    <n v="0"/>
    <n v="0"/>
    <n v="0"/>
    <n v="0"/>
    <n v="0"/>
  </r>
  <r>
    <x v="331"/>
    <x v="331"/>
    <s v="other GHGs"/>
    <s v="kg CO2e/2018 USD, purchaser price"/>
    <n v="1E-3"/>
    <n v="1E-3"/>
    <n v="0"/>
    <n v="0"/>
    <n v="1E-3"/>
    <n v="1E-3"/>
  </r>
  <r>
    <x v="332"/>
    <x v="332"/>
    <s v="Carbon dioxide"/>
    <s v="kg/2018 USD, purchaser price"/>
    <n v="0.115"/>
    <n v="0.115"/>
    <n v="0"/>
    <n v="0"/>
    <n v="0.115"/>
    <n v="0.115"/>
  </r>
  <r>
    <x v="332"/>
    <x v="332"/>
    <s v="Methane"/>
    <s v="kg/2018 USD, purchaser price"/>
    <n v="0"/>
    <n v="0"/>
    <n v="0"/>
    <n v="0"/>
    <n v="0"/>
    <n v="0"/>
  </r>
  <r>
    <x v="332"/>
    <x v="332"/>
    <s v="Nitrous oxide"/>
    <s v="kg/2018 USD, purchaser price"/>
    <n v="0"/>
    <n v="0"/>
    <n v="0"/>
    <n v="0"/>
    <n v="0"/>
    <n v="0"/>
  </r>
  <r>
    <x v="332"/>
    <x v="332"/>
    <s v="other GHGs"/>
    <s v="kg CO2e/2018 USD, purchaser price"/>
    <n v="3.0000000000000001E-3"/>
    <n v="3.0000000000000001E-3"/>
    <n v="0"/>
    <n v="0"/>
    <n v="3.0000000000000001E-3"/>
    <n v="3.0000000000000001E-3"/>
  </r>
  <r>
    <x v="333"/>
    <x v="333"/>
    <s v="Carbon dioxide"/>
    <s v="kg/2018 USD, purchaser price"/>
    <n v="8.3000000000000004E-2"/>
    <n v="8.3000000000000004E-2"/>
    <n v="0"/>
    <n v="0"/>
    <n v="8.3000000000000004E-2"/>
    <n v="8.3000000000000004E-2"/>
  </r>
  <r>
    <x v="333"/>
    <x v="333"/>
    <s v="Methane"/>
    <s v="kg/2018 USD, purchaser price"/>
    <n v="0"/>
    <n v="0"/>
    <n v="0"/>
    <n v="0"/>
    <n v="0"/>
    <n v="0"/>
  </r>
  <r>
    <x v="333"/>
    <x v="333"/>
    <s v="Nitrous oxide"/>
    <s v="kg/2018 USD, purchaser price"/>
    <n v="0"/>
    <n v="0"/>
    <n v="0"/>
    <n v="0"/>
    <n v="0"/>
    <n v="0"/>
  </r>
  <r>
    <x v="333"/>
    <x v="333"/>
    <s v="other GHGs"/>
    <s v="kg CO2e/2018 USD, purchaser price"/>
    <n v="2E-3"/>
    <n v="2E-3"/>
    <n v="0"/>
    <n v="0"/>
    <n v="2E-3"/>
    <n v="2E-3"/>
  </r>
  <r>
    <x v="334"/>
    <x v="334"/>
    <s v="Carbon dioxide"/>
    <s v="kg/2018 USD, purchaser price"/>
    <n v="8.8999999999999996E-2"/>
    <n v="8.8999999999999996E-2"/>
    <n v="0"/>
    <n v="0"/>
    <n v="8.8999999999999996E-2"/>
    <n v="8.8999999999999996E-2"/>
  </r>
  <r>
    <x v="334"/>
    <x v="334"/>
    <s v="Methane"/>
    <s v="kg/2018 USD, purchaser price"/>
    <n v="0"/>
    <n v="0"/>
    <n v="0"/>
    <n v="0"/>
    <n v="0"/>
    <n v="0"/>
  </r>
  <r>
    <x v="334"/>
    <x v="334"/>
    <s v="Nitrous oxide"/>
    <s v="kg/2018 USD, purchaser price"/>
    <n v="0"/>
    <n v="0"/>
    <n v="0"/>
    <n v="0"/>
    <n v="0"/>
    <n v="0"/>
  </r>
  <r>
    <x v="334"/>
    <x v="334"/>
    <s v="other GHGs"/>
    <s v="kg CO2e/2018 USD, purchaser price"/>
    <n v="3.0000000000000001E-3"/>
    <n v="3.0000000000000001E-3"/>
    <n v="0"/>
    <n v="0"/>
    <n v="3.0000000000000001E-3"/>
    <n v="3.0000000000000001E-3"/>
  </r>
  <r>
    <x v="335"/>
    <x v="335"/>
    <s v="Carbon dioxide"/>
    <s v="kg/2018 USD, purchaser price"/>
    <n v="0.06"/>
    <n v="0.06"/>
    <n v="0"/>
    <n v="0"/>
    <n v="0.06"/>
    <n v="0.06"/>
  </r>
  <r>
    <x v="335"/>
    <x v="335"/>
    <s v="Methane"/>
    <s v="kg/2018 USD, purchaser price"/>
    <n v="0"/>
    <n v="0"/>
    <n v="0"/>
    <n v="0"/>
    <n v="0"/>
    <n v="0"/>
  </r>
  <r>
    <x v="335"/>
    <x v="335"/>
    <s v="Nitrous oxide"/>
    <s v="kg/2018 USD, purchaser price"/>
    <n v="0"/>
    <n v="0"/>
    <n v="0"/>
    <n v="0"/>
    <n v="0"/>
    <n v="0"/>
  </r>
  <r>
    <x v="335"/>
    <x v="335"/>
    <s v="other GHGs"/>
    <s v="kg CO2e/2018 USD, purchaser price"/>
    <n v="8.0000000000000002E-3"/>
    <n v="8.0000000000000002E-3"/>
    <n v="0"/>
    <n v="0"/>
    <n v="8.0000000000000002E-3"/>
    <n v="8.0000000000000002E-3"/>
  </r>
  <r>
    <x v="336"/>
    <x v="336"/>
    <s v="Carbon dioxide"/>
    <s v="kg/2018 USD, purchaser price"/>
    <n v="7.5999999999999998E-2"/>
    <n v="7.5999999999999998E-2"/>
    <n v="0"/>
    <n v="0"/>
    <n v="7.5999999999999998E-2"/>
    <n v="7.5999999999999998E-2"/>
  </r>
  <r>
    <x v="336"/>
    <x v="336"/>
    <s v="Methane"/>
    <s v="kg/2018 USD, purchaser price"/>
    <n v="0"/>
    <n v="0"/>
    <n v="0"/>
    <n v="0"/>
    <n v="0"/>
    <n v="0"/>
  </r>
  <r>
    <x v="336"/>
    <x v="336"/>
    <s v="Nitrous oxide"/>
    <s v="kg/2018 USD, purchaser price"/>
    <n v="0"/>
    <n v="0"/>
    <n v="0"/>
    <n v="0"/>
    <n v="0"/>
    <n v="0"/>
  </r>
  <r>
    <x v="336"/>
    <x v="336"/>
    <s v="other GHGs"/>
    <s v="kg CO2e/2018 USD, purchaser price"/>
    <n v="4.0000000000000001E-3"/>
    <n v="4.0000000000000001E-3"/>
    <n v="0"/>
    <n v="0"/>
    <n v="4.0000000000000001E-3"/>
    <n v="4.0000000000000001E-3"/>
  </r>
  <r>
    <x v="337"/>
    <x v="337"/>
    <s v="Carbon dioxide"/>
    <s v="kg/2018 USD, purchaser price"/>
    <n v="7.1999999999999995E-2"/>
    <n v="7.1999999999999995E-2"/>
    <n v="0"/>
    <n v="0"/>
    <n v="7.1999999999999995E-2"/>
    <n v="7.1999999999999995E-2"/>
  </r>
  <r>
    <x v="337"/>
    <x v="337"/>
    <s v="Methane"/>
    <s v="kg/2018 USD, purchaser price"/>
    <n v="0"/>
    <n v="0"/>
    <n v="0"/>
    <n v="0"/>
    <n v="0"/>
    <n v="0"/>
  </r>
  <r>
    <x v="337"/>
    <x v="337"/>
    <s v="Nitrous oxide"/>
    <s v="kg/2018 USD, purchaser price"/>
    <n v="0"/>
    <n v="0"/>
    <n v="0"/>
    <n v="0"/>
    <n v="0"/>
    <n v="0"/>
  </r>
  <r>
    <x v="337"/>
    <x v="337"/>
    <s v="other GHGs"/>
    <s v="kg CO2e/2018 USD, purchaser price"/>
    <n v="3.0000000000000001E-3"/>
    <n v="3.0000000000000001E-3"/>
    <n v="0"/>
    <n v="0"/>
    <n v="3.0000000000000001E-3"/>
    <n v="3.0000000000000001E-3"/>
  </r>
  <r>
    <x v="338"/>
    <x v="338"/>
    <s v="Carbon dioxide"/>
    <s v="kg/2018 USD, purchaser price"/>
    <n v="6.9000000000000006E-2"/>
    <n v="6.9000000000000006E-2"/>
    <n v="0"/>
    <n v="0"/>
    <n v="6.9000000000000006E-2"/>
    <n v="6.9000000000000006E-2"/>
  </r>
  <r>
    <x v="338"/>
    <x v="338"/>
    <s v="Methane"/>
    <s v="kg/2018 USD, purchaser price"/>
    <n v="0"/>
    <n v="0"/>
    <n v="0"/>
    <n v="0"/>
    <n v="0"/>
    <n v="0"/>
  </r>
  <r>
    <x v="338"/>
    <x v="338"/>
    <s v="Nitrous oxide"/>
    <s v="kg/2018 USD, purchaser price"/>
    <n v="0"/>
    <n v="0"/>
    <n v="0"/>
    <n v="0"/>
    <n v="0"/>
    <n v="0"/>
  </r>
  <r>
    <x v="338"/>
    <x v="338"/>
    <s v="other GHGs"/>
    <s v="kg CO2e/2018 USD, purchaser price"/>
    <n v="2E-3"/>
    <n v="2E-3"/>
    <n v="0"/>
    <n v="0"/>
    <n v="2E-3"/>
    <n v="2E-3"/>
  </r>
  <r>
    <x v="339"/>
    <x v="339"/>
    <s v="Carbon dioxide"/>
    <s v="kg/2018 USD, purchaser price"/>
    <n v="0.152"/>
    <n v="0.152"/>
    <n v="0"/>
    <n v="0"/>
    <n v="0.152"/>
    <n v="0.152"/>
  </r>
  <r>
    <x v="339"/>
    <x v="339"/>
    <s v="Methane"/>
    <s v="kg/2018 USD, purchaser price"/>
    <n v="1E-3"/>
    <n v="2.8000000000000001E-2"/>
    <n v="0"/>
    <n v="0"/>
    <n v="1E-3"/>
    <n v="2.8000000000000001E-2"/>
  </r>
  <r>
    <x v="339"/>
    <x v="339"/>
    <s v="Nitrous oxide"/>
    <s v="kg/2018 USD, purchaser price"/>
    <n v="0"/>
    <n v="0"/>
    <n v="0"/>
    <n v="0"/>
    <n v="0"/>
    <n v="0"/>
  </r>
  <r>
    <x v="339"/>
    <x v="339"/>
    <s v="other GHGs"/>
    <s v="kg CO2e/2018 USD, purchaser price"/>
    <n v="6.0000000000000001E-3"/>
    <n v="6.0000000000000001E-3"/>
    <n v="0"/>
    <n v="0"/>
    <n v="6.0000000000000001E-3"/>
    <n v="6.0000000000000001E-3"/>
  </r>
  <r>
    <x v="340"/>
    <x v="340"/>
    <s v="Carbon dioxide"/>
    <s v="kg/2018 USD, purchaser price"/>
    <n v="0.113"/>
    <n v="0.113"/>
    <n v="0"/>
    <n v="0"/>
    <n v="0.113"/>
    <n v="0.113"/>
  </r>
  <r>
    <x v="340"/>
    <x v="340"/>
    <s v="Methane"/>
    <s v="kg/2018 USD, purchaser price"/>
    <n v="0"/>
    <n v="0"/>
    <n v="0"/>
    <n v="0"/>
    <n v="0"/>
    <n v="0"/>
  </r>
  <r>
    <x v="340"/>
    <x v="340"/>
    <s v="Nitrous oxide"/>
    <s v="kg/2018 USD, purchaser price"/>
    <n v="0"/>
    <n v="0"/>
    <n v="0"/>
    <n v="0"/>
    <n v="0"/>
    <n v="0"/>
  </r>
  <r>
    <x v="340"/>
    <x v="340"/>
    <s v="other GHGs"/>
    <s v="kg CO2e/2018 USD, purchaser price"/>
    <n v="7.0000000000000001E-3"/>
    <n v="7.0000000000000001E-3"/>
    <n v="0"/>
    <n v="0"/>
    <n v="7.0000000000000001E-3"/>
    <n v="7.0000000000000001E-3"/>
  </r>
  <r>
    <x v="341"/>
    <x v="341"/>
    <s v="Carbon dioxide"/>
    <s v="kg/2018 USD, purchaser price"/>
    <n v="0.114"/>
    <n v="0.114"/>
    <n v="0"/>
    <n v="0"/>
    <n v="0.114"/>
    <n v="0.114"/>
  </r>
  <r>
    <x v="341"/>
    <x v="341"/>
    <s v="Methane"/>
    <s v="kg/2018 USD, purchaser price"/>
    <n v="0"/>
    <n v="0"/>
    <n v="0"/>
    <n v="0"/>
    <n v="0"/>
    <n v="0"/>
  </r>
  <r>
    <x v="341"/>
    <x v="341"/>
    <s v="Nitrous oxide"/>
    <s v="kg/2018 USD, purchaser price"/>
    <n v="0"/>
    <n v="0"/>
    <n v="0"/>
    <n v="0"/>
    <n v="0"/>
    <n v="0"/>
  </r>
  <r>
    <x v="341"/>
    <x v="341"/>
    <s v="other GHGs"/>
    <s v="kg CO2e/2018 USD, purchaser price"/>
    <n v="2E-3"/>
    <n v="2E-3"/>
    <n v="0"/>
    <n v="0"/>
    <n v="2E-3"/>
    <n v="2E-3"/>
  </r>
  <r>
    <x v="342"/>
    <x v="342"/>
    <s v="Carbon dioxide"/>
    <s v="kg/2018 USD, purchaser price"/>
    <n v="0.09"/>
    <n v="0.09"/>
    <n v="0"/>
    <n v="0"/>
    <n v="0.09"/>
    <n v="0.09"/>
  </r>
  <r>
    <x v="342"/>
    <x v="342"/>
    <s v="Methane"/>
    <s v="kg/2018 USD, purchaser price"/>
    <n v="1E-3"/>
    <n v="2.8000000000000001E-2"/>
    <n v="0"/>
    <n v="0"/>
    <n v="1E-3"/>
    <n v="2.8000000000000001E-2"/>
  </r>
  <r>
    <x v="342"/>
    <x v="342"/>
    <s v="Nitrous oxide"/>
    <s v="kg/2018 USD, purchaser price"/>
    <n v="0"/>
    <n v="0"/>
    <n v="0"/>
    <n v="0"/>
    <n v="0"/>
    <n v="0"/>
  </r>
  <r>
    <x v="342"/>
    <x v="342"/>
    <s v="other GHGs"/>
    <s v="kg CO2e/2018 USD, purchaser price"/>
    <n v="2E-3"/>
    <n v="2E-3"/>
    <n v="0"/>
    <n v="0"/>
    <n v="2E-3"/>
    <n v="2E-3"/>
  </r>
  <r>
    <x v="343"/>
    <x v="343"/>
    <s v="Carbon dioxide"/>
    <s v="kg/2018 USD, purchaser price"/>
    <n v="7.1999999999999995E-2"/>
    <n v="7.1999999999999995E-2"/>
    <n v="0"/>
    <n v="0"/>
    <n v="7.1999999999999995E-2"/>
    <n v="7.1999999999999995E-2"/>
  </r>
  <r>
    <x v="343"/>
    <x v="343"/>
    <s v="Methane"/>
    <s v="kg/2018 USD, purchaser price"/>
    <n v="0"/>
    <n v="0"/>
    <n v="0"/>
    <n v="0"/>
    <n v="0"/>
    <n v="0"/>
  </r>
  <r>
    <x v="343"/>
    <x v="343"/>
    <s v="Nitrous oxide"/>
    <s v="kg/2018 USD, purchaser price"/>
    <n v="0"/>
    <n v="0"/>
    <n v="0"/>
    <n v="0"/>
    <n v="0"/>
    <n v="0"/>
  </r>
  <r>
    <x v="343"/>
    <x v="343"/>
    <s v="other GHGs"/>
    <s v="kg CO2e/2018 USD, purchaser price"/>
    <n v="2E-3"/>
    <n v="2E-3"/>
    <n v="0"/>
    <n v="0"/>
    <n v="2E-3"/>
    <n v="2E-3"/>
  </r>
  <r>
    <x v="344"/>
    <x v="344"/>
    <s v="Carbon dioxide"/>
    <s v="kg/2018 USD, purchaser price"/>
    <n v="0.127"/>
    <n v="0.127"/>
    <n v="0"/>
    <n v="0"/>
    <n v="0.127"/>
    <n v="0.127"/>
  </r>
  <r>
    <x v="344"/>
    <x v="344"/>
    <s v="Methane"/>
    <s v="kg/2018 USD, purchaser price"/>
    <n v="0"/>
    <n v="0"/>
    <n v="0"/>
    <n v="0"/>
    <n v="0"/>
    <n v="0"/>
  </r>
  <r>
    <x v="344"/>
    <x v="344"/>
    <s v="Nitrous oxide"/>
    <s v="kg/2018 USD, purchaser price"/>
    <n v="0"/>
    <n v="0"/>
    <n v="0"/>
    <n v="0"/>
    <n v="0"/>
    <n v="0"/>
  </r>
  <r>
    <x v="344"/>
    <x v="344"/>
    <s v="other GHGs"/>
    <s v="kg CO2e/2018 USD, purchaser price"/>
    <n v="2E-3"/>
    <n v="2E-3"/>
    <n v="0"/>
    <n v="0"/>
    <n v="2E-3"/>
    <n v="2E-3"/>
  </r>
  <r>
    <x v="345"/>
    <x v="345"/>
    <s v="Carbon dioxide"/>
    <s v="kg/2018 USD, purchaser price"/>
    <n v="9.0999999999999998E-2"/>
    <n v="9.0999999999999998E-2"/>
    <n v="0"/>
    <n v="0"/>
    <n v="9.0999999999999998E-2"/>
    <n v="9.0999999999999998E-2"/>
  </r>
  <r>
    <x v="345"/>
    <x v="345"/>
    <s v="Methane"/>
    <s v="kg/2018 USD, purchaser price"/>
    <n v="0"/>
    <n v="0"/>
    <n v="0"/>
    <n v="0"/>
    <n v="0"/>
    <n v="0"/>
  </r>
  <r>
    <x v="345"/>
    <x v="345"/>
    <s v="Nitrous oxide"/>
    <s v="kg/2018 USD, purchaser price"/>
    <n v="0"/>
    <n v="0"/>
    <n v="0"/>
    <n v="0"/>
    <n v="0"/>
    <n v="0"/>
  </r>
  <r>
    <x v="345"/>
    <x v="345"/>
    <s v="other GHGs"/>
    <s v="kg CO2e/2018 USD, purchaser price"/>
    <n v="2E-3"/>
    <n v="2E-3"/>
    <n v="0"/>
    <n v="0"/>
    <n v="2E-3"/>
    <n v="2E-3"/>
  </r>
  <r>
    <x v="346"/>
    <x v="346"/>
    <s v="Carbon dioxide"/>
    <s v="kg/2018 USD, purchaser price"/>
    <n v="0.20399999999999999"/>
    <n v="0.20399999999999999"/>
    <n v="0"/>
    <n v="0"/>
    <n v="0.20399999999999999"/>
    <n v="0.20399999999999999"/>
  </r>
  <r>
    <x v="346"/>
    <x v="346"/>
    <s v="Methane"/>
    <s v="kg/2018 USD, purchaser price"/>
    <n v="1E-3"/>
    <n v="2.8000000000000001E-2"/>
    <n v="0"/>
    <n v="0"/>
    <n v="1E-3"/>
    <n v="2.8000000000000001E-2"/>
  </r>
  <r>
    <x v="346"/>
    <x v="346"/>
    <s v="Nitrous oxide"/>
    <s v="kg/2018 USD, purchaser price"/>
    <n v="0"/>
    <n v="0"/>
    <n v="0"/>
    <n v="0"/>
    <n v="0"/>
    <n v="0"/>
  </r>
  <r>
    <x v="346"/>
    <x v="346"/>
    <s v="other GHGs"/>
    <s v="kg CO2e/2018 USD, purchaser price"/>
    <n v="4.0000000000000001E-3"/>
    <n v="4.0000000000000001E-3"/>
    <n v="0"/>
    <n v="0"/>
    <n v="4.0000000000000001E-3"/>
    <n v="4.0000000000000001E-3"/>
  </r>
  <r>
    <x v="347"/>
    <x v="347"/>
    <s v="Carbon dioxide"/>
    <s v="kg/2018 USD, purchaser price"/>
    <n v="3.3000000000000002E-2"/>
    <n v="3.3000000000000002E-2"/>
    <n v="0"/>
    <n v="0"/>
    <n v="3.3000000000000002E-2"/>
    <n v="3.3000000000000002E-2"/>
  </r>
  <r>
    <x v="347"/>
    <x v="347"/>
    <s v="Methane"/>
    <s v="kg/2018 USD, purchaser price"/>
    <n v="0"/>
    <n v="0"/>
    <n v="0"/>
    <n v="0"/>
    <n v="0"/>
    <n v="0"/>
  </r>
  <r>
    <x v="347"/>
    <x v="347"/>
    <s v="Nitrous oxide"/>
    <s v="kg/2018 USD, purchaser price"/>
    <n v="0"/>
    <n v="0"/>
    <n v="0"/>
    <n v="0"/>
    <n v="0"/>
    <n v="0"/>
  </r>
  <r>
    <x v="347"/>
    <x v="347"/>
    <s v="other GHGs"/>
    <s v="kg CO2e/2018 USD, purchaser price"/>
    <n v="1E-3"/>
    <n v="1E-3"/>
    <n v="0"/>
    <n v="0"/>
    <n v="1E-3"/>
    <n v="1E-3"/>
  </r>
  <r>
    <x v="348"/>
    <x v="348"/>
    <s v="Carbon dioxide"/>
    <s v="kg/2018 USD, purchaser price"/>
    <n v="0.113"/>
    <n v="0.113"/>
    <n v="0"/>
    <n v="0"/>
    <n v="0.113"/>
    <n v="0.113"/>
  </r>
  <r>
    <x v="348"/>
    <x v="348"/>
    <s v="Methane"/>
    <s v="kg/2018 USD, purchaser price"/>
    <n v="1E-3"/>
    <n v="2.8000000000000001E-2"/>
    <n v="0"/>
    <n v="0"/>
    <n v="1E-3"/>
    <n v="2.8000000000000001E-2"/>
  </r>
  <r>
    <x v="348"/>
    <x v="348"/>
    <s v="Nitrous oxide"/>
    <s v="kg/2018 USD, purchaser price"/>
    <n v="0"/>
    <n v="0"/>
    <n v="0"/>
    <n v="0"/>
    <n v="0"/>
    <n v="0"/>
  </r>
  <r>
    <x v="348"/>
    <x v="348"/>
    <s v="other GHGs"/>
    <s v="kg CO2e/2018 USD, purchaser price"/>
    <n v="2E-3"/>
    <n v="2E-3"/>
    <n v="0"/>
    <n v="0"/>
    <n v="2E-3"/>
    <n v="2E-3"/>
  </r>
  <r>
    <x v="349"/>
    <x v="349"/>
    <s v="Carbon dioxide"/>
    <s v="kg/2018 USD, purchaser price"/>
    <n v="9.4E-2"/>
    <n v="9.4E-2"/>
    <n v="0"/>
    <n v="0"/>
    <n v="9.4E-2"/>
    <n v="9.4E-2"/>
  </r>
  <r>
    <x v="349"/>
    <x v="349"/>
    <s v="Methane"/>
    <s v="kg/2018 USD, purchaser price"/>
    <n v="0"/>
    <n v="0"/>
    <n v="0"/>
    <n v="0"/>
    <n v="0"/>
    <n v="0"/>
  </r>
  <r>
    <x v="349"/>
    <x v="349"/>
    <s v="Nitrous oxide"/>
    <s v="kg/2018 USD, purchaser price"/>
    <n v="0"/>
    <n v="0"/>
    <n v="0"/>
    <n v="0"/>
    <n v="0"/>
    <n v="0"/>
  </r>
  <r>
    <x v="349"/>
    <x v="349"/>
    <s v="other GHGs"/>
    <s v="kg CO2e/2018 USD, purchaser price"/>
    <n v="3.0000000000000001E-3"/>
    <n v="3.0000000000000001E-3"/>
    <n v="0"/>
    <n v="0"/>
    <n v="3.0000000000000001E-3"/>
    <n v="3.0000000000000001E-3"/>
  </r>
  <r>
    <x v="350"/>
    <x v="350"/>
    <s v="Carbon dioxide"/>
    <s v="kg/2018 USD, purchaser price"/>
    <n v="8.5000000000000006E-2"/>
    <n v="8.5000000000000006E-2"/>
    <n v="0"/>
    <n v="0"/>
    <n v="8.5000000000000006E-2"/>
    <n v="8.5000000000000006E-2"/>
  </r>
  <r>
    <x v="350"/>
    <x v="350"/>
    <s v="Methane"/>
    <s v="kg/2018 USD, purchaser price"/>
    <n v="0"/>
    <n v="0"/>
    <n v="0"/>
    <n v="0"/>
    <n v="0"/>
    <n v="0"/>
  </r>
  <r>
    <x v="350"/>
    <x v="350"/>
    <s v="Nitrous oxide"/>
    <s v="kg/2018 USD, purchaser price"/>
    <n v="0"/>
    <n v="0"/>
    <n v="0"/>
    <n v="0"/>
    <n v="0"/>
    <n v="0"/>
  </r>
  <r>
    <x v="350"/>
    <x v="350"/>
    <s v="other GHGs"/>
    <s v="kg CO2e/2018 USD, purchaser price"/>
    <n v="2E-3"/>
    <n v="2E-3"/>
    <n v="0"/>
    <n v="0"/>
    <n v="2E-3"/>
    <n v="2E-3"/>
  </r>
  <r>
    <x v="351"/>
    <x v="351"/>
    <s v="Carbon dioxide"/>
    <s v="kg/2018 USD, purchaser price"/>
    <n v="0.13500000000000001"/>
    <n v="0.13500000000000001"/>
    <n v="0"/>
    <n v="0"/>
    <n v="0.13500000000000001"/>
    <n v="0.13500000000000001"/>
  </r>
  <r>
    <x v="351"/>
    <x v="351"/>
    <s v="Methane"/>
    <s v="kg/2018 USD, purchaser price"/>
    <n v="1E-3"/>
    <n v="2.8000000000000001E-2"/>
    <n v="0"/>
    <n v="0"/>
    <n v="1E-3"/>
    <n v="2.8000000000000001E-2"/>
  </r>
  <r>
    <x v="351"/>
    <x v="351"/>
    <s v="Nitrous oxide"/>
    <s v="kg/2018 USD, purchaser price"/>
    <n v="0"/>
    <n v="0"/>
    <n v="0"/>
    <n v="0"/>
    <n v="0"/>
    <n v="0"/>
  </r>
  <r>
    <x v="351"/>
    <x v="351"/>
    <s v="other GHGs"/>
    <s v="kg CO2e/2018 USD, purchaser price"/>
    <n v="1.6E-2"/>
    <n v="1.6E-2"/>
    <n v="0"/>
    <n v="0"/>
    <n v="1.6E-2"/>
    <n v="1.6E-2"/>
  </r>
  <r>
    <x v="352"/>
    <x v="352"/>
    <s v="Carbon dioxide"/>
    <s v="kg/2018 USD, purchaser price"/>
    <n v="0.126"/>
    <n v="0.126"/>
    <n v="0"/>
    <n v="0"/>
    <n v="0.126"/>
    <n v="0.126"/>
  </r>
  <r>
    <x v="352"/>
    <x v="352"/>
    <s v="Methane"/>
    <s v="kg/2018 USD, purchaser price"/>
    <n v="1E-3"/>
    <n v="2.8000000000000001E-2"/>
    <n v="0"/>
    <n v="0"/>
    <n v="1E-3"/>
    <n v="2.8000000000000001E-2"/>
  </r>
  <r>
    <x v="352"/>
    <x v="352"/>
    <s v="Nitrous oxide"/>
    <s v="kg/2018 USD, purchaser price"/>
    <n v="0"/>
    <n v="0"/>
    <n v="0"/>
    <n v="0"/>
    <n v="0"/>
    <n v="0"/>
  </r>
  <r>
    <x v="352"/>
    <x v="352"/>
    <s v="other GHGs"/>
    <s v="kg CO2e/2018 USD, purchaser price"/>
    <n v="5.0000000000000001E-3"/>
    <n v="5.0000000000000001E-3"/>
    <n v="0"/>
    <n v="0"/>
    <n v="5.0000000000000001E-3"/>
    <n v="5.0000000000000001E-3"/>
  </r>
  <r>
    <x v="353"/>
    <x v="353"/>
    <s v="Carbon dioxide"/>
    <s v="kg/2018 USD, purchaser price"/>
    <n v="0.28000000000000003"/>
    <n v="0.28000000000000003"/>
    <n v="0"/>
    <n v="0"/>
    <n v="0.28000000000000003"/>
    <n v="0.28000000000000003"/>
  </r>
  <r>
    <x v="353"/>
    <x v="353"/>
    <s v="Methane"/>
    <s v="kg/2018 USD, purchaser price"/>
    <n v="4.1000000000000002E-2"/>
    <n v="1.1480000000000001"/>
    <n v="0"/>
    <n v="0"/>
    <n v="4.1000000000000002E-2"/>
    <n v="1.1480000000000001"/>
  </r>
  <r>
    <x v="353"/>
    <x v="353"/>
    <s v="Nitrous oxide"/>
    <s v="kg/2018 USD, purchaser price"/>
    <n v="0"/>
    <n v="0"/>
    <n v="0"/>
    <n v="0"/>
    <n v="0"/>
    <n v="0"/>
  </r>
  <r>
    <x v="353"/>
    <x v="353"/>
    <s v="other GHGs"/>
    <s v="kg CO2e/2018 USD, purchaser price"/>
    <n v="1.4999999999999999E-2"/>
    <n v="1.4999999999999999E-2"/>
    <n v="0"/>
    <n v="0"/>
    <n v="1.4999999999999999E-2"/>
    <n v="1.4999999999999999E-2"/>
  </r>
  <r>
    <x v="354"/>
    <x v="354"/>
    <s v="Carbon dioxide"/>
    <s v="kg/2018 USD, purchaser price"/>
    <n v="0.123"/>
    <n v="0.123"/>
    <n v="0"/>
    <n v="0"/>
    <n v="0.123"/>
    <n v="0.123"/>
  </r>
  <r>
    <x v="354"/>
    <x v="354"/>
    <s v="Methane"/>
    <s v="kg/2018 USD, purchaser price"/>
    <n v="1E-3"/>
    <n v="2.8000000000000001E-2"/>
    <n v="0"/>
    <n v="0"/>
    <n v="1E-3"/>
    <n v="2.8000000000000001E-2"/>
  </r>
  <r>
    <x v="354"/>
    <x v="354"/>
    <s v="Nitrous oxide"/>
    <s v="kg/2018 USD, purchaser price"/>
    <n v="0"/>
    <n v="0"/>
    <n v="0"/>
    <n v="0"/>
    <n v="0"/>
    <n v="0"/>
  </r>
  <r>
    <x v="354"/>
    <x v="354"/>
    <s v="other GHGs"/>
    <s v="kg CO2e/2018 USD, purchaser price"/>
    <n v="3.0000000000000001E-3"/>
    <n v="3.0000000000000001E-3"/>
    <n v="0"/>
    <n v="0"/>
    <n v="3.0000000000000001E-3"/>
    <n v="3.0000000000000001E-3"/>
  </r>
  <r>
    <x v="355"/>
    <x v="355"/>
    <s v="Carbon dioxide"/>
    <s v="kg/2018 USD, purchaser price"/>
    <n v="0.157"/>
    <n v="0.157"/>
    <n v="0"/>
    <n v="0"/>
    <n v="0.157"/>
    <n v="0.157"/>
  </r>
  <r>
    <x v="355"/>
    <x v="355"/>
    <s v="Methane"/>
    <s v="kg/2018 USD, purchaser price"/>
    <n v="1E-3"/>
    <n v="2.8000000000000001E-2"/>
    <n v="0"/>
    <n v="0"/>
    <n v="1E-3"/>
    <n v="2.8000000000000001E-2"/>
  </r>
  <r>
    <x v="355"/>
    <x v="355"/>
    <s v="Nitrous oxide"/>
    <s v="kg/2018 USD, purchaser price"/>
    <n v="0"/>
    <n v="0"/>
    <n v="0"/>
    <n v="0"/>
    <n v="0"/>
    <n v="0"/>
  </r>
  <r>
    <x v="355"/>
    <x v="355"/>
    <s v="other GHGs"/>
    <s v="kg CO2e/2018 USD, purchaser price"/>
    <n v="3.0000000000000001E-3"/>
    <n v="3.0000000000000001E-3"/>
    <n v="0"/>
    <n v="0"/>
    <n v="3.0000000000000001E-3"/>
    <n v="3.0000000000000001E-3"/>
  </r>
  <r>
    <x v="356"/>
    <x v="356"/>
    <s v="Carbon dioxide"/>
    <s v="kg/2018 USD, purchaser price"/>
    <n v="0.11600000000000001"/>
    <n v="0.11600000000000001"/>
    <n v="0"/>
    <n v="0"/>
    <n v="0.11600000000000001"/>
    <n v="0.11600000000000001"/>
  </r>
  <r>
    <x v="356"/>
    <x v="356"/>
    <s v="Methane"/>
    <s v="kg/2018 USD, purchaser price"/>
    <n v="1E-3"/>
    <n v="2.8000000000000001E-2"/>
    <n v="0"/>
    <n v="0"/>
    <n v="1E-3"/>
    <n v="2.8000000000000001E-2"/>
  </r>
  <r>
    <x v="356"/>
    <x v="356"/>
    <s v="Nitrous oxide"/>
    <s v="kg/2018 USD, purchaser price"/>
    <n v="0"/>
    <n v="0"/>
    <n v="0"/>
    <n v="0"/>
    <n v="0"/>
    <n v="0"/>
  </r>
  <r>
    <x v="356"/>
    <x v="356"/>
    <s v="other GHGs"/>
    <s v="kg CO2e/2018 USD, purchaser price"/>
    <n v="3.0000000000000001E-3"/>
    <n v="3.0000000000000001E-3"/>
    <n v="0"/>
    <n v="0"/>
    <n v="3.0000000000000001E-3"/>
    <n v="3.0000000000000001E-3"/>
  </r>
  <r>
    <x v="357"/>
    <x v="357"/>
    <s v="Carbon dioxide"/>
    <s v="kg/2018 USD, purchaser price"/>
    <n v="7.9000000000000001E-2"/>
    <n v="7.9000000000000001E-2"/>
    <n v="0"/>
    <n v="0"/>
    <n v="7.9000000000000001E-2"/>
    <n v="7.9000000000000001E-2"/>
  </r>
  <r>
    <x v="357"/>
    <x v="357"/>
    <s v="Methane"/>
    <s v="kg/2018 USD, purchaser price"/>
    <n v="0"/>
    <n v="0"/>
    <n v="0"/>
    <n v="0"/>
    <n v="0"/>
    <n v="0"/>
  </r>
  <r>
    <x v="357"/>
    <x v="357"/>
    <s v="Nitrous oxide"/>
    <s v="kg/2018 USD, purchaser price"/>
    <n v="0"/>
    <n v="0"/>
    <n v="0"/>
    <n v="0"/>
    <n v="0"/>
    <n v="0"/>
  </r>
  <r>
    <x v="357"/>
    <x v="357"/>
    <s v="other GHGs"/>
    <s v="kg CO2e/2018 USD, purchaser price"/>
    <n v="3.0000000000000001E-3"/>
    <n v="3.0000000000000001E-3"/>
    <n v="0"/>
    <n v="0"/>
    <n v="3.0000000000000001E-3"/>
    <n v="3.0000000000000001E-3"/>
  </r>
  <r>
    <x v="358"/>
    <x v="358"/>
    <s v="Carbon dioxide"/>
    <s v="kg/2018 USD, purchaser price"/>
    <n v="8.8999999999999996E-2"/>
    <n v="8.8999999999999996E-2"/>
    <n v="0"/>
    <n v="0"/>
    <n v="8.8999999999999996E-2"/>
    <n v="8.8999999999999996E-2"/>
  </r>
  <r>
    <x v="358"/>
    <x v="358"/>
    <s v="Methane"/>
    <s v="kg/2018 USD, purchaser price"/>
    <n v="0"/>
    <n v="0"/>
    <n v="0"/>
    <n v="0"/>
    <n v="0"/>
    <n v="0"/>
  </r>
  <r>
    <x v="358"/>
    <x v="358"/>
    <s v="Nitrous oxide"/>
    <s v="kg/2018 USD, purchaser price"/>
    <n v="0"/>
    <n v="0"/>
    <n v="0"/>
    <n v="0"/>
    <n v="0"/>
    <n v="0"/>
  </r>
  <r>
    <x v="358"/>
    <x v="358"/>
    <s v="other GHGs"/>
    <s v="kg CO2e/2018 USD, purchaser price"/>
    <n v="3.0000000000000001E-3"/>
    <n v="3.0000000000000001E-3"/>
    <n v="0"/>
    <n v="0"/>
    <n v="3.0000000000000001E-3"/>
    <n v="3.0000000000000001E-3"/>
  </r>
  <r>
    <x v="359"/>
    <x v="359"/>
    <s v="Carbon dioxide"/>
    <s v="kg/2018 USD, purchaser price"/>
    <n v="0.10100000000000001"/>
    <n v="0.10100000000000001"/>
    <n v="0"/>
    <n v="0"/>
    <n v="0.10100000000000001"/>
    <n v="0.10100000000000001"/>
  </r>
  <r>
    <x v="359"/>
    <x v="359"/>
    <s v="Methane"/>
    <s v="kg/2018 USD, purchaser price"/>
    <n v="0"/>
    <n v="0"/>
    <n v="0"/>
    <n v="0"/>
    <n v="0"/>
    <n v="0"/>
  </r>
  <r>
    <x v="359"/>
    <x v="359"/>
    <s v="Nitrous oxide"/>
    <s v="kg/2018 USD, purchaser price"/>
    <n v="0"/>
    <n v="0"/>
    <n v="0"/>
    <n v="0"/>
    <n v="0"/>
    <n v="0"/>
  </r>
  <r>
    <x v="359"/>
    <x v="359"/>
    <s v="other GHGs"/>
    <s v="kg CO2e/2018 USD, purchaser price"/>
    <n v="3.0000000000000001E-3"/>
    <n v="3.0000000000000001E-3"/>
    <n v="0"/>
    <n v="0"/>
    <n v="3.0000000000000001E-3"/>
    <n v="3.0000000000000001E-3"/>
  </r>
  <r>
    <x v="360"/>
    <x v="360"/>
    <s v="Carbon dioxide"/>
    <s v="kg/2018 USD, purchaser price"/>
    <n v="0.115"/>
    <n v="0.115"/>
    <n v="0"/>
    <n v="0"/>
    <n v="0.115"/>
    <n v="0.115"/>
  </r>
  <r>
    <x v="360"/>
    <x v="360"/>
    <s v="Methane"/>
    <s v="kg/2018 USD, purchaser price"/>
    <n v="1E-3"/>
    <n v="2.8000000000000001E-2"/>
    <n v="0"/>
    <n v="0"/>
    <n v="1E-3"/>
    <n v="2.8000000000000001E-2"/>
  </r>
  <r>
    <x v="360"/>
    <x v="360"/>
    <s v="Nitrous oxide"/>
    <s v="kg/2018 USD, purchaser price"/>
    <n v="0"/>
    <n v="0"/>
    <n v="0"/>
    <n v="0"/>
    <n v="0"/>
    <n v="0"/>
  </r>
  <r>
    <x v="360"/>
    <x v="360"/>
    <s v="other GHGs"/>
    <s v="kg CO2e/2018 USD, purchaser price"/>
    <n v="3.0000000000000001E-3"/>
    <n v="3.0000000000000001E-3"/>
    <n v="0"/>
    <n v="0"/>
    <n v="3.0000000000000001E-3"/>
    <n v="3.0000000000000001E-3"/>
  </r>
  <r>
    <x v="361"/>
    <x v="361"/>
    <s v="Carbon dioxide"/>
    <s v="kg/2018 USD, purchaser price"/>
    <n v="0.1"/>
    <n v="0.1"/>
    <n v="0"/>
    <n v="0"/>
    <n v="0.1"/>
    <n v="0.1"/>
  </r>
  <r>
    <x v="361"/>
    <x v="361"/>
    <s v="Methane"/>
    <s v="kg/2018 USD, purchaser price"/>
    <n v="0"/>
    <n v="0"/>
    <n v="0"/>
    <n v="0"/>
    <n v="0"/>
    <n v="0"/>
  </r>
  <r>
    <x v="361"/>
    <x v="361"/>
    <s v="Nitrous oxide"/>
    <s v="kg/2018 USD, purchaser price"/>
    <n v="0"/>
    <n v="0"/>
    <n v="0"/>
    <n v="0"/>
    <n v="0"/>
    <n v="0"/>
  </r>
  <r>
    <x v="361"/>
    <x v="361"/>
    <s v="other GHGs"/>
    <s v="kg CO2e/2018 USD, purchaser price"/>
    <n v="2E-3"/>
    <n v="2E-3"/>
    <n v="0"/>
    <n v="0"/>
    <n v="2E-3"/>
    <n v="2E-3"/>
  </r>
  <r>
    <x v="362"/>
    <x v="362"/>
    <s v="Carbon dioxide"/>
    <s v="kg/2018 USD, purchaser price"/>
    <n v="0.1"/>
    <n v="0.1"/>
    <n v="0"/>
    <n v="0"/>
    <n v="0.1"/>
    <n v="0.1"/>
  </r>
  <r>
    <x v="362"/>
    <x v="362"/>
    <s v="Methane"/>
    <s v="kg/2018 USD, purchaser price"/>
    <n v="1E-3"/>
    <n v="2.8000000000000001E-2"/>
    <n v="0"/>
    <n v="0"/>
    <n v="1E-3"/>
    <n v="2.8000000000000001E-2"/>
  </r>
  <r>
    <x v="362"/>
    <x v="362"/>
    <s v="Nitrous oxide"/>
    <s v="kg/2018 USD, purchaser price"/>
    <n v="0"/>
    <n v="0"/>
    <n v="0"/>
    <n v="0"/>
    <n v="0"/>
    <n v="0"/>
  </r>
  <r>
    <x v="362"/>
    <x v="362"/>
    <s v="other GHGs"/>
    <s v="kg CO2e/2018 USD, purchaser price"/>
    <n v="4.0000000000000001E-3"/>
    <n v="4.0000000000000001E-3"/>
    <n v="0"/>
    <n v="0"/>
    <n v="4.0000000000000001E-3"/>
    <n v="4.0000000000000001E-3"/>
  </r>
  <r>
    <x v="363"/>
    <x v="363"/>
    <s v="Carbon dioxide"/>
    <s v="kg/2018 USD, purchaser price"/>
    <n v="0.155"/>
    <n v="0.155"/>
    <n v="0"/>
    <n v="0"/>
    <n v="0.155"/>
    <n v="0.155"/>
  </r>
  <r>
    <x v="363"/>
    <x v="363"/>
    <s v="Methane"/>
    <s v="kg/2018 USD, purchaser price"/>
    <n v="1E-3"/>
    <n v="2.8000000000000001E-2"/>
    <n v="0"/>
    <n v="0"/>
    <n v="1E-3"/>
    <n v="2.8000000000000001E-2"/>
  </r>
  <r>
    <x v="363"/>
    <x v="363"/>
    <s v="Nitrous oxide"/>
    <s v="kg/2018 USD, purchaser price"/>
    <n v="0"/>
    <n v="0"/>
    <n v="0"/>
    <n v="0"/>
    <n v="0"/>
    <n v="0"/>
  </r>
  <r>
    <x v="363"/>
    <x v="363"/>
    <s v="other GHGs"/>
    <s v="kg CO2e/2018 USD, purchaser price"/>
    <n v="7.0000000000000001E-3"/>
    <n v="7.0000000000000001E-3"/>
    <n v="0"/>
    <n v="0"/>
    <n v="7.0000000000000001E-3"/>
    <n v="7.0000000000000001E-3"/>
  </r>
  <r>
    <x v="364"/>
    <x v="364"/>
    <s v="Carbon dioxide"/>
    <s v="kg/2018 USD, purchaser price"/>
    <n v="0.13900000000000001"/>
    <n v="0.13900000000000001"/>
    <n v="0"/>
    <n v="0"/>
    <n v="0.13900000000000001"/>
    <n v="0.13900000000000001"/>
  </r>
  <r>
    <x v="364"/>
    <x v="364"/>
    <s v="Methane"/>
    <s v="kg/2018 USD, purchaser price"/>
    <n v="1E-3"/>
    <n v="2.8000000000000001E-2"/>
    <n v="0"/>
    <n v="0"/>
    <n v="1E-3"/>
    <n v="2.8000000000000001E-2"/>
  </r>
  <r>
    <x v="364"/>
    <x v="364"/>
    <s v="Nitrous oxide"/>
    <s v="kg/2018 USD, purchaser price"/>
    <n v="0"/>
    <n v="0"/>
    <n v="0"/>
    <n v="0"/>
    <n v="0"/>
    <n v="0"/>
  </r>
  <r>
    <x v="364"/>
    <x v="364"/>
    <s v="other GHGs"/>
    <s v="kg CO2e/2018 USD, purchaser price"/>
    <n v="5.0000000000000001E-3"/>
    <n v="5.0000000000000001E-3"/>
    <n v="0"/>
    <n v="0"/>
    <n v="5.0000000000000001E-3"/>
    <n v="5.0000000000000001E-3"/>
  </r>
  <r>
    <x v="365"/>
    <x v="365"/>
    <s v="Carbon dioxide"/>
    <s v="kg/2018 USD, purchaser price"/>
    <n v="0.13900000000000001"/>
    <n v="0.13900000000000001"/>
    <n v="0"/>
    <n v="0"/>
    <n v="0.13900000000000001"/>
    <n v="0.13900000000000001"/>
  </r>
  <r>
    <x v="365"/>
    <x v="365"/>
    <s v="Methane"/>
    <s v="kg/2018 USD, purchaser price"/>
    <n v="1E-3"/>
    <n v="2.8000000000000001E-2"/>
    <n v="0"/>
    <n v="0"/>
    <n v="1E-3"/>
    <n v="2.8000000000000001E-2"/>
  </r>
  <r>
    <x v="365"/>
    <x v="365"/>
    <s v="Nitrous oxide"/>
    <s v="kg/2018 USD, purchaser price"/>
    <n v="0"/>
    <n v="0"/>
    <n v="0"/>
    <n v="0"/>
    <n v="0"/>
    <n v="0"/>
  </r>
  <r>
    <x v="365"/>
    <x v="365"/>
    <s v="other GHGs"/>
    <s v="kg CO2e/2018 USD, purchaser price"/>
    <n v="5.0000000000000001E-3"/>
    <n v="5.0000000000000001E-3"/>
    <n v="0"/>
    <n v="0"/>
    <n v="5.0000000000000001E-3"/>
    <n v="5.0000000000000001E-3"/>
  </r>
  <r>
    <x v="366"/>
    <x v="366"/>
    <s v="Carbon dioxide"/>
    <s v="kg/2018 USD, purchaser price"/>
    <n v="0.13400000000000001"/>
    <n v="0.13400000000000001"/>
    <n v="0"/>
    <n v="0"/>
    <n v="0.13400000000000001"/>
    <n v="0.13400000000000001"/>
  </r>
  <r>
    <x v="366"/>
    <x v="366"/>
    <s v="Methane"/>
    <s v="kg/2018 USD, purchaser price"/>
    <n v="1E-3"/>
    <n v="2.8000000000000001E-2"/>
    <n v="0"/>
    <n v="0"/>
    <n v="1E-3"/>
    <n v="2.8000000000000001E-2"/>
  </r>
  <r>
    <x v="366"/>
    <x v="366"/>
    <s v="Nitrous oxide"/>
    <s v="kg/2018 USD, purchaser price"/>
    <n v="0"/>
    <n v="0"/>
    <n v="0"/>
    <n v="0"/>
    <n v="0"/>
    <n v="0"/>
  </r>
  <r>
    <x v="366"/>
    <x v="366"/>
    <s v="other GHGs"/>
    <s v="kg CO2e/2018 USD, purchaser price"/>
    <n v="8.9999999999999993E-3"/>
    <n v="8.9999999999999993E-3"/>
    <n v="0"/>
    <n v="0"/>
    <n v="8.9999999999999993E-3"/>
    <n v="8.9999999999999993E-3"/>
  </r>
  <r>
    <x v="367"/>
    <x v="367"/>
    <s v="Carbon dioxide"/>
    <s v="kg/2018 USD, purchaser price"/>
    <n v="0.13"/>
    <n v="0.13"/>
    <n v="0"/>
    <n v="0"/>
    <n v="0.13"/>
    <n v="0.13"/>
  </r>
  <r>
    <x v="367"/>
    <x v="367"/>
    <s v="Methane"/>
    <s v="kg/2018 USD, purchaser price"/>
    <n v="1E-3"/>
    <n v="2.8000000000000001E-2"/>
    <n v="0"/>
    <n v="0"/>
    <n v="1E-3"/>
    <n v="2.8000000000000001E-2"/>
  </r>
  <r>
    <x v="367"/>
    <x v="367"/>
    <s v="Nitrous oxide"/>
    <s v="kg/2018 USD, purchaser price"/>
    <n v="0"/>
    <n v="0"/>
    <n v="0"/>
    <n v="0"/>
    <n v="0"/>
    <n v="0"/>
  </r>
  <r>
    <x v="367"/>
    <x v="367"/>
    <s v="other GHGs"/>
    <s v="kg CO2e/2018 USD, purchaser price"/>
    <n v="4.0000000000000001E-3"/>
    <n v="4.0000000000000001E-3"/>
    <n v="0"/>
    <n v="0"/>
    <n v="4.0000000000000001E-3"/>
    <n v="4.0000000000000001E-3"/>
  </r>
  <r>
    <x v="368"/>
    <x v="368"/>
    <s v="Carbon dioxide"/>
    <s v="kg/2018 USD, purchaser price"/>
    <n v="0.14299999999999999"/>
    <n v="0.14299999999999999"/>
    <n v="0"/>
    <n v="0"/>
    <n v="0.14299999999999999"/>
    <n v="0.14299999999999999"/>
  </r>
  <r>
    <x v="368"/>
    <x v="368"/>
    <s v="Methane"/>
    <s v="kg/2018 USD, purchaser price"/>
    <n v="2E-3"/>
    <n v="5.6000000000000001E-2"/>
    <n v="0"/>
    <n v="0"/>
    <n v="2E-3"/>
    <n v="5.6000000000000001E-2"/>
  </r>
  <r>
    <x v="368"/>
    <x v="368"/>
    <s v="Nitrous oxide"/>
    <s v="kg/2018 USD, purchaser price"/>
    <n v="0"/>
    <n v="0"/>
    <n v="0"/>
    <n v="0"/>
    <n v="0"/>
    <n v="0"/>
  </r>
  <r>
    <x v="368"/>
    <x v="368"/>
    <s v="other GHGs"/>
    <s v="kg CO2e/2018 USD, purchaser price"/>
    <n v="4.0000000000000001E-3"/>
    <n v="4.0000000000000001E-3"/>
    <n v="0"/>
    <n v="0"/>
    <n v="4.0000000000000001E-3"/>
    <n v="4.0000000000000001E-3"/>
  </r>
  <r>
    <x v="369"/>
    <x v="369"/>
    <s v="Carbon dioxide"/>
    <s v="kg/2018 USD, purchaser price"/>
    <n v="0.19500000000000001"/>
    <n v="0.19500000000000001"/>
    <n v="0"/>
    <n v="0"/>
    <n v="0.19500000000000001"/>
    <n v="0.19500000000000001"/>
  </r>
  <r>
    <x v="369"/>
    <x v="369"/>
    <s v="Methane"/>
    <s v="kg/2018 USD, purchaser price"/>
    <n v="2E-3"/>
    <n v="5.6000000000000001E-2"/>
    <n v="0"/>
    <n v="0"/>
    <n v="2E-3"/>
    <n v="5.6000000000000001E-2"/>
  </r>
  <r>
    <x v="369"/>
    <x v="369"/>
    <s v="Nitrous oxide"/>
    <s v="kg/2018 USD, purchaser price"/>
    <n v="0"/>
    <n v="0"/>
    <n v="0"/>
    <n v="0"/>
    <n v="0"/>
    <n v="0"/>
  </r>
  <r>
    <x v="369"/>
    <x v="369"/>
    <s v="other GHGs"/>
    <s v="kg CO2e/2018 USD, purchaser price"/>
    <n v="8.0000000000000002E-3"/>
    <n v="8.0000000000000002E-3"/>
    <n v="0"/>
    <n v="0"/>
    <n v="8.0000000000000002E-3"/>
    <n v="8.0000000000000002E-3"/>
  </r>
  <r>
    <x v="370"/>
    <x v="370"/>
    <s v="Carbon dioxide"/>
    <s v="kg/2018 USD, purchaser price"/>
    <n v="8.4000000000000005E-2"/>
    <n v="8.4000000000000005E-2"/>
    <n v="0"/>
    <n v="0"/>
    <n v="8.4000000000000005E-2"/>
    <n v="8.4000000000000005E-2"/>
  </r>
  <r>
    <x v="370"/>
    <x v="370"/>
    <s v="Methane"/>
    <s v="kg/2018 USD, purchaser price"/>
    <n v="0"/>
    <n v="0"/>
    <n v="0"/>
    <n v="0"/>
    <n v="0"/>
    <n v="0"/>
  </r>
  <r>
    <x v="370"/>
    <x v="370"/>
    <s v="Nitrous oxide"/>
    <s v="kg/2018 USD, purchaser price"/>
    <n v="0"/>
    <n v="0"/>
    <n v="0"/>
    <n v="0"/>
    <n v="0"/>
    <n v="0"/>
  </r>
  <r>
    <x v="370"/>
    <x v="370"/>
    <s v="other GHGs"/>
    <s v="kg CO2e/2018 USD, purchaser price"/>
    <n v="2E-3"/>
    <n v="2E-3"/>
    <n v="0"/>
    <n v="0"/>
    <n v="2E-3"/>
    <n v="2E-3"/>
  </r>
  <r>
    <x v="371"/>
    <x v="371"/>
    <s v="Carbon dioxide"/>
    <s v="kg/2018 USD, purchaser price"/>
    <n v="6.6000000000000003E-2"/>
    <n v="6.6000000000000003E-2"/>
    <n v="0"/>
    <n v="0"/>
    <n v="6.6000000000000003E-2"/>
    <n v="6.6000000000000003E-2"/>
  </r>
  <r>
    <x v="371"/>
    <x v="371"/>
    <s v="Methane"/>
    <s v="kg/2018 USD, purchaser price"/>
    <n v="0"/>
    <n v="0"/>
    <n v="0"/>
    <n v="0"/>
    <n v="0"/>
    <n v="0"/>
  </r>
  <r>
    <x v="371"/>
    <x v="371"/>
    <s v="Nitrous oxide"/>
    <s v="kg/2018 USD, purchaser price"/>
    <n v="0"/>
    <n v="0"/>
    <n v="0"/>
    <n v="0"/>
    <n v="0"/>
    <n v="0"/>
  </r>
  <r>
    <x v="371"/>
    <x v="371"/>
    <s v="other GHGs"/>
    <s v="kg CO2e/2018 USD, purchaser price"/>
    <n v="2E-3"/>
    <n v="2E-3"/>
    <n v="0"/>
    <n v="0"/>
    <n v="2E-3"/>
    <n v="2E-3"/>
  </r>
  <r>
    <x v="372"/>
    <x v="372"/>
    <s v="Carbon dioxide"/>
    <s v="kg/2018 USD, purchaser price"/>
    <n v="1.2999999999999999E-2"/>
    <n v="1.2999999999999999E-2"/>
    <n v="0"/>
    <n v="0"/>
    <n v="1.2999999999999999E-2"/>
    <n v="1.2999999999999999E-2"/>
  </r>
  <r>
    <x v="372"/>
    <x v="372"/>
    <s v="Methane"/>
    <s v="kg/2018 USD, purchaser price"/>
    <n v="0"/>
    <n v="0"/>
    <n v="0"/>
    <n v="0"/>
    <n v="0"/>
    <n v="0"/>
  </r>
  <r>
    <x v="372"/>
    <x v="372"/>
    <s v="Nitrous oxide"/>
    <s v="kg/2018 USD, purchaser price"/>
    <n v="0"/>
    <n v="0"/>
    <n v="0"/>
    <n v="0"/>
    <n v="0"/>
    <n v="0"/>
  </r>
  <r>
    <x v="372"/>
    <x v="372"/>
    <s v="other GHGs"/>
    <s v="kg CO2e/2018 USD, purchaser price"/>
    <n v="0"/>
    <n v="0"/>
    <n v="0"/>
    <n v="0"/>
    <n v="0"/>
    <n v="0"/>
  </r>
  <r>
    <x v="373"/>
    <x v="373"/>
    <s v="Carbon dioxide"/>
    <s v="kg/2018 USD, purchaser price"/>
    <n v="8.1000000000000003E-2"/>
    <n v="8.1000000000000003E-2"/>
    <n v="0"/>
    <n v="0"/>
    <n v="8.1000000000000003E-2"/>
    <n v="8.1000000000000003E-2"/>
  </r>
  <r>
    <x v="373"/>
    <x v="373"/>
    <s v="Methane"/>
    <s v="kg/2018 USD, purchaser price"/>
    <n v="0"/>
    <n v="0"/>
    <n v="0"/>
    <n v="0"/>
    <n v="0"/>
    <n v="0"/>
  </r>
  <r>
    <x v="373"/>
    <x v="373"/>
    <s v="Nitrous oxide"/>
    <s v="kg/2018 USD, purchaser price"/>
    <n v="0"/>
    <n v="0"/>
    <n v="0"/>
    <n v="0"/>
    <n v="0"/>
    <n v="0"/>
  </r>
  <r>
    <x v="373"/>
    <x v="373"/>
    <s v="other GHGs"/>
    <s v="kg CO2e/2018 USD, purchaser price"/>
    <n v="1E-3"/>
    <n v="1E-3"/>
    <n v="0"/>
    <n v="0"/>
    <n v="1E-3"/>
    <n v="1E-3"/>
  </r>
  <r>
    <x v="374"/>
    <x v="374"/>
    <s v="Carbon dioxide"/>
    <s v="kg/2018 USD, purchaser price"/>
    <n v="0.17199999999999999"/>
    <n v="0.17199999999999999"/>
    <n v="0"/>
    <n v="0"/>
    <n v="0.17199999999999999"/>
    <n v="0.17199999999999999"/>
  </r>
  <r>
    <x v="374"/>
    <x v="374"/>
    <s v="Methane"/>
    <s v="kg/2018 USD, purchaser price"/>
    <n v="1E-3"/>
    <n v="2.8000000000000001E-2"/>
    <n v="0"/>
    <n v="0"/>
    <n v="1E-3"/>
    <n v="2.8000000000000001E-2"/>
  </r>
  <r>
    <x v="374"/>
    <x v="374"/>
    <s v="Nitrous oxide"/>
    <s v="kg/2018 USD, purchaser price"/>
    <n v="0"/>
    <n v="0"/>
    <n v="0"/>
    <n v="0"/>
    <n v="0"/>
    <n v="0"/>
  </r>
  <r>
    <x v="374"/>
    <x v="374"/>
    <s v="other GHGs"/>
    <s v="kg CO2e/2018 USD, purchaser price"/>
    <n v="3.0000000000000001E-3"/>
    <n v="3.0000000000000001E-3"/>
    <n v="0"/>
    <n v="0"/>
    <n v="3.0000000000000001E-3"/>
    <n v="3.0000000000000001E-3"/>
  </r>
  <r>
    <x v="375"/>
    <x v="375"/>
    <s v="Carbon dioxide"/>
    <s v="kg/2018 USD, purchaser price"/>
    <n v="0.122"/>
    <n v="0.122"/>
    <n v="0"/>
    <n v="0"/>
    <n v="0.122"/>
    <n v="0.122"/>
  </r>
  <r>
    <x v="375"/>
    <x v="375"/>
    <s v="Methane"/>
    <s v="kg/2018 USD, purchaser price"/>
    <n v="1E-3"/>
    <n v="2.8000000000000001E-2"/>
    <n v="0"/>
    <n v="0"/>
    <n v="1E-3"/>
    <n v="2.8000000000000001E-2"/>
  </r>
  <r>
    <x v="375"/>
    <x v="375"/>
    <s v="Nitrous oxide"/>
    <s v="kg/2018 USD, purchaser price"/>
    <n v="0"/>
    <n v="0"/>
    <n v="0"/>
    <n v="0"/>
    <n v="0"/>
    <n v="0"/>
  </r>
  <r>
    <x v="375"/>
    <x v="375"/>
    <s v="other GHGs"/>
    <s v="kg CO2e/2018 USD, purchaser price"/>
    <n v="3.0000000000000001E-3"/>
    <n v="3.0000000000000001E-3"/>
    <n v="0"/>
    <n v="0"/>
    <n v="3.0000000000000001E-3"/>
    <n v="3.0000000000000001E-3"/>
  </r>
  <r>
    <x v="376"/>
    <x v="376"/>
    <s v="Carbon dioxide"/>
    <s v="kg/2018 USD, purchaser price"/>
    <n v="0.188"/>
    <n v="0.188"/>
    <n v="0"/>
    <n v="0"/>
    <n v="0.188"/>
    <n v="0.188"/>
  </r>
  <r>
    <x v="376"/>
    <x v="376"/>
    <s v="Methane"/>
    <s v="kg/2018 USD, purchaser price"/>
    <n v="1E-3"/>
    <n v="2.8000000000000001E-2"/>
    <n v="0"/>
    <n v="0"/>
    <n v="1E-3"/>
    <n v="2.8000000000000001E-2"/>
  </r>
  <r>
    <x v="376"/>
    <x v="376"/>
    <s v="Nitrous oxide"/>
    <s v="kg/2018 USD, purchaser price"/>
    <n v="0"/>
    <n v="0"/>
    <n v="0"/>
    <n v="0"/>
    <n v="0"/>
    <n v="0"/>
  </r>
  <r>
    <x v="376"/>
    <x v="376"/>
    <s v="other GHGs"/>
    <s v="kg CO2e/2018 USD, purchaser price"/>
    <n v="6.0000000000000001E-3"/>
    <n v="6.0000000000000001E-3"/>
    <n v="0"/>
    <n v="0"/>
    <n v="6.0000000000000001E-3"/>
    <n v="6.0000000000000001E-3"/>
  </r>
  <r>
    <x v="377"/>
    <x v="377"/>
    <s v="Carbon dioxide"/>
    <s v="kg/2018 USD, purchaser price"/>
    <n v="0.252"/>
    <n v="0.252"/>
    <n v="0"/>
    <n v="0"/>
    <n v="0.252"/>
    <n v="0.252"/>
  </r>
  <r>
    <x v="377"/>
    <x v="377"/>
    <s v="Methane"/>
    <s v="kg/2018 USD, purchaser price"/>
    <n v="2E-3"/>
    <n v="5.6000000000000001E-2"/>
    <n v="0"/>
    <n v="0"/>
    <n v="2E-3"/>
    <n v="5.6000000000000001E-2"/>
  </r>
  <r>
    <x v="377"/>
    <x v="377"/>
    <s v="Nitrous oxide"/>
    <s v="kg/2018 USD, purchaser price"/>
    <n v="0"/>
    <n v="0"/>
    <n v="0"/>
    <n v="0"/>
    <n v="0"/>
    <n v="0"/>
  </r>
  <r>
    <x v="377"/>
    <x v="377"/>
    <s v="other GHGs"/>
    <s v="kg CO2e/2018 USD, purchaser price"/>
    <n v="5.0000000000000001E-3"/>
    <n v="5.0000000000000001E-3"/>
    <n v="0"/>
    <n v="0"/>
    <n v="5.0000000000000001E-3"/>
    <n v="5.0000000000000001E-3"/>
  </r>
  <r>
    <x v="378"/>
    <x v="378"/>
    <s v="Carbon dioxide"/>
    <s v="kg/2018 USD, purchaser price"/>
    <n v="0.16900000000000001"/>
    <n v="0.16900000000000001"/>
    <n v="0"/>
    <n v="0"/>
    <n v="0.16900000000000001"/>
    <n v="0.16900000000000001"/>
  </r>
  <r>
    <x v="378"/>
    <x v="378"/>
    <s v="Methane"/>
    <s v="kg/2018 USD, purchaser price"/>
    <n v="1E-3"/>
    <n v="2.8000000000000001E-2"/>
    <n v="0"/>
    <n v="0"/>
    <n v="1E-3"/>
    <n v="2.8000000000000001E-2"/>
  </r>
  <r>
    <x v="378"/>
    <x v="378"/>
    <s v="Nitrous oxide"/>
    <s v="kg/2018 USD, purchaser price"/>
    <n v="0"/>
    <n v="0"/>
    <n v="0"/>
    <n v="0"/>
    <n v="0"/>
    <n v="0"/>
  </r>
  <r>
    <x v="378"/>
    <x v="378"/>
    <s v="other GHGs"/>
    <s v="kg CO2e/2018 USD, purchaser price"/>
    <n v="3.0000000000000001E-3"/>
    <n v="3.0000000000000001E-3"/>
    <n v="0"/>
    <n v="0"/>
    <n v="3.0000000000000001E-3"/>
    <n v="3.0000000000000001E-3"/>
  </r>
  <r>
    <x v="379"/>
    <x v="379"/>
    <s v="Carbon dioxide"/>
    <s v="kg/2018 USD, purchaser price"/>
    <n v="0.2"/>
    <n v="0.2"/>
    <n v="0"/>
    <n v="0"/>
    <n v="0.2"/>
    <n v="0.2"/>
  </r>
  <r>
    <x v="379"/>
    <x v="379"/>
    <s v="Methane"/>
    <s v="kg/2018 USD, purchaser price"/>
    <n v="2E-3"/>
    <n v="5.6000000000000001E-2"/>
    <n v="0"/>
    <n v="0"/>
    <n v="2E-3"/>
    <n v="5.6000000000000001E-2"/>
  </r>
  <r>
    <x v="379"/>
    <x v="379"/>
    <s v="Nitrous oxide"/>
    <s v="kg/2018 USD, purchaser price"/>
    <n v="0"/>
    <n v="0"/>
    <n v="0"/>
    <n v="0"/>
    <n v="0"/>
    <n v="0"/>
  </r>
  <r>
    <x v="379"/>
    <x v="379"/>
    <s v="other GHGs"/>
    <s v="kg CO2e/2018 USD, purchaser price"/>
    <n v="5.0000000000000001E-3"/>
    <n v="5.0000000000000001E-3"/>
    <n v="0"/>
    <n v="0"/>
    <n v="5.0000000000000001E-3"/>
    <n v="5.0000000000000001E-3"/>
  </r>
  <r>
    <x v="380"/>
    <x v="380"/>
    <s v="Carbon dioxide"/>
    <s v="kg/2018 USD, purchaser price"/>
    <n v="0.28000000000000003"/>
    <n v="0.28000000000000003"/>
    <n v="0"/>
    <n v="0"/>
    <n v="0.28000000000000003"/>
    <n v="0.28000000000000003"/>
  </r>
  <r>
    <x v="380"/>
    <x v="380"/>
    <s v="Methane"/>
    <s v="kg/2018 USD, purchaser price"/>
    <n v="2E-3"/>
    <n v="5.6000000000000001E-2"/>
    <n v="0"/>
    <n v="0"/>
    <n v="2E-3"/>
    <n v="5.6000000000000001E-2"/>
  </r>
  <r>
    <x v="380"/>
    <x v="380"/>
    <s v="Nitrous oxide"/>
    <s v="kg/2018 USD, purchaser price"/>
    <n v="0"/>
    <n v="0"/>
    <n v="0"/>
    <n v="0"/>
    <n v="0"/>
    <n v="0"/>
  </r>
  <r>
    <x v="380"/>
    <x v="380"/>
    <s v="other GHGs"/>
    <s v="kg CO2e/2018 USD, purchaser price"/>
    <n v="0.01"/>
    <n v="0.01"/>
    <n v="0"/>
    <n v="0"/>
    <n v="0.01"/>
    <n v="0.01"/>
  </r>
  <r>
    <x v="381"/>
    <x v="381"/>
    <s v="Carbon dioxide"/>
    <s v="kg/2018 USD, purchaser price"/>
    <n v="0.14299999999999999"/>
    <n v="0.14299999999999999"/>
    <n v="0"/>
    <n v="0"/>
    <n v="0.14299999999999999"/>
    <n v="0.14299999999999999"/>
  </r>
  <r>
    <x v="381"/>
    <x v="381"/>
    <s v="Methane"/>
    <s v="kg/2018 USD, purchaser price"/>
    <n v="1E-3"/>
    <n v="2.8000000000000001E-2"/>
    <n v="0"/>
    <n v="0"/>
    <n v="1E-3"/>
    <n v="2.8000000000000001E-2"/>
  </r>
  <r>
    <x v="381"/>
    <x v="381"/>
    <s v="Nitrous oxide"/>
    <s v="kg/2018 USD, purchaser price"/>
    <n v="0"/>
    <n v="0"/>
    <n v="0"/>
    <n v="0"/>
    <n v="0"/>
    <n v="0"/>
  </r>
  <r>
    <x v="381"/>
    <x v="381"/>
    <s v="other GHGs"/>
    <s v="kg CO2e/2018 USD, purchaser price"/>
    <n v="4.0000000000000001E-3"/>
    <n v="4.0000000000000001E-3"/>
    <n v="0"/>
    <n v="0"/>
    <n v="4.0000000000000001E-3"/>
    <n v="4.0000000000000001E-3"/>
  </r>
  <r>
    <x v="382"/>
    <x v="382"/>
    <s v="Carbon dioxide"/>
    <s v="kg/2018 USD, purchaser price"/>
    <n v="0.14000000000000001"/>
    <n v="0.14000000000000001"/>
    <n v="0"/>
    <n v="0"/>
    <n v="0.14000000000000001"/>
    <n v="0.14000000000000001"/>
  </r>
  <r>
    <x v="382"/>
    <x v="382"/>
    <s v="Methane"/>
    <s v="kg/2018 USD, purchaser price"/>
    <n v="1E-3"/>
    <n v="2.8000000000000001E-2"/>
    <n v="0"/>
    <n v="0"/>
    <n v="1E-3"/>
    <n v="2.8000000000000001E-2"/>
  </r>
  <r>
    <x v="382"/>
    <x v="382"/>
    <s v="Nitrous oxide"/>
    <s v="kg/2018 USD, purchaser price"/>
    <n v="0"/>
    <n v="0"/>
    <n v="0"/>
    <n v="0"/>
    <n v="0"/>
    <n v="0"/>
  </r>
  <r>
    <x v="382"/>
    <x v="382"/>
    <s v="other GHGs"/>
    <s v="kg CO2e/2018 USD, purchaser price"/>
    <n v="3.0000000000000001E-3"/>
    <n v="3.0000000000000001E-3"/>
    <n v="0"/>
    <n v="0"/>
    <n v="3.0000000000000001E-3"/>
    <n v="3.0000000000000001E-3"/>
  </r>
  <r>
    <x v="383"/>
    <x v="383"/>
    <s v="Carbon dioxide"/>
    <s v="kg/2018 USD, purchaser price"/>
    <n v="9.1999999999999998E-2"/>
    <n v="9.1999999999999998E-2"/>
    <n v="0"/>
    <n v="0"/>
    <n v="9.1999999999999998E-2"/>
    <n v="9.1999999999999998E-2"/>
  </r>
  <r>
    <x v="383"/>
    <x v="383"/>
    <s v="Methane"/>
    <s v="kg/2018 USD, purchaser price"/>
    <n v="0"/>
    <n v="0"/>
    <n v="0"/>
    <n v="0"/>
    <n v="0"/>
    <n v="0"/>
  </r>
  <r>
    <x v="383"/>
    <x v="383"/>
    <s v="Nitrous oxide"/>
    <s v="kg/2018 USD, purchaser price"/>
    <n v="0"/>
    <n v="0"/>
    <n v="0"/>
    <n v="0"/>
    <n v="0"/>
    <n v="0"/>
  </r>
  <r>
    <x v="383"/>
    <x v="383"/>
    <s v="other GHGs"/>
    <s v="kg CO2e/2018 USD, purchaser price"/>
    <n v="5.0000000000000001E-3"/>
    <n v="5.0000000000000001E-3"/>
    <n v="0"/>
    <n v="0"/>
    <n v="5.0000000000000001E-3"/>
    <n v="5.0000000000000001E-3"/>
  </r>
  <r>
    <x v="384"/>
    <x v="384"/>
    <s v="Carbon dioxide"/>
    <s v="kg/2018 USD, purchaser price"/>
    <n v="0.11700000000000001"/>
    <n v="0.11700000000000001"/>
    <n v="0"/>
    <n v="0"/>
    <n v="0.11700000000000001"/>
    <n v="0.11700000000000001"/>
  </r>
  <r>
    <x v="384"/>
    <x v="384"/>
    <s v="Methane"/>
    <s v="kg/2018 USD, purchaser price"/>
    <n v="0"/>
    <n v="0"/>
    <n v="0"/>
    <n v="0"/>
    <n v="0"/>
    <n v="0"/>
  </r>
  <r>
    <x v="384"/>
    <x v="384"/>
    <s v="Nitrous oxide"/>
    <s v="kg/2018 USD, purchaser price"/>
    <n v="0"/>
    <n v="0"/>
    <n v="0"/>
    <n v="0"/>
    <n v="0"/>
    <n v="0"/>
  </r>
  <r>
    <x v="384"/>
    <x v="384"/>
    <s v="other GHGs"/>
    <s v="kg CO2e/2018 USD, purchaser price"/>
    <n v="2.1999999999999999E-2"/>
    <n v="2.1999999999999999E-2"/>
    <n v="0"/>
    <n v="0"/>
    <n v="2.1999999999999999E-2"/>
    <n v="2.1999999999999999E-2"/>
  </r>
  <r>
    <x v="385"/>
    <x v="385"/>
    <s v="Carbon dioxide"/>
    <s v="kg/2018 USD, purchaser price"/>
    <n v="9.0999999999999998E-2"/>
    <n v="9.0999999999999998E-2"/>
    <n v="0"/>
    <n v="0"/>
    <n v="9.0999999999999998E-2"/>
    <n v="9.0999999999999998E-2"/>
  </r>
  <r>
    <x v="385"/>
    <x v="385"/>
    <s v="Methane"/>
    <s v="kg/2018 USD, purchaser price"/>
    <n v="0"/>
    <n v="0"/>
    <n v="0"/>
    <n v="0"/>
    <n v="0"/>
    <n v="0"/>
  </r>
  <r>
    <x v="385"/>
    <x v="385"/>
    <s v="Nitrous oxide"/>
    <s v="kg/2018 USD, purchaser price"/>
    <n v="0"/>
    <n v="0"/>
    <n v="0"/>
    <n v="0"/>
    <n v="0"/>
    <n v="0"/>
  </r>
  <r>
    <x v="385"/>
    <x v="385"/>
    <s v="other GHGs"/>
    <s v="kg CO2e/2018 USD, purchaser price"/>
    <n v="3.0000000000000001E-3"/>
    <n v="3.0000000000000001E-3"/>
    <n v="0"/>
    <n v="0"/>
    <n v="3.0000000000000001E-3"/>
    <n v="3.0000000000000001E-3"/>
  </r>
  <r>
    <x v="386"/>
    <x v="386"/>
    <s v="Carbon dioxide"/>
    <s v="kg/2018 USD, purchaser price"/>
    <n v="0.12"/>
    <n v="0.12"/>
    <n v="0"/>
    <n v="0"/>
    <n v="0.12"/>
    <n v="0.12"/>
  </r>
  <r>
    <x v="386"/>
    <x v="386"/>
    <s v="Methane"/>
    <s v="kg/2018 USD, purchaser price"/>
    <n v="0"/>
    <n v="0"/>
    <n v="0"/>
    <n v="0"/>
    <n v="0"/>
    <n v="0"/>
  </r>
  <r>
    <x v="386"/>
    <x v="386"/>
    <s v="Nitrous oxide"/>
    <s v="kg/2018 USD, purchaser price"/>
    <n v="0"/>
    <n v="0"/>
    <n v="0"/>
    <n v="0"/>
    <n v="0"/>
    <n v="0"/>
  </r>
  <r>
    <x v="386"/>
    <x v="386"/>
    <s v="other GHGs"/>
    <s v="kg CO2e/2018 USD, purchaser price"/>
    <n v="2E-3"/>
    <n v="2E-3"/>
    <n v="0"/>
    <n v="0"/>
    <n v="2E-3"/>
    <n v="2E-3"/>
  </r>
  <r>
    <x v="387"/>
    <x v="387"/>
    <s v="Carbon dioxide"/>
    <s v="kg/2018 USD, purchaser price"/>
    <n v="3.4000000000000002E-2"/>
    <n v="3.4000000000000002E-2"/>
    <n v="0"/>
    <n v="0"/>
    <n v="3.4000000000000002E-2"/>
    <n v="3.4000000000000002E-2"/>
  </r>
  <r>
    <x v="387"/>
    <x v="387"/>
    <s v="Methane"/>
    <s v="kg/2018 USD, purchaser price"/>
    <n v="0"/>
    <n v="0"/>
    <n v="0"/>
    <n v="0"/>
    <n v="0"/>
    <n v="0"/>
  </r>
  <r>
    <x v="387"/>
    <x v="387"/>
    <s v="Nitrous oxide"/>
    <s v="kg/2018 USD, purchaser price"/>
    <n v="0"/>
    <n v="0"/>
    <n v="0"/>
    <n v="0"/>
    <n v="0"/>
    <n v="0"/>
  </r>
  <r>
    <x v="387"/>
    <x v="387"/>
    <s v="other GHGs"/>
    <s v="kg CO2e/2018 USD, purchaser price"/>
    <n v="1E-3"/>
    <n v="1E-3"/>
    <n v="0"/>
    <n v="0"/>
    <n v="1E-3"/>
    <n v="1E-3"/>
  </r>
  <r>
    <x v="388"/>
    <x v="388"/>
    <s v="Carbon dioxide"/>
    <s v="kg/2018 USD, purchaser price"/>
    <n v="0.16200000000000001"/>
    <n v="0.16200000000000001"/>
    <n v="0"/>
    <n v="0"/>
    <n v="0.16200000000000001"/>
    <n v="0.16200000000000001"/>
  </r>
  <r>
    <x v="388"/>
    <x v="388"/>
    <s v="Methane"/>
    <s v="kg/2018 USD, purchaser price"/>
    <n v="1E-3"/>
    <n v="2.8000000000000001E-2"/>
    <n v="0"/>
    <n v="0"/>
    <n v="1E-3"/>
    <n v="2.8000000000000001E-2"/>
  </r>
  <r>
    <x v="388"/>
    <x v="388"/>
    <s v="Nitrous oxide"/>
    <s v="kg/2018 USD, purchaser price"/>
    <n v="0"/>
    <n v="0"/>
    <n v="0"/>
    <n v="0"/>
    <n v="0"/>
    <n v="0"/>
  </r>
  <r>
    <x v="388"/>
    <x v="388"/>
    <s v="other GHGs"/>
    <s v="kg CO2e/2018 USD, purchaser price"/>
    <n v="3.0000000000000001E-3"/>
    <n v="3.0000000000000001E-3"/>
    <n v="0"/>
    <n v="0"/>
    <n v="3.0000000000000001E-3"/>
    <n v="3.0000000000000001E-3"/>
  </r>
  <r>
    <x v="389"/>
    <x v="389"/>
    <s v="Carbon dioxide"/>
    <s v="kg/2018 USD, purchaser price"/>
    <n v="0.108"/>
    <n v="0.108"/>
    <n v="0"/>
    <n v="0"/>
    <n v="0.108"/>
    <n v="0.108"/>
  </r>
  <r>
    <x v="389"/>
    <x v="389"/>
    <s v="Methane"/>
    <s v="kg/2018 USD, purchaser price"/>
    <n v="1E-3"/>
    <n v="2.8000000000000001E-2"/>
    <n v="0"/>
    <n v="0"/>
    <n v="1E-3"/>
    <n v="2.8000000000000001E-2"/>
  </r>
  <r>
    <x v="389"/>
    <x v="389"/>
    <s v="Nitrous oxide"/>
    <s v="kg/2018 USD, purchaser price"/>
    <n v="0"/>
    <n v="0"/>
    <n v="0"/>
    <n v="0"/>
    <n v="0"/>
    <n v="0"/>
  </r>
  <r>
    <x v="389"/>
    <x v="389"/>
    <s v="other GHGs"/>
    <s v="kg CO2e/2018 USD, purchaser price"/>
    <n v="3.0000000000000001E-3"/>
    <n v="3.0000000000000001E-3"/>
    <n v="0"/>
    <n v="0"/>
    <n v="3.0000000000000001E-3"/>
    <n v="3.0000000000000001E-3"/>
  </r>
  <r>
    <x v="390"/>
    <x v="390"/>
    <s v="Carbon dioxide"/>
    <s v="kg/2018 USD, purchaser price"/>
    <n v="0.19600000000000001"/>
    <n v="0.19600000000000001"/>
    <n v="0"/>
    <n v="0"/>
    <n v="0.19600000000000001"/>
    <n v="0.19600000000000001"/>
  </r>
  <r>
    <x v="390"/>
    <x v="390"/>
    <s v="Methane"/>
    <s v="kg/2018 USD, purchaser price"/>
    <n v="1E-3"/>
    <n v="2.8000000000000001E-2"/>
    <n v="0"/>
    <n v="0"/>
    <n v="1E-3"/>
    <n v="2.8000000000000001E-2"/>
  </r>
  <r>
    <x v="390"/>
    <x v="390"/>
    <s v="Nitrous oxide"/>
    <s v="kg/2018 USD, purchaser price"/>
    <n v="0"/>
    <n v="0"/>
    <n v="0"/>
    <n v="0"/>
    <n v="0"/>
    <n v="0"/>
  </r>
  <r>
    <x v="390"/>
    <x v="390"/>
    <s v="other GHGs"/>
    <s v="kg CO2e/2018 USD, purchaser price"/>
    <n v="5.0000000000000001E-3"/>
    <n v="5.0000000000000001E-3"/>
    <n v="0"/>
    <n v="0"/>
    <n v="5.0000000000000001E-3"/>
    <n v="5.0000000000000001E-3"/>
  </r>
  <r>
    <x v="391"/>
    <x v="391"/>
    <s v="Carbon dioxide"/>
    <s v="kg/2018 USD, purchaser price"/>
    <n v="6.7000000000000004E-2"/>
    <n v="6.7000000000000004E-2"/>
    <n v="0"/>
    <n v="0"/>
    <n v="6.7000000000000004E-2"/>
    <n v="6.7000000000000004E-2"/>
  </r>
  <r>
    <x v="391"/>
    <x v="391"/>
    <s v="Methane"/>
    <s v="kg/2018 USD, purchaser price"/>
    <n v="0"/>
    <n v="0"/>
    <n v="0"/>
    <n v="0"/>
    <n v="0"/>
    <n v="0"/>
  </r>
  <r>
    <x v="391"/>
    <x v="391"/>
    <s v="Nitrous oxide"/>
    <s v="kg/2018 USD, purchaser price"/>
    <n v="0"/>
    <n v="0"/>
    <n v="0"/>
    <n v="0"/>
    <n v="0"/>
    <n v="0"/>
  </r>
  <r>
    <x v="391"/>
    <x v="391"/>
    <s v="other GHGs"/>
    <s v="kg CO2e/2018 USD, purchaser price"/>
    <n v="1E-3"/>
    <n v="1E-3"/>
    <n v="0"/>
    <n v="0"/>
    <n v="1E-3"/>
    <n v="1E-3"/>
  </r>
  <r>
    <x v="392"/>
    <x v="392"/>
    <s v="Carbon dioxide"/>
    <s v="kg/2018 USD, purchaser price"/>
    <n v="0.122"/>
    <n v="0.122"/>
    <n v="0"/>
    <n v="0"/>
    <n v="0.122"/>
    <n v="0.122"/>
  </r>
  <r>
    <x v="392"/>
    <x v="392"/>
    <s v="Methane"/>
    <s v="kg/2018 USD, purchaser price"/>
    <n v="1E-3"/>
    <n v="2.8000000000000001E-2"/>
    <n v="0"/>
    <n v="0"/>
    <n v="1E-3"/>
    <n v="2.8000000000000001E-2"/>
  </r>
  <r>
    <x v="392"/>
    <x v="392"/>
    <s v="Nitrous oxide"/>
    <s v="kg/2018 USD, purchaser price"/>
    <n v="0"/>
    <n v="0"/>
    <n v="0"/>
    <n v="0"/>
    <n v="0"/>
    <n v="0"/>
  </r>
  <r>
    <x v="392"/>
    <x v="392"/>
    <s v="other GHGs"/>
    <s v="kg CO2e/2018 USD, purchaser price"/>
    <n v="8.9999999999999993E-3"/>
    <n v="8.9999999999999993E-3"/>
    <n v="0"/>
    <n v="0"/>
    <n v="8.9999999999999993E-3"/>
    <n v="8.9999999999999993E-3"/>
  </r>
  <r>
    <x v="393"/>
    <x v="393"/>
    <s v="Carbon dioxide"/>
    <s v="kg/2018 USD, purchaser price"/>
    <n v="0"/>
    <n v="0"/>
    <n v="0"/>
    <n v="0"/>
    <n v="0"/>
    <n v="0"/>
  </r>
  <r>
    <x v="393"/>
    <x v="393"/>
    <s v="Methane"/>
    <s v="kg/2018 USD, purchaser price"/>
    <n v="0"/>
    <n v="0"/>
    <n v="0"/>
    <n v="0"/>
    <n v="0"/>
    <n v="0"/>
  </r>
  <r>
    <x v="393"/>
    <x v="393"/>
    <s v="Nitrous oxide"/>
    <s v="kg/2018 USD, purchaser price"/>
    <n v="0"/>
    <n v="0"/>
    <n v="0"/>
    <n v="0"/>
    <n v="0"/>
    <n v="0"/>
  </r>
  <r>
    <x v="393"/>
    <x v="393"/>
    <s v="other GHGs"/>
    <s v="kg CO2e/2018 USD, purchaser price"/>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6">
  <r>
    <s v="1111A0"/>
    <x v="0"/>
    <s v="carbon dioxide"/>
    <s v="kg/2018 USD, purchaser price"/>
    <n v="0.32300000000000001"/>
    <n v="0.32300000000000001"/>
    <n v="6.6000000000000003E-2"/>
    <n v="6.6000000000000003E-2"/>
    <n v="0.38900000000000001"/>
    <n v="0.38900000000000001"/>
  </r>
  <r>
    <s v="1111A0"/>
    <x v="0"/>
    <s v="methane"/>
    <s v="kg/2018 USD, purchaser price"/>
    <n v="1E-3"/>
    <n v="2.8000000000000001E-2"/>
    <n v="1E-3"/>
    <n v="2.8000000000000001E-2"/>
    <n v="2E-3"/>
    <n v="5.6000000000000001E-2"/>
  </r>
  <r>
    <s v="1111A0"/>
    <x v="0"/>
    <s v="nitrous oxide"/>
    <s v="kg/2018 USD, purchaser price"/>
    <n v="2E-3"/>
    <n v="0.53"/>
    <n v="0"/>
    <n v="0"/>
    <n v="2E-3"/>
    <n v="0.53"/>
  </r>
  <r>
    <s v="1111A0"/>
    <x v="0"/>
    <s v="other GHGs"/>
    <s v="kg CO2e/2018 USD, purchaser price"/>
    <n v="3.0000000000000001E-3"/>
    <n v="3.0000000000000001E-3"/>
    <n v="0"/>
    <n v="0"/>
    <n v="3.0000000000000001E-3"/>
    <n v="3.0000000000000001E-3"/>
  </r>
  <r>
    <s v="1111B0"/>
    <x v="1"/>
    <s v="carbon dioxide"/>
    <s v="kg/2018 USD, purchaser price"/>
    <n v="0.65800000000000003"/>
    <n v="0.65800000000000003"/>
    <n v="7.2999999999999995E-2"/>
    <n v="7.2999999999999995E-2"/>
    <n v="0.73099999999999998"/>
    <n v="0.73099999999999998"/>
  </r>
  <r>
    <s v="1111B0"/>
    <x v="1"/>
    <s v="methane"/>
    <s v="kg/2018 USD, purchaser price"/>
    <n v="6.0000000000000001E-3"/>
    <n v="0.16800000000000001"/>
    <n v="1E-3"/>
    <n v="2.8000000000000001E-2"/>
    <n v="7.0000000000000001E-3"/>
    <n v="0.19600000000000001"/>
  </r>
  <r>
    <s v="1111B0"/>
    <x v="1"/>
    <s v="nitrous oxide"/>
    <s v="kg/2018 USD, purchaser price"/>
    <n v="3.0000000000000001E-3"/>
    <n v="0.79500000000000004"/>
    <n v="0"/>
    <n v="0"/>
    <n v="3.0000000000000001E-3"/>
    <n v="0.79500000000000004"/>
  </r>
  <r>
    <s v="1111B0"/>
    <x v="1"/>
    <s v="other GHGs"/>
    <s v="kg CO2e/2018 USD, purchaser price"/>
    <n v="4.0000000000000001E-3"/>
    <n v="4.0000000000000001E-3"/>
    <n v="0"/>
    <n v="0"/>
    <n v="4.0000000000000001E-3"/>
    <n v="4.0000000000000001E-3"/>
  </r>
  <r>
    <s v="111200"/>
    <x v="2"/>
    <s v="carbon dioxide"/>
    <s v="kg/2018 USD, purchaser price"/>
    <n v="0.17599999999999999"/>
    <n v="0.17599999999999999"/>
    <n v="0.114"/>
    <n v="0.114"/>
    <n v="0.28999999999999998"/>
    <n v="0.28999999999999998"/>
  </r>
  <r>
    <s v="111200"/>
    <x v="2"/>
    <s v="methane"/>
    <s v="kg/2018 USD, purchaser price"/>
    <n v="1E-3"/>
    <n v="2.8000000000000001E-2"/>
    <n v="1E-3"/>
    <n v="2.8000000000000001E-2"/>
    <n v="1E-3"/>
    <n v="2.8000000000000001E-2"/>
  </r>
  <r>
    <s v="111200"/>
    <x v="2"/>
    <s v="nitrous oxide"/>
    <s v="kg/2018 USD, purchaser price"/>
    <n v="1E-3"/>
    <n v="0.26500000000000001"/>
    <n v="0"/>
    <n v="0"/>
    <n v="1E-3"/>
    <n v="0.26500000000000001"/>
  </r>
  <r>
    <s v="111200"/>
    <x v="2"/>
    <s v="other GHGs"/>
    <s v="kg CO2e/2018 USD, purchaser price"/>
    <n v="3.0000000000000001E-3"/>
    <n v="3.0000000000000001E-3"/>
    <n v="0"/>
    <n v="0"/>
    <n v="3.0000000000000001E-3"/>
    <n v="3.0000000000000001E-3"/>
  </r>
  <r>
    <s v="111300"/>
    <x v="3"/>
    <s v="carbon dioxide"/>
    <s v="kg/2018 USD, purchaser price"/>
    <n v="0.18"/>
    <n v="0.18"/>
    <n v="0.106"/>
    <n v="0.106"/>
    <n v="0.28499999999999998"/>
    <n v="0.28499999999999998"/>
  </r>
  <r>
    <s v="111300"/>
    <x v="3"/>
    <s v="methane"/>
    <s v="kg/2018 USD, purchaser price"/>
    <n v="1E-3"/>
    <n v="2.8000000000000001E-2"/>
    <n v="1E-3"/>
    <n v="2.8000000000000001E-2"/>
    <n v="1E-3"/>
    <n v="2.8000000000000001E-2"/>
  </r>
  <r>
    <s v="111300"/>
    <x v="3"/>
    <s v="nitrous oxide"/>
    <s v="kg/2018 USD, purchaser price"/>
    <n v="1E-3"/>
    <n v="0.26500000000000001"/>
    <n v="0"/>
    <n v="0"/>
    <n v="1E-3"/>
    <n v="0.26500000000000001"/>
  </r>
  <r>
    <s v="111300"/>
    <x v="3"/>
    <s v="other GHGs"/>
    <s v="kg CO2e/2018 USD, purchaser price"/>
    <n v="2E-3"/>
    <n v="2E-3"/>
    <n v="0"/>
    <n v="0"/>
    <n v="2E-3"/>
    <n v="2E-3"/>
  </r>
  <r>
    <s v="111400"/>
    <x v="4"/>
    <s v="carbon dioxide"/>
    <s v="kg/2018 USD, purchaser price"/>
    <n v="0.26600000000000001"/>
    <n v="0.26600000000000001"/>
    <n v="8.3000000000000004E-2"/>
    <n v="8.3000000000000004E-2"/>
    <n v="0.34899999999999998"/>
    <n v="0.34899999999999998"/>
  </r>
  <r>
    <s v="111400"/>
    <x v="4"/>
    <s v="methane"/>
    <s v="kg/2018 USD, purchaser price"/>
    <n v="1E-3"/>
    <n v="2.8000000000000001E-2"/>
    <n v="1E-3"/>
    <n v="2.8000000000000001E-2"/>
    <n v="1E-3"/>
    <n v="2.8000000000000001E-2"/>
  </r>
  <r>
    <s v="111400"/>
    <x v="4"/>
    <s v="nitrous oxide"/>
    <s v="kg/2018 USD, purchaser price"/>
    <n v="0"/>
    <n v="0"/>
    <n v="0"/>
    <n v="0"/>
    <n v="0"/>
    <n v="0"/>
  </r>
  <r>
    <s v="111400"/>
    <x v="4"/>
    <s v="other GHGs"/>
    <s v="kg CO2e/2018 USD, purchaser price"/>
    <n v="2E-3"/>
    <n v="2E-3"/>
    <n v="0"/>
    <n v="0"/>
    <n v="2E-3"/>
    <n v="2E-3"/>
  </r>
  <r>
    <s v="111900"/>
    <x v="5"/>
    <s v="carbon dioxide"/>
    <s v="kg/2018 USD, purchaser price"/>
    <n v="0.27800000000000002"/>
    <n v="0.27800000000000002"/>
    <n v="6.6000000000000003E-2"/>
    <n v="6.6000000000000003E-2"/>
    <n v="0.34499999999999997"/>
    <n v="0.34499999999999997"/>
  </r>
  <r>
    <s v="111900"/>
    <x v="5"/>
    <s v="methane"/>
    <s v="kg/2018 USD, purchaser price"/>
    <n v="1E-3"/>
    <n v="2.8000000000000001E-2"/>
    <n v="1E-3"/>
    <n v="2.8000000000000001E-2"/>
    <n v="2E-3"/>
    <n v="5.6000000000000001E-2"/>
  </r>
  <r>
    <s v="111900"/>
    <x v="5"/>
    <s v="nitrous oxide"/>
    <s v="kg/2018 USD, purchaser price"/>
    <n v="2E-3"/>
    <n v="0.53"/>
    <n v="0"/>
    <n v="0"/>
    <n v="2E-3"/>
    <n v="0.53"/>
  </r>
  <r>
    <s v="111900"/>
    <x v="5"/>
    <s v="other GHGs"/>
    <s v="kg CO2e/2018 USD, purchaser price"/>
    <n v="3.0000000000000001E-3"/>
    <n v="3.0000000000000001E-3"/>
    <n v="0"/>
    <n v="0"/>
    <n v="3.0000000000000001E-3"/>
    <n v="3.0000000000000001E-3"/>
  </r>
  <r>
    <s v="112120"/>
    <x v="6"/>
    <s v="carbon dioxide"/>
    <s v="kg/2018 USD, purchaser price"/>
    <n v="0.439"/>
    <n v="0.439"/>
    <n v="5.0999999999999997E-2"/>
    <n v="5.0999999999999997E-2"/>
    <n v="0.49099999999999999"/>
    <n v="0.49099999999999999"/>
  </r>
  <r>
    <s v="112120"/>
    <x v="6"/>
    <s v="methane"/>
    <s v="kg/2018 USD, purchaser price"/>
    <n v="6.7000000000000004E-2"/>
    <n v="1.8760000000000001"/>
    <n v="1E-3"/>
    <n v="2.8000000000000001E-2"/>
    <n v="6.7000000000000004E-2"/>
    <n v="1.8760000000000001"/>
  </r>
  <r>
    <s v="112120"/>
    <x v="6"/>
    <s v="nitrous oxide"/>
    <s v="kg/2018 USD, purchaser price"/>
    <n v="1E-3"/>
    <n v="0.26500000000000001"/>
    <n v="0"/>
    <n v="0"/>
    <n v="1E-3"/>
    <n v="0.26500000000000001"/>
  </r>
  <r>
    <s v="112120"/>
    <x v="6"/>
    <s v="other GHGs"/>
    <s v="kg CO2e/2018 USD, purchaser price"/>
    <n v="4.0000000000000001E-3"/>
    <n v="4.0000000000000001E-3"/>
    <n v="0"/>
    <n v="0"/>
    <n v="4.0000000000000001E-3"/>
    <n v="4.0000000000000001E-3"/>
  </r>
  <r>
    <s v="1121A0"/>
    <x v="7"/>
    <s v="carbon dioxide"/>
    <s v="kg/2018 USD, purchaser price"/>
    <n v="0.52800000000000002"/>
    <n v="0.52800000000000002"/>
    <n v="5.0999999999999997E-2"/>
    <n v="5.0999999999999997E-2"/>
    <n v="0.57899999999999996"/>
    <n v="0.57899999999999996"/>
  </r>
  <r>
    <s v="1121A0"/>
    <x v="7"/>
    <s v="methane"/>
    <s v="kg/2018 USD, purchaser price"/>
    <n v="7.8E-2"/>
    <n v="2.1840000000000002"/>
    <n v="1E-3"/>
    <n v="2.8000000000000001E-2"/>
    <n v="7.9000000000000001E-2"/>
    <n v="2.2120000000000002"/>
  </r>
  <r>
    <s v="1121A0"/>
    <x v="7"/>
    <s v="nitrous oxide"/>
    <s v="kg/2018 USD, purchaser price"/>
    <n v="4.0000000000000001E-3"/>
    <n v="1.06"/>
    <n v="0"/>
    <n v="0"/>
    <n v="4.0000000000000001E-3"/>
    <n v="1.06"/>
  </r>
  <r>
    <s v="1121A0"/>
    <x v="7"/>
    <s v="other GHGs"/>
    <s v="kg CO2e/2018 USD, purchaser price"/>
    <n v="3.0000000000000001E-3"/>
    <n v="3.0000000000000001E-3"/>
    <n v="0"/>
    <n v="0"/>
    <n v="3.0000000000000001E-3"/>
    <n v="3.0000000000000001E-3"/>
  </r>
  <r>
    <s v="112300"/>
    <x v="8"/>
    <s v="carbon dioxide"/>
    <s v="kg/2018 USD, purchaser price"/>
    <n v="0.64200000000000002"/>
    <n v="0.64200000000000002"/>
    <n v="5.7000000000000002E-2"/>
    <n v="5.7000000000000002E-2"/>
    <n v="0.69899999999999995"/>
    <n v="0.69899999999999995"/>
  </r>
  <r>
    <s v="112300"/>
    <x v="8"/>
    <s v="methane"/>
    <s v="kg/2018 USD, purchaser price"/>
    <n v="7.0000000000000001E-3"/>
    <n v="0.19600000000000001"/>
    <n v="1E-3"/>
    <n v="2.8000000000000001E-2"/>
    <n v="8.0000000000000002E-3"/>
    <n v="0.224"/>
  </r>
  <r>
    <s v="112300"/>
    <x v="8"/>
    <s v="nitrous oxide"/>
    <s v="kg/2018 USD, purchaser price"/>
    <n v="1E-3"/>
    <n v="0.26500000000000001"/>
    <n v="0"/>
    <n v="0"/>
    <n v="1E-3"/>
    <n v="0.26500000000000001"/>
  </r>
  <r>
    <s v="112300"/>
    <x v="8"/>
    <s v="other GHGs"/>
    <s v="kg CO2e/2018 USD, purchaser price"/>
    <n v="5.0000000000000001E-3"/>
    <n v="5.0000000000000001E-3"/>
    <n v="0"/>
    <n v="0"/>
    <n v="5.0000000000000001E-3"/>
    <n v="5.0000000000000001E-3"/>
  </r>
  <r>
    <s v="112A00"/>
    <x v="9"/>
    <s v="carbon dioxide"/>
    <s v="kg/2018 USD, purchaser price"/>
    <n v="0.183"/>
    <n v="0.183"/>
    <n v="6.4000000000000001E-2"/>
    <n v="6.4000000000000001E-2"/>
    <n v="0.247"/>
    <n v="0.247"/>
  </r>
  <r>
    <s v="112A00"/>
    <x v="9"/>
    <s v="methane"/>
    <s v="kg/2018 USD, purchaser price"/>
    <n v="3.4000000000000002E-2"/>
    <n v="0.95200000000000007"/>
    <n v="1E-3"/>
    <n v="2.8000000000000001E-2"/>
    <n v="3.5000000000000003E-2"/>
    <n v="0.98000000000000009"/>
  </r>
  <r>
    <s v="112A00"/>
    <x v="9"/>
    <s v="nitrous oxide"/>
    <s v="kg/2018 USD, purchaser price"/>
    <n v="1E-3"/>
    <n v="0.26500000000000001"/>
    <n v="0"/>
    <n v="0"/>
    <n v="1E-3"/>
    <n v="0.26500000000000001"/>
  </r>
  <r>
    <s v="112A00"/>
    <x v="9"/>
    <s v="other GHGs"/>
    <s v="kg CO2e/2018 USD, purchaser price"/>
    <n v="2E-3"/>
    <n v="2E-3"/>
    <n v="0"/>
    <n v="0"/>
    <n v="2E-3"/>
    <n v="2E-3"/>
  </r>
  <r>
    <s v="113000"/>
    <x v="10"/>
    <s v="carbon dioxide"/>
    <s v="kg/2018 USD, purchaser price"/>
    <n v="0.18099999999999999"/>
    <n v="0.18099999999999999"/>
    <n v="6.7000000000000004E-2"/>
    <n v="6.7000000000000004E-2"/>
    <n v="0.249"/>
    <n v="0.249"/>
  </r>
  <r>
    <s v="113000"/>
    <x v="10"/>
    <s v="methane"/>
    <s v="kg/2018 USD, purchaser price"/>
    <n v="1E-3"/>
    <n v="2.8000000000000001E-2"/>
    <n v="1E-3"/>
    <n v="2.8000000000000001E-2"/>
    <n v="2E-3"/>
    <n v="5.6000000000000001E-2"/>
  </r>
  <r>
    <s v="113000"/>
    <x v="10"/>
    <s v="nitrous oxide"/>
    <s v="kg/2018 USD, purchaser price"/>
    <n v="0"/>
    <n v="0"/>
    <n v="0"/>
    <n v="0"/>
    <n v="0"/>
    <n v="0"/>
  </r>
  <r>
    <s v="113000"/>
    <x v="10"/>
    <s v="other GHGs"/>
    <s v="kg CO2e/2018 USD, purchaser price"/>
    <n v="2E-3"/>
    <n v="2E-3"/>
    <n v="0"/>
    <n v="0"/>
    <n v="2E-3"/>
    <n v="2E-3"/>
  </r>
  <r>
    <s v="114000"/>
    <x v="11"/>
    <s v="carbon dioxide"/>
    <s v="kg/2018 USD, purchaser price"/>
    <n v="0.22600000000000001"/>
    <n v="0.22600000000000001"/>
    <n v="9.8000000000000004E-2"/>
    <n v="9.8000000000000004E-2"/>
    <n v="0.32400000000000001"/>
    <n v="0.32400000000000001"/>
  </r>
  <r>
    <s v="114000"/>
    <x v="11"/>
    <s v="methane"/>
    <s v="kg/2018 USD, purchaser price"/>
    <n v="1E-3"/>
    <n v="2.8000000000000001E-2"/>
    <n v="1E-3"/>
    <n v="2.8000000000000001E-2"/>
    <n v="2E-3"/>
    <n v="5.6000000000000001E-2"/>
  </r>
  <r>
    <s v="114000"/>
    <x v="11"/>
    <s v="nitrous oxide"/>
    <s v="kg/2018 USD, purchaser price"/>
    <n v="0"/>
    <n v="0"/>
    <n v="0"/>
    <n v="0"/>
    <n v="0"/>
    <n v="0"/>
  </r>
  <r>
    <s v="114000"/>
    <x v="11"/>
    <s v="other GHGs"/>
    <s v="kg CO2e/2018 USD, purchaser price"/>
    <n v="2E-3"/>
    <n v="2E-3"/>
    <n v="0"/>
    <n v="0"/>
    <n v="2E-3"/>
    <n v="2E-3"/>
  </r>
  <r>
    <s v="115000"/>
    <x v="12"/>
    <s v="carbon dioxide"/>
    <s v="kg/2018 USD, purchaser price"/>
    <n v="0.317"/>
    <n v="0.317"/>
    <n v="0"/>
    <n v="0"/>
    <n v="0.317"/>
    <n v="0.317"/>
  </r>
  <r>
    <s v="115000"/>
    <x v="12"/>
    <s v="methane"/>
    <s v="kg/2018 USD, purchaser price"/>
    <n v="5.0000000000000001E-3"/>
    <n v="0.14000000000000001"/>
    <n v="0"/>
    <n v="0"/>
    <n v="5.0000000000000001E-3"/>
    <n v="0.14000000000000001"/>
  </r>
  <r>
    <s v="115000"/>
    <x v="12"/>
    <s v="nitrous oxide"/>
    <s v="kg/2018 USD, purchaser price"/>
    <n v="0"/>
    <n v="0"/>
    <n v="0"/>
    <n v="0"/>
    <n v="0"/>
    <n v="0"/>
  </r>
  <r>
    <s v="115000"/>
    <x v="12"/>
    <s v="other GHGs"/>
    <s v="kg CO2e/2018 USD, purchaser price"/>
    <n v="2E-3"/>
    <n v="2E-3"/>
    <n v="0"/>
    <n v="0"/>
    <n v="2E-3"/>
    <n v="2E-3"/>
  </r>
  <r>
    <s v="211000"/>
    <x v="13"/>
    <s v="carbon dioxide"/>
    <s v="kg/2018 USD, purchaser price"/>
    <n v="0.317"/>
    <n v="0.317"/>
    <n v="7.4999999999999997E-2"/>
    <n v="7.4999999999999997E-2"/>
    <n v="0.39100000000000001"/>
    <n v="0.39100000000000001"/>
  </r>
  <r>
    <s v="211000"/>
    <x v="13"/>
    <s v="methane"/>
    <s v="kg/2018 USD, purchaser price"/>
    <n v="1.4999999999999999E-2"/>
    <n v="0.42"/>
    <n v="1E-3"/>
    <n v="2.8000000000000001E-2"/>
    <n v="1.6E-2"/>
    <n v="0.44800000000000001"/>
  </r>
  <r>
    <s v="211000"/>
    <x v="13"/>
    <s v="nitrous oxide"/>
    <s v="kg/2018 USD, purchaser price"/>
    <n v="0"/>
    <n v="0"/>
    <n v="0"/>
    <n v="0"/>
    <n v="0"/>
    <n v="0"/>
  </r>
  <r>
    <s v="211000"/>
    <x v="13"/>
    <s v="other GHGs"/>
    <s v="kg CO2e/2018 USD, purchaser price"/>
    <n v="4.0000000000000001E-3"/>
    <n v="4.0000000000000001E-3"/>
    <n v="0"/>
    <n v="0"/>
    <n v="4.0000000000000001E-3"/>
    <n v="4.0000000000000001E-3"/>
  </r>
  <r>
    <s v="212100"/>
    <x v="14"/>
    <s v="carbon dioxide"/>
    <s v="kg/2018 USD, purchaser price"/>
    <n v="0.308"/>
    <n v="0.308"/>
    <n v="0.17799999999999999"/>
    <n v="0.17799999999999999"/>
    <n v="0.48499999999999999"/>
    <n v="0.48499999999999999"/>
  </r>
  <r>
    <s v="212100"/>
    <x v="14"/>
    <s v="methane"/>
    <s v="kg/2018 USD, purchaser price"/>
    <n v="4.8000000000000001E-2"/>
    <n v="1.3440000000000001"/>
    <n v="2E-3"/>
    <n v="5.6000000000000001E-2"/>
    <n v="0.05"/>
    <n v="1.4000000000000001"/>
  </r>
  <r>
    <s v="212100"/>
    <x v="14"/>
    <s v="nitrous oxide"/>
    <s v="kg/2018 USD, purchaser price"/>
    <n v="0"/>
    <n v="0"/>
    <n v="0"/>
    <n v="0"/>
    <n v="0"/>
    <n v="0"/>
  </r>
  <r>
    <s v="212100"/>
    <x v="14"/>
    <s v="other GHGs"/>
    <s v="kg CO2e/2018 USD, purchaser price"/>
    <n v="3.0000000000000001E-3"/>
    <n v="3.0000000000000001E-3"/>
    <n v="0"/>
    <n v="0"/>
    <n v="3.0000000000000001E-3"/>
    <n v="3.0000000000000001E-3"/>
  </r>
  <r>
    <s v="212230"/>
    <x v="15"/>
    <s v="carbon dioxide"/>
    <s v="kg/2018 USD, purchaser price"/>
    <n v="1.2090000000000001"/>
    <n v="1.2090000000000001"/>
    <n v="7.0999999999999994E-2"/>
    <n v="7.0999999999999994E-2"/>
    <n v="1.28"/>
    <n v="1.28"/>
  </r>
  <r>
    <s v="212230"/>
    <x v="15"/>
    <s v="methane"/>
    <s v="kg/2018 USD, purchaser price"/>
    <n v="2E-3"/>
    <n v="5.6000000000000001E-2"/>
    <n v="1E-3"/>
    <n v="2.8000000000000001E-2"/>
    <n v="3.0000000000000001E-3"/>
    <n v="8.4000000000000005E-2"/>
  </r>
  <r>
    <s v="212230"/>
    <x v="15"/>
    <s v="nitrous oxide"/>
    <s v="kg/2018 USD, purchaser price"/>
    <n v="0"/>
    <n v="0"/>
    <n v="0"/>
    <n v="0"/>
    <n v="0"/>
    <n v="0"/>
  </r>
  <r>
    <s v="212230"/>
    <x v="15"/>
    <s v="other GHGs"/>
    <s v="kg CO2e/2018 USD, purchaser price"/>
    <n v="5.0000000000000001E-3"/>
    <n v="5.0000000000000001E-3"/>
    <n v="0"/>
    <n v="0"/>
    <n v="5.0000000000000001E-3"/>
    <n v="5.0000000000000001E-3"/>
  </r>
  <r>
    <s v="2122A0"/>
    <x v="16"/>
    <s v="carbon dioxide"/>
    <s v="kg/2018 USD, purchaser price"/>
    <n v="1.081"/>
    <n v="1.081"/>
    <n v="6.5000000000000002E-2"/>
    <n v="6.5000000000000002E-2"/>
    <n v="1.1459999999999999"/>
    <n v="1.1459999999999999"/>
  </r>
  <r>
    <s v="2122A0"/>
    <x v="16"/>
    <s v="methane"/>
    <s v="kg/2018 USD, purchaser price"/>
    <n v="2E-3"/>
    <n v="5.6000000000000001E-2"/>
    <n v="1E-3"/>
    <n v="2.8000000000000001E-2"/>
    <n v="3.0000000000000001E-3"/>
    <n v="8.4000000000000005E-2"/>
  </r>
  <r>
    <s v="2122A0"/>
    <x v="16"/>
    <s v="nitrous oxide"/>
    <s v="kg/2018 USD, purchaser price"/>
    <n v="0"/>
    <n v="0"/>
    <n v="0"/>
    <n v="0"/>
    <n v="0"/>
    <n v="0"/>
  </r>
  <r>
    <s v="2122A0"/>
    <x v="16"/>
    <s v="other GHGs"/>
    <s v="kg CO2e/2018 USD, purchaser price"/>
    <n v="6.0000000000000001E-3"/>
    <n v="6.0000000000000001E-3"/>
    <n v="0"/>
    <n v="0"/>
    <n v="6.0000000000000001E-3"/>
    <n v="6.0000000000000001E-3"/>
  </r>
  <r>
    <s v="212310"/>
    <x v="17"/>
    <s v="carbon dioxide"/>
    <s v="kg/2018 USD, purchaser price"/>
    <n v="0.34300000000000003"/>
    <n v="0.34300000000000003"/>
    <n v="0.11600000000000001"/>
    <n v="0.11600000000000001"/>
    <n v="0.45900000000000002"/>
    <n v="0.45900000000000002"/>
  </r>
  <r>
    <s v="212310"/>
    <x v="17"/>
    <s v="methane"/>
    <s v="kg/2018 USD, purchaser price"/>
    <n v="1E-3"/>
    <n v="2.8000000000000001E-2"/>
    <n v="1E-3"/>
    <n v="2.8000000000000001E-2"/>
    <n v="3.0000000000000001E-3"/>
    <n v="8.4000000000000005E-2"/>
  </r>
  <r>
    <s v="212310"/>
    <x v="17"/>
    <s v="nitrous oxide"/>
    <s v="kg/2018 USD, purchaser price"/>
    <n v="0"/>
    <n v="0"/>
    <n v="0"/>
    <n v="0"/>
    <n v="0"/>
    <n v="0"/>
  </r>
  <r>
    <s v="212310"/>
    <x v="17"/>
    <s v="other GHGs"/>
    <s v="kg CO2e/2018 USD, purchaser price"/>
    <n v="4.0000000000000001E-3"/>
    <n v="4.0000000000000001E-3"/>
    <n v="0"/>
    <n v="0"/>
    <n v="4.0000000000000001E-3"/>
    <n v="4.0000000000000001E-3"/>
  </r>
  <r>
    <s v="2123A0"/>
    <x v="18"/>
    <s v="carbon dioxide"/>
    <s v="kg/2018 USD, purchaser price"/>
    <n v="0.55100000000000005"/>
    <n v="0.55100000000000005"/>
    <n v="0.156"/>
    <n v="0.156"/>
    <n v="0.70699999999999996"/>
    <n v="0.70699999999999996"/>
  </r>
  <r>
    <s v="2123A0"/>
    <x v="18"/>
    <s v="methane"/>
    <s v="kg/2018 USD, purchaser price"/>
    <n v="3.0000000000000001E-3"/>
    <n v="8.4000000000000005E-2"/>
    <n v="2E-3"/>
    <n v="5.6000000000000001E-2"/>
    <n v="4.0000000000000001E-3"/>
    <n v="0.112"/>
  </r>
  <r>
    <s v="2123A0"/>
    <x v="18"/>
    <s v="nitrous oxide"/>
    <s v="kg/2018 USD, purchaser price"/>
    <n v="0"/>
    <n v="0"/>
    <n v="0"/>
    <n v="0"/>
    <n v="0"/>
    <n v="0"/>
  </r>
  <r>
    <s v="2123A0"/>
    <x v="18"/>
    <s v="other GHGs"/>
    <s v="kg CO2e/2018 USD, purchaser price"/>
    <n v="4.0000000000000001E-3"/>
    <n v="4.0000000000000001E-3"/>
    <n v="0"/>
    <n v="0"/>
    <n v="4.0000000000000001E-3"/>
    <n v="4.0000000000000001E-3"/>
  </r>
  <r>
    <s v="213111"/>
    <x v="19"/>
    <s v="carbon dioxide"/>
    <s v="kg/2018 USD, purchaser price"/>
    <n v="0.34"/>
    <n v="0.34"/>
    <n v="0"/>
    <n v="0"/>
    <n v="0.34"/>
    <n v="0.34"/>
  </r>
  <r>
    <s v="213111"/>
    <x v="19"/>
    <s v="methane"/>
    <s v="kg/2018 USD, purchaser price"/>
    <n v="8.0000000000000002E-3"/>
    <n v="0.224"/>
    <n v="0"/>
    <n v="0"/>
    <n v="8.0000000000000002E-3"/>
    <n v="0.224"/>
  </r>
  <r>
    <s v="213111"/>
    <x v="19"/>
    <s v="nitrous oxide"/>
    <s v="kg/2018 USD, purchaser price"/>
    <n v="0"/>
    <n v="0"/>
    <n v="0"/>
    <n v="0"/>
    <n v="0"/>
    <n v="0"/>
  </r>
  <r>
    <s v="213111"/>
    <x v="19"/>
    <s v="other GHGs"/>
    <s v="kg CO2e/2018 USD, purchaser price"/>
    <n v="3.0000000000000001E-3"/>
    <n v="3.0000000000000001E-3"/>
    <n v="0"/>
    <n v="0"/>
    <n v="3.0000000000000001E-3"/>
    <n v="3.0000000000000001E-3"/>
  </r>
  <r>
    <s v="21311A"/>
    <x v="20"/>
    <s v="carbon dioxide"/>
    <s v="kg/2018 USD, purchaser price"/>
    <n v="0.40899999999999997"/>
    <n v="0.40899999999999997"/>
    <n v="0"/>
    <n v="0"/>
    <n v="0.40899999999999997"/>
    <n v="0.40899999999999997"/>
  </r>
  <r>
    <s v="21311A"/>
    <x v="20"/>
    <s v="methane"/>
    <s v="kg/2018 USD, purchaser price"/>
    <n v="8.0000000000000002E-3"/>
    <n v="0.224"/>
    <n v="0"/>
    <n v="0"/>
    <n v="8.0000000000000002E-3"/>
    <n v="0.224"/>
  </r>
  <r>
    <s v="21311A"/>
    <x v="20"/>
    <s v="nitrous oxide"/>
    <s v="kg/2018 USD, purchaser price"/>
    <n v="0"/>
    <n v="0"/>
    <n v="0"/>
    <n v="0"/>
    <n v="0"/>
    <n v="0"/>
  </r>
  <r>
    <s v="21311A"/>
    <x v="20"/>
    <s v="other GHGs"/>
    <s v="kg CO2e/2018 USD, purchaser price"/>
    <n v="4.0000000000000001E-3"/>
    <n v="4.0000000000000001E-3"/>
    <n v="0"/>
    <n v="0"/>
    <n v="4.0000000000000001E-3"/>
    <n v="4.0000000000000001E-3"/>
  </r>
  <r>
    <s v="221100"/>
    <x v="21"/>
    <s v="carbon dioxide"/>
    <s v="kg/2018 USD, purchaser price"/>
    <n v="3.5859999999999999"/>
    <n v="3.5859999999999999"/>
    <n v="0"/>
    <n v="0"/>
    <n v="3.5859999999999999"/>
    <n v="3.5859999999999999"/>
  </r>
  <r>
    <s v="221100"/>
    <x v="21"/>
    <s v="methane"/>
    <s v="kg/2018 USD, purchaser price"/>
    <n v="6.0000000000000001E-3"/>
    <n v="0.16800000000000001"/>
    <n v="0"/>
    <n v="0"/>
    <n v="6.0000000000000001E-3"/>
    <n v="0.16800000000000001"/>
  </r>
  <r>
    <s v="221100"/>
    <x v="21"/>
    <s v="nitrous oxide"/>
    <s v="kg/2018 USD, purchaser price"/>
    <n v="0"/>
    <n v="0"/>
    <n v="0"/>
    <n v="0"/>
    <n v="0"/>
    <n v="0"/>
  </r>
  <r>
    <s v="221100"/>
    <x v="21"/>
    <s v="other GHGs"/>
    <s v="kg CO2e/2018 USD, purchaser price"/>
    <n v="1.2999999999999999E-2"/>
    <n v="1.2999999999999999E-2"/>
    <n v="0"/>
    <n v="0"/>
    <n v="1.2999999999999999E-2"/>
    <n v="1.2999999999999999E-2"/>
  </r>
  <r>
    <s v="221200"/>
    <x v="22"/>
    <s v="carbon dioxide"/>
    <s v="kg/2018 USD, purchaser price"/>
    <n v="0.54600000000000004"/>
    <n v="0.54600000000000004"/>
    <n v="0"/>
    <n v="0"/>
    <n v="0.54600000000000004"/>
    <n v="0.54600000000000004"/>
  </r>
  <r>
    <s v="221200"/>
    <x v="22"/>
    <s v="methane"/>
    <s v="kg/2018 USD, purchaser price"/>
    <n v="0.01"/>
    <n v="0.28000000000000003"/>
    <n v="0"/>
    <n v="0"/>
    <n v="0.01"/>
    <n v="0.28000000000000003"/>
  </r>
  <r>
    <s v="221200"/>
    <x v="22"/>
    <s v="nitrous oxide"/>
    <s v="kg/2018 USD, purchaser price"/>
    <n v="0"/>
    <n v="0"/>
    <n v="0"/>
    <n v="0"/>
    <n v="0"/>
    <n v="0"/>
  </r>
  <r>
    <s v="221200"/>
    <x v="22"/>
    <s v="other GHGs"/>
    <s v="kg CO2e/2018 USD, purchaser price"/>
    <n v="4.0000000000000001E-3"/>
    <n v="4.0000000000000001E-3"/>
    <n v="0"/>
    <n v="0"/>
    <n v="4.0000000000000001E-3"/>
    <n v="4.0000000000000001E-3"/>
  </r>
  <r>
    <s v="221300"/>
    <x v="23"/>
    <s v="carbon dioxide"/>
    <s v="kg/2018 USD, purchaser price"/>
    <n v="0.38400000000000001"/>
    <n v="0.38400000000000001"/>
    <n v="0"/>
    <n v="0"/>
    <n v="0.38400000000000001"/>
    <n v="0.38400000000000001"/>
  </r>
  <r>
    <s v="221300"/>
    <x v="23"/>
    <s v="methane"/>
    <s v="kg/2018 USD, purchaser price"/>
    <n v="8.9999999999999993E-3"/>
    <n v="0.252"/>
    <n v="0"/>
    <n v="0"/>
    <n v="8.9999999999999993E-3"/>
    <n v="0.252"/>
  </r>
  <r>
    <s v="221300"/>
    <x v="23"/>
    <s v="nitrous oxide"/>
    <s v="kg/2018 USD, purchaser price"/>
    <n v="0"/>
    <n v="0"/>
    <n v="0"/>
    <n v="0"/>
    <n v="0"/>
    <n v="0"/>
  </r>
  <r>
    <s v="221300"/>
    <x v="23"/>
    <s v="other GHGs"/>
    <s v="kg CO2e/2018 USD, purchaser price"/>
    <n v="8.9999999999999993E-3"/>
    <n v="8.9999999999999993E-3"/>
    <n v="0"/>
    <n v="0"/>
    <n v="8.9999999999999993E-3"/>
    <n v="8.9999999999999993E-3"/>
  </r>
  <r>
    <s v="230301"/>
    <x v="24"/>
    <s v="carbon dioxide"/>
    <s v="kg/2018 USD, purchaser price"/>
    <n v="0.38900000000000001"/>
    <n v="0.38900000000000001"/>
    <n v="0"/>
    <n v="0"/>
    <n v="0.38900000000000001"/>
    <n v="0.38900000000000001"/>
  </r>
  <r>
    <s v="230301"/>
    <x v="24"/>
    <s v="methane"/>
    <s v="kg/2018 USD, purchaser price"/>
    <n v="2E-3"/>
    <n v="5.6000000000000001E-2"/>
    <n v="0"/>
    <n v="0"/>
    <n v="2E-3"/>
    <n v="5.6000000000000001E-2"/>
  </r>
  <r>
    <s v="230301"/>
    <x v="24"/>
    <s v="nitrous oxide"/>
    <s v="kg/2018 USD, purchaser price"/>
    <n v="0"/>
    <n v="0"/>
    <n v="0"/>
    <n v="0"/>
    <n v="0"/>
    <n v="0"/>
  </r>
  <r>
    <s v="230301"/>
    <x v="24"/>
    <s v="other GHGs"/>
    <s v="kg CO2e/2018 USD, purchaser price"/>
    <n v="3.9E-2"/>
    <n v="3.9E-2"/>
    <n v="0"/>
    <n v="0"/>
    <n v="3.9E-2"/>
    <n v="3.9E-2"/>
  </r>
  <r>
    <s v="230302"/>
    <x v="25"/>
    <s v="carbon dioxide"/>
    <s v="kg/2018 USD, purchaser price"/>
    <n v="0.31"/>
    <n v="0.31"/>
    <n v="0"/>
    <n v="0"/>
    <n v="0.31"/>
    <n v="0.31"/>
  </r>
  <r>
    <s v="230302"/>
    <x v="25"/>
    <s v="methane"/>
    <s v="kg/2018 USD, purchaser price"/>
    <n v="1E-3"/>
    <n v="2.8000000000000001E-2"/>
    <n v="0"/>
    <n v="0"/>
    <n v="1E-3"/>
    <n v="2.8000000000000001E-2"/>
  </r>
  <r>
    <s v="230302"/>
    <x v="25"/>
    <s v="nitrous oxide"/>
    <s v="kg/2018 USD, purchaser price"/>
    <n v="0"/>
    <n v="0"/>
    <n v="0"/>
    <n v="0"/>
    <n v="0"/>
    <n v="0"/>
  </r>
  <r>
    <s v="230302"/>
    <x v="25"/>
    <s v="other GHGs"/>
    <s v="kg CO2e/2018 USD, purchaser price"/>
    <n v="0.04"/>
    <n v="0.04"/>
    <n v="0"/>
    <n v="0"/>
    <n v="0.04"/>
    <n v="0.04"/>
  </r>
  <r>
    <s v="233210"/>
    <x v="26"/>
    <s v="carbon dioxide"/>
    <s v="kg/2018 USD, purchaser price"/>
    <n v="0.23400000000000001"/>
    <n v="0.23400000000000001"/>
    <n v="0"/>
    <n v="0"/>
    <n v="0.23400000000000001"/>
    <n v="0.23400000000000001"/>
  </r>
  <r>
    <s v="233210"/>
    <x v="26"/>
    <s v="methane"/>
    <s v="kg/2018 USD, purchaser price"/>
    <n v="1E-3"/>
    <n v="2.8000000000000001E-2"/>
    <n v="0"/>
    <n v="0"/>
    <n v="1E-3"/>
    <n v="2.8000000000000001E-2"/>
  </r>
  <r>
    <s v="233210"/>
    <x v="26"/>
    <s v="nitrous oxide"/>
    <s v="kg/2018 USD, purchaser price"/>
    <n v="0"/>
    <n v="0"/>
    <n v="0"/>
    <n v="0"/>
    <n v="0"/>
    <n v="0"/>
  </r>
  <r>
    <s v="233210"/>
    <x v="26"/>
    <s v="other GHGs"/>
    <s v="kg CO2e/2018 USD, purchaser price"/>
    <n v="4.2000000000000003E-2"/>
    <n v="4.2000000000000003E-2"/>
    <n v="0"/>
    <n v="0"/>
    <n v="4.2000000000000003E-2"/>
    <n v="4.2000000000000003E-2"/>
  </r>
  <r>
    <s v="233230"/>
    <x v="27"/>
    <s v="carbon dioxide"/>
    <s v="kg/2018 USD, purchaser price"/>
    <n v="0.313"/>
    <n v="0.313"/>
    <n v="0"/>
    <n v="0"/>
    <n v="0.313"/>
    <n v="0.313"/>
  </r>
  <r>
    <s v="233230"/>
    <x v="27"/>
    <s v="methane"/>
    <s v="kg/2018 USD, purchaser price"/>
    <n v="1E-3"/>
    <n v="2.8000000000000001E-2"/>
    <n v="0"/>
    <n v="0"/>
    <n v="1E-3"/>
    <n v="2.8000000000000001E-2"/>
  </r>
  <r>
    <s v="233230"/>
    <x v="27"/>
    <s v="nitrous oxide"/>
    <s v="kg/2018 USD, purchaser price"/>
    <n v="0"/>
    <n v="0"/>
    <n v="0"/>
    <n v="0"/>
    <n v="0"/>
    <n v="0"/>
  </r>
  <r>
    <s v="233230"/>
    <x v="27"/>
    <s v="other GHGs"/>
    <s v="kg CO2e/2018 USD, purchaser price"/>
    <n v="1.9E-2"/>
    <n v="1.9E-2"/>
    <n v="0"/>
    <n v="0"/>
    <n v="1.9E-2"/>
    <n v="1.9E-2"/>
  </r>
  <r>
    <s v="233240"/>
    <x v="28"/>
    <s v="carbon dioxide"/>
    <s v="kg/2018 USD, purchaser price"/>
    <n v="0.33400000000000002"/>
    <n v="0.33400000000000002"/>
    <n v="0"/>
    <n v="0"/>
    <n v="0.33400000000000002"/>
    <n v="0.33400000000000002"/>
  </r>
  <r>
    <s v="233240"/>
    <x v="28"/>
    <s v="methane"/>
    <s v="kg/2018 USD, purchaser price"/>
    <n v="5.0000000000000001E-3"/>
    <n v="0.14000000000000001"/>
    <n v="0"/>
    <n v="0"/>
    <n v="5.0000000000000001E-3"/>
    <n v="0.14000000000000001"/>
  </r>
  <r>
    <s v="233240"/>
    <x v="28"/>
    <s v="nitrous oxide"/>
    <s v="kg/2018 USD, purchaser price"/>
    <n v="0"/>
    <n v="0"/>
    <n v="0"/>
    <n v="0"/>
    <n v="0"/>
    <n v="0"/>
  </r>
  <r>
    <s v="233240"/>
    <x v="28"/>
    <s v="other GHGs"/>
    <s v="kg CO2e/2018 USD, purchaser price"/>
    <n v="1.0999999999999999E-2"/>
    <n v="1.0999999999999999E-2"/>
    <n v="0"/>
    <n v="0"/>
    <n v="1.0999999999999999E-2"/>
    <n v="1.0999999999999999E-2"/>
  </r>
  <r>
    <s v="233262"/>
    <x v="29"/>
    <s v="carbon dioxide"/>
    <s v="kg/2018 USD, purchaser price"/>
    <n v="0.22"/>
    <n v="0.22"/>
    <n v="0"/>
    <n v="0"/>
    <n v="0.22"/>
    <n v="0.22"/>
  </r>
  <r>
    <s v="233262"/>
    <x v="29"/>
    <s v="methane"/>
    <s v="kg/2018 USD, purchaser price"/>
    <n v="1E-3"/>
    <n v="2.8000000000000001E-2"/>
    <n v="0"/>
    <n v="0"/>
    <n v="1E-3"/>
    <n v="2.8000000000000001E-2"/>
  </r>
  <r>
    <s v="233262"/>
    <x v="29"/>
    <s v="nitrous oxide"/>
    <s v="kg/2018 USD, purchaser price"/>
    <n v="0"/>
    <n v="0"/>
    <n v="0"/>
    <n v="0"/>
    <n v="0"/>
    <n v="0"/>
  </r>
  <r>
    <s v="233262"/>
    <x v="29"/>
    <s v="other GHGs"/>
    <s v="kg CO2e/2018 USD, purchaser price"/>
    <n v="3.6999999999999998E-2"/>
    <n v="3.6999999999999998E-2"/>
    <n v="0"/>
    <n v="0"/>
    <n v="3.6999999999999998E-2"/>
    <n v="3.6999999999999998E-2"/>
  </r>
  <r>
    <s v="2332A0"/>
    <x v="30"/>
    <s v="carbon dioxide"/>
    <s v="kg/2018 USD, purchaser price"/>
    <n v="0.22700000000000001"/>
    <n v="0.22700000000000001"/>
    <n v="0"/>
    <n v="0"/>
    <n v="0.22700000000000001"/>
    <n v="0.22700000000000001"/>
  </r>
  <r>
    <s v="2332A0"/>
    <x v="30"/>
    <s v="methane"/>
    <s v="kg/2018 USD, purchaser price"/>
    <n v="1E-3"/>
    <n v="2.8000000000000001E-2"/>
    <n v="0"/>
    <n v="0"/>
    <n v="1E-3"/>
    <n v="2.8000000000000001E-2"/>
  </r>
  <r>
    <s v="2332A0"/>
    <x v="30"/>
    <s v="nitrous oxide"/>
    <s v="kg/2018 USD, purchaser price"/>
    <n v="0"/>
    <n v="0"/>
    <n v="0"/>
    <n v="0"/>
    <n v="0"/>
    <n v="0"/>
  </r>
  <r>
    <s v="2332A0"/>
    <x v="30"/>
    <s v="other GHGs"/>
    <s v="kg CO2e/2018 USD, purchaser price"/>
    <n v="3.6999999999999998E-2"/>
    <n v="3.6999999999999998E-2"/>
    <n v="0"/>
    <n v="0"/>
    <n v="3.6999999999999998E-2"/>
    <n v="3.6999999999999998E-2"/>
  </r>
  <r>
    <s v="2332C0"/>
    <x v="31"/>
    <s v="carbon dioxide"/>
    <s v="kg/2018 USD, purchaser price"/>
    <n v="0.40600000000000003"/>
    <n v="0.40600000000000003"/>
    <n v="0"/>
    <n v="0"/>
    <n v="0.40600000000000003"/>
    <n v="0.40600000000000003"/>
  </r>
  <r>
    <s v="2332C0"/>
    <x v="31"/>
    <s v="methane"/>
    <s v="kg/2018 USD, purchaser price"/>
    <n v="2E-3"/>
    <n v="5.6000000000000001E-2"/>
    <n v="0"/>
    <n v="0"/>
    <n v="2E-3"/>
    <n v="5.6000000000000001E-2"/>
  </r>
  <r>
    <s v="2332C0"/>
    <x v="31"/>
    <s v="nitrous oxide"/>
    <s v="kg/2018 USD, purchaser price"/>
    <n v="0"/>
    <n v="0"/>
    <n v="0"/>
    <n v="0"/>
    <n v="0"/>
    <n v="0"/>
  </r>
  <r>
    <s v="2332C0"/>
    <x v="31"/>
    <s v="other GHGs"/>
    <s v="kg CO2e/2018 USD, purchaser price"/>
    <n v="1.2999999999999999E-2"/>
    <n v="1.2999999999999999E-2"/>
    <n v="0"/>
    <n v="0"/>
    <n v="1.2999999999999999E-2"/>
    <n v="1.2999999999999999E-2"/>
  </r>
  <r>
    <s v="2332D0"/>
    <x v="32"/>
    <s v="carbon dioxide"/>
    <s v="kg/2018 USD, purchaser price"/>
    <n v="0.35299999999999998"/>
    <n v="0.35299999999999998"/>
    <n v="0"/>
    <n v="0"/>
    <n v="0.35299999999999998"/>
    <n v="0.35299999999999998"/>
  </r>
  <r>
    <s v="2332D0"/>
    <x v="32"/>
    <s v="methane"/>
    <s v="kg/2018 USD, purchaser price"/>
    <n v="2E-3"/>
    <n v="5.6000000000000001E-2"/>
    <n v="0"/>
    <n v="0"/>
    <n v="2E-3"/>
    <n v="5.6000000000000001E-2"/>
  </r>
  <r>
    <s v="2332D0"/>
    <x v="32"/>
    <s v="nitrous oxide"/>
    <s v="kg/2018 USD, purchaser price"/>
    <n v="0"/>
    <n v="0"/>
    <n v="0"/>
    <n v="0"/>
    <n v="0"/>
    <n v="0"/>
  </r>
  <r>
    <s v="2332D0"/>
    <x v="32"/>
    <s v="other GHGs"/>
    <s v="kg CO2e/2018 USD, purchaser price"/>
    <n v="1.9E-2"/>
    <n v="1.9E-2"/>
    <n v="0"/>
    <n v="0"/>
    <n v="1.9E-2"/>
    <n v="1.9E-2"/>
  </r>
  <r>
    <s v="233411"/>
    <x v="33"/>
    <s v="carbon dioxide"/>
    <s v="kg/2018 USD, purchaser price"/>
    <n v="0.19"/>
    <n v="0.19"/>
    <n v="0"/>
    <n v="0"/>
    <n v="0.19"/>
    <n v="0.19"/>
  </r>
  <r>
    <s v="233411"/>
    <x v="33"/>
    <s v="methane"/>
    <s v="kg/2018 USD, purchaser price"/>
    <n v="1E-3"/>
    <n v="2.8000000000000001E-2"/>
    <n v="0"/>
    <n v="0"/>
    <n v="1E-3"/>
    <n v="2.8000000000000001E-2"/>
  </r>
  <r>
    <s v="233411"/>
    <x v="33"/>
    <s v="nitrous oxide"/>
    <s v="kg/2018 USD, purchaser price"/>
    <n v="0"/>
    <n v="0"/>
    <n v="0"/>
    <n v="0"/>
    <n v="0"/>
    <n v="0"/>
  </r>
  <r>
    <s v="233411"/>
    <x v="33"/>
    <s v="other GHGs"/>
    <s v="kg CO2e/2018 USD, purchaser price"/>
    <n v="1.0999999999999999E-2"/>
    <n v="1.0999999999999999E-2"/>
    <n v="0"/>
    <n v="0"/>
    <n v="1.0999999999999999E-2"/>
    <n v="1.0999999999999999E-2"/>
  </r>
  <r>
    <s v="233412"/>
    <x v="34"/>
    <s v="carbon dioxide"/>
    <s v="kg/2018 USD, purchaser price"/>
    <n v="0.107"/>
    <n v="0.107"/>
    <n v="0"/>
    <n v="0"/>
    <n v="0.107"/>
    <n v="0.107"/>
  </r>
  <r>
    <s v="233412"/>
    <x v="34"/>
    <s v="methane"/>
    <s v="kg/2018 USD, purchaser price"/>
    <n v="0"/>
    <n v="0"/>
    <n v="0"/>
    <n v="0"/>
    <n v="0"/>
    <n v="0"/>
  </r>
  <r>
    <s v="233412"/>
    <x v="34"/>
    <s v="nitrous oxide"/>
    <s v="kg/2018 USD, purchaser price"/>
    <n v="0"/>
    <n v="0"/>
    <n v="0"/>
    <n v="0"/>
    <n v="0"/>
    <n v="0"/>
  </r>
  <r>
    <s v="233412"/>
    <x v="34"/>
    <s v="other GHGs"/>
    <s v="kg CO2e/2018 USD, purchaser price"/>
    <n v="6.0000000000000001E-3"/>
    <n v="6.0000000000000001E-3"/>
    <n v="0"/>
    <n v="0"/>
    <n v="6.0000000000000001E-3"/>
    <n v="6.0000000000000001E-3"/>
  </r>
  <r>
    <s v="2334A0"/>
    <x v="35"/>
    <s v="carbon dioxide"/>
    <s v="kg/2018 USD, purchaser price"/>
    <n v="0.30399999999999999"/>
    <n v="0.30399999999999999"/>
    <n v="0"/>
    <n v="0"/>
    <n v="0.30399999999999999"/>
    <n v="0.30399999999999999"/>
  </r>
  <r>
    <s v="2334A0"/>
    <x v="35"/>
    <s v="methane"/>
    <s v="kg/2018 USD, purchaser price"/>
    <n v="1E-3"/>
    <n v="2.8000000000000001E-2"/>
    <n v="0"/>
    <n v="0"/>
    <n v="1E-3"/>
    <n v="2.8000000000000001E-2"/>
  </r>
  <r>
    <s v="2334A0"/>
    <x v="35"/>
    <s v="nitrous oxide"/>
    <s v="kg/2018 USD, purchaser price"/>
    <n v="0"/>
    <n v="0"/>
    <n v="0"/>
    <n v="0"/>
    <n v="0"/>
    <n v="0"/>
  </r>
  <r>
    <s v="2334A0"/>
    <x v="35"/>
    <s v="other GHGs"/>
    <s v="kg CO2e/2018 USD, purchaser price"/>
    <n v="2.3E-2"/>
    <n v="2.3E-2"/>
    <n v="0"/>
    <n v="0"/>
    <n v="2.3E-2"/>
    <n v="2.3E-2"/>
  </r>
  <r>
    <s v="311111"/>
    <x v="36"/>
    <s v="carbon dioxide"/>
    <s v="kg/2018 USD, purchaser price"/>
    <n v="0.25800000000000001"/>
    <n v="0.25800000000000001"/>
    <n v="6.7000000000000004E-2"/>
    <n v="6.7000000000000004E-2"/>
    <n v="0.32600000000000001"/>
    <n v="0.32600000000000001"/>
  </r>
  <r>
    <s v="311111"/>
    <x v="36"/>
    <s v="methane"/>
    <s v="kg/2018 USD, purchaser price"/>
    <n v="5.0000000000000001E-3"/>
    <n v="0.14000000000000001"/>
    <n v="0"/>
    <n v="0"/>
    <n v="5.0000000000000001E-3"/>
    <n v="0.14000000000000001"/>
  </r>
  <r>
    <s v="311111"/>
    <x v="36"/>
    <s v="nitrous oxide"/>
    <s v="kg/2018 USD, purchaser price"/>
    <n v="1E-3"/>
    <n v="0.26500000000000001"/>
    <n v="0"/>
    <n v="0"/>
    <n v="1E-3"/>
    <n v="0.26500000000000001"/>
  </r>
  <r>
    <s v="311111"/>
    <x v="36"/>
    <s v="other GHGs"/>
    <s v="kg CO2e/2018 USD, purchaser price"/>
    <n v="8.0000000000000002E-3"/>
    <n v="8.0000000000000002E-3"/>
    <n v="0"/>
    <n v="0"/>
    <n v="8.0000000000000002E-3"/>
    <n v="8.0000000000000002E-3"/>
  </r>
  <r>
    <s v="311119"/>
    <x v="37"/>
    <s v="carbon dioxide"/>
    <s v="kg/2018 USD, purchaser price"/>
    <n v="0.23499999999999999"/>
    <n v="0.23499999999999999"/>
    <n v="3.4000000000000002E-2"/>
    <n v="3.4000000000000002E-2"/>
    <n v="0.26900000000000002"/>
    <n v="0.26900000000000002"/>
  </r>
  <r>
    <s v="311119"/>
    <x v="37"/>
    <s v="methane"/>
    <s v="kg/2018 USD, purchaser price"/>
    <n v="2E-3"/>
    <n v="5.6000000000000001E-2"/>
    <n v="0"/>
    <n v="0"/>
    <n v="2E-3"/>
    <n v="5.6000000000000001E-2"/>
  </r>
  <r>
    <s v="311119"/>
    <x v="37"/>
    <s v="nitrous oxide"/>
    <s v="kg/2018 USD, purchaser price"/>
    <n v="1E-3"/>
    <n v="0.26500000000000001"/>
    <n v="0"/>
    <n v="0"/>
    <n v="1E-3"/>
    <n v="0.26500000000000001"/>
  </r>
  <r>
    <s v="311119"/>
    <x v="37"/>
    <s v="other GHGs"/>
    <s v="kg CO2e/2018 USD, purchaser price"/>
    <n v="5.0000000000000001E-3"/>
    <n v="5.0000000000000001E-3"/>
    <n v="0"/>
    <n v="0"/>
    <n v="5.0000000000000001E-3"/>
    <n v="5.0000000000000001E-3"/>
  </r>
  <r>
    <s v="311210"/>
    <x v="38"/>
    <s v="carbon dioxide"/>
    <s v="kg/2018 USD, purchaser price"/>
    <n v="0.36"/>
    <n v="0.36"/>
    <n v="3.3000000000000002E-2"/>
    <n v="3.3000000000000002E-2"/>
    <n v="0.39200000000000002"/>
    <n v="0.39200000000000002"/>
  </r>
  <r>
    <s v="311210"/>
    <x v="38"/>
    <s v="methane"/>
    <s v="kg/2018 USD, purchaser price"/>
    <n v="2E-3"/>
    <n v="5.6000000000000001E-2"/>
    <n v="0"/>
    <n v="0"/>
    <n v="3.0000000000000001E-3"/>
    <n v="8.4000000000000005E-2"/>
  </r>
  <r>
    <s v="311210"/>
    <x v="38"/>
    <s v="nitrous oxide"/>
    <s v="kg/2018 USD, purchaser price"/>
    <n v="1E-3"/>
    <n v="0.26500000000000001"/>
    <n v="0"/>
    <n v="0"/>
    <n v="1E-3"/>
    <n v="0.26500000000000001"/>
  </r>
  <r>
    <s v="311210"/>
    <x v="38"/>
    <s v="other GHGs"/>
    <s v="kg CO2e/2018 USD, purchaser price"/>
    <n v="5.0000000000000001E-3"/>
    <n v="5.0000000000000001E-3"/>
    <n v="0"/>
    <n v="0"/>
    <n v="5.0000000000000001E-3"/>
    <n v="5.0000000000000001E-3"/>
  </r>
  <r>
    <s v="311221"/>
    <x v="39"/>
    <s v="carbon dioxide"/>
    <s v="kg/2018 USD, purchaser price"/>
    <n v="0.496"/>
    <n v="0.496"/>
    <n v="2.5999999999999999E-2"/>
    <n v="2.5999999999999999E-2"/>
    <n v="0.52300000000000002"/>
    <n v="0.52300000000000002"/>
  </r>
  <r>
    <s v="311221"/>
    <x v="39"/>
    <s v="methane"/>
    <s v="kg/2018 USD, purchaser price"/>
    <n v="2E-3"/>
    <n v="5.6000000000000001E-2"/>
    <n v="0"/>
    <n v="0"/>
    <n v="3.0000000000000001E-3"/>
    <n v="8.4000000000000005E-2"/>
  </r>
  <r>
    <s v="311221"/>
    <x v="39"/>
    <s v="nitrous oxide"/>
    <s v="kg/2018 USD, purchaser price"/>
    <n v="1E-3"/>
    <n v="0.26500000000000001"/>
    <n v="0"/>
    <n v="0"/>
    <n v="1E-3"/>
    <n v="0.26500000000000001"/>
  </r>
  <r>
    <s v="311221"/>
    <x v="39"/>
    <s v="other GHGs"/>
    <s v="kg CO2e/2018 USD, purchaser price"/>
    <n v="5.0000000000000001E-3"/>
    <n v="5.0000000000000001E-3"/>
    <n v="0"/>
    <n v="0"/>
    <n v="5.0000000000000001E-3"/>
    <n v="5.0000000000000001E-3"/>
  </r>
  <r>
    <s v="311224"/>
    <x v="40"/>
    <s v="carbon dioxide"/>
    <s v="kg/2018 USD, purchaser price"/>
    <n v="5.1999999999999998E-2"/>
    <n v="5.1999999999999998E-2"/>
    <n v="6.0000000000000001E-3"/>
    <n v="6.0000000000000001E-3"/>
    <n v="5.8000000000000003E-2"/>
    <n v="5.8000000000000003E-2"/>
  </r>
  <r>
    <s v="311224"/>
    <x v="40"/>
    <s v="methane"/>
    <s v="kg/2018 USD, purchaser price"/>
    <n v="0"/>
    <n v="0"/>
    <n v="0"/>
    <n v="0"/>
    <n v="0"/>
    <n v="0"/>
  </r>
  <r>
    <s v="311224"/>
    <x v="40"/>
    <s v="nitrous oxide"/>
    <s v="kg/2018 USD, purchaser price"/>
    <n v="0"/>
    <n v="0"/>
    <n v="0"/>
    <n v="0"/>
    <n v="0"/>
    <n v="0"/>
  </r>
  <r>
    <s v="311224"/>
    <x v="40"/>
    <s v="other GHGs"/>
    <s v="kg CO2e/2018 USD, purchaser price"/>
    <n v="4.0000000000000001E-3"/>
    <n v="4.0000000000000001E-3"/>
    <n v="0"/>
    <n v="0"/>
    <n v="4.0000000000000001E-3"/>
    <n v="4.0000000000000001E-3"/>
  </r>
  <r>
    <s v="311225"/>
    <x v="41"/>
    <s v="carbon dioxide"/>
    <s v="kg/2018 USD, purchaser price"/>
    <n v="0.35099999999999998"/>
    <n v="0.35099999999999998"/>
    <n v="3.1E-2"/>
    <n v="3.1E-2"/>
    <n v="0.38300000000000001"/>
    <n v="0.38300000000000001"/>
  </r>
  <r>
    <s v="311225"/>
    <x v="41"/>
    <s v="methane"/>
    <s v="kg/2018 USD, purchaser price"/>
    <n v="2E-3"/>
    <n v="5.6000000000000001E-2"/>
    <n v="0"/>
    <n v="0"/>
    <n v="2E-3"/>
    <n v="5.6000000000000001E-2"/>
  </r>
  <r>
    <s v="311225"/>
    <x v="41"/>
    <s v="nitrous oxide"/>
    <s v="kg/2018 USD, purchaser price"/>
    <n v="1E-3"/>
    <n v="0.26500000000000001"/>
    <n v="0"/>
    <n v="0"/>
    <n v="1E-3"/>
    <n v="0.26500000000000001"/>
  </r>
  <r>
    <s v="311225"/>
    <x v="41"/>
    <s v="other GHGs"/>
    <s v="kg CO2e/2018 USD, purchaser price"/>
    <n v="6.0000000000000001E-3"/>
    <n v="6.0000000000000001E-3"/>
    <n v="0"/>
    <n v="0"/>
    <n v="6.0000000000000001E-3"/>
    <n v="6.0000000000000001E-3"/>
  </r>
  <r>
    <s v="311230"/>
    <x v="42"/>
    <s v="carbon dioxide"/>
    <s v="kg/2018 USD, purchaser price"/>
    <n v="0.39"/>
    <n v="0.39"/>
    <n v="8.4000000000000005E-2"/>
    <n v="8.4000000000000005E-2"/>
    <n v="0.47399999999999998"/>
    <n v="0.47399999999999998"/>
  </r>
  <r>
    <s v="311230"/>
    <x v="42"/>
    <s v="methane"/>
    <s v="kg/2018 USD, purchaser price"/>
    <n v="2E-3"/>
    <n v="5.6000000000000001E-2"/>
    <n v="0"/>
    <n v="0"/>
    <n v="2E-3"/>
    <n v="5.6000000000000001E-2"/>
  </r>
  <r>
    <s v="311230"/>
    <x v="42"/>
    <s v="nitrous oxide"/>
    <s v="kg/2018 USD, purchaser price"/>
    <n v="1E-3"/>
    <n v="0.26500000000000001"/>
    <n v="0"/>
    <n v="0"/>
    <n v="1E-3"/>
    <n v="0.26500000000000001"/>
  </r>
  <r>
    <s v="311230"/>
    <x v="42"/>
    <s v="other GHGs"/>
    <s v="kg CO2e/2018 USD, purchaser price"/>
    <n v="1.0999999999999999E-2"/>
    <n v="1.0999999999999999E-2"/>
    <n v="0"/>
    <n v="0"/>
    <n v="1.0999999999999999E-2"/>
    <n v="1.0999999999999999E-2"/>
  </r>
  <r>
    <s v="311300"/>
    <x v="43"/>
    <s v="carbon dioxide"/>
    <s v="kg/2018 USD, purchaser price"/>
    <n v="0.437"/>
    <n v="0.437"/>
    <n v="7.8E-2"/>
    <n v="7.8E-2"/>
    <n v="0.51500000000000001"/>
    <n v="0.51500000000000001"/>
  </r>
  <r>
    <s v="311300"/>
    <x v="43"/>
    <s v="methane"/>
    <s v="kg/2018 USD, purchaser price"/>
    <n v="3.0000000000000001E-3"/>
    <n v="8.4000000000000005E-2"/>
    <n v="0"/>
    <n v="0"/>
    <n v="3.0000000000000001E-3"/>
    <n v="8.4000000000000005E-2"/>
  </r>
  <r>
    <s v="311300"/>
    <x v="43"/>
    <s v="nitrous oxide"/>
    <s v="kg/2018 USD, purchaser price"/>
    <n v="0"/>
    <n v="0"/>
    <n v="0"/>
    <n v="0"/>
    <n v="0"/>
    <n v="0"/>
  </r>
  <r>
    <s v="311300"/>
    <x v="43"/>
    <s v="other GHGs"/>
    <s v="kg CO2e/2018 USD, purchaser price"/>
    <n v="8.0000000000000002E-3"/>
    <n v="8.0000000000000002E-3"/>
    <n v="0"/>
    <n v="0"/>
    <n v="8.0000000000000002E-3"/>
    <n v="8.0000000000000002E-3"/>
  </r>
  <r>
    <s v="311410"/>
    <x v="44"/>
    <s v="carbon dioxide"/>
    <s v="kg/2018 USD, purchaser price"/>
    <n v="0.42399999999999999"/>
    <n v="0.42399999999999999"/>
    <n v="7.9000000000000001E-2"/>
    <n v="7.9000000000000001E-2"/>
    <n v="0.504"/>
    <n v="0.504"/>
  </r>
  <r>
    <s v="311410"/>
    <x v="44"/>
    <s v="methane"/>
    <s v="kg/2018 USD, purchaser price"/>
    <n v="6.0000000000000001E-3"/>
    <n v="0.16800000000000001"/>
    <n v="0"/>
    <n v="0"/>
    <n v="7.0000000000000001E-3"/>
    <n v="0.19600000000000001"/>
  </r>
  <r>
    <s v="311410"/>
    <x v="44"/>
    <s v="nitrous oxide"/>
    <s v="kg/2018 USD, purchaser price"/>
    <n v="1E-3"/>
    <n v="0.26500000000000001"/>
    <n v="0"/>
    <n v="0"/>
    <n v="1E-3"/>
    <n v="0.26500000000000001"/>
  </r>
  <r>
    <s v="311410"/>
    <x v="44"/>
    <s v="other GHGs"/>
    <s v="kg CO2e/2018 USD, purchaser price"/>
    <n v="7.0000000000000001E-3"/>
    <n v="7.0000000000000001E-3"/>
    <n v="0"/>
    <n v="0"/>
    <n v="7.0000000000000001E-3"/>
    <n v="7.0000000000000001E-3"/>
  </r>
  <r>
    <s v="311420"/>
    <x v="45"/>
    <s v="carbon dioxide"/>
    <s v="kg/2018 USD, purchaser price"/>
    <n v="0.29699999999999999"/>
    <n v="0.29699999999999999"/>
    <n v="6.0999999999999999E-2"/>
    <n v="6.0999999999999999E-2"/>
    <n v="0.35799999999999998"/>
    <n v="0.35799999999999998"/>
  </r>
  <r>
    <s v="311420"/>
    <x v="45"/>
    <s v="methane"/>
    <s v="kg/2018 USD, purchaser price"/>
    <n v="5.0000000000000001E-3"/>
    <n v="0.14000000000000001"/>
    <n v="0"/>
    <n v="0"/>
    <n v="5.0000000000000001E-3"/>
    <n v="0.14000000000000001"/>
  </r>
  <r>
    <s v="311420"/>
    <x v="45"/>
    <s v="nitrous oxide"/>
    <s v="kg/2018 USD, purchaser price"/>
    <n v="0"/>
    <n v="0"/>
    <n v="0"/>
    <n v="0"/>
    <n v="0"/>
    <n v="0"/>
  </r>
  <r>
    <s v="311420"/>
    <x v="45"/>
    <s v="other GHGs"/>
    <s v="kg CO2e/2018 USD, purchaser price"/>
    <n v="4.2999999999999997E-2"/>
    <n v="4.2999999999999997E-2"/>
    <n v="0"/>
    <n v="0"/>
    <n v="4.2999999999999997E-2"/>
    <n v="4.2999999999999997E-2"/>
  </r>
  <r>
    <s v="311513"/>
    <x v="46"/>
    <s v="carbon dioxide"/>
    <s v="kg/2018 USD, purchaser price"/>
    <n v="0.42099999999999999"/>
    <n v="0.42099999999999999"/>
    <n v="0.05"/>
    <n v="0.05"/>
    <n v="0.47099999999999997"/>
    <n v="0.47099999999999997"/>
  </r>
  <r>
    <s v="311513"/>
    <x v="46"/>
    <s v="methane"/>
    <s v="kg/2018 USD, purchaser price"/>
    <n v="3.5999999999999997E-2"/>
    <n v="1.008"/>
    <n v="0"/>
    <n v="0"/>
    <n v="3.5999999999999997E-2"/>
    <n v="1.008"/>
  </r>
  <r>
    <s v="311513"/>
    <x v="46"/>
    <s v="nitrous oxide"/>
    <s v="kg/2018 USD, purchaser price"/>
    <n v="1E-3"/>
    <n v="0.26500000000000001"/>
    <n v="0"/>
    <n v="0"/>
    <n v="1E-3"/>
    <n v="0.26500000000000001"/>
  </r>
  <r>
    <s v="311513"/>
    <x v="46"/>
    <s v="other GHGs"/>
    <s v="kg CO2e/2018 USD, purchaser price"/>
    <n v="7.0000000000000001E-3"/>
    <n v="7.0000000000000001E-3"/>
    <n v="0"/>
    <n v="0"/>
    <n v="7.0000000000000001E-3"/>
    <n v="7.0000000000000001E-3"/>
  </r>
  <r>
    <s v="311514"/>
    <x v="47"/>
    <s v="carbon dioxide"/>
    <s v="kg/2018 USD, purchaser price"/>
    <n v="0.41299999999999998"/>
    <n v="0.41299999999999998"/>
    <n v="5.3999999999999999E-2"/>
    <n v="5.3999999999999999E-2"/>
    <n v="0.46700000000000003"/>
    <n v="0.46700000000000003"/>
  </r>
  <r>
    <s v="311514"/>
    <x v="47"/>
    <s v="methane"/>
    <s v="kg/2018 USD, purchaser price"/>
    <n v="2.5000000000000001E-2"/>
    <n v="0.70000000000000007"/>
    <n v="0"/>
    <n v="0"/>
    <n v="2.5999999999999999E-2"/>
    <n v="0.72799999999999998"/>
  </r>
  <r>
    <s v="311514"/>
    <x v="47"/>
    <s v="nitrous oxide"/>
    <s v="kg/2018 USD, purchaser price"/>
    <n v="1E-3"/>
    <n v="0.26500000000000001"/>
    <n v="0"/>
    <n v="0"/>
    <n v="1E-3"/>
    <n v="0.26500000000000001"/>
  </r>
  <r>
    <s v="311514"/>
    <x v="47"/>
    <s v="other GHGs"/>
    <s v="kg CO2e/2018 USD, purchaser price"/>
    <n v="8.0000000000000002E-3"/>
    <n v="8.0000000000000002E-3"/>
    <n v="0"/>
    <n v="0"/>
    <n v="8.0000000000000002E-3"/>
    <n v="8.0000000000000002E-3"/>
  </r>
  <r>
    <s v="31151A"/>
    <x v="48"/>
    <s v="carbon dioxide"/>
    <s v="kg/2018 USD, purchaser price"/>
    <n v="0.40699999999999997"/>
    <n v="0.40699999999999997"/>
    <n v="6.3E-2"/>
    <n v="6.3E-2"/>
    <n v="0.47"/>
    <n v="0.47"/>
  </r>
  <r>
    <s v="31151A"/>
    <x v="48"/>
    <s v="methane"/>
    <s v="kg/2018 USD, purchaser price"/>
    <n v="3.1E-2"/>
    <n v="0.86799999999999999"/>
    <n v="0"/>
    <n v="0"/>
    <n v="3.1E-2"/>
    <n v="0.86799999999999999"/>
  </r>
  <r>
    <s v="31151A"/>
    <x v="48"/>
    <s v="nitrous oxide"/>
    <s v="kg/2018 USD, purchaser price"/>
    <n v="1E-3"/>
    <n v="0.26500000000000001"/>
    <n v="0"/>
    <n v="0"/>
    <n v="1E-3"/>
    <n v="0.26500000000000001"/>
  </r>
  <r>
    <s v="31151A"/>
    <x v="48"/>
    <s v="other GHGs"/>
    <s v="kg CO2e/2018 USD, purchaser price"/>
    <n v="7.0000000000000001E-3"/>
    <n v="7.0000000000000001E-3"/>
    <n v="0"/>
    <n v="0"/>
    <n v="7.0000000000000001E-3"/>
    <n v="7.0000000000000001E-3"/>
  </r>
  <r>
    <s v="311520"/>
    <x v="49"/>
    <s v="carbon dioxide"/>
    <s v="kg/2018 USD, purchaser price"/>
    <n v="0.36399999999999999"/>
    <n v="0.36399999999999999"/>
    <n v="4.2000000000000003E-2"/>
    <n v="4.2000000000000003E-2"/>
    <n v="0.40600000000000003"/>
    <n v="0.40600000000000003"/>
  </r>
  <r>
    <s v="311520"/>
    <x v="49"/>
    <s v="methane"/>
    <s v="kg/2018 USD, purchaser price"/>
    <n v="1.2E-2"/>
    <n v="0.33600000000000002"/>
    <n v="0"/>
    <n v="0"/>
    <n v="1.2E-2"/>
    <n v="0.33600000000000002"/>
  </r>
  <r>
    <s v="311520"/>
    <x v="49"/>
    <s v="nitrous oxide"/>
    <s v="kg/2018 USD, purchaser price"/>
    <n v="0"/>
    <n v="0"/>
    <n v="0"/>
    <n v="0"/>
    <n v="0"/>
    <n v="0"/>
  </r>
  <r>
    <s v="311520"/>
    <x v="49"/>
    <s v="other GHGs"/>
    <s v="kg CO2e/2018 USD, purchaser price"/>
    <n v="1.4E-2"/>
    <n v="1.4E-2"/>
    <n v="0"/>
    <n v="0"/>
    <n v="1.4E-2"/>
    <n v="1.4E-2"/>
  </r>
  <r>
    <s v="311615"/>
    <x v="50"/>
    <s v="carbon dioxide"/>
    <s v="kg/2018 USD, purchaser price"/>
    <n v="0.47699999999999998"/>
    <n v="0.47699999999999998"/>
    <n v="0.05"/>
    <n v="0.05"/>
    <n v="0.52800000000000002"/>
    <n v="0.52800000000000002"/>
  </r>
  <r>
    <s v="311615"/>
    <x v="50"/>
    <s v="methane"/>
    <s v="kg/2018 USD, purchaser price"/>
    <n v="6.0000000000000001E-3"/>
    <n v="0.16800000000000001"/>
    <n v="0"/>
    <n v="0"/>
    <n v="6.0000000000000001E-3"/>
    <n v="0.16800000000000001"/>
  </r>
  <r>
    <s v="311615"/>
    <x v="50"/>
    <s v="nitrous oxide"/>
    <s v="kg/2018 USD, purchaser price"/>
    <n v="1E-3"/>
    <n v="0.26500000000000001"/>
    <n v="0"/>
    <n v="0"/>
    <n v="1E-3"/>
    <n v="0.26500000000000001"/>
  </r>
  <r>
    <s v="311615"/>
    <x v="50"/>
    <s v="other GHGs"/>
    <s v="kg CO2e/2018 USD, purchaser price"/>
    <n v="5.0000000000000001E-3"/>
    <n v="5.0000000000000001E-3"/>
    <n v="0"/>
    <n v="0"/>
    <n v="5.0000000000000001E-3"/>
    <n v="5.0000000000000001E-3"/>
  </r>
  <r>
    <s v="31161A"/>
    <x v="51"/>
    <s v="carbon dioxide"/>
    <s v="kg/2018 USD, purchaser price"/>
    <n v="0.41799999999999998"/>
    <n v="0.41799999999999998"/>
    <n v="5.0999999999999997E-2"/>
    <n v="5.0999999999999997E-2"/>
    <n v="0.46899999999999997"/>
    <n v="0.46899999999999997"/>
  </r>
  <r>
    <s v="31161A"/>
    <x v="51"/>
    <s v="methane"/>
    <s v="kg/2018 USD, purchaser price"/>
    <n v="4.1000000000000002E-2"/>
    <n v="1.1480000000000001"/>
    <n v="0"/>
    <n v="0"/>
    <n v="4.1000000000000002E-2"/>
    <n v="1.1480000000000001"/>
  </r>
  <r>
    <s v="31161A"/>
    <x v="51"/>
    <s v="nitrous oxide"/>
    <s v="kg/2018 USD, purchaser price"/>
    <n v="2E-3"/>
    <n v="0.53"/>
    <n v="0"/>
    <n v="0"/>
    <n v="2E-3"/>
    <n v="0.53"/>
  </r>
  <r>
    <s v="31161A"/>
    <x v="51"/>
    <s v="other GHGs"/>
    <s v="kg CO2e/2018 USD, purchaser price"/>
    <n v="4.0000000000000001E-3"/>
    <n v="4.0000000000000001E-3"/>
    <n v="0"/>
    <n v="0"/>
    <n v="4.0000000000000001E-3"/>
    <n v="4.0000000000000001E-3"/>
  </r>
  <r>
    <s v="311700"/>
    <x v="52"/>
    <s v="carbon dioxide"/>
    <s v="kg/2018 USD, purchaser price"/>
    <n v="0.27600000000000002"/>
    <n v="0.27600000000000002"/>
    <n v="5.6000000000000001E-2"/>
    <n v="5.6000000000000001E-2"/>
    <n v="0.33200000000000002"/>
    <n v="0.33200000000000002"/>
  </r>
  <r>
    <s v="311700"/>
    <x v="52"/>
    <s v="methane"/>
    <s v="kg/2018 USD, purchaser price"/>
    <n v="4.0000000000000001E-3"/>
    <n v="0.112"/>
    <n v="0"/>
    <n v="0"/>
    <n v="4.0000000000000001E-3"/>
    <n v="0.112"/>
  </r>
  <r>
    <s v="311700"/>
    <x v="52"/>
    <s v="nitrous oxide"/>
    <s v="kg/2018 USD, purchaser price"/>
    <n v="0"/>
    <n v="0"/>
    <n v="0"/>
    <n v="0"/>
    <n v="0"/>
    <n v="0"/>
  </r>
  <r>
    <s v="311700"/>
    <x v="52"/>
    <s v="other GHGs"/>
    <s v="kg CO2e/2018 USD, purchaser price"/>
    <n v="5.0000000000000001E-3"/>
    <n v="5.0000000000000001E-3"/>
    <n v="0"/>
    <n v="0"/>
    <n v="5.0000000000000001E-3"/>
    <n v="5.0000000000000001E-3"/>
  </r>
  <r>
    <s v="311810"/>
    <x v="53"/>
    <s v="carbon dioxide"/>
    <s v="kg/2018 USD, purchaser price"/>
    <n v="0.191"/>
    <n v="0.191"/>
    <n v="5.1999999999999998E-2"/>
    <n v="5.1999999999999998E-2"/>
    <n v="0.24299999999999999"/>
    <n v="0.24299999999999999"/>
  </r>
  <r>
    <s v="311810"/>
    <x v="53"/>
    <s v="methane"/>
    <s v="kg/2018 USD, purchaser price"/>
    <n v="1E-3"/>
    <n v="2.8000000000000001E-2"/>
    <n v="0"/>
    <n v="0"/>
    <n v="2E-3"/>
    <n v="5.6000000000000001E-2"/>
  </r>
  <r>
    <s v="311810"/>
    <x v="53"/>
    <s v="nitrous oxide"/>
    <s v="kg/2018 USD, purchaser price"/>
    <n v="0"/>
    <n v="0"/>
    <n v="0"/>
    <n v="0"/>
    <n v="0"/>
    <n v="0"/>
  </r>
  <r>
    <s v="311810"/>
    <x v="53"/>
    <s v="other GHGs"/>
    <s v="kg CO2e/2018 USD, purchaser price"/>
    <n v="6.0000000000000001E-3"/>
    <n v="6.0000000000000001E-3"/>
    <n v="0"/>
    <n v="0"/>
    <n v="6.0000000000000001E-3"/>
    <n v="6.0000000000000001E-3"/>
  </r>
  <r>
    <s v="3118A0"/>
    <x v="54"/>
    <s v="carbon dioxide"/>
    <s v="kg/2018 USD, purchaser price"/>
    <n v="0.39300000000000002"/>
    <n v="0.39300000000000002"/>
    <n v="8.5000000000000006E-2"/>
    <n v="8.5000000000000006E-2"/>
    <n v="0.47799999999999998"/>
    <n v="0.47799999999999998"/>
  </r>
  <r>
    <s v="3118A0"/>
    <x v="54"/>
    <s v="methane"/>
    <s v="kg/2018 USD, purchaser price"/>
    <n v="4.0000000000000001E-3"/>
    <n v="0.112"/>
    <n v="0"/>
    <n v="0"/>
    <n v="4.0000000000000001E-3"/>
    <n v="0.112"/>
  </r>
  <r>
    <s v="3118A0"/>
    <x v="54"/>
    <s v="nitrous oxide"/>
    <s v="kg/2018 USD, purchaser price"/>
    <n v="1E-3"/>
    <n v="0.26500000000000001"/>
    <n v="0"/>
    <n v="0"/>
    <n v="1E-3"/>
    <n v="0.26500000000000001"/>
  </r>
  <r>
    <s v="3118A0"/>
    <x v="54"/>
    <s v="other GHGs"/>
    <s v="kg CO2e/2018 USD, purchaser price"/>
    <n v="1.0999999999999999E-2"/>
    <n v="1.0999999999999999E-2"/>
    <n v="0"/>
    <n v="0"/>
    <n v="1.0999999999999999E-2"/>
    <n v="1.0999999999999999E-2"/>
  </r>
  <r>
    <s v="311910"/>
    <x v="55"/>
    <s v="carbon dioxide"/>
    <s v="kg/2018 USD, purchaser price"/>
    <n v="0.17499999999999999"/>
    <n v="0.17499999999999999"/>
    <n v="3.6999999999999998E-2"/>
    <n v="3.6999999999999998E-2"/>
    <n v="0.21199999999999999"/>
    <n v="0.21199999999999999"/>
  </r>
  <r>
    <s v="311910"/>
    <x v="55"/>
    <s v="methane"/>
    <s v="kg/2018 USD, purchaser price"/>
    <n v="1E-3"/>
    <n v="2.8000000000000001E-2"/>
    <n v="0"/>
    <n v="0"/>
    <n v="1E-3"/>
    <n v="2.8000000000000001E-2"/>
  </r>
  <r>
    <s v="311910"/>
    <x v="55"/>
    <s v="nitrous oxide"/>
    <s v="kg/2018 USD, purchaser price"/>
    <n v="0"/>
    <n v="0"/>
    <n v="0"/>
    <n v="0"/>
    <n v="0"/>
    <n v="0"/>
  </r>
  <r>
    <s v="311910"/>
    <x v="55"/>
    <s v="other GHGs"/>
    <s v="kg CO2e/2018 USD, purchaser price"/>
    <n v="8.9999999999999993E-3"/>
    <n v="8.9999999999999993E-3"/>
    <n v="0"/>
    <n v="0"/>
    <n v="8.9999999999999993E-3"/>
    <n v="8.9999999999999993E-3"/>
  </r>
  <r>
    <s v="311920"/>
    <x v="56"/>
    <s v="carbon dioxide"/>
    <s v="kg/2018 USD, purchaser price"/>
    <n v="0.184"/>
    <n v="0.184"/>
    <n v="3.9E-2"/>
    <n v="3.9E-2"/>
    <n v="0.222"/>
    <n v="0.222"/>
  </r>
  <r>
    <s v="311920"/>
    <x v="56"/>
    <s v="methane"/>
    <s v="kg/2018 USD, purchaser price"/>
    <n v="1E-3"/>
    <n v="2.8000000000000001E-2"/>
    <n v="0"/>
    <n v="0"/>
    <n v="1E-3"/>
    <n v="2.8000000000000001E-2"/>
  </r>
  <r>
    <s v="311920"/>
    <x v="56"/>
    <s v="nitrous oxide"/>
    <s v="kg/2018 USD, purchaser price"/>
    <n v="0"/>
    <n v="0"/>
    <n v="0"/>
    <n v="0"/>
    <n v="0"/>
    <n v="0"/>
  </r>
  <r>
    <s v="311920"/>
    <x v="56"/>
    <s v="other GHGs"/>
    <s v="kg CO2e/2018 USD, purchaser price"/>
    <n v="5.0000000000000001E-3"/>
    <n v="5.0000000000000001E-3"/>
    <n v="0"/>
    <n v="0"/>
    <n v="5.0000000000000001E-3"/>
    <n v="5.0000000000000001E-3"/>
  </r>
  <r>
    <s v="311930"/>
    <x v="57"/>
    <s v="carbon dioxide"/>
    <s v="kg/2018 USD, purchaser price"/>
    <n v="8.5000000000000006E-2"/>
    <n v="8.5000000000000006E-2"/>
    <n v="8.9999999999999993E-3"/>
    <n v="8.9999999999999993E-3"/>
    <n v="9.4E-2"/>
    <n v="9.4E-2"/>
  </r>
  <r>
    <s v="311930"/>
    <x v="57"/>
    <s v="methane"/>
    <s v="kg/2018 USD, purchaser price"/>
    <n v="1E-3"/>
    <n v="2.8000000000000001E-2"/>
    <n v="0"/>
    <n v="0"/>
    <n v="1E-3"/>
    <n v="2.8000000000000001E-2"/>
  </r>
  <r>
    <s v="311930"/>
    <x v="57"/>
    <s v="nitrous oxide"/>
    <s v="kg/2018 USD, purchaser price"/>
    <n v="0"/>
    <n v="0"/>
    <n v="0"/>
    <n v="0"/>
    <n v="0"/>
    <n v="0"/>
  </r>
  <r>
    <s v="311930"/>
    <x v="57"/>
    <s v="other GHGs"/>
    <s v="kg CO2e/2018 USD, purchaser price"/>
    <n v="7.0000000000000001E-3"/>
    <n v="7.0000000000000001E-3"/>
    <n v="0"/>
    <n v="0"/>
    <n v="7.0000000000000001E-3"/>
    <n v="7.0000000000000001E-3"/>
  </r>
  <r>
    <s v="311940"/>
    <x v="58"/>
    <s v="carbon dioxide"/>
    <s v="kg/2018 USD, purchaser price"/>
    <n v="0.159"/>
    <n v="0.159"/>
    <n v="0.03"/>
    <n v="0.03"/>
    <n v="0.189"/>
    <n v="0.189"/>
  </r>
  <r>
    <s v="311940"/>
    <x v="58"/>
    <s v="methane"/>
    <s v="kg/2018 USD, purchaser price"/>
    <n v="2E-3"/>
    <n v="5.6000000000000001E-2"/>
    <n v="0"/>
    <n v="0"/>
    <n v="2E-3"/>
    <n v="5.6000000000000001E-2"/>
  </r>
  <r>
    <s v="311940"/>
    <x v="58"/>
    <s v="nitrous oxide"/>
    <s v="kg/2018 USD, purchaser price"/>
    <n v="0"/>
    <n v="0"/>
    <n v="0"/>
    <n v="0"/>
    <n v="0"/>
    <n v="0"/>
  </r>
  <r>
    <s v="311940"/>
    <x v="58"/>
    <s v="other GHGs"/>
    <s v="kg CO2e/2018 USD, purchaser price"/>
    <n v="7.0000000000000001E-3"/>
    <n v="7.0000000000000001E-3"/>
    <n v="0"/>
    <n v="0"/>
    <n v="7.0000000000000001E-3"/>
    <n v="7.0000000000000001E-3"/>
  </r>
  <r>
    <s v="311990"/>
    <x v="59"/>
    <s v="carbon dioxide"/>
    <s v="kg/2018 USD, purchaser price"/>
    <n v="0.14899999999999999"/>
    <n v="0.14899999999999999"/>
    <n v="3.7999999999999999E-2"/>
    <n v="3.7999999999999999E-2"/>
    <n v="0.188"/>
    <n v="0.188"/>
  </r>
  <r>
    <s v="311990"/>
    <x v="59"/>
    <s v="methane"/>
    <s v="kg/2018 USD, purchaser price"/>
    <n v="2E-3"/>
    <n v="5.6000000000000001E-2"/>
    <n v="0"/>
    <n v="0"/>
    <n v="2E-3"/>
    <n v="5.6000000000000001E-2"/>
  </r>
  <r>
    <s v="311990"/>
    <x v="59"/>
    <s v="nitrous oxide"/>
    <s v="kg/2018 USD, purchaser price"/>
    <n v="0"/>
    <n v="0"/>
    <n v="0"/>
    <n v="0"/>
    <n v="0"/>
    <n v="0"/>
  </r>
  <r>
    <s v="311990"/>
    <x v="59"/>
    <s v="other GHGs"/>
    <s v="kg CO2e/2018 USD, purchaser price"/>
    <n v="6.0000000000000001E-3"/>
    <n v="6.0000000000000001E-3"/>
    <n v="0"/>
    <n v="0"/>
    <n v="6.0000000000000001E-3"/>
    <n v="6.0000000000000001E-3"/>
  </r>
  <r>
    <s v="312110"/>
    <x v="60"/>
    <s v="carbon dioxide"/>
    <s v="kg/2018 USD, purchaser price"/>
    <n v="0.20499999999999999"/>
    <n v="0.20499999999999999"/>
    <n v="4.2999999999999997E-2"/>
    <n v="4.2999999999999997E-2"/>
    <n v="0.248"/>
    <n v="0.248"/>
  </r>
  <r>
    <s v="312110"/>
    <x v="60"/>
    <s v="methane"/>
    <s v="kg/2018 USD, purchaser price"/>
    <n v="1E-3"/>
    <n v="2.8000000000000001E-2"/>
    <n v="0"/>
    <n v="0"/>
    <n v="1E-3"/>
    <n v="2.8000000000000001E-2"/>
  </r>
  <r>
    <s v="312110"/>
    <x v="60"/>
    <s v="nitrous oxide"/>
    <s v="kg/2018 USD, purchaser price"/>
    <n v="0"/>
    <n v="0"/>
    <n v="0"/>
    <n v="0"/>
    <n v="0"/>
    <n v="0"/>
  </r>
  <r>
    <s v="312110"/>
    <x v="60"/>
    <s v="other GHGs"/>
    <s v="kg CO2e/2018 USD, purchaser price"/>
    <n v="2.4E-2"/>
    <n v="2.4E-2"/>
    <n v="0"/>
    <n v="0"/>
    <n v="2.4E-2"/>
    <n v="2.4E-2"/>
  </r>
  <r>
    <s v="312120"/>
    <x v="61"/>
    <s v="carbon dioxide"/>
    <s v="kg/2018 USD, purchaser price"/>
    <n v="0.25900000000000001"/>
    <n v="0.25900000000000001"/>
    <n v="9.9000000000000005E-2"/>
    <n v="9.9000000000000005E-2"/>
    <n v="0.35899999999999999"/>
    <n v="0.35899999999999999"/>
  </r>
  <r>
    <s v="312120"/>
    <x v="61"/>
    <s v="methane"/>
    <s v="kg/2018 USD, purchaser price"/>
    <n v="1E-3"/>
    <n v="2.8000000000000001E-2"/>
    <n v="1E-3"/>
    <n v="2.8000000000000001E-2"/>
    <n v="2E-3"/>
    <n v="5.6000000000000001E-2"/>
  </r>
  <r>
    <s v="312120"/>
    <x v="61"/>
    <s v="nitrous oxide"/>
    <s v="kg/2018 USD, purchaser price"/>
    <n v="0"/>
    <n v="0"/>
    <n v="0"/>
    <n v="0"/>
    <n v="0"/>
    <n v="0"/>
  </r>
  <r>
    <s v="312120"/>
    <x v="61"/>
    <s v="other GHGs"/>
    <s v="kg CO2e/2018 USD, purchaser price"/>
    <n v="0.01"/>
    <n v="0.01"/>
    <n v="0"/>
    <n v="0"/>
    <n v="0.01"/>
    <n v="0.01"/>
  </r>
  <r>
    <s v="312130"/>
    <x v="62"/>
    <s v="carbon dioxide"/>
    <s v="kg/2018 USD, purchaser price"/>
    <n v="0.155"/>
    <n v="0.155"/>
    <n v="0.14499999999999999"/>
    <n v="0.14499999999999999"/>
    <n v="0.3"/>
    <n v="0.3"/>
  </r>
  <r>
    <s v="312130"/>
    <x v="62"/>
    <s v="methane"/>
    <s v="kg/2018 USD, purchaser price"/>
    <n v="1E-3"/>
    <n v="2.8000000000000001E-2"/>
    <n v="1E-3"/>
    <n v="2.8000000000000001E-2"/>
    <n v="1E-3"/>
    <n v="2.8000000000000001E-2"/>
  </r>
  <r>
    <s v="312130"/>
    <x v="62"/>
    <s v="nitrous oxide"/>
    <s v="kg/2018 USD, purchaser price"/>
    <n v="0"/>
    <n v="0"/>
    <n v="0"/>
    <n v="0"/>
    <n v="0"/>
    <n v="0"/>
  </r>
  <r>
    <s v="312130"/>
    <x v="62"/>
    <s v="other GHGs"/>
    <s v="kg CO2e/2018 USD, purchaser price"/>
    <n v="5.0000000000000001E-3"/>
    <n v="5.0000000000000001E-3"/>
    <n v="0"/>
    <n v="0"/>
    <n v="5.0000000000000001E-3"/>
    <n v="5.0000000000000001E-3"/>
  </r>
  <r>
    <s v="312140"/>
    <x v="63"/>
    <s v="carbon dioxide"/>
    <s v="kg/2018 USD, purchaser price"/>
    <n v="0.29099999999999998"/>
    <n v="0.29099999999999998"/>
    <n v="8.2000000000000003E-2"/>
    <n v="8.2000000000000003E-2"/>
    <n v="0.373"/>
    <n v="0.373"/>
  </r>
  <r>
    <s v="312140"/>
    <x v="63"/>
    <s v="methane"/>
    <s v="kg/2018 USD, purchaser price"/>
    <n v="1E-3"/>
    <n v="2.8000000000000001E-2"/>
    <n v="0"/>
    <n v="0"/>
    <n v="2E-3"/>
    <n v="5.6000000000000001E-2"/>
  </r>
  <r>
    <s v="312140"/>
    <x v="63"/>
    <s v="nitrous oxide"/>
    <s v="kg/2018 USD, purchaser price"/>
    <n v="0"/>
    <n v="0"/>
    <n v="0"/>
    <n v="0"/>
    <n v="0"/>
    <n v="0"/>
  </r>
  <r>
    <s v="312140"/>
    <x v="63"/>
    <s v="other GHGs"/>
    <s v="kg CO2e/2018 USD, purchaser price"/>
    <n v="4.0000000000000001E-3"/>
    <n v="4.0000000000000001E-3"/>
    <n v="0"/>
    <n v="0"/>
    <n v="4.0000000000000001E-3"/>
    <n v="4.0000000000000001E-3"/>
  </r>
  <r>
    <s v="312200"/>
    <x v="64"/>
    <s v="carbon dioxide"/>
    <s v="kg/2018 USD, purchaser price"/>
    <n v="0.109"/>
    <n v="0.109"/>
    <n v="7.5999999999999998E-2"/>
    <n v="7.5999999999999998E-2"/>
    <n v="0.185"/>
    <n v="0.185"/>
  </r>
  <r>
    <s v="312200"/>
    <x v="64"/>
    <s v="methane"/>
    <s v="kg/2018 USD, purchaser price"/>
    <n v="0"/>
    <n v="0"/>
    <n v="0"/>
    <n v="0"/>
    <n v="1E-3"/>
    <n v="2.8000000000000001E-2"/>
  </r>
  <r>
    <s v="312200"/>
    <x v="64"/>
    <s v="nitrous oxide"/>
    <s v="kg/2018 USD, purchaser price"/>
    <n v="0"/>
    <n v="0"/>
    <n v="0"/>
    <n v="0"/>
    <n v="0"/>
    <n v="0"/>
  </r>
  <r>
    <s v="312200"/>
    <x v="64"/>
    <s v="other GHGs"/>
    <s v="kg CO2e/2018 USD, purchaser price"/>
    <n v="2E-3"/>
    <n v="2E-3"/>
    <n v="0"/>
    <n v="0"/>
    <n v="2E-3"/>
    <n v="2E-3"/>
  </r>
  <r>
    <s v="313100"/>
    <x v="65"/>
    <s v="carbon dioxide"/>
    <s v="kg/2018 USD, purchaser price"/>
    <n v="0.48899999999999999"/>
    <n v="0.48899999999999999"/>
    <n v="3.7999999999999999E-2"/>
    <n v="3.7999999999999999E-2"/>
    <n v="0.52700000000000002"/>
    <n v="0.52700000000000002"/>
  </r>
  <r>
    <s v="313100"/>
    <x v="65"/>
    <s v="methane"/>
    <s v="kg/2018 USD, purchaser price"/>
    <n v="2E-3"/>
    <n v="5.6000000000000001E-2"/>
    <n v="0"/>
    <n v="0"/>
    <n v="3.0000000000000001E-3"/>
    <n v="8.4000000000000005E-2"/>
  </r>
  <r>
    <s v="313100"/>
    <x v="65"/>
    <s v="nitrous oxide"/>
    <s v="kg/2018 USD, purchaser price"/>
    <n v="0"/>
    <n v="0"/>
    <n v="0"/>
    <n v="0"/>
    <n v="0"/>
    <n v="0"/>
  </r>
  <r>
    <s v="313100"/>
    <x v="65"/>
    <s v="other GHGs"/>
    <s v="kg CO2e/2018 USD, purchaser price"/>
    <n v="5.0000000000000001E-3"/>
    <n v="5.0000000000000001E-3"/>
    <n v="0"/>
    <n v="0"/>
    <n v="5.0000000000000001E-3"/>
    <n v="5.0000000000000001E-3"/>
  </r>
  <r>
    <s v="313200"/>
    <x v="66"/>
    <s v="carbon dioxide"/>
    <s v="kg/2018 USD, purchaser price"/>
    <n v="0.376"/>
    <n v="0.376"/>
    <n v="5.3999999999999999E-2"/>
    <n v="5.3999999999999999E-2"/>
    <n v="0.43"/>
    <n v="0.43"/>
  </r>
  <r>
    <s v="313200"/>
    <x v="66"/>
    <s v="methane"/>
    <s v="kg/2018 USD, purchaser price"/>
    <n v="2E-3"/>
    <n v="5.6000000000000001E-2"/>
    <n v="0"/>
    <n v="0"/>
    <n v="2E-3"/>
    <n v="5.6000000000000001E-2"/>
  </r>
  <r>
    <s v="313200"/>
    <x v="66"/>
    <s v="nitrous oxide"/>
    <s v="kg/2018 USD, purchaser price"/>
    <n v="0"/>
    <n v="0"/>
    <n v="0"/>
    <n v="0"/>
    <n v="0"/>
    <n v="0"/>
  </r>
  <r>
    <s v="313200"/>
    <x v="66"/>
    <s v="other GHGs"/>
    <s v="kg CO2e/2018 USD, purchaser price"/>
    <n v="4.0000000000000001E-3"/>
    <n v="4.0000000000000001E-3"/>
    <n v="0"/>
    <n v="0"/>
    <n v="4.0000000000000001E-3"/>
    <n v="4.0000000000000001E-3"/>
  </r>
  <r>
    <s v="313300"/>
    <x v="67"/>
    <s v="carbon dioxide"/>
    <s v="kg/2018 USD, purchaser price"/>
    <n v="0.251"/>
    <n v="0.251"/>
    <n v="2.5000000000000001E-2"/>
    <n v="2.5000000000000001E-2"/>
    <n v="0.27600000000000002"/>
    <n v="0.27600000000000002"/>
  </r>
  <r>
    <s v="313300"/>
    <x v="67"/>
    <s v="methane"/>
    <s v="kg/2018 USD, purchaser price"/>
    <n v="1E-3"/>
    <n v="2.8000000000000001E-2"/>
    <n v="0"/>
    <n v="0"/>
    <n v="1E-3"/>
    <n v="2.8000000000000001E-2"/>
  </r>
  <r>
    <s v="313300"/>
    <x v="67"/>
    <s v="nitrous oxide"/>
    <s v="kg/2018 USD, purchaser price"/>
    <n v="0"/>
    <n v="0"/>
    <n v="0"/>
    <n v="0"/>
    <n v="0"/>
    <n v="0"/>
  </r>
  <r>
    <s v="313300"/>
    <x v="67"/>
    <s v="other GHGs"/>
    <s v="kg CO2e/2018 USD, purchaser price"/>
    <n v="5.0000000000000001E-3"/>
    <n v="5.0000000000000001E-3"/>
    <n v="0"/>
    <n v="0"/>
    <n v="5.0000000000000001E-3"/>
    <n v="5.0000000000000001E-3"/>
  </r>
  <r>
    <s v="314110"/>
    <x v="68"/>
    <s v="carbon dioxide"/>
    <s v="kg/2018 USD, purchaser price"/>
    <n v="0.439"/>
    <n v="0.439"/>
    <n v="0.21199999999999999"/>
    <n v="0.21199999999999999"/>
    <n v="0.65100000000000002"/>
    <n v="0.65100000000000002"/>
  </r>
  <r>
    <s v="314110"/>
    <x v="68"/>
    <s v="methane"/>
    <s v="kg/2018 USD, purchaser price"/>
    <n v="2E-3"/>
    <n v="5.6000000000000001E-2"/>
    <n v="1E-3"/>
    <n v="2.8000000000000001E-2"/>
    <n v="3.0000000000000001E-3"/>
    <n v="8.4000000000000005E-2"/>
  </r>
  <r>
    <s v="314110"/>
    <x v="68"/>
    <s v="nitrous oxide"/>
    <s v="kg/2018 USD, purchaser price"/>
    <n v="0"/>
    <n v="0"/>
    <n v="0"/>
    <n v="0"/>
    <n v="0"/>
    <n v="0"/>
  </r>
  <r>
    <s v="314110"/>
    <x v="68"/>
    <s v="other GHGs"/>
    <s v="kg CO2e/2018 USD, purchaser price"/>
    <n v="6.0000000000000001E-3"/>
    <n v="6.0000000000000001E-3"/>
    <n v="0"/>
    <n v="0"/>
    <n v="6.0000000000000001E-3"/>
    <n v="6.0000000000000001E-3"/>
  </r>
  <r>
    <s v="314120"/>
    <x v="69"/>
    <s v="carbon dioxide"/>
    <s v="kg/2018 USD, purchaser price"/>
    <n v="0.25600000000000001"/>
    <n v="0.25600000000000001"/>
    <n v="0.77900000000000003"/>
    <n v="0.77900000000000003"/>
    <n v="1.0349999999999999"/>
    <n v="1.0349999999999999"/>
  </r>
  <r>
    <s v="314120"/>
    <x v="69"/>
    <s v="methane"/>
    <s v="kg/2018 USD, purchaser price"/>
    <n v="1E-3"/>
    <n v="2.8000000000000001E-2"/>
    <n v="4.0000000000000001E-3"/>
    <n v="0.112"/>
    <n v="5.0000000000000001E-3"/>
    <n v="0.14000000000000001"/>
  </r>
  <r>
    <s v="314120"/>
    <x v="69"/>
    <s v="nitrous oxide"/>
    <s v="kg/2018 USD, purchaser price"/>
    <n v="0"/>
    <n v="0"/>
    <n v="0"/>
    <n v="0"/>
    <n v="0"/>
    <n v="0"/>
  </r>
  <r>
    <s v="314120"/>
    <x v="69"/>
    <s v="other GHGs"/>
    <s v="kg CO2e/2018 USD, purchaser price"/>
    <n v="7.0000000000000001E-3"/>
    <n v="7.0000000000000001E-3"/>
    <n v="0"/>
    <n v="0"/>
    <n v="7.0000000000000001E-3"/>
    <n v="7.0000000000000001E-3"/>
  </r>
  <r>
    <s v="314900"/>
    <x v="70"/>
    <s v="carbon dioxide"/>
    <s v="kg/2018 USD, purchaser price"/>
    <n v="0.34399999999999997"/>
    <n v="0.34399999999999997"/>
    <n v="0.215"/>
    <n v="0.215"/>
    <n v="0.55900000000000005"/>
    <n v="0.55900000000000005"/>
  </r>
  <r>
    <s v="314900"/>
    <x v="70"/>
    <s v="methane"/>
    <s v="kg/2018 USD, purchaser price"/>
    <n v="2E-3"/>
    <n v="5.6000000000000001E-2"/>
    <n v="1E-3"/>
    <n v="2.8000000000000001E-2"/>
    <n v="3.0000000000000001E-3"/>
    <n v="8.4000000000000005E-2"/>
  </r>
  <r>
    <s v="314900"/>
    <x v="70"/>
    <s v="nitrous oxide"/>
    <s v="kg/2018 USD, purchaser price"/>
    <n v="0"/>
    <n v="0"/>
    <n v="0"/>
    <n v="0"/>
    <n v="0"/>
    <n v="0"/>
  </r>
  <r>
    <s v="314900"/>
    <x v="70"/>
    <s v="other GHGs"/>
    <s v="kg CO2e/2018 USD, purchaser price"/>
    <n v="8.9999999999999993E-3"/>
    <n v="8.9999999999999993E-3"/>
    <n v="0"/>
    <n v="0"/>
    <n v="8.9999999999999993E-3"/>
    <n v="8.9999999999999993E-3"/>
  </r>
  <r>
    <s v="315000"/>
    <x v="71"/>
    <s v="carbon dioxide"/>
    <s v="kg/2018 USD, purchaser price"/>
    <n v="0.11700000000000001"/>
    <n v="0.11700000000000001"/>
    <n v="1.603"/>
    <n v="1.603"/>
    <n v="1.72"/>
    <n v="1.72"/>
  </r>
  <r>
    <s v="315000"/>
    <x v="71"/>
    <s v="methane"/>
    <s v="kg/2018 USD, purchaser price"/>
    <n v="1E-3"/>
    <n v="2.8000000000000001E-2"/>
    <n v="8.0000000000000002E-3"/>
    <n v="0.224"/>
    <n v="8.9999999999999993E-3"/>
    <n v="0.252"/>
  </r>
  <r>
    <s v="315000"/>
    <x v="71"/>
    <s v="nitrous oxide"/>
    <s v="kg/2018 USD, purchaser price"/>
    <n v="0"/>
    <n v="0"/>
    <n v="0"/>
    <n v="0"/>
    <n v="0"/>
    <n v="0"/>
  </r>
  <r>
    <s v="315000"/>
    <x v="71"/>
    <s v="other GHGs"/>
    <s v="kg CO2e/2018 USD, purchaser price"/>
    <n v="2E-3"/>
    <n v="2E-3"/>
    <n v="0"/>
    <n v="0"/>
    <n v="2E-3"/>
    <n v="2E-3"/>
  </r>
  <r>
    <s v="316000"/>
    <x v="72"/>
    <s v="carbon dioxide"/>
    <s v="kg/2018 USD, purchaser price"/>
    <n v="0.106"/>
    <n v="0.106"/>
    <n v="0.69499999999999995"/>
    <n v="0.69499999999999995"/>
    <n v="0.80100000000000005"/>
    <n v="0.80100000000000005"/>
  </r>
  <r>
    <s v="316000"/>
    <x v="72"/>
    <s v="methane"/>
    <s v="kg/2018 USD, purchaser price"/>
    <n v="4.0000000000000001E-3"/>
    <n v="0.112"/>
    <n v="4.0000000000000001E-3"/>
    <n v="0.112"/>
    <n v="7.0000000000000001E-3"/>
    <n v="0.19600000000000001"/>
  </r>
  <r>
    <s v="316000"/>
    <x v="72"/>
    <s v="nitrous oxide"/>
    <s v="kg/2018 USD, purchaser price"/>
    <n v="0"/>
    <n v="0"/>
    <n v="0"/>
    <n v="0"/>
    <n v="0"/>
    <n v="0"/>
  </r>
  <r>
    <s v="316000"/>
    <x v="72"/>
    <s v="other GHGs"/>
    <s v="kg CO2e/2018 USD, purchaser price"/>
    <n v="4.0000000000000001E-3"/>
    <n v="4.0000000000000001E-3"/>
    <n v="0"/>
    <n v="0"/>
    <n v="4.0000000000000001E-3"/>
    <n v="4.0000000000000001E-3"/>
  </r>
  <r>
    <s v="321100"/>
    <x v="73"/>
    <s v="carbon dioxide"/>
    <s v="kg/2018 USD, purchaser price"/>
    <n v="0.193"/>
    <n v="0.193"/>
    <n v="4.2000000000000003E-2"/>
    <n v="4.2000000000000003E-2"/>
    <n v="0.23599999999999999"/>
    <n v="0.23599999999999999"/>
  </r>
  <r>
    <s v="321100"/>
    <x v="73"/>
    <s v="methane"/>
    <s v="kg/2018 USD, purchaser price"/>
    <n v="1E-3"/>
    <n v="2.8000000000000001E-2"/>
    <n v="0"/>
    <n v="0"/>
    <n v="1E-3"/>
    <n v="2.8000000000000001E-2"/>
  </r>
  <r>
    <s v="321100"/>
    <x v="73"/>
    <s v="nitrous oxide"/>
    <s v="kg/2018 USD, purchaser price"/>
    <n v="0"/>
    <n v="0"/>
    <n v="0"/>
    <n v="0"/>
    <n v="0"/>
    <n v="0"/>
  </r>
  <r>
    <s v="321100"/>
    <x v="73"/>
    <s v="other GHGs"/>
    <s v="kg CO2e/2018 USD, purchaser price"/>
    <n v="6.0000000000000001E-3"/>
    <n v="6.0000000000000001E-3"/>
    <n v="0"/>
    <n v="0"/>
    <n v="6.0000000000000001E-3"/>
    <n v="6.0000000000000001E-3"/>
  </r>
  <r>
    <s v="321200"/>
    <x v="74"/>
    <s v="carbon dioxide"/>
    <s v="kg/2018 USD, purchaser price"/>
    <n v="0.318"/>
    <n v="0.318"/>
    <n v="5.2999999999999999E-2"/>
    <n v="5.2999999999999999E-2"/>
    <n v="0.372"/>
    <n v="0.372"/>
  </r>
  <r>
    <s v="321200"/>
    <x v="74"/>
    <s v="methane"/>
    <s v="kg/2018 USD, purchaser price"/>
    <n v="1E-3"/>
    <n v="2.8000000000000001E-2"/>
    <n v="0"/>
    <n v="0"/>
    <n v="1E-3"/>
    <n v="2.8000000000000001E-2"/>
  </r>
  <r>
    <s v="321200"/>
    <x v="74"/>
    <s v="nitrous oxide"/>
    <s v="kg/2018 USD, purchaser price"/>
    <n v="0"/>
    <n v="0"/>
    <n v="0"/>
    <n v="0"/>
    <n v="0"/>
    <n v="0"/>
  </r>
  <r>
    <s v="321200"/>
    <x v="74"/>
    <s v="other GHGs"/>
    <s v="kg CO2e/2018 USD, purchaser price"/>
    <n v="5.0000000000000001E-3"/>
    <n v="5.0000000000000001E-3"/>
    <n v="0"/>
    <n v="0"/>
    <n v="5.0000000000000001E-3"/>
    <n v="5.0000000000000001E-3"/>
  </r>
  <r>
    <s v="321910"/>
    <x v="75"/>
    <s v="carbon dioxide"/>
    <s v="kg/2018 USD, purchaser price"/>
    <n v="0.20300000000000001"/>
    <n v="0.20300000000000001"/>
    <n v="6.4000000000000001E-2"/>
    <n v="6.4000000000000001E-2"/>
    <n v="0.26700000000000002"/>
    <n v="0.26700000000000002"/>
  </r>
  <r>
    <s v="321910"/>
    <x v="75"/>
    <s v="methane"/>
    <s v="kg/2018 USD, purchaser price"/>
    <n v="1E-3"/>
    <n v="2.8000000000000001E-2"/>
    <n v="0"/>
    <n v="0"/>
    <n v="1E-3"/>
    <n v="2.8000000000000001E-2"/>
  </r>
  <r>
    <s v="321910"/>
    <x v="75"/>
    <s v="nitrous oxide"/>
    <s v="kg/2018 USD, purchaser price"/>
    <n v="0"/>
    <n v="0"/>
    <n v="0"/>
    <n v="0"/>
    <n v="0"/>
    <n v="0"/>
  </r>
  <r>
    <s v="321910"/>
    <x v="75"/>
    <s v="other GHGs"/>
    <s v="kg CO2e/2018 USD, purchaser price"/>
    <n v="1.9E-2"/>
    <n v="1.9E-2"/>
    <n v="0"/>
    <n v="0"/>
    <n v="1.9E-2"/>
    <n v="1.9E-2"/>
  </r>
  <r>
    <s v="3219A0"/>
    <x v="76"/>
    <s v="carbon dioxide"/>
    <s v="kg/2018 USD, purchaser price"/>
    <n v="0.23599999999999999"/>
    <n v="0.23599999999999999"/>
    <n v="7.5999999999999998E-2"/>
    <n v="7.5999999999999998E-2"/>
    <n v="0.312"/>
    <n v="0.312"/>
  </r>
  <r>
    <s v="3219A0"/>
    <x v="76"/>
    <s v="methane"/>
    <s v="kg/2018 USD, purchaser price"/>
    <n v="1E-3"/>
    <n v="2.8000000000000001E-2"/>
    <n v="1E-3"/>
    <n v="2.8000000000000001E-2"/>
    <n v="1E-3"/>
    <n v="2.8000000000000001E-2"/>
  </r>
  <r>
    <s v="3219A0"/>
    <x v="76"/>
    <s v="nitrous oxide"/>
    <s v="kg/2018 USD, purchaser price"/>
    <n v="0"/>
    <n v="0"/>
    <n v="0"/>
    <n v="0"/>
    <n v="0"/>
    <n v="0"/>
  </r>
  <r>
    <s v="3219A0"/>
    <x v="76"/>
    <s v="other GHGs"/>
    <s v="kg CO2e/2018 USD, purchaser price"/>
    <n v="1.7000000000000001E-2"/>
    <n v="1.7000000000000001E-2"/>
    <n v="0"/>
    <n v="0"/>
    <n v="1.7000000000000001E-2"/>
    <n v="1.7000000000000001E-2"/>
  </r>
  <r>
    <s v="322110"/>
    <x v="77"/>
    <s v="carbon dioxide"/>
    <s v="kg/2018 USD, purchaser price"/>
    <n v="0.72599999999999998"/>
    <n v="0.72599999999999998"/>
    <n v="6.3E-2"/>
    <n v="6.3E-2"/>
    <n v="0.78900000000000003"/>
    <n v="0.78900000000000003"/>
  </r>
  <r>
    <s v="322110"/>
    <x v="77"/>
    <s v="methane"/>
    <s v="kg/2018 USD, purchaser price"/>
    <n v="3.0000000000000001E-3"/>
    <n v="8.4000000000000005E-2"/>
    <n v="1E-3"/>
    <n v="2.8000000000000001E-2"/>
    <n v="4.0000000000000001E-3"/>
    <n v="0.112"/>
  </r>
  <r>
    <s v="322110"/>
    <x v="77"/>
    <s v="nitrous oxide"/>
    <s v="kg/2018 USD, purchaser price"/>
    <n v="0"/>
    <n v="0"/>
    <n v="0"/>
    <n v="0"/>
    <n v="0"/>
    <n v="0"/>
  </r>
  <r>
    <s v="322110"/>
    <x v="77"/>
    <s v="other GHGs"/>
    <s v="kg CO2e/2018 USD, purchaser price"/>
    <n v="5.0000000000000001E-3"/>
    <n v="5.0000000000000001E-3"/>
    <n v="0"/>
    <n v="0"/>
    <n v="5.0000000000000001E-3"/>
    <n v="5.0000000000000001E-3"/>
  </r>
  <r>
    <s v="322120"/>
    <x v="78"/>
    <s v="carbon dioxide"/>
    <s v="kg/2018 USD, purchaser price"/>
    <n v="0.83299999999999996"/>
    <n v="0.83299999999999996"/>
    <n v="8.3000000000000004E-2"/>
    <n v="8.3000000000000004E-2"/>
    <n v="0.91500000000000004"/>
    <n v="0.91500000000000004"/>
  </r>
  <r>
    <s v="322120"/>
    <x v="78"/>
    <s v="methane"/>
    <s v="kg/2018 USD, purchaser price"/>
    <n v="3.0000000000000001E-3"/>
    <n v="8.4000000000000005E-2"/>
    <n v="1E-3"/>
    <n v="2.8000000000000001E-2"/>
    <n v="3.0000000000000001E-3"/>
    <n v="8.4000000000000005E-2"/>
  </r>
  <r>
    <s v="322120"/>
    <x v="78"/>
    <s v="nitrous oxide"/>
    <s v="kg/2018 USD, purchaser price"/>
    <n v="0"/>
    <n v="0"/>
    <n v="0"/>
    <n v="0"/>
    <n v="0"/>
    <n v="0"/>
  </r>
  <r>
    <s v="322120"/>
    <x v="78"/>
    <s v="other GHGs"/>
    <s v="kg CO2e/2018 USD, purchaser price"/>
    <n v="5.0000000000000001E-3"/>
    <n v="5.0000000000000001E-3"/>
    <n v="0"/>
    <n v="0"/>
    <n v="5.0000000000000001E-3"/>
    <n v="5.0000000000000001E-3"/>
  </r>
  <r>
    <s v="322130"/>
    <x v="79"/>
    <s v="carbon dioxide"/>
    <s v="kg/2018 USD, purchaser price"/>
    <n v="0.74399999999999999"/>
    <n v="0.74399999999999999"/>
    <n v="0.05"/>
    <n v="0.05"/>
    <n v="0.79500000000000004"/>
    <n v="0.79500000000000004"/>
  </r>
  <r>
    <s v="322130"/>
    <x v="79"/>
    <s v="methane"/>
    <s v="kg/2018 USD, purchaser price"/>
    <n v="3.0000000000000001E-3"/>
    <n v="8.4000000000000005E-2"/>
    <n v="1E-3"/>
    <n v="2.8000000000000001E-2"/>
    <n v="3.0000000000000001E-3"/>
    <n v="8.4000000000000005E-2"/>
  </r>
  <r>
    <s v="322130"/>
    <x v="79"/>
    <s v="nitrous oxide"/>
    <s v="kg/2018 USD, purchaser price"/>
    <n v="0"/>
    <n v="0"/>
    <n v="0"/>
    <n v="0"/>
    <n v="0"/>
    <n v="0"/>
  </r>
  <r>
    <s v="322130"/>
    <x v="79"/>
    <s v="other GHGs"/>
    <s v="kg CO2e/2018 USD, purchaser price"/>
    <n v="5.0000000000000001E-3"/>
    <n v="5.0000000000000001E-3"/>
    <n v="0"/>
    <n v="0"/>
    <n v="5.0000000000000001E-3"/>
    <n v="5.0000000000000001E-3"/>
  </r>
  <r>
    <s v="322210"/>
    <x v="80"/>
    <s v="carbon dioxide"/>
    <s v="kg/2018 USD, purchaser price"/>
    <n v="0.48"/>
    <n v="0.48"/>
    <n v="0.03"/>
    <n v="0.03"/>
    <n v="0.51"/>
    <n v="0.51"/>
  </r>
  <r>
    <s v="322210"/>
    <x v="80"/>
    <s v="methane"/>
    <s v="kg/2018 USD, purchaser price"/>
    <n v="2E-3"/>
    <n v="5.6000000000000001E-2"/>
    <n v="0"/>
    <n v="0"/>
    <n v="2E-3"/>
    <n v="5.6000000000000001E-2"/>
  </r>
  <r>
    <s v="322210"/>
    <x v="80"/>
    <s v="nitrous oxide"/>
    <s v="kg/2018 USD, purchaser price"/>
    <n v="0"/>
    <n v="0"/>
    <n v="0"/>
    <n v="0"/>
    <n v="0"/>
    <n v="0"/>
  </r>
  <r>
    <s v="322210"/>
    <x v="80"/>
    <s v="other GHGs"/>
    <s v="kg CO2e/2018 USD, purchaser price"/>
    <n v="6.0000000000000001E-3"/>
    <n v="6.0000000000000001E-3"/>
    <n v="0"/>
    <n v="0"/>
    <n v="6.0000000000000001E-3"/>
    <n v="6.0000000000000001E-3"/>
  </r>
  <r>
    <s v="322220"/>
    <x v="81"/>
    <s v="carbon dioxide"/>
    <s v="kg/2018 USD, purchaser price"/>
    <n v="0.434"/>
    <n v="0.434"/>
    <n v="4.9000000000000002E-2"/>
    <n v="4.9000000000000002E-2"/>
    <n v="0.48199999999999998"/>
    <n v="0.48199999999999998"/>
  </r>
  <r>
    <s v="322220"/>
    <x v="81"/>
    <s v="methane"/>
    <s v="kg/2018 USD, purchaser price"/>
    <n v="1E-3"/>
    <n v="2.8000000000000001E-2"/>
    <n v="0"/>
    <n v="0"/>
    <n v="2E-3"/>
    <n v="5.6000000000000001E-2"/>
  </r>
  <r>
    <s v="322220"/>
    <x v="81"/>
    <s v="nitrous oxide"/>
    <s v="kg/2018 USD, purchaser price"/>
    <n v="0"/>
    <n v="0"/>
    <n v="0"/>
    <n v="0"/>
    <n v="0"/>
    <n v="0"/>
  </r>
  <r>
    <s v="322220"/>
    <x v="81"/>
    <s v="other GHGs"/>
    <s v="kg CO2e/2018 USD, purchaser price"/>
    <n v="6.0000000000000001E-3"/>
    <n v="6.0000000000000001E-3"/>
    <n v="0"/>
    <n v="0"/>
    <n v="6.0000000000000001E-3"/>
    <n v="6.0000000000000001E-3"/>
  </r>
  <r>
    <s v="322230"/>
    <x v="82"/>
    <s v="carbon dioxide"/>
    <s v="kg/2018 USD, purchaser price"/>
    <n v="0.39500000000000002"/>
    <n v="0.39500000000000002"/>
    <n v="4.3999999999999997E-2"/>
    <n v="4.3999999999999997E-2"/>
    <n v="0.439"/>
    <n v="0.439"/>
  </r>
  <r>
    <s v="322230"/>
    <x v="82"/>
    <s v="methane"/>
    <s v="kg/2018 USD, purchaser price"/>
    <n v="1E-3"/>
    <n v="2.8000000000000001E-2"/>
    <n v="0"/>
    <n v="0"/>
    <n v="2E-3"/>
    <n v="5.6000000000000001E-2"/>
  </r>
  <r>
    <s v="322230"/>
    <x v="82"/>
    <s v="nitrous oxide"/>
    <s v="kg/2018 USD, purchaser price"/>
    <n v="0"/>
    <n v="0"/>
    <n v="0"/>
    <n v="0"/>
    <n v="0"/>
    <n v="0"/>
  </r>
  <r>
    <s v="322230"/>
    <x v="82"/>
    <s v="other GHGs"/>
    <s v="kg CO2e/2018 USD, purchaser price"/>
    <n v="5.0000000000000001E-3"/>
    <n v="5.0000000000000001E-3"/>
    <n v="0"/>
    <n v="0"/>
    <n v="5.0000000000000001E-3"/>
    <n v="5.0000000000000001E-3"/>
  </r>
  <r>
    <s v="322291"/>
    <x v="83"/>
    <s v="carbon dioxide"/>
    <s v="kg/2018 USD, purchaser price"/>
    <n v="0.45800000000000002"/>
    <n v="0.45800000000000002"/>
    <n v="0.14499999999999999"/>
    <n v="0.14499999999999999"/>
    <n v="0.60299999999999998"/>
    <n v="0.60299999999999998"/>
  </r>
  <r>
    <s v="322291"/>
    <x v="83"/>
    <s v="methane"/>
    <s v="kg/2018 USD, purchaser price"/>
    <n v="1E-3"/>
    <n v="2.8000000000000001E-2"/>
    <n v="1E-3"/>
    <n v="2.8000000000000001E-2"/>
    <n v="2E-3"/>
    <n v="5.6000000000000001E-2"/>
  </r>
  <r>
    <s v="322291"/>
    <x v="83"/>
    <s v="nitrous oxide"/>
    <s v="kg/2018 USD, purchaser price"/>
    <n v="0"/>
    <n v="0"/>
    <n v="0"/>
    <n v="0"/>
    <n v="0"/>
    <n v="0"/>
  </r>
  <r>
    <s v="322291"/>
    <x v="83"/>
    <s v="other GHGs"/>
    <s v="kg CO2e/2018 USD, purchaser price"/>
    <n v="5.0000000000000001E-3"/>
    <n v="5.0000000000000001E-3"/>
    <n v="0"/>
    <n v="0"/>
    <n v="5.0000000000000001E-3"/>
    <n v="5.0000000000000001E-3"/>
  </r>
  <r>
    <s v="322299"/>
    <x v="84"/>
    <s v="carbon dioxide"/>
    <s v="kg/2018 USD, purchaser price"/>
    <n v="0.371"/>
    <n v="0.371"/>
    <n v="5.1999999999999998E-2"/>
    <n v="5.1999999999999998E-2"/>
    <n v="0.42299999999999999"/>
    <n v="0.42299999999999999"/>
  </r>
  <r>
    <s v="322299"/>
    <x v="84"/>
    <s v="methane"/>
    <s v="kg/2018 USD, purchaser price"/>
    <n v="1E-3"/>
    <n v="2.8000000000000001E-2"/>
    <n v="0"/>
    <n v="0"/>
    <n v="2E-3"/>
    <n v="5.6000000000000001E-2"/>
  </r>
  <r>
    <s v="322299"/>
    <x v="84"/>
    <s v="nitrous oxide"/>
    <s v="kg/2018 USD, purchaser price"/>
    <n v="0"/>
    <n v="0"/>
    <n v="0"/>
    <n v="0"/>
    <n v="0"/>
    <n v="0"/>
  </r>
  <r>
    <s v="322299"/>
    <x v="84"/>
    <s v="other GHGs"/>
    <s v="kg CO2e/2018 USD, purchaser price"/>
    <n v="5.0000000000000001E-3"/>
    <n v="5.0000000000000001E-3"/>
    <n v="0"/>
    <n v="0"/>
    <n v="5.0000000000000001E-3"/>
    <n v="5.0000000000000001E-3"/>
  </r>
  <r>
    <s v="323110"/>
    <x v="85"/>
    <s v="carbon dioxide"/>
    <s v="kg/2018 USD, purchaser price"/>
    <n v="0.28399999999999997"/>
    <n v="0.28399999999999997"/>
    <n v="4.4999999999999998E-2"/>
    <n v="4.4999999999999998E-2"/>
    <n v="0.32900000000000001"/>
    <n v="0.32900000000000001"/>
  </r>
  <r>
    <s v="323110"/>
    <x v="85"/>
    <s v="methane"/>
    <s v="kg/2018 USD, purchaser price"/>
    <n v="1E-3"/>
    <n v="2.8000000000000001E-2"/>
    <n v="0"/>
    <n v="0"/>
    <n v="1E-3"/>
    <n v="2.8000000000000001E-2"/>
  </r>
  <r>
    <s v="323110"/>
    <x v="85"/>
    <s v="nitrous oxide"/>
    <s v="kg/2018 USD, purchaser price"/>
    <n v="0"/>
    <n v="0"/>
    <n v="0"/>
    <n v="0"/>
    <n v="0"/>
    <n v="0"/>
  </r>
  <r>
    <s v="323110"/>
    <x v="85"/>
    <s v="other GHGs"/>
    <s v="kg CO2e/2018 USD, purchaser price"/>
    <n v="4.0000000000000001E-3"/>
    <n v="4.0000000000000001E-3"/>
    <n v="0"/>
    <n v="0"/>
    <n v="4.0000000000000001E-3"/>
    <n v="4.0000000000000001E-3"/>
  </r>
  <r>
    <s v="323120"/>
    <x v="86"/>
    <s v="carbon dioxide"/>
    <s v="kg/2018 USD, purchaser price"/>
    <n v="0.21199999999999999"/>
    <n v="0.21199999999999999"/>
    <n v="0.03"/>
    <n v="0.03"/>
    <n v="0.24199999999999999"/>
    <n v="0.24199999999999999"/>
  </r>
  <r>
    <s v="323120"/>
    <x v="86"/>
    <s v="methane"/>
    <s v="kg/2018 USD, purchaser price"/>
    <n v="1E-3"/>
    <n v="2.8000000000000001E-2"/>
    <n v="0"/>
    <n v="0"/>
    <n v="1E-3"/>
    <n v="2.8000000000000001E-2"/>
  </r>
  <r>
    <s v="323120"/>
    <x v="86"/>
    <s v="nitrous oxide"/>
    <s v="kg/2018 USD, purchaser price"/>
    <n v="0"/>
    <n v="0"/>
    <n v="0"/>
    <n v="0"/>
    <n v="0"/>
    <n v="0"/>
  </r>
  <r>
    <s v="323120"/>
    <x v="86"/>
    <s v="other GHGs"/>
    <s v="kg CO2e/2018 USD, purchaser price"/>
    <n v="3.0000000000000001E-3"/>
    <n v="3.0000000000000001E-3"/>
    <n v="0"/>
    <n v="0"/>
    <n v="3.0000000000000001E-3"/>
    <n v="3.0000000000000001E-3"/>
  </r>
  <r>
    <s v="324110"/>
    <x v="87"/>
    <s v="carbon dioxide"/>
    <s v="kg/2018 USD, purchaser price"/>
    <n v="0.45100000000000001"/>
    <n v="0.45100000000000001"/>
    <n v="4.9000000000000002E-2"/>
    <n v="4.9000000000000002E-2"/>
    <n v="0.5"/>
    <n v="0.5"/>
  </r>
  <r>
    <s v="324110"/>
    <x v="87"/>
    <s v="methane"/>
    <s v="kg/2018 USD, purchaser price"/>
    <n v="1.2E-2"/>
    <n v="0.33600000000000002"/>
    <n v="0"/>
    <n v="0"/>
    <n v="1.2999999999999999E-2"/>
    <n v="0.36399999999999999"/>
  </r>
  <r>
    <s v="324110"/>
    <x v="87"/>
    <s v="nitrous oxide"/>
    <s v="kg/2018 USD, purchaser price"/>
    <n v="0"/>
    <n v="0"/>
    <n v="0"/>
    <n v="0"/>
    <n v="0"/>
    <n v="0"/>
  </r>
  <r>
    <s v="324110"/>
    <x v="87"/>
    <s v="other GHGs"/>
    <s v="kg CO2e/2018 USD, purchaser price"/>
    <n v="4.0000000000000001E-3"/>
    <n v="4.0000000000000001E-3"/>
    <n v="0"/>
    <n v="0"/>
    <n v="4.0000000000000001E-3"/>
    <n v="4.0000000000000001E-3"/>
  </r>
  <r>
    <s v="324121"/>
    <x v="88"/>
    <s v="carbon dioxide"/>
    <s v="kg/2018 USD, purchaser price"/>
    <n v="0.98399999999999999"/>
    <n v="0.98399999999999999"/>
    <n v="3.3000000000000002E-2"/>
    <n v="3.3000000000000002E-2"/>
    <n v="1.0169999999999999"/>
    <n v="1.0169999999999999"/>
  </r>
  <r>
    <s v="324121"/>
    <x v="88"/>
    <s v="methane"/>
    <s v="kg/2018 USD, purchaser price"/>
    <n v="5.0000000000000001E-3"/>
    <n v="0.14000000000000001"/>
    <n v="0"/>
    <n v="0"/>
    <n v="5.0000000000000001E-3"/>
    <n v="0.14000000000000001"/>
  </r>
  <r>
    <s v="324121"/>
    <x v="88"/>
    <s v="nitrous oxide"/>
    <s v="kg/2018 USD, purchaser price"/>
    <n v="0"/>
    <n v="0"/>
    <n v="0"/>
    <n v="0"/>
    <n v="0"/>
    <n v="0"/>
  </r>
  <r>
    <s v="324121"/>
    <x v="88"/>
    <s v="other GHGs"/>
    <s v="kg CO2e/2018 USD, purchaser price"/>
    <n v="7.0000000000000001E-3"/>
    <n v="7.0000000000000001E-3"/>
    <n v="0"/>
    <n v="0"/>
    <n v="7.0000000000000001E-3"/>
    <n v="7.0000000000000001E-3"/>
  </r>
  <r>
    <s v="324122"/>
    <x v="89"/>
    <s v="carbon dioxide"/>
    <s v="kg/2018 USD, purchaser price"/>
    <n v="0.68500000000000005"/>
    <n v="0.68500000000000005"/>
    <n v="0.03"/>
    <n v="0.03"/>
    <n v="0.71499999999999997"/>
    <n v="0.71499999999999997"/>
  </r>
  <r>
    <s v="324122"/>
    <x v="89"/>
    <s v="methane"/>
    <s v="kg/2018 USD, purchaser price"/>
    <n v="4.0000000000000001E-3"/>
    <n v="0.112"/>
    <n v="0"/>
    <n v="0"/>
    <n v="4.0000000000000001E-3"/>
    <n v="0.112"/>
  </r>
  <r>
    <s v="324122"/>
    <x v="89"/>
    <s v="nitrous oxide"/>
    <s v="kg/2018 USD, purchaser price"/>
    <n v="0"/>
    <n v="0"/>
    <n v="0"/>
    <n v="0"/>
    <n v="0"/>
    <n v="0"/>
  </r>
  <r>
    <s v="324122"/>
    <x v="89"/>
    <s v="other GHGs"/>
    <s v="kg CO2e/2018 USD, purchaser price"/>
    <n v="4.0000000000000001E-3"/>
    <n v="4.0000000000000001E-3"/>
    <n v="0"/>
    <n v="0"/>
    <n v="4.0000000000000001E-3"/>
    <n v="4.0000000000000001E-3"/>
  </r>
  <r>
    <s v="324190"/>
    <x v="90"/>
    <s v="carbon dioxide"/>
    <s v="kg/2018 USD, purchaser price"/>
    <n v="0.66100000000000003"/>
    <n v="0.66100000000000003"/>
    <n v="6.7000000000000004E-2"/>
    <n v="6.7000000000000004E-2"/>
    <n v="0.72799999999999998"/>
    <n v="0.72799999999999998"/>
  </r>
  <r>
    <s v="324190"/>
    <x v="90"/>
    <s v="methane"/>
    <s v="kg/2018 USD, purchaser price"/>
    <n v="8.0000000000000002E-3"/>
    <n v="0.224"/>
    <n v="1E-3"/>
    <n v="2.8000000000000001E-2"/>
    <n v="8.9999999999999993E-3"/>
    <n v="0.252"/>
  </r>
  <r>
    <s v="324190"/>
    <x v="90"/>
    <s v="nitrous oxide"/>
    <s v="kg/2018 USD, purchaser price"/>
    <n v="0"/>
    <n v="0"/>
    <n v="0"/>
    <n v="0"/>
    <n v="0"/>
    <n v="0"/>
  </r>
  <r>
    <s v="324190"/>
    <x v="90"/>
    <s v="other GHGs"/>
    <s v="kg CO2e/2018 USD, purchaser price"/>
    <n v="5.0000000000000001E-3"/>
    <n v="5.0000000000000001E-3"/>
    <n v="0"/>
    <n v="0"/>
    <n v="5.0000000000000001E-3"/>
    <n v="5.0000000000000001E-3"/>
  </r>
  <r>
    <s v="325110"/>
    <x v="91"/>
    <s v="carbon dioxide"/>
    <s v="kg/2018 USD, purchaser price"/>
    <n v="0.63400000000000001"/>
    <n v="0.63400000000000001"/>
    <n v="2.5999999999999999E-2"/>
    <n v="2.5999999999999999E-2"/>
    <n v="0.66100000000000003"/>
    <n v="0.66100000000000003"/>
  </r>
  <r>
    <s v="325110"/>
    <x v="91"/>
    <s v="methane"/>
    <s v="kg/2018 USD, purchaser price"/>
    <n v="7.0000000000000001E-3"/>
    <n v="0.19600000000000001"/>
    <n v="0"/>
    <n v="0"/>
    <n v="7.0000000000000001E-3"/>
    <n v="0.19600000000000001"/>
  </r>
  <r>
    <s v="325110"/>
    <x v="91"/>
    <s v="nitrous oxide"/>
    <s v="kg/2018 USD, purchaser price"/>
    <n v="0"/>
    <n v="0"/>
    <n v="0"/>
    <n v="0"/>
    <n v="0"/>
    <n v="0"/>
  </r>
  <r>
    <s v="325110"/>
    <x v="91"/>
    <s v="other GHGs"/>
    <s v="kg CO2e/2018 USD, purchaser price"/>
    <n v="4.0000000000000001E-3"/>
    <n v="4.0000000000000001E-3"/>
    <n v="0"/>
    <n v="0"/>
    <n v="4.0000000000000001E-3"/>
    <n v="4.0000000000000001E-3"/>
  </r>
  <r>
    <s v="325120"/>
    <x v="92"/>
    <s v="carbon dioxide"/>
    <s v="kg/2018 USD, purchaser price"/>
    <n v="1.2889999999999999"/>
    <n v="1.2889999999999999"/>
    <n v="0.115"/>
    <n v="0.115"/>
    <n v="1.403"/>
    <n v="1.403"/>
  </r>
  <r>
    <s v="325120"/>
    <x v="92"/>
    <s v="methane"/>
    <s v="kg/2018 USD, purchaser price"/>
    <n v="4.0000000000000001E-3"/>
    <n v="0.112"/>
    <n v="1E-3"/>
    <n v="2.8000000000000001E-2"/>
    <n v="5.0000000000000001E-3"/>
    <n v="0.14000000000000001"/>
  </r>
  <r>
    <s v="325120"/>
    <x v="92"/>
    <s v="nitrous oxide"/>
    <s v="kg/2018 USD, purchaser price"/>
    <n v="0"/>
    <n v="0"/>
    <n v="0"/>
    <n v="0"/>
    <n v="0"/>
    <n v="0"/>
  </r>
  <r>
    <s v="325120"/>
    <x v="92"/>
    <s v="other GHGs"/>
    <s v="kg CO2e/2018 USD, purchaser price"/>
    <n v="0.29899999999999999"/>
    <n v="0.29899999999999999"/>
    <n v="0"/>
    <n v="0"/>
    <n v="0.29899999999999999"/>
    <n v="0.29899999999999999"/>
  </r>
  <r>
    <s v="325130"/>
    <x v="93"/>
    <s v="carbon dioxide"/>
    <s v="kg/2018 USD, purchaser price"/>
    <n v="1.494"/>
    <n v="1.494"/>
    <n v="6.2E-2"/>
    <n v="6.2E-2"/>
    <n v="1.5569999999999999"/>
    <n v="1.5569999999999999"/>
  </r>
  <r>
    <s v="325130"/>
    <x v="93"/>
    <s v="methane"/>
    <s v="kg/2018 USD, purchaser price"/>
    <n v="3.0000000000000001E-3"/>
    <n v="8.4000000000000005E-2"/>
    <n v="1E-3"/>
    <n v="2.8000000000000001E-2"/>
    <n v="3.0000000000000001E-3"/>
    <n v="8.4000000000000005E-2"/>
  </r>
  <r>
    <s v="325130"/>
    <x v="93"/>
    <s v="nitrous oxide"/>
    <s v="kg/2018 USD, purchaser price"/>
    <n v="0"/>
    <n v="0"/>
    <n v="0"/>
    <n v="0"/>
    <n v="0"/>
    <n v="0"/>
  </r>
  <r>
    <s v="325130"/>
    <x v="93"/>
    <s v="other GHGs"/>
    <s v="kg CO2e/2018 USD, purchaser price"/>
    <n v="6.0000000000000001E-3"/>
    <n v="6.0000000000000001E-3"/>
    <n v="0"/>
    <n v="0"/>
    <n v="6.0000000000000001E-3"/>
    <n v="6.0000000000000001E-3"/>
  </r>
  <r>
    <s v="325180"/>
    <x v="94"/>
    <s v="carbon dioxide"/>
    <s v="kg/2018 USD, purchaser price"/>
    <n v="0.67100000000000004"/>
    <n v="0.67100000000000004"/>
    <n v="7.5999999999999998E-2"/>
    <n v="7.5999999999999998E-2"/>
    <n v="0.748"/>
    <n v="0.748"/>
  </r>
  <r>
    <s v="325180"/>
    <x v="94"/>
    <s v="methane"/>
    <s v="kg/2018 USD, purchaser price"/>
    <n v="3.0000000000000001E-3"/>
    <n v="8.4000000000000005E-2"/>
    <n v="1E-3"/>
    <n v="2.8000000000000001E-2"/>
    <n v="3.0000000000000001E-3"/>
    <n v="8.4000000000000005E-2"/>
  </r>
  <r>
    <s v="325180"/>
    <x v="94"/>
    <s v="nitrous oxide"/>
    <s v="kg/2018 USD, purchaser price"/>
    <n v="0"/>
    <n v="0"/>
    <n v="0"/>
    <n v="0"/>
    <n v="0"/>
    <n v="0"/>
  </r>
  <r>
    <s v="325180"/>
    <x v="94"/>
    <s v="other GHGs"/>
    <s v="kg CO2e/2018 USD, purchaser price"/>
    <n v="7.0000000000000001E-3"/>
    <n v="7.0000000000000001E-3"/>
    <n v="0"/>
    <n v="0"/>
    <n v="7.0000000000000001E-3"/>
    <n v="7.0000000000000001E-3"/>
  </r>
  <r>
    <s v="325190"/>
    <x v="95"/>
    <s v="carbon dioxide"/>
    <s v="kg/2018 USD, purchaser price"/>
    <n v="1.0760000000000001"/>
    <n v="1.0760000000000001"/>
    <n v="3.1E-2"/>
    <n v="3.1E-2"/>
    <n v="1.107"/>
    <n v="1.107"/>
  </r>
  <r>
    <s v="325190"/>
    <x v="95"/>
    <s v="methane"/>
    <s v="kg/2018 USD, purchaser price"/>
    <n v="5.0000000000000001E-3"/>
    <n v="0.14000000000000001"/>
    <n v="0"/>
    <n v="0"/>
    <n v="5.0000000000000001E-3"/>
    <n v="0.14000000000000001"/>
  </r>
  <r>
    <s v="325190"/>
    <x v="95"/>
    <s v="nitrous oxide"/>
    <s v="kg/2018 USD, purchaser price"/>
    <n v="1E-3"/>
    <n v="0.26500000000000001"/>
    <n v="0"/>
    <n v="0"/>
    <n v="1E-3"/>
    <n v="0.26500000000000001"/>
  </r>
  <r>
    <s v="325190"/>
    <x v="95"/>
    <s v="other GHGs"/>
    <s v="kg CO2e/2018 USD, purchaser price"/>
    <n v="6.0000000000000001E-3"/>
    <n v="6.0000000000000001E-3"/>
    <n v="0"/>
    <n v="0"/>
    <n v="6.0000000000000001E-3"/>
    <n v="6.0000000000000001E-3"/>
  </r>
  <r>
    <s v="325211"/>
    <x v="96"/>
    <s v="carbon dioxide"/>
    <s v="kg/2018 USD, purchaser price"/>
    <n v="1.45"/>
    <n v="1.45"/>
    <n v="3.6999999999999998E-2"/>
    <n v="3.6999999999999998E-2"/>
    <n v="1.4870000000000001"/>
    <n v="1.4870000000000001"/>
  </r>
  <r>
    <s v="325211"/>
    <x v="96"/>
    <s v="methane"/>
    <s v="kg/2018 USD, purchaser price"/>
    <n v="4.0000000000000001E-3"/>
    <n v="0.112"/>
    <n v="0"/>
    <n v="0"/>
    <n v="5.0000000000000001E-3"/>
    <n v="0.14000000000000001"/>
  </r>
  <r>
    <s v="325211"/>
    <x v="96"/>
    <s v="nitrous oxide"/>
    <s v="kg/2018 USD, purchaser price"/>
    <n v="0"/>
    <n v="0"/>
    <n v="0"/>
    <n v="0"/>
    <n v="0"/>
    <n v="0"/>
  </r>
  <r>
    <s v="325211"/>
    <x v="96"/>
    <s v="other GHGs"/>
    <s v="kg CO2e/2018 USD, purchaser price"/>
    <n v="6.0000000000000001E-3"/>
    <n v="6.0000000000000001E-3"/>
    <n v="0"/>
    <n v="0"/>
    <n v="6.0000000000000001E-3"/>
    <n v="6.0000000000000001E-3"/>
  </r>
  <r>
    <s v="3252A0"/>
    <x v="97"/>
    <s v="carbon dioxide"/>
    <s v="kg/2018 USD, purchaser price"/>
    <n v="0.63800000000000001"/>
    <n v="0.63800000000000001"/>
    <n v="1.4999999999999999E-2"/>
    <n v="1.4999999999999999E-2"/>
    <n v="0.65300000000000002"/>
    <n v="0.65300000000000002"/>
  </r>
  <r>
    <s v="3252A0"/>
    <x v="97"/>
    <s v="methane"/>
    <s v="kg/2018 USD, purchaser price"/>
    <n v="3.0000000000000001E-3"/>
    <n v="8.4000000000000005E-2"/>
    <n v="0"/>
    <n v="0"/>
    <n v="3.0000000000000001E-3"/>
    <n v="8.4000000000000005E-2"/>
  </r>
  <r>
    <s v="3252A0"/>
    <x v="97"/>
    <s v="nitrous oxide"/>
    <s v="kg/2018 USD, purchaser price"/>
    <n v="0"/>
    <n v="0"/>
    <n v="0"/>
    <n v="0"/>
    <n v="0"/>
    <n v="0"/>
  </r>
  <r>
    <s v="3252A0"/>
    <x v="97"/>
    <s v="other GHGs"/>
    <s v="kg CO2e/2018 USD, purchaser price"/>
    <n v="5.0000000000000001E-3"/>
    <n v="5.0000000000000001E-3"/>
    <n v="0"/>
    <n v="0"/>
    <n v="5.0000000000000001E-3"/>
    <n v="5.0000000000000001E-3"/>
  </r>
  <r>
    <s v="325310"/>
    <x v="98"/>
    <s v="carbon dioxide"/>
    <s v="kg/2018 USD, purchaser price"/>
    <n v="0.71899999999999997"/>
    <n v="0.71899999999999997"/>
    <n v="5.0999999999999997E-2"/>
    <n v="5.0999999999999997E-2"/>
    <n v="0.77"/>
    <n v="0.77"/>
  </r>
  <r>
    <s v="325310"/>
    <x v="98"/>
    <s v="methane"/>
    <s v="kg/2018 USD, purchaser price"/>
    <n v="1E-3"/>
    <n v="2.8000000000000001E-2"/>
    <n v="0"/>
    <n v="0"/>
    <n v="1E-3"/>
    <n v="2.8000000000000001E-2"/>
  </r>
  <r>
    <s v="325310"/>
    <x v="98"/>
    <s v="nitrous oxide"/>
    <s v="kg/2018 USD, purchaser price"/>
    <n v="1E-3"/>
    <n v="0.26500000000000001"/>
    <n v="0"/>
    <n v="0"/>
    <n v="1E-3"/>
    <n v="0.26500000000000001"/>
  </r>
  <r>
    <s v="325310"/>
    <x v="98"/>
    <s v="other GHGs"/>
    <s v="kg CO2e/2018 USD, purchaser price"/>
    <n v="4.0000000000000001E-3"/>
    <n v="4.0000000000000001E-3"/>
    <n v="0"/>
    <n v="0"/>
    <n v="4.0000000000000001E-3"/>
    <n v="4.0000000000000001E-3"/>
  </r>
  <r>
    <s v="325320"/>
    <x v="99"/>
    <s v="carbon dioxide"/>
    <s v="kg/2018 USD, purchaser price"/>
    <n v="0.14099999999999999"/>
    <n v="0.14099999999999999"/>
    <n v="1.6E-2"/>
    <n v="1.6E-2"/>
    <n v="0.157"/>
    <n v="0.157"/>
  </r>
  <r>
    <s v="325320"/>
    <x v="99"/>
    <s v="methane"/>
    <s v="kg/2018 USD, purchaser price"/>
    <n v="1E-3"/>
    <n v="2.8000000000000001E-2"/>
    <n v="0"/>
    <n v="0"/>
    <n v="1E-3"/>
    <n v="2.8000000000000001E-2"/>
  </r>
  <r>
    <s v="325320"/>
    <x v="99"/>
    <s v="nitrous oxide"/>
    <s v="kg/2018 USD, purchaser price"/>
    <n v="0"/>
    <n v="0"/>
    <n v="0"/>
    <n v="0"/>
    <n v="0"/>
    <n v="0"/>
  </r>
  <r>
    <s v="325320"/>
    <x v="99"/>
    <s v="other GHGs"/>
    <s v="kg CO2e/2018 USD, purchaser price"/>
    <n v="7.0000000000000001E-3"/>
    <n v="7.0000000000000001E-3"/>
    <n v="0"/>
    <n v="0"/>
    <n v="7.0000000000000001E-3"/>
    <n v="7.0000000000000001E-3"/>
  </r>
  <r>
    <s v="325411"/>
    <x v="100"/>
    <s v="carbon dioxide"/>
    <s v="kg/2018 USD, purchaser price"/>
    <n v="0.28199999999999997"/>
    <n v="0.28199999999999997"/>
    <n v="2.8000000000000001E-2"/>
    <n v="2.8000000000000001E-2"/>
    <n v="0.31"/>
    <n v="0.31"/>
  </r>
  <r>
    <s v="325411"/>
    <x v="100"/>
    <s v="methane"/>
    <s v="kg/2018 USD, purchaser price"/>
    <n v="0"/>
    <n v="0"/>
    <n v="0"/>
    <n v="0"/>
    <n v="1E-3"/>
    <n v="2.8000000000000001E-2"/>
  </r>
  <r>
    <s v="325411"/>
    <x v="100"/>
    <s v="nitrous oxide"/>
    <s v="kg/2018 USD, purchaser price"/>
    <n v="0"/>
    <n v="0"/>
    <n v="0"/>
    <n v="0"/>
    <n v="0"/>
    <n v="0"/>
  </r>
  <r>
    <s v="325411"/>
    <x v="100"/>
    <s v="other GHGs"/>
    <s v="kg CO2e/2018 USD, purchaser price"/>
    <n v="3.0000000000000001E-3"/>
    <n v="3.0000000000000001E-3"/>
    <n v="0"/>
    <n v="0"/>
    <n v="3.0000000000000001E-3"/>
    <n v="3.0000000000000001E-3"/>
  </r>
  <r>
    <s v="325412"/>
    <x v="101"/>
    <s v="carbon dioxide"/>
    <s v="kg/2018 USD, purchaser price"/>
    <n v="0.159"/>
    <n v="0.159"/>
    <n v="0.248"/>
    <n v="0.248"/>
    <n v="0.40699999999999997"/>
    <n v="0.40699999999999997"/>
  </r>
  <r>
    <s v="325412"/>
    <x v="101"/>
    <s v="methane"/>
    <s v="kg/2018 USD, purchaser price"/>
    <n v="1E-3"/>
    <n v="2.8000000000000001E-2"/>
    <n v="1E-3"/>
    <n v="2.8000000000000001E-2"/>
    <n v="2E-3"/>
    <n v="5.6000000000000001E-2"/>
  </r>
  <r>
    <s v="325412"/>
    <x v="101"/>
    <s v="nitrous oxide"/>
    <s v="kg/2018 USD, purchaser price"/>
    <n v="0"/>
    <n v="0"/>
    <n v="0"/>
    <n v="0"/>
    <n v="0"/>
    <n v="0"/>
  </r>
  <r>
    <s v="325412"/>
    <x v="101"/>
    <s v="other GHGs"/>
    <s v="kg CO2e/2018 USD, purchaser price"/>
    <n v="3.0000000000000001E-3"/>
    <n v="3.0000000000000001E-3"/>
    <n v="0"/>
    <n v="0"/>
    <n v="3.0000000000000001E-3"/>
    <n v="3.0000000000000001E-3"/>
  </r>
  <r>
    <s v="325413"/>
    <x v="102"/>
    <s v="carbon dioxide"/>
    <s v="kg/2018 USD, purchaser price"/>
    <n v="9.4E-2"/>
    <n v="9.4E-2"/>
    <n v="0.04"/>
    <n v="0.04"/>
    <n v="0.13400000000000001"/>
    <n v="0.13400000000000001"/>
  </r>
  <r>
    <s v="325413"/>
    <x v="102"/>
    <s v="methane"/>
    <s v="kg/2018 USD, purchaser price"/>
    <n v="0"/>
    <n v="0"/>
    <n v="0"/>
    <n v="0"/>
    <n v="1E-3"/>
    <n v="2.8000000000000001E-2"/>
  </r>
  <r>
    <s v="325413"/>
    <x v="102"/>
    <s v="nitrous oxide"/>
    <s v="kg/2018 USD, purchaser price"/>
    <n v="0"/>
    <n v="0"/>
    <n v="0"/>
    <n v="0"/>
    <n v="0"/>
    <n v="0"/>
  </r>
  <r>
    <s v="325413"/>
    <x v="102"/>
    <s v="other GHGs"/>
    <s v="kg CO2e/2018 USD, purchaser price"/>
    <n v="5.0000000000000001E-3"/>
    <n v="5.0000000000000001E-3"/>
    <n v="0"/>
    <n v="0"/>
    <n v="5.0000000000000001E-3"/>
    <n v="5.0000000000000001E-3"/>
  </r>
  <r>
    <s v="325414"/>
    <x v="103"/>
    <s v="carbon dioxide"/>
    <s v="kg/2018 USD, purchaser price"/>
    <n v="4.2000000000000003E-2"/>
    <n v="4.2000000000000003E-2"/>
    <n v="4.9000000000000002E-2"/>
    <n v="4.9000000000000002E-2"/>
    <n v="9.0999999999999998E-2"/>
    <n v="9.0999999999999998E-2"/>
  </r>
  <r>
    <s v="325414"/>
    <x v="103"/>
    <s v="methane"/>
    <s v="kg/2018 USD, purchaser price"/>
    <n v="0"/>
    <n v="0"/>
    <n v="0"/>
    <n v="0"/>
    <n v="0"/>
    <n v="0"/>
  </r>
  <r>
    <s v="325414"/>
    <x v="103"/>
    <s v="nitrous oxide"/>
    <s v="kg/2018 USD, purchaser price"/>
    <n v="0"/>
    <n v="0"/>
    <n v="0"/>
    <n v="0"/>
    <n v="0"/>
    <n v="0"/>
  </r>
  <r>
    <s v="325414"/>
    <x v="103"/>
    <s v="other GHGs"/>
    <s v="kg CO2e/2018 USD, purchaser price"/>
    <n v="1E-3"/>
    <n v="1E-3"/>
    <n v="0"/>
    <n v="0"/>
    <n v="1E-3"/>
    <n v="1E-3"/>
  </r>
  <r>
    <s v="325510"/>
    <x v="104"/>
    <s v="carbon dioxide"/>
    <s v="kg/2018 USD, purchaser price"/>
    <n v="0.34899999999999998"/>
    <n v="0.34899999999999998"/>
    <n v="0.03"/>
    <n v="0.03"/>
    <n v="0.379"/>
    <n v="0.379"/>
  </r>
  <r>
    <s v="325510"/>
    <x v="104"/>
    <s v="methane"/>
    <s v="kg/2018 USD, purchaser price"/>
    <n v="1E-3"/>
    <n v="2.8000000000000001E-2"/>
    <n v="0"/>
    <n v="0"/>
    <n v="1E-3"/>
    <n v="2.8000000000000001E-2"/>
  </r>
  <r>
    <s v="325510"/>
    <x v="104"/>
    <s v="nitrous oxide"/>
    <s v="kg/2018 USD, purchaser price"/>
    <n v="0"/>
    <n v="0"/>
    <n v="0"/>
    <n v="0"/>
    <n v="0"/>
    <n v="0"/>
  </r>
  <r>
    <s v="325510"/>
    <x v="104"/>
    <s v="other GHGs"/>
    <s v="kg CO2e/2018 USD, purchaser price"/>
    <n v="6.0000000000000001E-3"/>
    <n v="6.0000000000000001E-3"/>
    <n v="0"/>
    <n v="0"/>
    <n v="6.0000000000000001E-3"/>
    <n v="6.0000000000000001E-3"/>
  </r>
  <r>
    <s v="325520"/>
    <x v="105"/>
    <s v="carbon dioxide"/>
    <s v="kg/2018 USD, purchaser price"/>
    <n v="0.19900000000000001"/>
    <n v="0.19900000000000001"/>
    <n v="8.9999999999999993E-3"/>
    <n v="8.9999999999999993E-3"/>
    <n v="0.20799999999999999"/>
    <n v="0.20799999999999999"/>
  </r>
  <r>
    <s v="325520"/>
    <x v="105"/>
    <s v="methane"/>
    <s v="kg/2018 USD, purchaser price"/>
    <n v="1E-3"/>
    <n v="2.8000000000000001E-2"/>
    <n v="0"/>
    <n v="0"/>
    <n v="1E-3"/>
    <n v="2.8000000000000001E-2"/>
  </r>
  <r>
    <s v="325520"/>
    <x v="105"/>
    <s v="nitrous oxide"/>
    <s v="kg/2018 USD, purchaser price"/>
    <n v="0"/>
    <n v="0"/>
    <n v="0"/>
    <n v="0"/>
    <n v="0"/>
    <n v="0"/>
  </r>
  <r>
    <s v="325520"/>
    <x v="105"/>
    <s v="other GHGs"/>
    <s v="kg CO2e/2018 USD, purchaser price"/>
    <n v="1.0999999999999999E-2"/>
    <n v="1.0999999999999999E-2"/>
    <n v="0"/>
    <n v="0"/>
    <n v="1.0999999999999999E-2"/>
    <n v="1.0999999999999999E-2"/>
  </r>
  <r>
    <s v="325610"/>
    <x v="106"/>
    <s v="carbon dioxide"/>
    <s v="kg/2018 USD, purchaser price"/>
    <n v="0.33"/>
    <n v="0.33"/>
    <n v="4.2000000000000003E-2"/>
    <n v="4.2000000000000003E-2"/>
    <n v="0.372"/>
    <n v="0.372"/>
  </r>
  <r>
    <s v="325610"/>
    <x v="106"/>
    <s v="methane"/>
    <s v="kg/2018 USD, purchaser price"/>
    <n v="1E-3"/>
    <n v="2.8000000000000001E-2"/>
    <n v="0"/>
    <n v="0"/>
    <n v="1E-3"/>
    <n v="2.8000000000000001E-2"/>
  </r>
  <r>
    <s v="325610"/>
    <x v="106"/>
    <s v="nitrous oxide"/>
    <s v="kg/2018 USD, purchaser price"/>
    <n v="0"/>
    <n v="0"/>
    <n v="0"/>
    <n v="0"/>
    <n v="0"/>
    <n v="0"/>
  </r>
  <r>
    <s v="325610"/>
    <x v="106"/>
    <s v="other GHGs"/>
    <s v="kg CO2e/2018 USD, purchaser price"/>
    <n v="1.4E-2"/>
    <n v="1.4E-2"/>
    <n v="0"/>
    <n v="0"/>
    <n v="1.4E-2"/>
    <n v="1.4E-2"/>
  </r>
  <r>
    <s v="325620"/>
    <x v="107"/>
    <s v="carbon dioxide"/>
    <s v="kg/2018 USD, purchaser price"/>
    <n v="0.20499999999999999"/>
    <n v="0.20499999999999999"/>
    <n v="0.159"/>
    <n v="0.159"/>
    <n v="0.36399999999999999"/>
    <n v="0.36399999999999999"/>
  </r>
  <r>
    <s v="325620"/>
    <x v="107"/>
    <s v="methane"/>
    <s v="kg/2018 USD, purchaser price"/>
    <n v="1E-3"/>
    <n v="2.8000000000000001E-2"/>
    <n v="1E-3"/>
    <n v="2.8000000000000001E-2"/>
    <n v="2E-3"/>
    <n v="5.6000000000000001E-2"/>
  </r>
  <r>
    <s v="325620"/>
    <x v="107"/>
    <s v="nitrous oxide"/>
    <s v="kg/2018 USD, purchaser price"/>
    <n v="0"/>
    <n v="0"/>
    <n v="0"/>
    <n v="0"/>
    <n v="0"/>
    <n v="0"/>
  </r>
  <r>
    <s v="325620"/>
    <x v="107"/>
    <s v="other GHGs"/>
    <s v="kg CO2e/2018 USD, purchaser price"/>
    <n v="7.0000000000000001E-3"/>
    <n v="7.0000000000000001E-3"/>
    <n v="0"/>
    <n v="0"/>
    <n v="7.0000000000000001E-3"/>
    <n v="7.0000000000000001E-3"/>
  </r>
  <r>
    <s v="325910"/>
    <x v="108"/>
    <s v="carbon dioxide"/>
    <s v="kg/2018 USD, purchaser price"/>
    <n v="0.32300000000000001"/>
    <n v="0.32300000000000001"/>
    <n v="1.4E-2"/>
    <n v="1.4E-2"/>
    <n v="0.33700000000000002"/>
    <n v="0.33700000000000002"/>
  </r>
  <r>
    <s v="325910"/>
    <x v="108"/>
    <s v="methane"/>
    <s v="kg/2018 USD, purchaser price"/>
    <n v="1E-3"/>
    <n v="2.8000000000000001E-2"/>
    <n v="0"/>
    <n v="0"/>
    <n v="1E-3"/>
    <n v="2.8000000000000001E-2"/>
  </r>
  <r>
    <s v="325910"/>
    <x v="108"/>
    <s v="nitrous oxide"/>
    <s v="kg/2018 USD, purchaser price"/>
    <n v="0"/>
    <n v="0"/>
    <n v="0"/>
    <n v="0"/>
    <n v="0"/>
    <n v="0"/>
  </r>
  <r>
    <s v="325910"/>
    <x v="108"/>
    <s v="other GHGs"/>
    <s v="kg CO2e/2018 USD, purchaser price"/>
    <n v="7.0000000000000001E-3"/>
    <n v="7.0000000000000001E-3"/>
    <n v="0"/>
    <n v="0"/>
    <n v="7.0000000000000001E-3"/>
    <n v="7.0000000000000001E-3"/>
  </r>
  <r>
    <s v="3259A0"/>
    <x v="109"/>
    <s v="carbon dioxide"/>
    <s v="kg/2018 USD, purchaser price"/>
    <n v="0.432"/>
    <n v="0.432"/>
    <n v="4.5999999999999999E-2"/>
    <n v="4.5999999999999999E-2"/>
    <n v="0.47799999999999998"/>
    <n v="0.47799999999999998"/>
  </r>
  <r>
    <s v="3259A0"/>
    <x v="109"/>
    <s v="methane"/>
    <s v="kg/2018 USD, purchaser price"/>
    <n v="2E-3"/>
    <n v="5.6000000000000001E-2"/>
    <n v="0"/>
    <n v="0"/>
    <n v="2E-3"/>
    <n v="5.6000000000000001E-2"/>
  </r>
  <r>
    <s v="3259A0"/>
    <x v="109"/>
    <s v="nitrous oxide"/>
    <s v="kg/2018 USD, purchaser price"/>
    <n v="0"/>
    <n v="0"/>
    <n v="0"/>
    <n v="0"/>
    <n v="0"/>
    <n v="0"/>
  </r>
  <r>
    <s v="3259A0"/>
    <x v="109"/>
    <s v="other GHGs"/>
    <s v="kg CO2e/2018 USD, purchaser price"/>
    <n v="2.7E-2"/>
    <n v="2.7E-2"/>
    <n v="0"/>
    <n v="0"/>
    <n v="2.7E-2"/>
    <n v="2.7E-2"/>
  </r>
  <r>
    <s v="326110"/>
    <x v="110"/>
    <s v="carbon dioxide"/>
    <s v="kg/2018 USD, purchaser price"/>
    <n v="0.46400000000000002"/>
    <n v="0.46400000000000002"/>
    <n v="2.1000000000000001E-2"/>
    <n v="2.1000000000000001E-2"/>
    <n v="0.48499999999999999"/>
    <n v="0.48499999999999999"/>
  </r>
  <r>
    <s v="326110"/>
    <x v="110"/>
    <s v="methane"/>
    <s v="kg/2018 USD, purchaser price"/>
    <n v="1E-3"/>
    <n v="2.8000000000000001E-2"/>
    <n v="0"/>
    <n v="0"/>
    <n v="2E-3"/>
    <n v="5.6000000000000001E-2"/>
  </r>
  <r>
    <s v="326110"/>
    <x v="110"/>
    <s v="nitrous oxide"/>
    <s v="kg/2018 USD, purchaser price"/>
    <n v="0"/>
    <n v="0"/>
    <n v="0"/>
    <n v="0"/>
    <n v="0"/>
    <n v="0"/>
  </r>
  <r>
    <s v="326110"/>
    <x v="110"/>
    <s v="other GHGs"/>
    <s v="kg CO2e/2018 USD, purchaser price"/>
    <n v="7.0000000000000001E-3"/>
    <n v="7.0000000000000001E-3"/>
    <n v="0"/>
    <n v="0"/>
    <n v="7.0000000000000001E-3"/>
    <n v="7.0000000000000001E-3"/>
  </r>
  <r>
    <s v="326120"/>
    <x v="111"/>
    <s v="carbon dioxide"/>
    <s v="kg/2018 USD, purchaser price"/>
    <n v="0.55300000000000005"/>
    <n v="0.55300000000000005"/>
    <n v="0.04"/>
    <n v="0.04"/>
    <n v="0.59299999999999997"/>
    <n v="0.59299999999999997"/>
  </r>
  <r>
    <s v="326120"/>
    <x v="111"/>
    <s v="methane"/>
    <s v="kg/2018 USD, purchaser price"/>
    <n v="2E-3"/>
    <n v="5.6000000000000001E-2"/>
    <n v="0"/>
    <n v="0"/>
    <n v="2E-3"/>
    <n v="5.6000000000000001E-2"/>
  </r>
  <r>
    <s v="326120"/>
    <x v="111"/>
    <s v="nitrous oxide"/>
    <s v="kg/2018 USD, purchaser price"/>
    <n v="0"/>
    <n v="0"/>
    <n v="0"/>
    <n v="0"/>
    <n v="0"/>
    <n v="0"/>
  </r>
  <r>
    <s v="326120"/>
    <x v="111"/>
    <s v="other GHGs"/>
    <s v="kg CO2e/2018 USD, purchaser price"/>
    <n v="5.0000000000000001E-3"/>
    <n v="5.0000000000000001E-3"/>
    <n v="0"/>
    <n v="0"/>
    <n v="5.0000000000000001E-3"/>
    <n v="5.0000000000000001E-3"/>
  </r>
  <r>
    <s v="326130"/>
    <x v="112"/>
    <s v="carbon dioxide"/>
    <s v="kg/2018 USD, purchaser price"/>
    <n v="0.251"/>
    <n v="0.251"/>
    <n v="1.0999999999999999E-2"/>
    <n v="1.0999999999999999E-2"/>
    <n v="0.26200000000000001"/>
    <n v="0.26200000000000001"/>
  </r>
  <r>
    <s v="326130"/>
    <x v="112"/>
    <s v="methane"/>
    <s v="kg/2018 USD, purchaser price"/>
    <n v="1E-3"/>
    <n v="2.8000000000000001E-2"/>
    <n v="0"/>
    <n v="0"/>
    <n v="1E-3"/>
    <n v="2.8000000000000001E-2"/>
  </r>
  <r>
    <s v="326130"/>
    <x v="112"/>
    <s v="nitrous oxide"/>
    <s v="kg/2018 USD, purchaser price"/>
    <n v="0"/>
    <n v="0"/>
    <n v="0"/>
    <n v="0"/>
    <n v="0"/>
    <n v="0"/>
  </r>
  <r>
    <s v="326130"/>
    <x v="112"/>
    <s v="other GHGs"/>
    <s v="kg CO2e/2018 USD, purchaser price"/>
    <n v="6.0000000000000001E-3"/>
    <n v="6.0000000000000001E-3"/>
    <n v="0"/>
    <n v="0"/>
    <n v="6.0000000000000001E-3"/>
    <n v="6.0000000000000001E-3"/>
  </r>
  <r>
    <s v="326140"/>
    <x v="113"/>
    <s v="carbon dioxide"/>
    <s v="kg/2018 USD, purchaser price"/>
    <n v="0.59399999999999997"/>
    <n v="0.59399999999999997"/>
    <n v="0.06"/>
    <n v="0.06"/>
    <n v="0.65400000000000003"/>
    <n v="0.65400000000000003"/>
  </r>
  <r>
    <s v="326140"/>
    <x v="113"/>
    <s v="methane"/>
    <s v="kg/2018 USD, purchaser price"/>
    <n v="2E-3"/>
    <n v="5.6000000000000001E-2"/>
    <n v="0"/>
    <n v="0"/>
    <n v="2E-3"/>
    <n v="5.6000000000000001E-2"/>
  </r>
  <r>
    <s v="326140"/>
    <x v="113"/>
    <s v="nitrous oxide"/>
    <s v="kg/2018 USD, purchaser price"/>
    <n v="0"/>
    <n v="0"/>
    <n v="0"/>
    <n v="0"/>
    <n v="0"/>
    <n v="0"/>
  </r>
  <r>
    <s v="326140"/>
    <x v="113"/>
    <s v="other GHGs"/>
    <s v="kg CO2e/2018 USD, purchaser price"/>
    <n v="8.9999999999999993E-3"/>
    <n v="8.9999999999999993E-3"/>
    <n v="0"/>
    <n v="0"/>
    <n v="8.9999999999999993E-3"/>
    <n v="8.9999999999999993E-3"/>
  </r>
  <r>
    <s v="326150"/>
    <x v="114"/>
    <s v="carbon dioxide"/>
    <s v="kg/2018 USD, purchaser price"/>
    <n v="0.16600000000000001"/>
    <n v="0.16600000000000001"/>
    <n v="2.5999999999999999E-2"/>
    <n v="2.5999999999999999E-2"/>
    <n v="0.192"/>
    <n v="0.192"/>
  </r>
  <r>
    <s v="326150"/>
    <x v="114"/>
    <s v="methane"/>
    <s v="kg/2018 USD, purchaser price"/>
    <n v="1E-3"/>
    <n v="2.8000000000000001E-2"/>
    <n v="0"/>
    <n v="0"/>
    <n v="1E-3"/>
    <n v="2.8000000000000001E-2"/>
  </r>
  <r>
    <s v="326150"/>
    <x v="114"/>
    <s v="nitrous oxide"/>
    <s v="kg/2018 USD, purchaser price"/>
    <n v="0"/>
    <n v="0"/>
    <n v="0"/>
    <n v="0"/>
    <n v="0"/>
    <n v="0"/>
  </r>
  <r>
    <s v="326150"/>
    <x v="114"/>
    <s v="other GHGs"/>
    <s v="kg CO2e/2018 USD, purchaser price"/>
    <n v="9.0999999999999998E-2"/>
    <n v="9.0999999999999998E-2"/>
    <n v="0"/>
    <n v="0"/>
    <n v="9.0999999999999998E-2"/>
    <n v="9.0999999999999998E-2"/>
  </r>
  <r>
    <s v="326160"/>
    <x v="115"/>
    <s v="carbon dioxide"/>
    <s v="kg/2018 USD, purchaser price"/>
    <n v="0.30199999999999999"/>
    <n v="0.30199999999999999"/>
    <n v="1.2E-2"/>
    <n v="1.2E-2"/>
    <n v="0.314"/>
    <n v="0.314"/>
  </r>
  <r>
    <s v="326160"/>
    <x v="115"/>
    <s v="methane"/>
    <s v="kg/2018 USD, purchaser price"/>
    <n v="1E-3"/>
    <n v="2.8000000000000001E-2"/>
    <n v="0"/>
    <n v="0"/>
    <n v="1E-3"/>
    <n v="2.8000000000000001E-2"/>
  </r>
  <r>
    <s v="326160"/>
    <x v="115"/>
    <s v="nitrous oxide"/>
    <s v="kg/2018 USD, purchaser price"/>
    <n v="0"/>
    <n v="0"/>
    <n v="0"/>
    <n v="0"/>
    <n v="0"/>
    <n v="0"/>
  </r>
  <r>
    <s v="326160"/>
    <x v="115"/>
    <s v="other GHGs"/>
    <s v="kg CO2e/2018 USD, purchaser price"/>
    <n v="7.0000000000000001E-3"/>
    <n v="7.0000000000000001E-3"/>
    <n v="0"/>
    <n v="0"/>
    <n v="7.0000000000000001E-3"/>
    <n v="7.0000000000000001E-3"/>
  </r>
  <r>
    <s v="326190"/>
    <x v="116"/>
    <s v="carbon dioxide"/>
    <s v="kg/2018 USD, purchaser price"/>
    <n v="3.5000000000000003E-2"/>
    <n v="3.5000000000000003E-2"/>
    <n v="4.0000000000000001E-3"/>
    <n v="4.0000000000000001E-3"/>
    <n v="3.9E-2"/>
    <n v="3.9E-2"/>
  </r>
  <r>
    <s v="326190"/>
    <x v="116"/>
    <s v="methane"/>
    <s v="kg/2018 USD, purchaser price"/>
    <n v="0"/>
    <n v="0"/>
    <n v="0"/>
    <n v="0"/>
    <n v="0"/>
    <n v="0"/>
  </r>
  <r>
    <s v="326190"/>
    <x v="116"/>
    <s v="nitrous oxide"/>
    <s v="kg/2018 USD, purchaser price"/>
    <n v="0"/>
    <n v="0"/>
    <n v="0"/>
    <n v="0"/>
    <n v="0"/>
    <n v="0"/>
  </r>
  <r>
    <s v="326190"/>
    <x v="116"/>
    <s v="other GHGs"/>
    <s v="kg CO2e/2018 USD, purchaser price"/>
    <n v="8.0000000000000002E-3"/>
    <n v="8.0000000000000002E-3"/>
    <n v="0"/>
    <n v="0"/>
    <n v="8.0000000000000002E-3"/>
    <n v="8.0000000000000002E-3"/>
  </r>
  <r>
    <s v="326210"/>
    <x v="117"/>
    <s v="carbon dioxide"/>
    <s v="kg/2018 USD, purchaser price"/>
    <n v="0.28599999999999998"/>
    <n v="0.28599999999999998"/>
    <n v="0.107"/>
    <n v="0.107"/>
    <n v="0.39300000000000002"/>
    <n v="0.39300000000000002"/>
  </r>
  <r>
    <s v="326210"/>
    <x v="117"/>
    <s v="methane"/>
    <s v="kg/2018 USD, purchaser price"/>
    <n v="1E-3"/>
    <n v="2.8000000000000001E-2"/>
    <n v="1E-3"/>
    <n v="2.8000000000000001E-2"/>
    <n v="2E-3"/>
    <n v="5.6000000000000001E-2"/>
  </r>
  <r>
    <s v="326210"/>
    <x v="117"/>
    <s v="nitrous oxide"/>
    <s v="kg/2018 USD, purchaser price"/>
    <n v="0"/>
    <n v="0"/>
    <n v="0"/>
    <n v="0"/>
    <n v="0"/>
    <n v="0"/>
  </r>
  <r>
    <s v="326210"/>
    <x v="117"/>
    <s v="other GHGs"/>
    <s v="kg CO2e/2018 USD, purchaser price"/>
    <n v="6.0000000000000001E-3"/>
    <n v="6.0000000000000001E-3"/>
    <n v="0"/>
    <n v="0"/>
    <n v="6.0000000000000001E-3"/>
    <n v="6.0000000000000001E-3"/>
  </r>
  <r>
    <s v="326220"/>
    <x v="118"/>
    <s v="carbon dioxide"/>
    <s v="kg/2018 USD, purchaser price"/>
    <n v="0.30299999999999999"/>
    <n v="0.30299999999999999"/>
    <n v="6.0999999999999999E-2"/>
    <n v="6.0999999999999999E-2"/>
    <n v="0.36299999999999999"/>
    <n v="0.36299999999999999"/>
  </r>
  <r>
    <s v="326220"/>
    <x v="118"/>
    <s v="methane"/>
    <s v="kg/2018 USD, purchaser price"/>
    <n v="1E-3"/>
    <n v="2.8000000000000001E-2"/>
    <n v="0"/>
    <n v="0"/>
    <n v="2E-3"/>
    <n v="5.6000000000000001E-2"/>
  </r>
  <r>
    <s v="326220"/>
    <x v="118"/>
    <s v="nitrous oxide"/>
    <s v="kg/2018 USD, purchaser price"/>
    <n v="0"/>
    <n v="0"/>
    <n v="0"/>
    <n v="0"/>
    <n v="0"/>
    <n v="0"/>
  </r>
  <r>
    <s v="326220"/>
    <x v="118"/>
    <s v="other GHGs"/>
    <s v="kg CO2e/2018 USD, purchaser price"/>
    <n v="6.0000000000000001E-3"/>
    <n v="6.0000000000000001E-3"/>
    <n v="0"/>
    <n v="0"/>
    <n v="6.0000000000000001E-3"/>
    <n v="6.0000000000000001E-3"/>
  </r>
  <r>
    <s v="326290"/>
    <x v="119"/>
    <s v="carbon dioxide"/>
    <s v="kg/2018 USD, purchaser price"/>
    <n v="0.16400000000000001"/>
    <n v="0.16400000000000001"/>
    <n v="1.7999999999999999E-2"/>
    <n v="1.7999999999999999E-2"/>
    <n v="0.183"/>
    <n v="0.183"/>
  </r>
  <r>
    <s v="326290"/>
    <x v="119"/>
    <s v="methane"/>
    <s v="kg/2018 USD, purchaser price"/>
    <n v="1E-3"/>
    <n v="2.8000000000000001E-2"/>
    <n v="0"/>
    <n v="0"/>
    <n v="1E-3"/>
    <n v="2.8000000000000001E-2"/>
  </r>
  <r>
    <s v="326290"/>
    <x v="119"/>
    <s v="nitrous oxide"/>
    <s v="kg/2018 USD, purchaser price"/>
    <n v="0"/>
    <n v="0"/>
    <n v="0"/>
    <n v="0"/>
    <n v="0"/>
    <n v="0"/>
  </r>
  <r>
    <s v="326290"/>
    <x v="119"/>
    <s v="other GHGs"/>
    <s v="kg CO2e/2018 USD, purchaser price"/>
    <n v="6.0000000000000001E-3"/>
    <n v="6.0000000000000001E-3"/>
    <n v="0"/>
    <n v="0"/>
    <n v="6.0000000000000001E-3"/>
    <n v="6.0000000000000001E-3"/>
  </r>
  <r>
    <s v="327100"/>
    <x v="120"/>
    <s v="carbon dioxide"/>
    <s v="kg/2018 USD, purchaser price"/>
    <n v="0.441"/>
    <n v="0.441"/>
    <n v="0.19900000000000001"/>
    <n v="0.19900000000000001"/>
    <n v="0.64"/>
    <n v="0.64"/>
  </r>
  <r>
    <s v="327100"/>
    <x v="120"/>
    <s v="methane"/>
    <s v="kg/2018 USD, purchaser price"/>
    <n v="2E-3"/>
    <n v="5.6000000000000001E-2"/>
    <n v="2E-3"/>
    <n v="5.6000000000000001E-2"/>
    <n v="3.0000000000000001E-3"/>
    <n v="8.4000000000000005E-2"/>
  </r>
  <r>
    <s v="327100"/>
    <x v="120"/>
    <s v="nitrous oxide"/>
    <s v="kg/2018 USD, purchaser price"/>
    <n v="0"/>
    <n v="0"/>
    <n v="0"/>
    <n v="0"/>
    <n v="0"/>
    <n v="0"/>
  </r>
  <r>
    <s v="327100"/>
    <x v="120"/>
    <s v="other GHGs"/>
    <s v="kg CO2e/2018 USD, purchaser price"/>
    <n v="4.0000000000000001E-3"/>
    <n v="4.0000000000000001E-3"/>
    <n v="0"/>
    <n v="0"/>
    <n v="4.0000000000000001E-3"/>
    <n v="4.0000000000000001E-3"/>
  </r>
  <r>
    <s v="327200"/>
    <x v="121"/>
    <s v="carbon dioxide"/>
    <s v="kg/2018 USD, purchaser price"/>
    <n v="0.59"/>
    <n v="0.59"/>
    <n v="0.11600000000000001"/>
    <n v="0.11600000000000001"/>
    <n v="0.70499999999999996"/>
    <n v="0.70499999999999996"/>
  </r>
  <r>
    <s v="327200"/>
    <x v="121"/>
    <s v="methane"/>
    <s v="kg/2018 USD, purchaser price"/>
    <n v="2E-3"/>
    <n v="5.6000000000000001E-2"/>
    <n v="1E-3"/>
    <n v="2.8000000000000001E-2"/>
    <n v="3.0000000000000001E-3"/>
    <n v="8.4000000000000005E-2"/>
  </r>
  <r>
    <s v="327200"/>
    <x v="121"/>
    <s v="nitrous oxide"/>
    <s v="kg/2018 USD, purchaser price"/>
    <n v="0"/>
    <n v="0"/>
    <n v="0"/>
    <n v="0"/>
    <n v="0"/>
    <n v="0"/>
  </r>
  <r>
    <s v="327200"/>
    <x v="121"/>
    <s v="other GHGs"/>
    <s v="kg CO2e/2018 USD, purchaser price"/>
    <n v="6.0000000000000001E-3"/>
    <n v="6.0000000000000001E-3"/>
    <n v="0"/>
    <n v="0"/>
    <n v="6.0000000000000001E-3"/>
    <n v="6.0000000000000001E-3"/>
  </r>
  <r>
    <s v="327310"/>
    <x v="122"/>
    <s v="carbon dioxide"/>
    <s v="kg/2018 USD, purchaser price"/>
    <n v="4.984"/>
    <n v="4.984"/>
    <n v="0.09"/>
    <n v="0.09"/>
    <n v="5.0730000000000004"/>
    <n v="5.0730000000000004"/>
  </r>
  <r>
    <s v="327310"/>
    <x v="122"/>
    <s v="methane"/>
    <s v="kg/2018 USD, purchaser price"/>
    <n v="4.0000000000000001E-3"/>
    <n v="0.112"/>
    <n v="1E-3"/>
    <n v="2.8000000000000001E-2"/>
    <n v="5.0000000000000001E-3"/>
    <n v="0.14000000000000001"/>
  </r>
  <r>
    <s v="327310"/>
    <x v="122"/>
    <s v="nitrous oxide"/>
    <s v="kg/2018 USD, purchaser price"/>
    <n v="0"/>
    <n v="0"/>
    <n v="0"/>
    <n v="0"/>
    <n v="0"/>
    <n v="0"/>
  </r>
  <r>
    <s v="327310"/>
    <x v="122"/>
    <s v="other GHGs"/>
    <s v="kg CO2e/2018 USD, purchaser price"/>
    <n v="5.0000000000000001E-3"/>
    <n v="5.0000000000000001E-3"/>
    <n v="0"/>
    <n v="0"/>
    <n v="5.0000000000000001E-3"/>
    <n v="5.0000000000000001E-3"/>
  </r>
  <r>
    <s v="327320"/>
    <x v="123"/>
    <s v="carbon dioxide"/>
    <s v="kg/2018 USD, purchaser price"/>
    <n v="1.081"/>
    <n v="1.081"/>
    <n v="9.6000000000000002E-2"/>
    <n v="9.6000000000000002E-2"/>
    <n v="1.1779999999999999"/>
    <n v="1.1779999999999999"/>
  </r>
  <r>
    <s v="327320"/>
    <x v="123"/>
    <s v="methane"/>
    <s v="kg/2018 USD, purchaser price"/>
    <n v="2E-3"/>
    <n v="5.6000000000000001E-2"/>
    <n v="1E-3"/>
    <n v="2.8000000000000001E-2"/>
    <n v="3.0000000000000001E-3"/>
    <n v="8.4000000000000005E-2"/>
  </r>
  <r>
    <s v="327320"/>
    <x v="123"/>
    <s v="nitrous oxide"/>
    <s v="kg/2018 USD, purchaser price"/>
    <n v="0"/>
    <n v="0"/>
    <n v="0"/>
    <n v="0"/>
    <n v="0"/>
    <n v="0"/>
  </r>
  <r>
    <s v="327320"/>
    <x v="123"/>
    <s v="other GHGs"/>
    <s v="kg CO2e/2018 USD, purchaser price"/>
    <n v="5.0000000000000001E-3"/>
    <n v="5.0000000000000001E-3"/>
    <n v="0"/>
    <n v="0"/>
    <n v="5.0000000000000001E-3"/>
    <n v="5.0000000000000001E-3"/>
  </r>
  <r>
    <s v="327330"/>
    <x v="124"/>
    <s v="carbon dioxide"/>
    <s v="kg/2018 USD, purchaser price"/>
    <n v="0.45200000000000001"/>
    <n v="0.45200000000000001"/>
    <n v="9.5000000000000001E-2"/>
    <n v="9.5000000000000001E-2"/>
    <n v="0.54700000000000004"/>
    <n v="0.54700000000000004"/>
  </r>
  <r>
    <s v="327330"/>
    <x v="124"/>
    <s v="methane"/>
    <s v="kg/2018 USD, purchaser price"/>
    <n v="1E-3"/>
    <n v="2.8000000000000001E-2"/>
    <n v="1E-3"/>
    <n v="2.8000000000000001E-2"/>
    <n v="2E-3"/>
    <n v="5.6000000000000001E-2"/>
  </r>
  <r>
    <s v="327330"/>
    <x v="124"/>
    <s v="nitrous oxide"/>
    <s v="kg/2018 USD, purchaser price"/>
    <n v="0"/>
    <n v="0"/>
    <n v="0"/>
    <n v="0"/>
    <n v="0"/>
    <n v="0"/>
  </r>
  <r>
    <s v="327330"/>
    <x v="124"/>
    <s v="other GHGs"/>
    <s v="kg CO2e/2018 USD, purchaser price"/>
    <n v="4.0000000000000001E-3"/>
    <n v="4.0000000000000001E-3"/>
    <n v="0"/>
    <n v="0"/>
    <n v="4.0000000000000001E-3"/>
    <n v="4.0000000000000001E-3"/>
  </r>
  <r>
    <s v="327390"/>
    <x v="125"/>
    <s v="carbon dioxide"/>
    <s v="kg/2018 USD, purchaser price"/>
    <n v="0.36499999999999999"/>
    <n v="0.36499999999999999"/>
    <n v="5.7000000000000002E-2"/>
    <n v="5.7000000000000002E-2"/>
    <n v="0.42199999999999999"/>
    <n v="0.42199999999999999"/>
  </r>
  <r>
    <s v="327390"/>
    <x v="125"/>
    <s v="methane"/>
    <s v="kg/2018 USD, purchaser price"/>
    <n v="1E-3"/>
    <n v="2.8000000000000001E-2"/>
    <n v="1E-3"/>
    <n v="2.8000000000000001E-2"/>
    <n v="2E-3"/>
    <n v="5.6000000000000001E-2"/>
  </r>
  <r>
    <s v="327390"/>
    <x v="125"/>
    <s v="nitrous oxide"/>
    <s v="kg/2018 USD, purchaser price"/>
    <n v="0"/>
    <n v="0"/>
    <n v="0"/>
    <n v="0"/>
    <n v="0"/>
    <n v="0"/>
  </r>
  <r>
    <s v="327390"/>
    <x v="125"/>
    <s v="other GHGs"/>
    <s v="kg CO2e/2018 USD, purchaser price"/>
    <n v="4.0000000000000001E-3"/>
    <n v="4.0000000000000001E-3"/>
    <n v="0"/>
    <n v="0"/>
    <n v="4.0000000000000001E-3"/>
    <n v="4.0000000000000001E-3"/>
  </r>
  <r>
    <s v="327400"/>
    <x v="126"/>
    <s v="carbon dioxide"/>
    <s v="kg/2018 USD, purchaser price"/>
    <n v="2.8969999999999998"/>
    <n v="2.8969999999999998"/>
    <n v="0.107"/>
    <n v="0.107"/>
    <n v="3.004"/>
    <n v="3.004"/>
  </r>
  <r>
    <s v="327400"/>
    <x v="126"/>
    <s v="methane"/>
    <s v="kg/2018 USD, purchaser price"/>
    <n v="4.0000000000000001E-3"/>
    <n v="0.112"/>
    <n v="1E-3"/>
    <n v="2.8000000000000001E-2"/>
    <n v="5.0000000000000001E-3"/>
    <n v="0.14000000000000001"/>
  </r>
  <r>
    <s v="327400"/>
    <x v="126"/>
    <s v="nitrous oxide"/>
    <s v="kg/2018 USD, purchaser price"/>
    <n v="0"/>
    <n v="0"/>
    <n v="0"/>
    <n v="0"/>
    <n v="0"/>
    <n v="0"/>
  </r>
  <r>
    <s v="327400"/>
    <x v="126"/>
    <s v="other GHGs"/>
    <s v="kg CO2e/2018 USD, purchaser price"/>
    <n v="4.0000000000000001E-3"/>
    <n v="4.0000000000000001E-3"/>
    <n v="0"/>
    <n v="0"/>
    <n v="4.0000000000000001E-3"/>
    <n v="4.0000000000000001E-3"/>
  </r>
  <r>
    <s v="327910"/>
    <x v="127"/>
    <s v="carbon dioxide"/>
    <s v="kg/2018 USD, purchaser price"/>
    <n v="0.20499999999999999"/>
    <n v="0.20499999999999999"/>
    <n v="0.108"/>
    <n v="0.108"/>
    <n v="0.313"/>
    <n v="0.313"/>
  </r>
  <r>
    <s v="327910"/>
    <x v="127"/>
    <s v="methane"/>
    <s v="kg/2018 USD, purchaser price"/>
    <n v="1E-3"/>
    <n v="2.8000000000000001E-2"/>
    <n v="1E-3"/>
    <n v="2.8000000000000001E-2"/>
    <n v="2E-3"/>
    <n v="5.6000000000000001E-2"/>
  </r>
  <r>
    <s v="327910"/>
    <x v="127"/>
    <s v="nitrous oxide"/>
    <s v="kg/2018 USD, purchaser price"/>
    <n v="0"/>
    <n v="0"/>
    <n v="0"/>
    <n v="0"/>
    <n v="0"/>
    <n v="0"/>
  </r>
  <r>
    <s v="327910"/>
    <x v="127"/>
    <s v="other GHGs"/>
    <s v="kg CO2e/2018 USD, purchaser price"/>
    <n v="3.0000000000000001E-3"/>
    <n v="3.0000000000000001E-3"/>
    <n v="0"/>
    <n v="0"/>
    <n v="3.0000000000000001E-3"/>
    <n v="3.0000000000000001E-3"/>
  </r>
  <r>
    <s v="327991"/>
    <x v="128"/>
    <s v="carbon dioxide"/>
    <s v="kg/2018 USD, purchaser price"/>
    <n v="0.246"/>
    <n v="0.246"/>
    <n v="0.14199999999999999"/>
    <n v="0.14199999999999999"/>
    <n v="0.38800000000000001"/>
    <n v="0.38800000000000001"/>
  </r>
  <r>
    <s v="327991"/>
    <x v="128"/>
    <s v="methane"/>
    <s v="kg/2018 USD, purchaser price"/>
    <n v="1E-3"/>
    <n v="2.8000000000000001E-2"/>
    <n v="1E-3"/>
    <n v="2.8000000000000001E-2"/>
    <n v="2E-3"/>
    <n v="5.6000000000000001E-2"/>
  </r>
  <r>
    <s v="327991"/>
    <x v="128"/>
    <s v="nitrous oxide"/>
    <s v="kg/2018 USD, purchaser price"/>
    <n v="0"/>
    <n v="0"/>
    <n v="0"/>
    <n v="0"/>
    <n v="0"/>
    <n v="0"/>
  </r>
  <r>
    <s v="327991"/>
    <x v="128"/>
    <s v="other GHGs"/>
    <s v="kg CO2e/2018 USD, purchaser price"/>
    <n v="4.0000000000000001E-3"/>
    <n v="4.0000000000000001E-3"/>
    <n v="0"/>
    <n v="0"/>
    <n v="4.0000000000000001E-3"/>
    <n v="4.0000000000000001E-3"/>
  </r>
  <r>
    <s v="327992"/>
    <x v="129"/>
    <s v="carbon dioxide"/>
    <s v="kg/2018 USD, purchaser price"/>
    <n v="0.55400000000000005"/>
    <n v="0.55400000000000005"/>
    <n v="0.23100000000000001"/>
    <n v="0.23100000000000001"/>
    <n v="0.78600000000000003"/>
    <n v="0.78600000000000003"/>
  </r>
  <r>
    <s v="327992"/>
    <x v="129"/>
    <s v="methane"/>
    <s v="kg/2018 USD, purchaser price"/>
    <n v="2E-3"/>
    <n v="5.6000000000000001E-2"/>
    <n v="3.0000000000000001E-3"/>
    <n v="8.4000000000000005E-2"/>
    <n v="5.0000000000000001E-3"/>
    <n v="0.14000000000000001"/>
  </r>
  <r>
    <s v="327992"/>
    <x v="129"/>
    <s v="nitrous oxide"/>
    <s v="kg/2018 USD, purchaser price"/>
    <n v="0"/>
    <n v="0"/>
    <n v="0"/>
    <n v="0"/>
    <n v="0"/>
    <n v="0"/>
  </r>
  <r>
    <s v="327992"/>
    <x v="129"/>
    <s v="other GHGs"/>
    <s v="kg CO2e/2018 USD, purchaser price"/>
    <n v="5.0000000000000001E-3"/>
    <n v="5.0000000000000001E-3"/>
    <n v="0"/>
    <n v="0"/>
    <n v="5.0000000000000001E-3"/>
    <n v="5.0000000000000001E-3"/>
  </r>
  <r>
    <s v="327993"/>
    <x v="130"/>
    <s v="carbon dioxide"/>
    <s v="kg/2018 USD, purchaser price"/>
    <n v="0.50600000000000001"/>
    <n v="0.50600000000000001"/>
    <n v="7.9000000000000001E-2"/>
    <n v="7.9000000000000001E-2"/>
    <n v="0.58499999999999996"/>
    <n v="0.58499999999999996"/>
  </r>
  <r>
    <s v="327993"/>
    <x v="130"/>
    <s v="methane"/>
    <s v="kg/2018 USD, purchaser price"/>
    <n v="2E-3"/>
    <n v="5.6000000000000001E-2"/>
    <n v="1E-3"/>
    <n v="2.8000000000000001E-2"/>
    <n v="3.0000000000000001E-3"/>
    <n v="8.4000000000000005E-2"/>
  </r>
  <r>
    <s v="327993"/>
    <x v="130"/>
    <s v="nitrous oxide"/>
    <s v="kg/2018 USD, purchaser price"/>
    <n v="0"/>
    <n v="0"/>
    <n v="0"/>
    <n v="0"/>
    <n v="0"/>
    <n v="0"/>
  </r>
  <r>
    <s v="327993"/>
    <x v="130"/>
    <s v="other GHGs"/>
    <s v="kg CO2e/2018 USD, purchaser price"/>
    <n v="5.0000000000000001E-3"/>
    <n v="5.0000000000000001E-3"/>
    <n v="0"/>
    <n v="0"/>
    <n v="5.0000000000000001E-3"/>
    <n v="5.0000000000000001E-3"/>
  </r>
  <r>
    <s v="327999"/>
    <x v="131"/>
    <s v="carbon dioxide"/>
    <s v="kg/2018 USD, purchaser price"/>
    <n v="0.71799999999999997"/>
    <n v="0.71799999999999997"/>
    <n v="7.5999999999999998E-2"/>
    <n v="7.5999999999999998E-2"/>
    <n v="0.79500000000000004"/>
    <n v="0.79500000000000004"/>
  </r>
  <r>
    <s v="327999"/>
    <x v="131"/>
    <s v="methane"/>
    <s v="kg/2018 USD, purchaser price"/>
    <n v="1E-3"/>
    <n v="2.8000000000000001E-2"/>
    <n v="1E-3"/>
    <n v="2.8000000000000001E-2"/>
    <n v="2E-3"/>
    <n v="5.6000000000000001E-2"/>
  </r>
  <r>
    <s v="327999"/>
    <x v="131"/>
    <s v="nitrous oxide"/>
    <s v="kg/2018 USD, purchaser price"/>
    <n v="0"/>
    <n v="0"/>
    <n v="0"/>
    <n v="0"/>
    <n v="0"/>
    <n v="0"/>
  </r>
  <r>
    <s v="327999"/>
    <x v="131"/>
    <s v="other GHGs"/>
    <s v="kg CO2e/2018 USD, purchaser price"/>
    <n v="4.0000000000000001E-3"/>
    <n v="4.0000000000000001E-3"/>
    <n v="0"/>
    <n v="0"/>
    <n v="4.0000000000000001E-3"/>
    <n v="4.0000000000000001E-3"/>
  </r>
  <r>
    <s v="331110"/>
    <x v="132"/>
    <s v="carbon dioxide"/>
    <s v="kg/2018 USD, purchaser price"/>
    <n v="0.623"/>
    <n v="0.623"/>
    <n v="3.2000000000000001E-2"/>
    <n v="3.2000000000000001E-2"/>
    <n v="0.65500000000000003"/>
    <n v="0.65500000000000003"/>
  </r>
  <r>
    <s v="331110"/>
    <x v="132"/>
    <s v="methane"/>
    <s v="kg/2018 USD, purchaser price"/>
    <n v="3.0000000000000001E-3"/>
    <n v="8.4000000000000005E-2"/>
    <n v="0"/>
    <n v="0"/>
    <n v="4.0000000000000001E-3"/>
    <n v="0.112"/>
  </r>
  <r>
    <s v="331110"/>
    <x v="132"/>
    <s v="nitrous oxide"/>
    <s v="kg/2018 USD, purchaser price"/>
    <n v="0"/>
    <n v="0"/>
    <n v="0"/>
    <n v="0"/>
    <n v="0"/>
    <n v="0"/>
  </r>
  <r>
    <s v="331110"/>
    <x v="132"/>
    <s v="other GHGs"/>
    <s v="kg CO2e/2018 USD, purchaser price"/>
    <n v="1.0999999999999999E-2"/>
    <n v="1.0999999999999999E-2"/>
    <n v="0"/>
    <n v="0"/>
    <n v="1.0999999999999999E-2"/>
    <n v="1.0999999999999999E-2"/>
  </r>
  <r>
    <s v="331200"/>
    <x v="133"/>
    <s v="carbon dioxide"/>
    <s v="kg/2018 USD, purchaser price"/>
    <n v="0.40400000000000003"/>
    <n v="0.40400000000000003"/>
    <n v="3.9E-2"/>
    <n v="3.9E-2"/>
    <n v="0.442"/>
    <n v="0.442"/>
  </r>
  <r>
    <s v="331200"/>
    <x v="133"/>
    <s v="methane"/>
    <s v="kg/2018 USD, purchaser price"/>
    <n v="2E-3"/>
    <n v="5.6000000000000001E-2"/>
    <n v="0"/>
    <n v="0"/>
    <n v="2E-3"/>
    <n v="5.6000000000000001E-2"/>
  </r>
  <r>
    <s v="331200"/>
    <x v="133"/>
    <s v="nitrous oxide"/>
    <s v="kg/2018 USD, purchaser price"/>
    <n v="0"/>
    <n v="0"/>
    <n v="0"/>
    <n v="0"/>
    <n v="0"/>
    <n v="0"/>
  </r>
  <r>
    <s v="331200"/>
    <x v="133"/>
    <s v="other GHGs"/>
    <s v="kg CO2e/2018 USD, purchaser price"/>
    <n v="8.9999999999999993E-3"/>
    <n v="8.9999999999999993E-3"/>
    <n v="0"/>
    <n v="0"/>
    <n v="8.9999999999999993E-3"/>
    <n v="8.9999999999999993E-3"/>
  </r>
  <r>
    <s v="331313"/>
    <x v="134"/>
    <s v="carbon dioxide"/>
    <s v="kg/2018 USD, purchaser price"/>
    <n v="0.625"/>
    <n v="0.625"/>
    <n v="2.7E-2"/>
    <n v="2.7E-2"/>
    <n v="0.65200000000000002"/>
    <n v="0.65200000000000002"/>
  </r>
  <r>
    <s v="331313"/>
    <x v="134"/>
    <s v="methane"/>
    <s v="kg/2018 USD, purchaser price"/>
    <n v="2E-3"/>
    <n v="5.6000000000000001E-2"/>
    <n v="0"/>
    <n v="0"/>
    <n v="2E-3"/>
    <n v="5.6000000000000001E-2"/>
  </r>
  <r>
    <s v="331313"/>
    <x v="134"/>
    <s v="nitrous oxide"/>
    <s v="kg/2018 USD, purchaser price"/>
    <n v="0"/>
    <n v="0"/>
    <n v="0"/>
    <n v="0"/>
    <n v="0"/>
    <n v="0"/>
  </r>
  <r>
    <s v="331313"/>
    <x v="134"/>
    <s v="other GHGs"/>
    <s v="kg CO2e/2018 USD, purchaser price"/>
    <n v="0.14499999999999999"/>
    <n v="0.14499999999999999"/>
    <n v="0"/>
    <n v="0"/>
    <n v="0.14499999999999999"/>
    <n v="0.14499999999999999"/>
  </r>
  <r>
    <s v="33131B"/>
    <x v="135"/>
    <s v="carbon dioxide"/>
    <s v="kg/2018 USD, purchaser price"/>
    <n v="0.41899999999999998"/>
    <n v="0.41899999999999998"/>
    <n v="2.1999999999999999E-2"/>
    <n v="2.1999999999999999E-2"/>
    <n v="0.441"/>
    <n v="0.441"/>
  </r>
  <r>
    <s v="33131B"/>
    <x v="135"/>
    <s v="methane"/>
    <s v="kg/2018 USD, purchaser price"/>
    <n v="1E-3"/>
    <n v="2.8000000000000001E-2"/>
    <n v="0"/>
    <n v="0"/>
    <n v="2E-3"/>
    <n v="5.6000000000000001E-2"/>
  </r>
  <r>
    <s v="33131B"/>
    <x v="135"/>
    <s v="nitrous oxide"/>
    <s v="kg/2018 USD, purchaser price"/>
    <n v="0"/>
    <n v="0"/>
    <n v="0"/>
    <n v="0"/>
    <n v="0"/>
    <n v="0"/>
  </r>
  <r>
    <s v="33131B"/>
    <x v="135"/>
    <s v="other GHGs"/>
    <s v="kg CO2e/2018 USD, purchaser price"/>
    <n v="5.8000000000000003E-2"/>
    <n v="5.8000000000000003E-2"/>
    <n v="0"/>
    <n v="0"/>
    <n v="5.8000000000000003E-2"/>
    <n v="5.8000000000000003E-2"/>
  </r>
  <r>
    <s v="331410"/>
    <x v="136"/>
    <s v="carbon dioxide"/>
    <s v="kg/2018 USD, purchaser price"/>
    <n v="0.46300000000000002"/>
    <n v="0.46300000000000002"/>
    <n v="3.6999999999999998E-2"/>
    <n v="3.6999999999999998E-2"/>
    <n v="0.5"/>
    <n v="0.5"/>
  </r>
  <r>
    <s v="331410"/>
    <x v="136"/>
    <s v="methane"/>
    <s v="kg/2018 USD, purchaser price"/>
    <n v="1E-3"/>
    <n v="2.8000000000000001E-2"/>
    <n v="0"/>
    <n v="0"/>
    <n v="2E-3"/>
    <n v="5.6000000000000001E-2"/>
  </r>
  <r>
    <s v="331410"/>
    <x v="136"/>
    <s v="nitrous oxide"/>
    <s v="kg/2018 USD, purchaser price"/>
    <n v="0"/>
    <n v="0"/>
    <n v="0"/>
    <n v="0"/>
    <n v="0"/>
    <n v="0"/>
  </r>
  <r>
    <s v="331410"/>
    <x v="136"/>
    <s v="other GHGs"/>
    <s v="kg CO2e/2018 USD, purchaser price"/>
    <n v="0.04"/>
    <n v="0.04"/>
    <n v="0"/>
    <n v="0"/>
    <n v="0.04"/>
    <n v="0.04"/>
  </r>
  <r>
    <s v="331420"/>
    <x v="137"/>
    <s v="carbon dioxide"/>
    <s v="kg/2018 USD, purchaser price"/>
    <n v="0.45800000000000002"/>
    <n v="0.45800000000000002"/>
    <n v="2.5000000000000001E-2"/>
    <n v="2.5000000000000001E-2"/>
    <n v="0.48299999999999998"/>
    <n v="0.48299999999999998"/>
  </r>
  <r>
    <s v="331420"/>
    <x v="137"/>
    <s v="methane"/>
    <s v="kg/2018 USD, purchaser price"/>
    <n v="1E-3"/>
    <n v="2.8000000000000001E-2"/>
    <n v="0"/>
    <n v="0"/>
    <n v="2E-3"/>
    <n v="5.6000000000000001E-2"/>
  </r>
  <r>
    <s v="331420"/>
    <x v="137"/>
    <s v="nitrous oxide"/>
    <s v="kg/2018 USD, purchaser price"/>
    <n v="0"/>
    <n v="0"/>
    <n v="0"/>
    <n v="0"/>
    <n v="0"/>
    <n v="0"/>
  </r>
  <r>
    <s v="331420"/>
    <x v="137"/>
    <s v="other GHGs"/>
    <s v="kg CO2e/2018 USD, purchaser price"/>
    <n v="2.3E-2"/>
    <n v="2.3E-2"/>
    <n v="0"/>
    <n v="0"/>
    <n v="2.3E-2"/>
    <n v="2.3E-2"/>
  </r>
  <r>
    <s v="331490"/>
    <x v="138"/>
    <s v="carbon dioxide"/>
    <s v="kg/2018 USD, purchaser price"/>
    <n v="0.38"/>
    <n v="0.38"/>
    <n v="2.1000000000000001E-2"/>
    <n v="2.1000000000000001E-2"/>
    <n v="0.40200000000000002"/>
    <n v="0.40200000000000002"/>
  </r>
  <r>
    <s v="331490"/>
    <x v="138"/>
    <s v="methane"/>
    <s v="kg/2018 USD, purchaser price"/>
    <n v="1E-3"/>
    <n v="2.8000000000000001E-2"/>
    <n v="0"/>
    <n v="0"/>
    <n v="1E-3"/>
    <n v="2.8000000000000001E-2"/>
  </r>
  <r>
    <s v="331490"/>
    <x v="138"/>
    <s v="nitrous oxide"/>
    <s v="kg/2018 USD, purchaser price"/>
    <n v="0"/>
    <n v="0"/>
    <n v="0"/>
    <n v="0"/>
    <n v="0"/>
    <n v="0"/>
  </r>
  <r>
    <s v="331490"/>
    <x v="138"/>
    <s v="other GHGs"/>
    <s v="kg CO2e/2018 USD, purchaser price"/>
    <n v="0.04"/>
    <n v="0.04"/>
    <n v="0"/>
    <n v="0"/>
    <n v="0.04"/>
    <n v="0.04"/>
  </r>
  <r>
    <s v="331510"/>
    <x v="139"/>
    <s v="carbon dioxide"/>
    <s v="kg/2018 USD, purchaser price"/>
    <n v="0.255"/>
    <n v="0.255"/>
    <n v="1.7999999999999999E-2"/>
    <n v="1.7999999999999999E-2"/>
    <n v="0.27300000000000002"/>
    <n v="0.27300000000000002"/>
  </r>
  <r>
    <s v="331510"/>
    <x v="139"/>
    <s v="methane"/>
    <s v="kg/2018 USD, purchaser price"/>
    <n v="1E-3"/>
    <n v="2.8000000000000001E-2"/>
    <n v="0"/>
    <n v="0"/>
    <n v="1E-3"/>
    <n v="2.8000000000000001E-2"/>
  </r>
  <r>
    <s v="331510"/>
    <x v="139"/>
    <s v="nitrous oxide"/>
    <s v="kg/2018 USD, purchaser price"/>
    <n v="0"/>
    <n v="0"/>
    <n v="0"/>
    <n v="0"/>
    <n v="0"/>
    <n v="0"/>
  </r>
  <r>
    <s v="331510"/>
    <x v="139"/>
    <s v="other GHGs"/>
    <s v="kg CO2e/2018 USD, purchaser price"/>
    <n v="7.0000000000000001E-3"/>
    <n v="7.0000000000000001E-3"/>
    <n v="0"/>
    <n v="0"/>
    <n v="7.0000000000000001E-3"/>
    <n v="7.0000000000000001E-3"/>
  </r>
  <r>
    <s v="331520"/>
    <x v="140"/>
    <s v="carbon dioxide"/>
    <s v="kg/2018 USD, purchaser price"/>
    <n v="0.25900000000000001"/>
    <n v="0.25900000000000001"/>
    <n v="1.7000000000000001E-2"/>
    <n v="1.7000000000000001E-2"/>
    <n v="0.27600000000000002"/>
    <n v="0.27600000000000002"/>
  </r>
  <r>
    <s v="331520"/>
    <x v="140"/>
    <s v="methane"/>
    <s v="kg/2018 USD, purchaser price"/>
    <n v="1E-3"/>
    <n v="2.8000000000000001E-2"/>
    <n v="0"/>
    <n v="0"/>
    <n v="1E-3"/>
    <n v="2.8000000000000001E-2"/>
  </r>
  <r>
    <s v="331520"/>
    <x v="140"/>
    <s v="nitrous oxide"/>
    <s v="kg/2018 USD, purchaser price"/>
    <n v="0"/>
    <n v="0"/>
    <n v="0"/>
    <n v="0"/>
    <n v="0"/>
    <n v="0"/>
  </r>
  <r>
    <s v="331520"/>
    <x v="140"/>
    <s v="other GHGs"/>
    <s v="kg CO2e/2018 USD, purchaser price"/>
    <n v="4.3999999999999997E-2"/>
    <n v="4.3999999999999997E-2"/>
    <n v="0"/>
    <n v="0"/>
    <n v="4.3999999999999997E-2"/>
    <n v="4.3999999999999997E-2"/>
  </r>
  <r>
    <s v="332114"/>
    <x v="141"/>
    <s v="carbon dioxide"/>
    <s v="kg/2018 USD, purchaser price"/>
    <n v="0.33900000000000002"/>
    <n v="0.33900000000000002"/>
    <n v="1.4E-2"/>
    <n v="1.4E-2"/>
    <n v="0.35399999999999998"/>
    <n v="0.35399999999999998"/>
  </r>
  <r>
    <s v="332114"/>
    <x v="141"/>
    <s v="methane"/>
    <s v="kg/2018 USD, purchaser price"/>
    <n v="2E-3"/>
    <n v="5.6000000000000001E-2"/>
    <n v="0"/>
    <n v="0"/>
    <n v="2E-3"/>
    <n v="5.6000000000000001E-2"/>
  </r>
  <r>
    <s v="332114"/>
    <x v="141"/>
    <s v="nitrous oxide"/>
    <s v="kg/2018 USD, purchaser price"/>
    <n v="0"/>
    <n v="0"/>
    <n v="0"/>
    <n v="0"/>
    <n v="0"/>
    <n v="0"/>
  </r>
  <r>
    <s v="332114"/>
    <x v="141"/>
    <s v="other GHGs"/>
    <s v="kg CO2e/2018 USD, purchaser price"/>
    <n v="1.0999999999999999E-2"/>
    <n v="1.0999999999999999E-2"/>
    <n v="0"/>
    <n v="0"/>
    <n v="1.0999999999999999E-2"/>
    <n v="1.0999999999999999E-2"/>
  </r>
  <r>
    <s v="332119"/>
    <x v="142"/>
    <s v="carbon dioxide"/>
    <s v="kg/2018 USD, purchaser price"/>
    <n v="0.246"/>
    <n v="0.246"/>
    <n v="2.4E-2"/>
    <n v="2.4E-2"/>
    <n v="0.27"/>
    <n v="0.27"/>
  </r>
  <r>
    <s v="332119"/>
    <x v="142"/>
    <s v="methane"/>
    <s v="kg/2018 USD, purchaser price"/>
    <n v="1E-3"/>
    <n v="2.8000000000000001E-2"/>
    <n v="0"/>
    <n v="0"/>
    <n v="1E-3"/>
    <n v="2.8000000000000001E-2"/>
  </r>
  <r>
    <s v="332119"/>
    <x v="142"/>
    <s v="nitrous oxide"/>
    <s v="kg/2018 USD, purchaser price"/>
    <n v="0"/>
    <n v="0"/>
    <n v="0"/>
    <n v="0"/>
    <n v="0"/>
    <n v="0"/>
  </r>
  <r>
    <s v="332119"/>
    <x v="142"/>
    <s v="other GHGs"/>
    <s v="kg CO2e/2018 USD, purchaser price"/>
    <n v="1.0999999999999999E-2"/>
    <n v="1.0999999999999999E-2"/>
    <n v="0"/>
    <n v="0"/>
    <n v="1.0999999999999999E-2"/>
    <n v="1.0999999999999999E-2"/>
  </r>
  <r>
    <s v="33211A"/>
    <x v="143"/>
    <s v="carbon dioxide"/>
    <s v="kg/2018 USD, purchaser price"/>
    <n v="0.22600000000000001"/>
    <n v="0.22600000000000001"/>
    <n v="1.0999999999999999E-2"/>
    <n v="1.0999999999999999E-2"/>
    <n v="0.23799999999999999"/>
    <n v="0.23799999999999999"/>
  </r>
  <r>
    <s v="33211A"/>
    <x v="143"/>
    <s v="methane"/>
    <s v="kg/2018 USD, purchaser price"/>
    <n v="1E-3"/>
    <n v="2.8000000000000001E-2"/>
    <n v="0"/>
    <n v="0"/>
    <n v="1E-3"/>
    <n v="2.8000000000000001E-2"/>
  </r>
  <r>
    <s v="33211A"/>
    <x v="143"/>
    <s v="nitrous oxide"/>
    <s v="kg/2018 USD, purchaser price"/>
    <n v="0"/>
    <n v="0"/>
    <n v="0"/>
    <n v="0"/>
    <n v="0"/>
    <n v="0"/>
  </r>
  <r>
    <s v="33211A"/>
    <x v="143"/>
    <s v="other GHGs"/>
    <s v="kg CO2e/2018 USD, purchaser price"/>
    <n v="1.2999999999999999E-2"/>
    <n v="1.2999999999999999E-2"/>
    <n v="0"/>
    <n v="0"/>
    <n v="1.2999999999999999E-2"/>
    <n v="1.2999999999999999E-2"/>
  </r>
  <r>
    <s v="332200"/>
    <x v="144"/>
    <s v="carbon dioxide"/>
    <s v="kg/2018 USD, purchaser price"/>
    <n v="0.185"/>
    <n v="0.185"/>
    <n v="0.13200000000000001"/>
    <n v="0.13200000000000001"/>
    <n v="0.317"/>
    <n v="0.317"/>
  </r>
  <r>
    <s v="332200"/>
    <x v="144"/>
    <s v="methane"/>
    <s v="kg/2018 USD, purchaser price"/>
    <n v="1E-3"/>
    <n v="2.8000000000000001E-2"/>
    <n v="1E-3"/>
    <n v="2.8000000000000001E-2"/>
    <n v="1E-3"/>
    <n v="2.8000000000000001E-2"/>
  </r>
  <r>
    <s v="332200"/>
    <x v="144"/>
    <s v="nitrous oxide"/>
    <s v="kg/2018 USD, purchaser price"/>
    <n v="0"/>
    <n v="0"/>
    <n v="0"/>
    <n v="0"/>
    <n v="0"/>
    <n v="0"/>
  </r>
  <r>
    <s v="332200"/>
    <x v="144"/>
    <s v="other GHGs"/>
    <s v="kg CO2e/2018 USD, purchaser price"/>
    <n v="7.0000000000000001E-3"/>
    <n v="7.0000000000000001E-3"/>
    <n v="0"/>
    <n v="0"/>
    <n v="7.0000000000000001E-3"/>
    <n v="7.0000000000000001E-3"/>
  </r>
  <r>
    <s v="332310"/>
    <x v="145"/>
    <s v="carbon dioxide"/>
    <s v="kg/2018 USD, purchaser price"/>
    <n v="0.32500000000000001"/>
    <n v="0.32500000000000001"/>
    <n v="2.9000000000000001E-2"/>
    <n v="2.9000000000000001E-2"/>
    <n v="0.35399999999999998"/>
    <n v="0.35399999999999998"/>
  </r>
  <r>
    <s v="332310"/>
    <x v="145"/>
    <s v="methane"/>
    <s v="kg/2018 USD, purchaser price"/>
    <n v="1E-3"/>
    <n v="2.8000000000000001E-2"/>
    <n v="0"/>
    <n v="0"/>
    <n v="2E-3"/>
    <n v="5.6000000000000001E-2"/>
  </r>
  <r>
    <s v="332310"/>
    <x v="145"/>
    <s v="nitrous oxide"/>
    <s v="kg/2018 USD, purchaser price"/>
    <n v="0"/>
    <n v="0"/>
    <n v="0"/>
    <n v="0"/>
    <n v="0"/>
    <n v="0"/>
  </r>
  <r>
    <s v="332310"/>
    <x v="145"/>
    <s v="other GHGs"/>
    <s v="kg CO2e/2018 USD, purchaser price"/>
    <n v="8.0000000000000002E-3"/>
    <n v="8.0000000000000002E-3"/>
    <n v="0"/>
    <n v="0"/>
    <n v="8.0000000000000002E-3"/>
    <n v="8.0000000000000002E-3"/>
  </r>
  <r>
    <s v="332320"/>
    <x v="146"/>
    <s v="carbon dioxide"/>
    <s v="kg/2018 USD, purchaser price"/>
    <n v="0.25800000000000001"/>
    <n v="0.25800000000000001"/>
    <n v="5.0999999999999997E-2"/>
    <n v="5.0999999999999997E-2"/>
    <n v="0.309"/>
    <n v="0.309"/>
  </r>
  <r>
    <s v="332320"/>
    <x v="146"/>
    <s v="methane"/>
    <s v="kg/2018 USD, purchaser price"/>
    <n v="1E-3"/>
    <n v="2.8000000000000001E-2"/>
    <n v="0"/>
    <n v="0"/>
    <n v="1E-3"/>
    <n v="2.8000000000000001E-2"/>
  </r>
  <r>
    <s v="332320"/>
    <x v="146"/>
    <s v="nitrous oxide"/>
    <s v="kg/2018 USD, purchaser price"/>
    <n v="0"/>
    <n v="0"/>
    <n v="0"/>
    <n v="0"/>
    <n v="0"/>
    <n v="0"/>
  </r>
  <r>
    <s v="332320"/>
    <x v="146"/>
    <s v="other GHGs"/>
    <s v="kg CO2e/2018 USD, purchaser price"/>
    <n v="1.2E-2"/>
    <n v="1.2E-2"/>
    <n v="0"/>
    <n v="0"/>
    <n v="1.2E-2"/>
    <n v="1.2E-2"/>
  </r>
  <r>
    <s v="332410"/>
    <x v="147"/>
    <s v="carbon dioxide"/>
    <s v="kg/2018 USD, purchaser price"/>
    <n v="0.23899999999999999"/>
    <n v="0.23899999999999999"/>
    <n v="4.4999999999999998E-2"/>
    <n v="4.4999999999999998E-2"/>
    <n v="0.28499999999999998"/>
    <n v="0.28499999999999998"/>
  </r>
  <r>
    <s v="332410"/>
    <x v="147"/>
    <s v="methane"/>
    <s v="kg/2018 USD, purchaser price"/>
    <n v="1E-3"/>
    <n v="2.8000000000000001E-2"/>
    <n v="0"/>
    <n v="0"/>
    <n v="1E-3"/>
    <n v="2.8000000000000001E-2"/>
  </r>
  <r>
    <s v="332410"/>
    <x v="147"/>
    <s v="nitrous oxide"/>
    <s v="kg/2018 USD, purchaser price"/>
    <n v="0"/>
    <n v="0"/>
    <n v="0"/>
    <n v="0"/>
    <n v="0"/>
    <n v="0"/>
  </r>
  <r>
    <s v="332410"/>
    <x v="147"/>
    <s v="other GHGs"/>
    <s v="kg CO2e/2018 USD, purchaser price"/>
    <n v="1.4E-2"/>
    <n v="1.4E-2"/>
    <n v="0"/>
    <n v="0"/>
    <n v="1.4E-2"/>
    <n v="1.4E-2"/>
  </r>
  <r>
    <s v="332420"/>
    <x v="148"/>
    <s v="carbon dioxide"/>
    <s v="kg/2018 USD, purchaser price"/>
    <n v="0.14399999999999999"/>
    <n v="0.14399999999999999"/>
    <n v="8.9999999999999993E-3"/>
    <n v="8.9999999999999993E-3"/>
    <n v="0.153"/>
    <n v="0.153"/>
  </r>
  <r>
    <s v="332420"/>
    <x v="148"/>
    <s v="methane"/>
    <s v="kg/2018 USD, purchaser price"/>
    <n v="1E-3"/>
    <n v="2.8000000000000001E-2"/>
    <n v="0"/>
    <n v="0"/>
    <n v="1E-3"/>
    <n v="2.8000000000000001E-2"/>
  </r>
  <r>
    <s v="332420"/>
    <x v="148"/>
    <s v="nitrous oxide"/>
    <s v="kg/2018 USD, purchaser price"/>
    <n v="0"/>
    <n v="0"/>
    <n v="0"/>
    <n v="0"/>
    <n v="0"/>
    <n v="0"/>
  </r>
  <r>
    <s v="332420"/>
    <x v="148"/>
    <s v="other GHGs"/>
    <s v="kg CO2e/2018 USD, purchaser price"/>
    <n v="8.9999999999999993E-3"/>
    <n v="8.9999999999999993E-3"/>
    <n v="0"/>
    <n v="0"/>
    <n v="8.9999999999999993E-3"/>
    <n v="8.9999999999999993E-3"/>
  </r>
  <r>
    <s v="332430"/>
    <x v="149"/>
    <s v="carbon dioxide"/>
    <s v="kg/2018 USD, purchaser price"/>
    <n v="7.2999999999999995E-2"/>
    <n v="7.2999999999999995E-2"/>
    <n v="4.0000000000000001E-3"/>
    <n v="4.0000000000000001E-3"/>
    <n v="7.6999999999999999E-2"/>
    <n v="7.6999999999999999E-2"/>
  </r>
  <r>
    <s v="332430"/>
    <x v="149"/>
    <s v="methane"/>
    <s v="kg/2018 USD, purchaser price"/>
    <n v="0"/>
    <n v="0"/>
    <n v="0"/>
    <n v="0"/>
    <n v="0"/>
    <n v="0"/>
  </r>
  <r>
    <s v="332430"/>
    <x v="149"/>
    <s v="nitrous oxide"/>
    <s v="kg/2018 USD, purchaser price"/>
    <n v="0"/>
    <n v="0"/>
    <n v="0"/>
    <n v="0"/>
    <n v="0"/>
    <n v="0"/>
  </r>
  <r>
    <s v="332430"/>
    <x v="149"/>
    <s v="other GHGs"/>
    <s v="kg CO2e/2018 USD, purchaser price"/>
    <n v="3.1E-2"/>
    <n v="3.1E-2"/>
    <n v="0"/>
    <n v="0"/>
    <n v="3.1E-2"/>
    <n v="3.1E-2"/>
  </r>
  <r>
    <s v="332500"/>
    <x v="150"/>
    <s v="carbon dioxide"/>
    <s v="kg/2018 USD, purchaser price"/>
    <n v="0.14899999999999999"/>
    <n v="0.14899999999999999"/>
    <n v="7.8E-2"/>
    <n v="7.8E-2"/>
    <n v="0.22700000000000001"/>
    <n v="0.22700000000000001"/>
  </r>
  <r>
    <s v="332500"/>
    <x v="150"/>
    <s v="methane"/>
    <s v="kg/2018 USD, purchaser price"/>
    <n v="1E-3"/>
    <n v="2.8000000000000001E-2"/>
    <n v="0"/>
    <n v="0"/>
    <n v="1E-3"/>
    <n v="2.8000000000000001E-2"/>
  </r>
  <r>
    <s v="332500"/>
    <x v="150"/>
    <s v="nitrous oxide"/>
    <s v="kg/2018 USD, purchaser price"/>
    <n v="0"/>
    <n v="0"/>
    <n v="0"/>
    <n v="0"/>
    <n v="0"/>
    <n v="0"/>
  </r>
  <r>
    <s v="332500"/>
    <x v="150"/>
    <s v="other GHGs"/>
    <s v="kg CO2e/2018 USD, purchaser price"/>
    <n v="8.0000000000000002E-3"/>
    <n v="8.0000000000000002E-3"/>
    <n v="0"/>
    <n v="0"/>
    <n v="8.0000000000000002E-3"/>
    <n v="8.0000000000000002E-3"/>
  </r>
  <r>
    <s v="332600"/>
    <x v="151"/>
    <s v="carbon dioxide"/>
    <s v="kg/2018 USD, purchaser price"/>
    <n v="2.9000000000000001E-2"/>
    <n v="2.9000000000000001E-2"/>
    <n v="3.0000000000000001E-3"/>
    <n v="3.0000000000000001E-3"/>
    <n v="3.2000000000000001E-2"/>
    <n v="3.2000000000000001E-2"/>
  </r>
  <r>
    <s v="332600"/>
    <x v="151"/>
    <s v="methane"/>
    <s v="kg/2018 USD, purchaser price"/>
    <n v="0"/>
    <n v="0"/>
    <n v="0"/>
    <n v="0"/>
    <n v="0"/>
    <n v="0"/>
  </r>
  <r>
    <s v="332600"/>
    <x v="151"/>
    <s v="nitrous oxide"/>
    <s v="kg/2018 USD, purchaser price"/>
    <n v="0"/>
    <n v="0"/>
    <n v="0"/>
    <n v="0"/>
    <n v="0"/>
    <n v="0"/>
  </r>
  <r>
    <s v="332600"/>
    <x v="151"/>
    <s v="other GHGs"/>
    <s v="kg CO2e/2018 USD, purchaser price"/>
    <n v="8.9999999999999993E-3"/>
    <n v="8.9999999999999993E-3"/>
    <n v="0"/>
    <n v="0"/>
    <n v="8.9999999999999993E-3"/>
    <n v="8.9999999999999993E-3"/>
  </r>
  <r>
    <s v="332710"/>
    <x v="152"/>
    <s v="carbon dioxide"/>
    <s v="kg/2018 USD, purchaser price"/>
    <n v="2.7E-2"/>
    <n v="2.7E-2"/>
    <n v="2E-3"/>
    <n v="2E-3"/>
    <n v="2.9000000000000001E-2"/>
    <n v="2.9000000000000001E-2"/>
  </r>
  <r>
    <s v="332710"/>
    <x v="152"/>
    <s v="methane"/>
    <s v="kg/2018 USD, purchaser price"/>
    <n v="0"/>
    <n v="0"/>
    <n v="0"/>
    <n v="0"/>
    <n v="0"/>
    <n v="0"/>
  </r>
  <r>
    <s v="332710"/>
    <x v="152"/>
    <s v="nitrous oxide"/>
    <s v="kg/2018 USD, purchaser price"/>
    <n v="0"/>
    <n v="0"/>
    <n v="0"/>
    <n v="0"/>
    <n v="0"/>
    <n v="0"/>
  </r>
  <r>
    <s v="332710"/>
    <x v="152"/>
    <s v="other GHGs"/>
    <s v="kg CO2e/2018 USD, purchaser price"/>
    <n v="7.0000000000000001E-3"/>
    <n v="7.0000000000000001E-3"/>
    <n v="0"/>
    <n v="0"/>
    <n v="7.0000000000000001E-3"/>
    <n v="7.0000000000000001E-3"/>
  </r>
  <r>
    <s v="332720"/>
    <x v="153"/>
    <s v="carbon dioxide"/>
    <s v="kg/2018 USD, purchaser price"/>
    <n v="0.27400000000000002"/>
    <n v="0.27400000000000002"/>
    <n v="3.5000000000000003E-2"/>
    <n v="3.5000000000000003E-2"/>
    <n v="0.31"/>
    <n v="0.31"/>
  </r>
  <r>
    <s v="332720"/>
    <x v="153"/>
    <s v="methane"/>
    <s v="kg/2018 USD, purchaser price"/>
    <n v="1E-3"/>
    <n v="2.8000000000000001E-2"/>
    <n v="0"/>
    <n v="0"/>
    <n v="1E-3"/>
    <n v="2.8000000000000001E-2"/>
  </r>
  <r>
    <s v="332720"/>
    <x v="153"/>
    <s v="nitrous oxide"/>
    <s v="kg/2018 USD, purchaser price"/>
    <n v="0"/>
    <n v="0"/>
    <n v="0"/>
    <n v="0"/>
    <n v="0"/>
    <n v="0"/>
  </r>
  <r>
    <s v="332720"/>
    <x v="153"/>
    <s v="other GHGs"/>
    <s v="kg CO2e/2018 USD, purchaser price"/>
    <n v="8.0000000000000002E-3"/>
    <n v="8.0000000000000002E-3"/>
    <n v="0"/>
    <n v="0"/>
    <n v="8.0000000000000002E-3"/>
    <n v="8.0000000000000002E-3"/>
  </r>
  <r>
    <s v="332800"/>
    <x v="154"/>
    <s v="carbon dioxide"/>
    <s v="kg/2018 USD, purchaser price"/>
    <n v="0.35799999999999998"/>
    <n v="0.35799999999999998"/>
    <n v="1.0999999999999999E-2"/>
    <n v="1.0999999999999999E-2"/>
    <n v="0.36899999999999999"/>
    <n v="0.36899999999999999"/>
  </r>
  <r>
    <s v="332800"/>
    <x v="154"/>
    <s v="methane"/>
    <s v="kg/2018 USD, purchaser price"/>
    <n v="1E-3"/>
    <n v="2.8000000000000001E-2"/>
    <n v="0"/>
    <n v="0"/>
    <n v="1E-3"/>
    <n v="2.8000000000000001E-2"/>
  </r>
  <r>
    <s v="332800"/>
    <x v="154"/>
    <s v="nitrous oxide"/>
    <s v="kg/2018 USD, purchaser price"/>
    <n v="0"/>
    <n v="0"/>
    <n v="0"/>
    <n v="0"/>
    <n v="0"/>
    <n v="0"/>
  </r>
  <r>
    <s v="332800"/>
    <x v="154"/>
    <s v="other GHGs"/>
    <s v="kg CO2e/2018 USD, purchaser price"/>
    <n v="7.0000000000000001E-3"/>
    <n v="7.0000000000000001E-3"/>
    <n v="0"/>
    <n v="0"/>
    <n v="7.0000000000000001E-3"/>
    <n v="7.0000000000000001E-3"/>
  </r>
  <r>
    <s v="332913"/>
    <x v="155"/>
    <s v="carbon dioxide"/>
    <s v="kg/2018 USD, purchaser price"/>
    <n v="0.19500000000000001"/>
    <n v="0.19500000000000001"/>
    <n v="0.112"/>
    <n v="0.112"/>
    <n v="0.307"/>
    <n v="0.307"/>
  </r>
  <r>
    <s v="332913"/>
    <x v="155"/>
    <s v="methane"/>
    <s v="kg/2018 USD, purchaser price"/>
    <n v="1E-3"/>
    <n v="2.8000000000000001E-2"/>
    <n v="1E-3"/>
    <n v="2.8000000000000001E-2"/>
    <n v="1E-3"/>
    <n v="2.8000000000000001E-2"/>
  </r>
  <r>
    <s v="332913"/>
    <x v="155"/>
    <s v="nitrous oxide"/>
    <s v="kg/2018 USD, purchaser price"/>
    <n v="0"/>
    <n v="0"/>
    <n v="0"/>
    <n v="0"/>
    <n v="0"/>
    <n v="0"/>
  </r>
  <r>
    <s v="332913"/>
    <x v="155"/>
    <s v="other GHGs"/>
    <s v="kg CO2e/2018 USD, purchaser price"/>
    <n v="8.9999999999999993E-3"/>
    <n v="8.9999999999999993E-3"/>
    <n v="0"/>
    <n v="0"/>
    <n v="8.9999999999999993E-3"/>
    <n v="8.9999999999999993E-3"/>
  </r>
  <r>
    <s v="33291A"/>
    <x v="156"/>
    <s v="carbon dioxide"/>
    <s v="kg/2018 USD, purchaser price"/>
    <n v="0.16900000000000001"/>
    <n v="0.16900000000000001"/>
    <n v="4.8000000000000001E-2"/>
    <n v="4.8000000000000001E-2"/>
    <n v="0.217"/>
    <n v="0.217"/>
  </r>
  <r>
    <s v="33291A"/>
    <x v="156"/>
    <s v="methane"/>
    <s v="kg/2018 USD, purchaser price"/>
    <n v="1E-3"/>
    <n v="2.8000000000000001E-2"/>
    <n v="0"/>
    <n v="0"/>
    <n v="1E-3"/>
    <n v="2.8000000000000001E-2"/>
  </r>
  <r>
    <s v="33291A"/>
    <x v="156"/>
    <s v="nitrous oxide"/>
    <s v="kg/2018 USD, purchaser price"/>
    <n v="0"/>
    <n v="0"/>
    <n v="0"/>
    <n v="0"/>
    <n v="0"/>
    <n v="0"/>
  </r>
  <r>
    <s v="33291A"/>
    <x v="156"/>
    <s v="other GHGs"/>
    <s v="kg CO2e/2018 USD, purchaser price"/>
    <n v="8.0000000000000002E-3"/>
    <n v="8.0000000000000002E-3"/>
    <n v="0"/>
    <n v="0"/>
    <n v="8.0000000000000002E-3"/>
    <n v="8.0000000000000002E-3"/>
  </r>
  <r>
    <s v="332991"/>
    <x v="157"/>
    <s v="carbon dioxide"/>
    <s v="kg/2018 USD, purchaser price"/>
    <n v="0.27"/>
    <n v="0.27"/>
    <n v="5.3999999999999999E-2"/>
    <n v="5.3999999999999999E-2"/>
    <n v="0.32400000000000001"/>
    <n v="0.32400000000000001"/>
  </r>
  <r>
    <s v="332991"/>
    <x v="157"/>
    <s v="methane"/>
    <s v="kg/2018 USD, purchaser price"/>
    <n v="1E-3"/>
    <n v="2.8000000000000001E-2"/>
    <n v="0"/>
    <n v="0"/>
    <n v="1E-3"/>
    <n v="2.8000000000000001E-2"/>
  </r>
  <r>
    <s v="332991"/>
    <x v="157"/>
    <s v="nitrous oxide"/>
    <s v="kg/2018 USD, purchaser price"/>
    <n v="0"/>
    <n v="0"/>
    <n v="0"/>
    <n v="0"/>
    <n v="0"/>
    <n v="0"/>
  </r>
  <r>
    <s v="332991"/>
    <x v="157"/>
    <s v="other GHGs"/>
    <s v="kg CO2e/2018 USD, purchaser price"/>
    <n v="5.0000000000000001E-3"/>
    <n v="5.0000000000000001E-3"/>
    <n v="0"/>
    <n v="0"/>
    <n v="5.0000000000000001E-3"/>
    <n v="5.0000000000000001E-3"/>
  </r>
  <r>
    <s v="332996"/>
    <x v="158"/>
    <s v="carbon dioxide"/>
    <s v="kg/2018 USD, purchaser price"/>
    <n v="0.29599999999999999"/>
    <n v="0.29599999999999999"/>
    <n v="3.2000000000000001E-2"/>
    <n v="3.2000000000000001E-2"/>
    <n v="0.32800000000000001"/>
    <n v="0.32800000000000001"/>
  </r>
  <r>
    <s v="332996"/>
    <x v="158"/>
    <s v="methane"/>
    <s v="kg/2018 USD, purchaser price"/>
    <n v="1E-3"/>
    <n v="2.8000000000000001E-2"/>
    <n v="0"/>
    <n v="0"/>
    <n v="2E-3"/>
    <n v="5.6000000000000001E-2"/>
  </r>
  <r>
    <s v="332996"/>
    <x v="158"/>
    <s v="nitrous oxide"/>
    <s v="kg/2018 USD, purchaser price"/>
    <n v="0"/>
    <n v="0"/>
    <n v="0"/>
    <n v="0"/>
    <n v="0"/>
    <n v="0"/>
  </r>
  <r>
    <s v="332996"/>
    <x v="158"/>
    <s v="other GHGs"/>
    <s v="kg CO2e/2018 USD, purchaser price"/>
    <n v="7.0000000000000001E-3"/>
    <n v="7.0000000000000001E-3"/>
    <n v="0"/>
    <n v="0"/>
    <n v="7.0000000000000001E-3"/>
    <n v="7.0000000000000001E-3"/>
  </r>
  <r>
    <s v="332999"/>
    <x v="159"/>
    <s v="carbon dioxide"/>
    <s v="kg/2018 USD, purchaser price"/>
    <n v="0.33"/>
    <n v="0.33"/>
    <n v="7.0000000000000007E-2"/>
    <n v="7.0000000000000007E-2"/>
    <n v="0.40100000000000002"/>
    <n v="0.40100000000000002"/>
  </r>
  <r>
    <s v="332999"/>
    <x v="159"/>
    <s v="methane"/>
    <s v="kg/2018 USD, purchaser price"/>
    <n v="1E-3"/>
    <n v="2.8000000000000001E-2"/>
    <n v="0"/>
    <n v="0"/>
    <n v="2E-3"/>
    <n v="5.6000000000000001E-2"/>
  </r>
  <r>
    <s v="332999"/>
    <x v="159"/>
    <s v="nitrous oxide"/>
    <s v="kg/2018 USD, purchaser price"/>
    <n v="0"/>
    <n v="0"/>
    <n v="0"/>
    <n v="0"/>
    <n v="0"/>
    <n v="0"/>
  </r>
  <r>
    <s v="332999"/>
    <x v="159"/>
    <s v="other GHGs"/>
    <s v="kg CO2e/2018 USD, purchaser price"/>
    <n v="1.2E-2"/>
    <n v="1.2E-2"/>
    <n v="0"/>
    <n v="0"/>
    <n v="1.2E-2"/>
    <n v="1.2E-2"/>
  </r>
  <r>
    <s v="33299A"/>
    <x v="160"/>
    <s v="carbon dioxide"/>
    <s v="kg/2018 USD, purchaser price"/>
    <n v="0.2"/>
    <n v="0.2"/>
    <n v="0.111"/>
    <n v="0.111"/>
    <n v="0.31"/>
    <n v="0.31"/>
  </r>
  <r>
    <s v="33299A"/>
    <x v="160"/>
    <s v="methane"/>
    <s v="kg/2018 USD, purchaser price"/>
    <n v="1E-3"/>
    <n v="2.8000000000000001E-2"/>
    <n v="1E-3"/>
    <n v="2.8000000000000001E-2"/>
    <n v="1E-3"/>
    <n v="2.8000000000000001E-2"/>
  </r>
  <r>
    <s v="33299A"/>
    <x v="160"/>
    <s v="nitrous oxide"/>
    <s v="kg/2018 USD, purchaser price"/>
    <n v="0"/>
    <n v="0"/>
    <n v="0"/>
    <n v="0"/>
    <n v="0"/>
    <n v="0"/>
  </r>
  <r>
    <s v="33299A"/>
    <x v="160"/>
    <s v="other GHGs"/>
    <s v="kg CO2e/2018 USD, purchaser price"/>
    <n v="6.0000000000000001E-3"/>
    <n v="6.0000000000000001E-3"/>
    <n v="0"/>
    <n v="0"/>
    <n v="6.0000000000000001E-3"/>
    <n v="6.0000000000000001E-3"/>
  </r>
  <r>
    <s v="333111"/>
    <x v="161"/>
    <s v="carbon dioxide"/>
    <s v="kg/2018 USD, purchaser price"/>
    <n v="0.245"/>
    <n v="0.245"/>
    <n v="5.8999999999999997E-2"/>
    <n v="5.8999999999999997E-2"/>
    <n v="0.30399999999999999"/>
    <n v="0.30399999999999999"/>
  </r>
  <r>
    <s v="333111"/>
    <x v="161"/>
    <s v="methane"/>
    <s v="kg/2018 USD, purchaser price"/>
    <n v="1E-3"/>
    <n v="2.8000000000000001E-2"/>
    <n v="0"/>
    <n v="0"/>
    <n v="1E-3"/>
    <n v="2.8000000000000001E-2"/>
  </r>
  <r>
    <s v="333111"/>
    <x v="161"/>
    <s v="nitrous oxide"/>
    <s v="kg/2018 USD, purchaser price"/>
    <n v="0"/>
    <n v="0"/>
    <n v="0"/>
    <n v="0"/>
    <n v="0"/>
    <n v="0"/>
  </r>
  <r>
    <s v="333111"/>
    <x v="161"/>
    <s v="other GHGs"/>
    <s v="kg CO2e/2018 USD, purchaser price"/>
    <n v="8.0000000000000002E-3"/>
    <n v="8.0000000000000002E-3"/>
    <n v="0"/>
    <n v="0"/>
    <n v="8.0000000000000002E-3"/>
    <n v="8.0000000000000002E-3"/>
  </r>
  <r>
    <s v="333112"/>
    <x v="162"/>
    <s v="carbon dioxide"/>
    <s v="kg/2018 USD, purchaser price"/>
    <n v="0.23699999999999999"/>
    <n v="0.23699999999999999"/>
    <n v="0.28000000000000003"/>
    <n v="0.28000000000000003"/>
    <n v="0.51700000000000002"/>
    <n v="0.51700000000000002"/>
  </r>
  <r>
    <s v="333112"/>
    <x v="162"/>
    <s v="methane"/>
    <s v="kg/2018 USD, purchaser price"/>
    <n v="1E-3"/>
    <n v="2.8000000000000001E-2"/>
    <n v="1E-3"/>
    <n v="2.8000000000000001E-2"/>
    <n v="2E-3"/>
    <n v="5.6000000000000001E-2"/>
  </r>
  <r>
    <s v="333112"/>
    <x v="162"/>
    <s v="nitrous oxide"/>
    <s v="kg/2018 USD, purchaser price"/>
    <n v="0"/>
    <n v="0"/>
    <n v="0"/>
    <n v="0"/>
    <n v="0"/>
    <n v="0"/>
  </r>
  <r>
    <s v="333112"/>
    <x v="162"/>
    <s v="other GHGs"/>
    <s v="kg CO2e/2018 USD, purchaser price"/>
    <n v="8.9999999999999993E-3"/>
    <n v="8.9999999999999993E-3"/>
    <n v="0"/>
    <n v="0"/>
    <n v="8.9999999999999993E-3"/>
    <n v="8.9999999999999993E-3"/>
  </r>
  <r>
    <s v="333120"/>
    <x v="163"/>
    <s v="carbon dioxide"/>
    <s v="kg/2018 USD, purchaser price"/>
    <n v="0.13800000000000001"/>
    <n v="0.13800000000000001"/>
    <n v="3.5000000000000003E-2"/>
    <n v="3.5000000000000003E-2"/>
    <n v="0.17199999999999999"/>
    <n v="0.17199999999999999"/>
  </r>
  <r>
    <s v="333120"/>
    <x v="163"/>
    <s v="methane"/>
    <s v="kg/2018 USD, purchaser price"/>
    <n v="1E-3"/>
    <n v="2.8000000000000001E-2"/>
    <n v="0"/>
    <n v="0"/>
    <n v="1E-3"/>
    <n v="2.8000000000000001E-2"/>
  </r>
  <r>
    <s v="333120"/>
    <x v="163"/>
    <s v="nitrous oxide"/>
    <s v="kg/2018 USD, purchaser price"/>
    <n v="0"/>
    <n v="0"/>
    <n v="0"/>
    <n v="0"/>
    <n v="0"/>
    <n v="0"/>
  </r>
  <r>
    <s v="333120"/>
    <x v="163"/>
    <s v="other GHGs"/>
    <s v="kg CO2e/2018 USD, purchaser price"/>
    <n v="7.0000000000000001E-3"/>
    <n v="7.0000000000000001E-3"/>
    <n v="0"/>
    <n v="0"/>
    <n v="7.0000000000000001E-3"/>
    <n v="7.0000000000000001E-3"/>
  </r>
  <r>
    <s v="333130"/>
    <x v="164"/>
    <s v="carbon dioxide"/>
    <s v="kg/2018 USD, purchaser price"/>
    <n v="0.24099999999999999"/>
    <n v="0.24099999999999999"/>
    <n v="4.2999999999999997E-2"/>
    <n v="4.2999999999999997E-2"/>
    <n v="0.28399999999999997"/>
    <n v="0.28399999999999997"/>
  </r>
  <r>
    <s v="333130"/>
    <x v="164"/>
    <s v="methane"/>
    <s v="kg/2018 USD, purchaser price"/>
    <n v="1E-3"/>
    <n v="2.8000000000000001E-2"/>
    <n v="0"/>
    <n v="0"/>
    <n v="1E-3"/>
    <n v="2.8000000000000001E-2"/>
  </r>
  <r>
    <s v="333130"/>
    <x v="164"/>
    <s v="nitrous oxide"/>
    <s v="kg/2018 USD, purchaser price"/>
    <n v="0"/>
    <n v="0"/>
    <n v="0"/>
    <n v="0"/>
    <n v="0"/>
    <n v="0"/>
  </r>
  <r>
    <s v="333130"/>
    <x v="164"/>
    <s v="other GHGs"/>
    <s v="kg CO2e/2018 USD, purchaser price"/>
    <n v="8.0000000000000002E-3"/>
    <n v="8.0000000000000002E-3"/>
    <n v="0"/>
    <n v="0"/>
    <n v="8.0000000000000002E-3"/>
    <n v="8.0000000000000002E-3"/>
  </r>
  <r>
    <s v="333242"/>
    <x v="165"/>
    <s v="carbon dioxide"/>
    <s v="kg/2018 USD, purchaser price"/>
    <n v="0.14499999999999999"/>
    <n v="0.14499999999999999"/>
    <n v="4.2999999999999997E-2"/>
    <n v="4.2999999999999997E-2"/>
    <n v="0.189"/>
    <n v="0.189"/>
  </r>
  <r>
    <s v="333242"/>
    <x v="165"/>
    <s v="methane"/>
    <s v="kg/2018 USD, purchaser price"/>
    <n v="1E-3"/>
    <n v="2.8000000000000001E-2"/>
    <n v="0"/>
    <n v="0"/>
    <n v="1E-3"/>
    <n v="2.8000000000000001E-2"/>
  </r>
  <r>
    <s v="333242"/>
    <x v="165"/>
    <s v="nitrous oxide"/>
    <s v="kg/2018 USD, purchaser price"/>
    <n v="0"/>
    <n v="0"/>
    <n v="0"/>
    <n v="0"/>
    <n v="0"/>
    <n v="0"/>
  </r>
  <r>
    <s v="333242"/>
    <x v="165"/>
    <s v="other GHGs"/>
    <s v="kg CO2e/2018 USD, purchaser price"/>
    <n v="6.0000000000000001E-3"/>
    <n v="6.0000000000000001E-3"/>
    <n v="0"/>
    <n v="0"/>
    <n v="6.0000000000000001E-3"/>
    <n v="6.0000000000000001E-3"/>
  </r>
  <r>
    <s v="33329A"/>
    <x v="166"/>
    <s v="carbon dioxide"/>
    <s v="kg/2018 USD, purchaser price"/>
    <n v="0.219"/>
    <n v="0.219"/>
    <n v="5.6000000000000001E-2"/>
    <n v="5.6000000000000001E-2"/>
    <n v="0.27500000000000002"/>
    <n v="0.27500000000000002"/>
  </r>
  <r>
    <s v="33329A"/>
    <x v="166"/>
    <s v="methane"/>
    <s v="kg/2018 USD, purchaser price"/>
    <n v="1E-3"/>
    <n v="2.8000000000000001E-2"/>
    <n v="0"/>
    <n v="0"/>
    <n v="1E-3"/>
    <n v="2.8000000000000001E-2"/>
  </r>
  <r>
    <s v="33329A"/>
    <x v="166"/>
    <s v="nitrous oxide"/>
    <s v="kg/2018 USD, purchaser price"/>
    <n v="0"/>
    <n v="0"/>
    <n v="0"/>
    <n v="0"/>
    <n v="0"/>
    <n v="0"/>
  </r>
  <r>
    <s v="33329A"/>
    <x v="166"/>
    <s v="other GHGs"/>
    <s v="kg CO2e/2018 USD, purchaser price"/>
    <n v="6.0000000000000001E-3"/>
    <n v="6.0000000000000001E-3"/>
    <n v="0"/>
    <n v="0"/>
    <n v="6.0000000000000001E-3"/>
    <n v="6.0000000000000001E-3"/>
  </r>
  <r>
    <s v="333314"/>
    <x v="167"/>
    <s v="carbon dioxide"/>
    <s v="kg/2018 USD, purchaser price"/>
    <n v="0.11899999999999999"/>
    <n v="0.11899999999999999"/>
    <n v="6.4000000000000001E-2"/>
    <n v="6.4000000000000001E-2"/>
    <n v="0.182"/>
    <n v="0.182"/>
  </r>
  <r>
    <s v="333314"/>
    <x v="167"/>
    <s v="methane"/>
    <s v="kg/2018 USD, purchaser price"/>
    <n v="0"/>
    <n v="0"/>
    <n v="1E-3"/>
    <n v="2.8000000000000001E-2"/>
    <n v="1E-3"/>
    <n v="2.8000000000000001E-2"/>
  </r>
  <r>
    <s v="333314"/>
    <x v="167"/>
    <s v="nitrous oxide"/>
    <s v="kg/2018 USD, purchaser price"/>
    <n v="0"/>
    <n v="0"/>
    <n v="0"/>
    <n v="0"/>
    <n v="0"/>
    <n v="0"/>
  </r>
  <r>
    <s v="333314"/>
    <x v="167"/>
    <s v="other GHGs"/>
    <s v="kg CO2e/2018 USD, purchaser price"/>
    <n v="4.0000000000000001E-3"/>
    <n v="4.0000000000000001E-3"/>
    <n v="0"/>
    <n v="0"/>
    <n v="4.0000000000000001E-3"/>
    <n v="4.0000000000000001E-3"/>
  </r>
  <r>
    <s v="333316"/>
    <x v="168"/>
    <s v="carbon dioxide"/>
    <s v="kg/2018 USD, purchaser price"/>
    <n v="0.19600000000000001"/>
    <n v="0.19600000000000001"/>
    <n v="0.252"/>
    <n v="0.252"/>
    <n v="0.44800000000000001"/>
    <n v="0.44800000000000001"/>
  </r>
  <r>
    <s v="333316"/>
    <x v="168"/>
    <s v="methane"/>
    <s v="kg/2018 USD, purchaser price"/>
    <n v="1E-3"/>
    <n v="2.8000000000000001E-2"/>
    <n v="1E-3"/>
    <n v="2.8000000000000001E-2"/>
    <n v="2E-3"/>
    <n v="5.6000000000000001E-2"/>
  </r>
  <r>
    <s v="333316"/>
    <x v="168"/>
    <s v="nitrous oxide"/>
    <s v="kg/2018 USD, purchaser price"/>
    <n v="0"/>
    <n v="0"/>
    <n v="0"/>
    <n v="0"/>
    <n v="0"/>
    <n v="0"/>
  </r>
  <r>
    <s v="333316"/>
    <x v="168"/>
    <s v="other GHGs"/>
    <s v="kg CO2e/2018 USD, purchaser price"/>
    <n v="1.2E-2"/>
    <n v="1.2E-2"/>
    <n v="0"/>
    <n v="0"/>
    <n v="1.2E-2"/>
    <n v="1.2E-2"/>
  </r>
  <r>
    <s v="333318"/>
    <x v="169"/>
    <s v="carbon dioxide"/>
    <s v="kg/2018 USD, purchaser price"/>
    <n v="0.30599999999999999"/>
    <n v="0.30599999999999999"/>
    <n v="0.1"/>
    <n v="0.1"/>
    <n v="0.40600000000000003"/>
    <n v="0.40600000000000003"/>
  </r>
  <r>
    <s v="333318"/>
    <x v="169"/>
    <s v="methane"/>
    <s v="kg/2018 USD, purchaser price"/>
    <n v="1E-3"/>
    <n v="2.8000000000000001E-2"/>
    <n v="1E-3"/>
    <n v="2.8000000000000001E-2"/>
    <n v="2E-3"/>
    <n v="5.6000000000000001E-2"/>
  </r>
  <r>
    <s v="333318"/>
    <x v="169"/>
    <s v="nitrous oxide"/>
    <s v="kg/2018 USD, purchaser price"/>
    <n v="0"/>
    <n v="0"/>
    <n v="0"/>
    <n v="0"/>
    <n v="0"/>
    <n v="0"/>
  </r>
  <r>
    <s v="333318"/>
    <x v="169"/>
    <s v="other GHGs"/>
    <s v="kg CO2e/2018 USD, purchaser price"/>
    <n v="3.4000000000000002E-2"/>
    <n v="3.4000000000000002E-2"/>
    <n v="0"/>
    <n v="0"/>
    <n v="3.4000000000000002E-2"/>
    <n v="3.4000000000000002E-2"/>
  </r>
  <r>
    <s v="333413"/>
    <x v="170"/>
    <s v="carbon dioxide"/>
    <s v="kg/2018 USD, purchaser price"/>
    <n v="0.22700000000000001"/>
    <n v="0.22700000000000001"/>
    <n v="4.8000000000000001E-2"/>
    <n v="4.8000000000000001E-2"/>
    <n v="0.27500000000000002"/>
    <n v="0.27500000000000002"/>
  </r>
  <r>
    <s v="333413"/>
    <x v="170"/>
    <s v="methane"/>
    <s v="kg/2018 USD, purchaser price"/>
    <n v="1E-3"/>
    <n v="2.8000000000000001E-2"/>
    <n v="0"/>
    <n v="0"/>
    <n v="1E-3"/>
    <n v="2.8000000000000001E-2"/>
  </r>
  <r>
    <s v="333413"/>
    <x v="170"/>
    <s v="nitrous oxide"/>
    <s v="kg/2018 USD, purchaser price"/>
    <n v="0"/>
    <n v="0"/>
    <n v="0"/>
    <n v="0"/>
    <n v="0"/>
    <n v="0"/>
  </r>
  <r>
    <s v="333413"/>
    <x v="170"/>
    <s v="other GHGs"/>
    <s v="kg CO2e/2018 USD, purchaser price"/>
    <n v="2.7E-2"/>
    <n v="2.7E-2"/>
    <n v="0"/>
    <n v="0"/>
    <n v="2.7E-2"/>
    <n v="2.7E-2"/>
  </r>
  <r>
    <s v="333414"/>
    <x v="171"/>
    <s v="carbon dioxide"/>
    <s v="kg/2018 USD, purchaser price"/>
    <n v="0.248"/>
    <n v="0.248"/>
    <n v="9.6000000000000002E-2"/>
    <n v="9.6000000000000002E-2"/>
    <n v="0.34399999999999997"/>
    <n v="0.34399999999999997"/>
  </r>
  <r>
    <s v="333414"/>
    <x v="171"/>
    <s v="methane"/>
    <s v="kg/2018 USD, purchaser price"/>
    <n v="1E-3"/>
    <n v="2.8000000000000001E-2"/>
    <n v="1E-3"/>
    <n v="2.8000000000000001E-2"/>
    <n v="2E-3"/>
    <n v="5.6000000000000001E-2"/>
  </r>
  <r>
    <s v="333414"/>
    <x v="171"/>
    <s v="nitrous oxide"/>
    <s v="kg/2018 USD, purchaser price"/>
    <n v="0"/>
    <n v="0"/>
    <n v="0"/>
    <n v="0"/>
    <n v="0"/>
    <n v="0"/>
  </r>
  <r>
    <s v="333414"/>
    <x v="171"/>
    <s v="other GHGs"/>
    <s v="kg CO2e/2018 USD, purchaser price"/>
    <n v="8.0000000000000002E-3"/>
    <n v="8.0000000000000002E-3"/>
    <n v="0"/>
    <n v="0"/>
    <n v="8.0000000000000002E-3"/>
    <n v="8.0000000000000002E-3"/>
  </r>
  <r>
    <s v="333415"/>
    <x v="172"/>
    <s v="carbon dioxide"/>
    <s v="kg/2018 USD, purchaser price"/>
    <n v="0.22"/>
    <n v="0.22"/>
    <n v="8.8999999999999996E-2"/>
    <n v="8.8999999999999996E-2"/>
    <n v="0.309"/>
    <n v="0.309"/>
  </r>
  <r>
    <s v="333415"/>
    <x v="172"/>
    <s v="methane"/>
    <s v="kg/2018 USD, purchaser price"/>
    <n v="1E-3"/>
    <n v="2.8000000000000001E-2"/>
    <n v="1E-3"/>
    <n v="2.8000000000000001E-2"/>
    <n v="1E-3"/>
    <n v="2.8000000000000001E-2"/>
  </r>
  <r>
    <s v="333415"/>
    <x v="172"/>
    <s v="nitrous oxide"/>
    <s v="kg/2018 USD, purchaser price"/>
    <n v="0"/>
    <n v="0"/>
    <n v="0"/>
    <n v="0"/>
    <n v="0"/>
    <n v="0"/>
  </r>
  <r>
    <s v="333415"/>
    <x v="172"/>
    <s v="other GHGs"/>
    <s v="kg CO2e/2018 USD, purchaser price"/>
    <n v="0.433"/>
    <n v="0.433"/>
    <n v="0"/>
    <n v="0"/>
    <n v="0.433"/>
    <n v="0.433"/>
  </r>
  <r>
    <s v="333511"/>
    <x v="173"/>
    <s v="carbon dioxide"/>
    <s v="kg/2018 USD, purchaser price"/>
    <n v="0.29799999999999999"/>
    <n v="0.29799999999999999"/>
    <n v="3.7999999999999999E-2"/>
    <n v="3.7999999999999999E-2"/>
    <n v="0.33600000000000002"/>
    <n v="0.33600000000000002"/>
  </r>
  <r>
    <s v="333511"/>
    <x v="173"/>
    <s v="methane"/>
    <s v="kg/2018 USD, purchaser price"/>
    <n v="1E-3"/>
    <n v="2.8000000000000001E-2"/>
    <n v="0"/>
    <n v="0"/>
    <n v="1E-3"/>
    <n v="2.8000000000000001E-2"/>
  </r>
  <r>
    <s v="333511"/>
    <x v="173"/>
    <s v="nitrous oxide"/>
    <s v="kg/2018 USD, purchaser price"/>
    <n v="0"/>
    <n v="0"/>
    <n v="0"/>
    <n v="0"/>
    <n v="0"/>
    <n v="0"/>
  </r>
  <r>
    <s v="333511"/>
    <x v="173"/>
    <s v="other GHGs"/>
    <s v="kg CO2e/2018 USD, purchaser price"/>
    <n v="7.0000000000000001E-3"/>
    <n v="7.0000000000000001E-3"/>
    <n v="0"/>
    <n v="0"/>
    <n v="7.0000000000000001E-3"/>
    <n v="7.0000000000000001E-3"/>
  </r>
  <r>
    <s v="333514"/>
    <x v="174"/>
    <s v="carbon dioxide"/>
    <s v="kg/2018 USD, purchaser price"/>
    <n v="0.20300000000000001"/>
    <n v="0.20300000000000001"/>
    <n v="3.4000000000000002E-2"/>
    <n v="3.4000000000000002E-2"/>
    <n v="0.23699999999999999"/>
    <n v="0.23699999999999999"/>
  </r>
  <r>
    <s v="333514"/>
    <x v="174"/>
    <s v="methane"/>
    <s v="kg/2018 USD, purchaser price"/>
    <n v="1E-3"/>
    <n v="2.8000000000000001E-2"/>
    <n v="0"/>
    <n v="0"/>
    <n v="1E-3"/>
    <n v="2.8000000000000001E-2"/>
  </r>
  <r>
    <s v="333514"/>
    <x v="174"/>
    <s v="nitrous oxide"/>
    <s v="kg/2018 USD, purchaser price"/>
    <n v="0"/>
    <n v="0"/>
    <n v="0"/>
    <n v="0"/>
    <n v="0"/>
    <n v="0"/>
  </r>
  <r>
    <s v="333514"/>
    <x v="174"/>
    <s v="other GHGs"/>
    <s v="kg CO2e/2018 USD, purchaser price"/>
    <n v="6.0000000000000001E-3"/>
    <n v="6.0000000000000001E-3"/>
    <n v="0"/>
    <n v="0"/>
    <n v="6.0000000000000001E-3"/>
    <n v="6.0000000000000001E-3"/>
  </r>
  <r>
    <s v="333517"/>
    <x v="175"/>
    <s v="carbon dioxide"/>
    <s v="kg/2018 USD, purchaser price"/>
    <n v="0.23"/>
    <n v="0.23"/>
    <n v="6.3E-2"/>
    <n v="6.3E-2"/>
    <n v="0.29299999999999998"/>
    <n v="0.29299999999999998"/>
  </r>
  <r>
    <s v="333517"/>
    <x v="175"/>
    <s v="methane"/>
    <s v="kg/2018 USD, purchaser price"/>
    <n v="1E-3"/>
    <n v="2.8000000000000001E-2"/>
    <n v="1E-3"/>
    <n v="2.8000000000000001E-2"/>
    <n v="1E-3"/>
    <n v="2.8000000000000001E-2"/>
  </r>
  <r>
    <s v="333517"/>
    <x v="175"/>
    <s v="nitrous oxide"/>
    <s v="kg/2018 USD, purchaser price"/>
    <n v="0"/>
    <n v="0"/>
    <n v="0"/>
    <n v="0"/>
    <n v="0"/>
    <n v="0"/>
  </r>
  <r>
    <s v="333517"/>
    <x v="175"/>
    <s v="other GHGs"/>
    <s v="kg CO2e/2018 USD, purchaser price"/>
    <n v="7.0000000000000001E-3"/>
    <n v="7.0000000000000001E-3"/>
    <n v="0"/>
    <n v="0"/>
    <n v="7.0000000000000001E-3"/>
    <n v="7.0000000000000001E-3"/>
  </r>
  <r>
    <s v="33351B"/>
    <x v="176"/>
    <s v="carbon dioxide"/>
    <s v="kg/2018 USD, purchaser price"/>
    <n v="0.22900000000000001"/>
    <n v="0.22900000000000001"/>
    <n v="3.7999999999999999E-2"/>
    <n v="3.7999999999999999E-2"/>
    <n v="0.26700000000000002"/>
    <n v="0.26700000000000002"/>
  </r>
  <r>
    <s v="33351B"/>
    <x v="176"/>
    <s v="methane"/>
    <s v="kg/2018 USD, purchaser price"/>
    <n v="1E-3"/>
    <n v="2.8000000000000001E-2"/>
    <n v="0"/>
    <n v="0"/>
    <n v="1E-3"/>
    <n v="2.8000000000000001E-2"/>
  </r>
  <r>
    <s v="33351B"/>
    <x v="176"/>
    <s v="nitrous oxide"/>
    <s v="kg/2018 USD, purchaser price"/>
    <n v="0"/>
    <n v="0"/>
    <n v="0"/>
    <n v="0"/>
    <n v="0"/>
    <n v="0"/>
  </r>
  <r>
    <s v="33351B"/>
    <x v="176"/>
    <s v="other GHGs"/>
    <s v="kg CO2e/2018 USD, purchaser price"/>
    <n v="7.0000000000000001E-3"/>
    <n v="7.0000000000000001E-3"/>
    <n v="0"/>
    <n v="0"/>
    <n v="7.0000000000000001E-3"/>
    <n v="7.0000000000000001E-3"/>
  </r>
  <r>
    <s v="333611"/>
    <x v="177"/>
    <s v="carbon dioxide"/>
    <s v="kg/2018 USD, purchaser price"/>
    <n v="0.22500000000000001"/>
    <n v="0.22500000000000001"/>
    <n v="4.4999999999999998E-2"/>
    <n v="4.4999999999999998E-2"/>
    <n v="0.27"/>
    <n v="0.27"/>
  </r>
  <r>
    <s v="333611"/>
    <x v="177"/>
    <s v="methane"/>
    <s v="kg/2018 USD, purchaser price"/>
    <n v="1E-3"/>
    <n v="2.8000000000000001E-2"/>
    <n v="0"/>
    <n v="0"/>
    <n v="1E-3"/>
    <n v="2.8000000000000001E-2"/>
  </r>
  <r>
    <s v="333611"/>
    <x v="177"/>
    <s v="nitrous oxide"/>
    <s v="kg/2018 USD, purchaser price"/>
    <n v="0"/>
    <n v="0"/>
    <n v="0"/>
    <n v="0"/>
    <n v="0"/>
    <n v="0"/>
  </r>
  <r>
    <s v="333611"/>
    <x v="177"/>
    <s v="other GHGs"/>
    <s v="kg CO2e/2018 USD, purchaser price"/>
    <n v="7.0000000000000001E-3"/>
    <n v="7.0000000000000001E-3"/>
    <n v="0"/>
    <n v="0"/>
    <n v="7.0000000000000001E-3"/>
    <n v="7.0000000000000001E-3"/>
  </r>
  <r>
    <s v="333612"/>
    <x v="178"/>
    <s v="carbon dioxide"/>
    <s v="kg/2018 USD, purchaser price"/>
    <n v="0.14399999999999999"/>
    <n v="0.14399999999999999"/>
    <n v="4.1000000000000002E-2"/>
    <n v="4.1000000000000002E-2"/>
    <n v="0.186"/>
    <n v="0.186"/>
  </r>
  <r>
    <s v="333612"/>
    <x v="178"/>
    <s v="methane"/>
    <s v="kg/2018 USD, purchaser price"/>
    <n v="0"/>
    <n v="0"/>
    <n v="0"/>
    <n v="0"/>
    <n v="1E-3"/>
    <n v="2.8000000000000001E-2"/>
  </r>
  <r>
    <s v="333612"/>
    <x v="178"/>
    <s v="nitrous oxide"/>
    <s v="kg/2018 USD, purchaser price"/>
    <n v="0"/>
    <n v="0"/>
    <n v="0"/>
    <n v="0"/>
    <n v="0"/>
    <n v="0"/>
  </r>
  <r>
    <s v="333612"/>
    <x v="178"/>
    <s v="other GHGs"/>
    <s v="kg CO2e/2018 USD, purchaser price"/>
    <n v="6.0000000000000001E-3"/>
    <n v="6.0000000000000001E-3"/>
    <n v="0"/>
    <n v="0"/>
    <n v="6.0000000000000001E-3"/>
    <n v="6.0000000000000001E-3"/>
  </r>
  <r>
    <s v="333613"/>
    <x v="179"/>
    <s v="carbon dioxide"/>
    <s v="kg/2018 USD, purchaser price"/>
    <n v="0.17100000000000001"/>
    <n v="0.17100000000000001"/>
    <n v="0.04"/>
    <n v="0.04"/>
    <n v="0.21099999999999999"/>
    <n v="0.21099999999999999"/>
  </r>
  <r>
    <s v="333613"/>
    <x v="179"/>
    <s v="methane"/>
    <s v="kg/2018 USD, purchaser price"/>
    <n v="1E-3"/>
    <n v="2.8000000000000001E-2"/>
    <n v="0"/>
    <n v="0"/>
    <n v="1E-3"/>
    <n v="2.8000000000000001E-2"/>
  </r>
  <r>
    <s v="333613"/>
    <x v="179"/>
    <s v="nitrous oxide"/>
    <s v="kg/2018 USD, purchaser price"/>
    <n v="0"/>
    <n v="0"/>
    <n v="0"/>
    <n v="0"/>
    <n v="0"/>
    <n v="0"/>
  </r>
  <r>
    <s v="333613"/>
    <x v="179"/>
    <s v="other GHGs"/>
    <s v="kg CO2e/2018 USD, purchaser price"/>
    <n v="6.0000000000000001E-3"/>
    <n v="6.0000000000000001E-3"/>
    <n v="0"/>
    <n v="0"/>
    <n v="6.0000000000000001E-3"/>
    <n v="6.0000000000000001E-3"/>
  </r>
  <r>
    <s v="333618"/>
    <x v="180"/>
    <s v="carbon dioxide"/>
    <s v="kg/2018 USD, purchaser price"/>
    <n v="0.20799999999999999"/>
    <n v="0.20799999999999999"/>
    <n v="3.9E-2"/>
    <n v="3.9E-2"/>
    <n v="0.247"/>
    <n v="0.247"/>
  </r>
  <r>
    <s v="333618"/>
    <x v="180"/>
    <s v="methane"/>
    <s v="kg/2018 USD, purchaser price"/>
    <n v="1E-3"/>
    <n v="2.8000000000000001E-2"/>
    <n v="0"/>
    <n v="0"/>
    <n v="1E-3"/>
    <n v="2.8000000000000001E-2"/>
  </r>
  <r>
    <s v="333618"/>
    <x v="180"/>
    <s v="nitrous oxide"/>
    <s v="kg/2018 USD, purchaser price"/>
    <n v="0"/>
    <n v="0"/>
    <n v="0"/>
    <n v="0"/>
    <n v="0"/>
    <n v="0"/>
  </r>
  <r>
    <s v="333618"/>
    <x v="180"/>
    <s v="other GHGs"/>
    <s v="kg CO2e/2018 USD, purchaser price"/>
    <n v="1.6E-2"/>
    <n v="1.6E-2"/>
    <n v="0"/>
    <n v="0"/>
    <n v="1.6E-2"/>
    <n v="1.6E-2"/>
  </r>
  <r>
    <s v="333912"/>
    <x v="181"/>
    <s v="carbon dioxide"/>
    <s v="kg/2018 USD, purchaser price"/>
    <n v="9.1999999999999998E-2"/>
    <n v="9.1999999999999998E-2"/>
    <n v="1.7999999999999999E-2"/>
    <n v="1.7999999999999999E-2"/>
    <n v="0.11"/>
    <n v="0.11"/>
  </r>
  <r>
    <s v="333912"/>
    <x v="181"/>
    <s v="methane"/>
    <s v="kg/2018 USD, purchaser price"/>
    <n v="0"/>
    <n v="0"/>
    <n v="0"/>
    <n v="0"/>
    <n v="1E-3"/>
    <n v="2.8000000000000001E-2"/>
  </r>
  <r>
    <s v="333912"/>
    <x v="181"/>
    <s v="nitrous oxide"/>
    <s v="kg/2018 USD, purchaser price"/>
    <n v="0"/>
    <n v="0"/>
    <n v="0"/>
    <n v="0"/>
    <n v="0"/>
    <n v="0"/>
  </r>
  <r>
    <s v="333912"/>
    <x v="181"/>
    <s v="other GHGs"/>
    <s v="kg CO2e/2018 USD, purchaser price"/>
    <n v="8.0000000000000002E-3"/>
    <n v="8.0000000000000002E-3"/>
    <n v="0"/>
    <n v="0"/>
    <n v="8.0000000000000002E-3"/>
    <n v="8.0000000000000002E-3"/>
  </r>
  <r>
    <s v="33391A"/>
    <x v="182"/>
    <s v="carbon dioxide"/>
    <s v="kg/2018 USD, purchaser price"/>
    <n v="0.158"/>
    <n v="0.158"/>
    <n v="3.4000000000000002E-2"/>
    <n v="3.4000000000000002E-2"/>
    <n v="0.192"/>
    <n v="0.192"/>
  </r>
  <r>
    <s v="33391A"/>
    <x v="182"/>
    <s v="methane"/>
    <s v="kg/2018 USD, purchaser price"/>
    <n v="1E-3"/>
    <n v="2.8000000000000001E-2"/>
    <n v="0"/>
    <n v="0"/>
    <n v="1E-3"/>
    <n v="2.8000000000000001E-2"/>
  </r>
  <r>
    <s v="33391A"/>
    <x v="182"/>
    <s v="nitrous oxide"/>
    <s v="kg/2018 USD, purchaser price"/>
    <n v="0"/>
    <n v="0"/>
    <n v="0"/>
    <n v="0"/>
    <n v="0"/>
    <n v="0"/>
  </r>
  <r>
    <s v="33391A"/>
    <x v="182"/>
    <s v="other GHGs"/>
    <s v="kg CO2e/2018 USD, purchaser price"/>
    <n v="8.0000000000000002E-3"/>
    <n v="8.0000000000000002E-3"/>
    <n v="0"/>
    <n v="0"/>
    <n v="8.0000000000000002E-3"/>
    <n v="8.0000000000000002E-3"/>
  </r>
  <r>
    <s v="333920"/>
    <x v="183"/>
    <s v="carbon dioxide"/>
    <s v="kg/2018 USD, purchaser price"/>
    <n v="0.192"/>
    <n v="0.192"/>
    <n v="2.5999999999999999E-2"/>
    <n v="2.5999999999999999E-2"/>
    <n v="0.218"/>
    <n v="0.218"/>
  </r>
  <r>
    <s v="333920"/>
    <x v="183"/>
    <s v="methane"/>
    <s v="kg/2018 USD, purchaser price"/>
    <n v="1E-3"/>
    <n v="2.8000000000000001E-2"/>
    <n v="0"/>
    <n v="0"/>
    <n v="1E-3"/>
    <n v="2.8000000000000001E-2"/>
  </r>
  <r>
    <s v="333920"/>
    <x v="183"/>
    <s v="nitrous oxide"/>
    <s v="kg/2018 USD, purchaser price"/>
    <n v="0"/>
    <n v="0"/>
    <n v="0"/>
    <n v="0"/>
    <n v="0"/>
    <n v="0"/>
  </r>
  <r>
    <s v="333920"/>
    <x v="183"/>
    <s v="other GHGs"/>
    <s v="kg CO2e/2018 USD, purchaser price"/>
    <n v="7.0000000000000001E-3"/>
    <n v="7.0000000000000001E-3"/>
    <n v="0"/>
    <n v="0"/>
    <n v="7.0000000000000001E-3"/>
    <n v="7.0000000000000001E-3"/>
  </r>
  <r>
    <s v="333991"/>
    <x v="184"/>
    <s v="carbon dioxide"/>
    <s v="kg/2018 USD, purchaser price"/>
    <n v="0.19600000000000001"/>
    <n v="0.19600000000000001"/>
    <n v="0.28599999999999998"/>
    <n v="0.28599999999999998"/>
    <n v="0.48299999999999998"/>
    <n v="0.48299999999999998"/>
  </r>
  <r>
    <s v="333991"/>
    <x v="184"/>
    <s v="methane"/>
    <s v="kg/2018 USD, purchaser price"/>
    <n v="1E-3"/>
    <n v="2.8000000000000001E-2"/>
    <n v="1E-3"/>
    <n v="2.8000000000000001E-2"/>
    <n v="2E-3"/>
    <n v="5.6000000000000001E-2"/>
  </r>
  <r>
    <s v="333991"/>
    <x v="184"/>
    <s v="nitrous oxide"/>
    <s v="kg/2018 USD, purchaser price"/>
    <n v="0"/>
    <n v="0"/>
    <n v="0"/>
    <n v="0"/>
    <n v="0"/>
    <n v="0"/>
  </r>
  <r>
    <s v="333991"/>
    <x v="184"/>
    <s v="other GHGs"/>
    <s v="kg CO2e/2018 USD, purchaser price"/>
    <n v="6.0000000000000001E-3"/>
    <n v="6.0000000000000001E-3"/>
    <n v="0"/>
    <n v="0"/>
    <n v="6.0000000000000001E-3"/>
    <n v="6.0000000000000001E-3"/>
  </r>
  <r>
    <s v="333993"/>
    <x v="185"/>
    <s v="carbon dioxide"/>
    <s v="kg/2018 USD, purchaser price"/>
    <n v="0.16400000000000001"/>
    <n v="0.16400000000000001"/>
    <n v="4.3999999999999997E-2"/>
    <n v="4.3999999999999997E-2"/>
    <n v="0.20799999999999999"/>
    <n v="0.20799999999999999"/>
  </r>
  <r>
    <s v="333993"/>
    <x v="185"/>
    <s v="methane"/>
    <s v="kg/2018 USD, purchaser price"/>
    <n v="1E-3"/>
    <n v="2.8000000000000001E-2"/>
    <n v="0"/>
    <n v="0"/>
    <n v="1E-3"/>
    <n v="2.8000000000000001E-2"/>
  </r>
  <r>
    <s v="333993"/>
    <x v="185"/>
    <s v="nitrous oxide"/>
    <s v="kg/2018 USD, purchaser price"/>
    <n v="0"/>
    <n v="0"/>
    <n v="0"/>
    <n v="0"/>
    <n v="0"/>
    <n v="0"/>
  </r>
  <r>
    <s v="333993"/>
    <x v="185"/>
    <s v="other GHGs"/>
    <s v="kg CO2e/2018 USD, purchaser price"/>
    <n v="6.0000000000000001E-3"/>
    <n v="6.0000000000000001E-3"/>
    <n v="0"/>
    <n v="0"/>
    <n v="6.0000000000000001E-3"/>
    <n v="6.0000000000000001E-3"/>
  </r>
  <r>
    <s v="333994"/>
    <x v="186"/>
    <s v="carbon dioxide"/>
    <s v="kg/2018 USD, purchaser price"/>
    <n v="0.16200000000000001"/>
    <n v="0.16200000000000001"/>
    <n v="3.2000000000000001E-2"/>
    <n v="3.2000000000000001E-2"/>
    <n v="0.19400000000000001"/>
    <n v="0.19400000000000001"/>
  </r>
  <r>
    <s v="333994"/>
    <x v="186"/>
    <s v="methane"/>
    <s v="kg/2018 USD, purchaser price"/>
    <n v="1E-3"/>
    <n v="2.8000000000000001E-2"/>
    <n v="0"/>
    <n v="0"/>
    <n v="1E-3"/>
    <n v="2.8000000000000001E-2"/>
  </r>
  <r>
    <s v="333994"/>
    <x v="186"/>
    <s v="nitrous oxide"/>
    <s v="kg/2018 USD, purchaser price"/>
    <n v="0"/>
    <n v="0"/>
    <n v="0"/>
    <n v="0"/>
    <n v="0"/>
    <n v="0"/>
  </r>
  <r>
    <s v="333994"/>
    <x v="186"/>
    <s v="other GHGs"/>
    <s v="kg CO2e/2018 USD, purchaser price"/>
    <n v="6.0000000000000001E-3"/>
    <n v="6.0000000000000001E-3"/>
    <n v="0"/>
    <n v="0"/>
    <n v="6.0000000000000001E-3"/>
    <n v="6.0000000000000001E-3"/>
  </r>
  <r>
    <s v="33399A"/>
    <x v="187"/>
    <s v="carbon dioxide"/>
    <s v="kg/2018 USD, purchaser price"/>
    <n v="0.122"/>
    <n v="0.122"/>
    <n v="2.5999999999999999E-2"/>
    <n v="2.5999999999999999E-2"/>
    <n v="0.14799999999999999"/>
    <n v="0.14799999999999999"/>
  </r>
  <r>
    <s v="33399A"/>
    <x v="187"/>
    <s v="methane"/>
    <s v="kg/2018 USD, purchaser price"/>
    <n v="0"/>
    <n v="0"/>
    <n v="0"/>
    <n v="0"/>
    <n v="1E-3"/>
    <n v="2.8000000000000001E-2"/>
  </r>
  <r>
    <s v="33399A"/>
    <x v="187"/>
    <s v="nitrous oxide"/>
    <s v="kg/2018 USD, purchaser price"/>
    <n v="0"/>
    <n v="0"/>
    <n v="0"/>
    <n v="0"/>
    <n v="0"/>
    <n v="0"/>
  </r>
  <r>
    <s v="33399A"/>
    <x v="187"/>
    <s v="other GHGs"/>
    <s v="kg CO2e/2018 USD, purchaser price"/>
    <n v="6.0000000000000001E-3"/>
    <n v="6.0000000000000001E-3"/>
    <n v="0"/>
    <n v="0"/>
    <n v="6.0000000000000001E-3"/>
    <n v="6.0000000000000001E-3"/>
  </r>
  <r>
    <s v="33399B"/>
    <x v="188"/>
    <s v="carbon dioxide"/>
    <s v="kg/2018 USD, purchaser price"/>
    <n v="0.22700000000000001"/>
    <n v="0.22700000000000001"/>
    <n v="4.5999999999999999E-2"/>
    <n v="4.5999999999999999E-2"/>
    <n v="0.27200000000000002"/>
    <n v="0.27200000000000002"/>
  </r>
  <r>
    <s v="33399B"/>
    <x v="188"/>
    <s v="methane"/>
    <s v="kg/2018 USD, purchaser price"/>
    <n v="1E-3"/>
    <n v="2.8000000000000001E-2"/>
    <n v="0"/>
    <n v="0"/>
    <n v="1E-3"/>
    <n v="2.8000000000000001E-2"/>
  </r>
  <r>
    <s v="33399B"/>
    <x v="188"/>
    <s v="nitrous oxide"/>
    <s v="kg/2018 USD, purchaser price"/>
    <n v="0"/>
    <n v="0"/>
    <n v="0"/>
    <n v="0"/>
    <n v="0"/>
    <n v="0"/>
  </r>
  <r>
    <s v="33399B"/>
    <x v="188"/>
    <s v="other GHGs"/>
    <s v="kg CO2e/2018 USD, purchaser price"/>
    <n v="7.0000000000000001E-3"/>
    <n v="7.0000000000000001E-3"/>
    <n v="0"/>
    <n v="0"/>
    <n v="7.0000000000000001E-3"/>
    <n v="7.0000000000000001E-3"/>
  </r>
  <r>
    <s v="334111"/>
    <x v="189"/>
    <s v="carbon dioxide"/>
    <s v="kg/2018 USD, purchaser price"/>
    <n v="0.03"/>
    <n v="0.03"/>
    <n v="0.40200000000000002"/>
    <n v="0.40200000000000002"/>
    <n v="0.43099999999999999"/>
    <n v="0.43099999999999999"/>
  </r>
  <r>
    <s v="334111"/>
    <x v="189"/>
    <s v="methane"/>
    <s v="kg/2018 USD, purchaser price"/>
    <n v="0"/>
    <n v="0"/>
    <n v="2E-3"/>
    <n v="5.6000000000000001E-2"/>
    <n v="2E-3"/>
    <n v="5.6000000000000001E-2"/>
  </r>
  <r>
    <s v="334111"/>
    <x v="189"/>
    <s v="nitrous oxide"/>
    <s v="kg/2018 USD, purchaser price"/>
    <n v="0"/>
    <n v="0"/>
    <n v="0"/>
    <n v="0"/>
    <n v="0"/>
    <n v="0"/>
  </r>
  <r>
    <s v="334111"/>
    <x v="189"/>
    <s v="other GHGs"/>
    <s v="kg CO2e/2018 USD, purchaser price"/>
    <n v="7.0000000000000001E-3"/>
    <n v="7.0000000000000001E-3"/>
    <n v="0"/>
    <n v="0"/>
    <n v="7.0000000000000001E-3"/>
    <n v="7.0000000000000001E-3"/>
  </r>
  <r>
    <s v="334112"/>
    <x v="190"/>
    <s v="carbon dioxide"/>
    <s v="kg/2018 USD, purchaser price"/>
    <n v="7.3999999999999996E-2"/>
    <n v="7.3999999999999996E-2"/>
    <n v="0.10199999999999999"/>
    <n v="0.10199999999999999"/>
    <n v="0.17599999999999999"/>
    <n v="0.17599999999999999"/>
  </r>
  <r>
    <s v="334112"/>
    <x v="190"/>
    <s v="methane"/>
    <s v="kg/2018 USD, purchaser price"/>
    <n v="0"/>
    <n v="0"/>
    <n v="1E-3"/>
    <n v="2.8000000000000001E-2"/>
    <n v="1E-3"/>
    <n v="2.8000000000000001E-2"/>
  </r>
  <r>
    <s v="334112"/>
    <x v="190"/>
    <s v="nitrous oxide"/>
    <s v="kg/2018 USD, purchaser price"/>
    <n v="0"/>
    <n v="0"/>
    <n v="0"/>
    <n v="0"/>
    <n v="0"/>
    <n v="0"/>
  </r>
  <r>
    <s v="334112"/>
    <x v="190"/>
    <s v="other GHGs"/>
    <s v="kg CO2e/2018 USD, purchaser price"/>
    <n v="7.0000000000000001E-3"/>
    <n v="7.0000000000000001E-3"/>
    <n v="0"/>
    <n v="0"/>
    <n v="7.0000000000000001E-3"/>
    <n v="7.0000000000000001E-3"/>
  </r>
  <r>
    <s v="334118"/>
    <x v="191"/>
    <s v="carbon dioxide"/>
    <s v="kg/2018 USD, purchaser price"/>
    <n v="0.114"/>
    <n v="0.114"/>
    <n v="0.16500000000000001"/>
    <n v="0.16500000000000001"/>
    <n v="0.27900000000000003"/>
    <n v="0.27900000000000003"/>
  </r>
  <r>
    <s v="334118"/>
    <x v="191"/>
    <s v="methane"/>
    <s v="kg/2018 USD, purchaser price"/>
    <n v="0"/>
    <n v="0"/>
    <n v="1E-3"/>
    <n v="2.8000000000000001E-2"/>
    <n v="1E-3"/>
    <n v="2.8000000000000001E-2"/>
  </r>
  <r>
    <s v="334118"/>
    <x v="191"/>
    <s v="nitrous oxide"/>
    <s v="kg/2018 USD, purchaser price"/>
    <n v="0"/>
    <n v="0"/>
    <n v="0"/>
    <n v="0"/>
    <n v="0"/>
    <n v="0"/>
  </r>
  <r>
    <s v="334118"/>
    <x v="191"/>
    <s v="other GHGs"/>
    <s v="kg CO2e/2018 USD, purchaser price"/>
    <n v="4.0000000000000001E-3"/>
    <n v="4.0000000000000001E-3"/>
    <n v="0"/>
    <n v="0"/>
    <n v="4.0000000000000001E-3"/>
    <n v="4.0000000000000001E-3"/>
  </r>
  <r>
    <s v="334210"/>
    <x v="192"/>
    <s v="carbon dioxide"/>
    <s v="kg/2018 USD, purchaser price"/>
    <n v="4.7E-2"/>
    <n v="4.7E-2"/>
    <n v="0.161"/>
    <n v="0.161"/>
    <n v="0.20799999999999999"/>
    <n v="0.20799999999999999"/>
  </r>
  <r>
    <s v="334210"/>
    <x v="192"/>
    <s v="methane"/>
    <s v="kg/2018 USD, purchaser price"/>
    <n v="0"/>
    <n v="0"/>
    <n v="1E-3"/>
    <n v="2.8000000000000001E-2"/>
    <n v="1E-3"/>
    <n v="2.8000000000000001E-2"/>
  </r>
  <r>
    <s v="334210"/>
    <x v="192"/>
    <s v="nitrous oxide"/>
    <s v="kg/2018 USD, purchaser price"/>
    <n v="0"/>
    <n v="0"/>
    <n v="0"/>
    <n v="0"/>
    <n v="0"/>
    <n v="0"/>
  </r>
  <r>
    <s v="334210"/>
    <x v="192"/>
    <s v="other GHGs"/>
    <s v="kg CO2e/2018 USD, purchaser price"/>
    <n v="3.0000000000000001E-3"/>
    <n v="3.0000000000000001E-3"/>
    <n v="0"/>
    <n v="0"/>
    <n v="3.0000000000000001E-3"/>
    <n v="3.0000000000000001E-3"/>
  </r>
  <r>
    <s v="334220"/>
    <x v="193"/>
    <s v="carbon dioxide"/>
    <s v="kg/2018 USD, purchaser price"/>
    <n v="0.04"/>
    <n v="0.04"/>
    <n v="0.14399999999999999"/>
    <n v="0.14399999999999999"/>
    <n v="0.184"/>
    <n v="0.184"/>
  </r>
  <r>
    <s v="334220"/>
    <x v="193"/>
    <s v="methane"/>
    <s v="kg/2018 USD, purchaser price"/>
    <n v="0"/>
    <n v="0"/>
    <n v="1E-3"/>
    <n v="2.8000000000000001E-2"/>
    <n v="1E-3"/>
    <n v="2.8000000000000001E-2"/>
  </r>
  <r>
    <s v="334220"/>
    <x v="193"/>
    <s v="nitrous oxide"/>
    <s v="kg/2018 USD, purchaser price"/>
    <n v="0"/>
    <n v="0"/>
    <n v="0"/>
    <n v="0"/>
    <n v="0"/>
    <n v="0"/>
  </r>
  <r>
    <s v="334220"/>
    <x v="193"/>
    <s v="other GHGs"/>
    <s v="kg CO2e/2018 USD, purchaser price"/>
    <n v="2E-3"/>
    <n v="2E-3"/>
    <n v="0"/>
    <n v="0"/>
    <n v="2E-3"/>
    <n v="2E-3"/>
  </r>
  <r>
    <s v="334290"/>
    <x v="194"/>
    <s v="carbon dioxide"/>
    <s v="kg/2018 USD, purchaser price"/>
    <n v="5.6000000000000001E-2"/>
    <n v="5.6000000000000001E-2"/>
    <n v="4.4999999999999998E-2"/>
    <n v="4.4999999999999998E-2"/>
    <n v="0.10100000000000001"/>
    <n v="0.10100000000000001"/>
  </r>
  <r>
    <s v="334290"/>
    <x v="194"/>
    <s v="methane"/>
    <s v="kg/2018 USD, purchaser price"/>
    <n v="0"/>
    <n v="0"/>
    <n v="0"/>
    <n v="0"/>
    <n v="0"/>
    <n v="0"/>
  </r>
  <r>
    <s v="334290"/>
    <x v="194"/>
    <s v="nitrous oxide"/>
    <s v="kg/2018 USD, purchaser price"/>
    <n v="0"/>
    <n v="0"/>
    <n v="0"/>
    <n v="0"/>
    <n v="0"/>
    <n v="0"/>
  </r>
  <r>
    <s v="334290"/>
    <x v="194"/>
    <s v="other GHGs"/>
    <s v="kg CO2e/2018 USD, purchaser price"/>
    <n v="3.0000000000000001E-3"/>
    <n v="3.0000000000000001E-3"/>
    <n v="0"/>
    <n v="0"/>
    <n v="3.0000000000000001E-3"/>
    <n v="3.0000000000000001E-3"/>
  </r>
  <r>
    <s v="334300"/>
    <x v="195"/>
    <s v="carbon dioxide"/>
    <s v="kg/2018 USD, purchaser price"/>
    <n v="6.5000000000000002E-2"/>
    <n v="6.5000000000000002E-2"/>
    <n v="1.036"/>
    <n v="1.036"/>
    <n v="1.101"/>
    <n v="1.101"/>
  </r>
  <r>
    <s v="334300"/>
    <x v="195"/>
    <s v="methane"/>
    <s v="kg/2018 USD, purchaser price"/>
    <n v="0"/>
    <n v="0"/>
    <n v="5.0000000000000001E-3"/>
    <n v="0.14000000000000001"/>
    <n v="5.0000000000000001E-3"/>
    <n v="0.14000000000000001"/>
  </r>
  <r>
    <s v="334300"/>
    <x v="195"/>
    <s v="nitrous oxide"/>
    <s v="kg/2018 USD, purchaser price"/>
    <n v="0"/>
    <n v="0"/>
    <n v="0"/>
    <n v="0"/>
    <n v="0"/>
    <n v="0"/>
  </r>
  <r>
    <s v="334300"/>
    <x v="195"/>
    <s v="other GHGs"/>
    <s v="kg CO2e/2018 USD, purchaser price"/>
    <n v="3.0000000000000001E-3"/>
    <n v="3.0000000000000001E-3"/>
    <n v="0"/>
    <n v="0"/>
    <n v="3.0000000000000001E-3"/>
    <n v="3.0000000000000001E-3"/>
  </r>
  <r>
    <s v="334413"/>
    <x v="196"/>
    <s v="carbon dioxide"/>
    <s v="kg/2018 USD, purchaser price"/>
    <n v="0.107"/>
    <n v="0.107"/>
    <n v="4.2999999999999997E-2"/>
    <n v="4.2999999999999997E-2"/>
    <n v="0.15"/>
    <n v="0.15"/>
  </r>
  <r>
    <s v="334413"/>
    <x v="196"/>
    <s v="methane"/>
    <s v="kg/2018 USD, purchaser price"/>
    <n v="0"/>
    <n v="0"/>
    <n v="0"/>
    <n v="0"/>
    <n v="1E-3"/>
    <n v="2.8000000000000001E-2"/>
  </r>
  <r>
    <s v="334413"/>
    <x v="196"/>
    <s v="nitrous oxide"/>
    <s v="kg/2018 USD, purchaser price"/>
    <n v="0"/>
    <n v="0"/>
    <n v="0"/>
    <n v="0"/>
    <n v="0"/>
    <n v="0"/>
  </r>
  <r>
    <s v="334413"/>
    <x v="196"/>
    <s v="other GHGs"/>
    <s v="kg CO2e/2018 USD, purchaser price"/>
    <n v="7.9000000000000001E-2"/>
    <n v="7.9000000000000001E-2"/>
    <n v="0"/>
    <n v="0"/>
    <n v="7.9000000000000001E-2"/>
    <n v="7.9000000000000001E-2"/>
  </r>
  <r>
    <s v="334418"/>
    <x v="197"/>
    <s v="carbon dioxide"/>
    <s v="kg/2018 USD, purchaser price"/>
    <n v="8.7999999999999995E-2"/>
    <n v="8.7999999999999995E-2"/>
    <n v="2.4E-2"/>
    <n v="2.4E-2"/>
    <n v="0.112"/>
    <n v="0.112"/>
  </r>
  <r>
    <s v="334418"/>
    <x v="197"/>
    <s v="methane"/>
    <s v="kg/2018 USD, purchaser price"/>
    <n v="0"/>
    <n v="0"/>
    <n v="0"/>
    <n v="0"/>
    <n v="0"/>
    <n v="0"/>
  </r>
  <r>
    <s v="334418"/>
    <x v="197"/>
    <s v="nitrous oxide"/>
    <s v="kg/2018 USD, purchaser price"/>
    <n v="0"/>
    <n v="0"/>
    <n v="0"/>
    <n v="0"/>
    <n v="0"/>
    <n v="0"/>
  </r>
  <r>
    <s v="334418"/>
    <x v="197"/>
    <s v="other GHGs"/>
    <s v="kg CO2e/2018 USD, purchaser price"/>
    <n v="1.2E-2"/>
    <n v="1.2E-2"/>
    <n v="0"/>
    <n v="0"/>
    <n v="1.2E-2"/>
    <n v="1.2E-2"/>
  </r>
  <r>
    <s v="33441A"/>
    <x v="198"/>
    <s v="carbon dioxide"/>
    <s v="kg/2018 USD, purchaser price"/>
    <n v="8.1000000000000003E-2"/>
    <n v="8.1000000000000003E-2"/>
    <n v="2.5999999999999999E-2"/>
    <n v="2.5999999999999999E-2"/>
    <n v="0.106"/>
    <n v="0.106"/>
  </r>
  <r>
    <s v="33441A"/>
    <x v="198"/>
    <s v="methane"/>
    <s v="kg/2018 USD, purchaser price"/>
    <n v="0"/>
    <n v="0"/>
    <n v="0"/>
    <n v="0"/>
    <n v="0"/>
    <n v="0"/>
  </r>
  <r>
    <s v="33441A"/>
    <x v="198"/>
    <s v="nitrous oxide"/>
    <s v="kg/2018 USD, purchaser price"/>
    <n v="0"/>
    <n v="0"/>
    <n v="0"/>
    <n v="0"/>
    <n v="0"/>
    <n v="0"/>
  </r>
  <r>
    <s v="33441A"/>
    <x v="198"/>
    <s v="other GHGs"/>
    <s v="kg CO2e/2018 USD, purchaser price"/>
    <n v="8.0000000000000002E-3"/>
    <n v="8.0000000000000002E-3"/>
    <n v="0"/>
    <n v="0"/>
    <n v="8.0000000000000002E-3"/>
    <n v="8.0000000000000002E-3"/>
  </r>
  <r>
    <s v="334510"/>
    <x v="199"/>
    <s v="carbon dioxide"/>
    <s v="kg/2018 USD, purchaser price"/>
    <n v="4.3999999999999997E-2"/>
    <n v="4.3999999999999997E-2"/>
    <n v="0.05"/>
    <n v="0.05"/>
    <n v="9.5000000000000001E-2"/>
    <n v="9.5000000000000001E-2"/>
  </r>
  <r>
    <s v="334510"/>
    <x v="199"/>
    <s v="methane"/>
    <s v="kg/2018 USD, purchaser price"/>
    <n v="0"/>
    <n v="0"/>
    <n v="0"/>
    <n v="0"/>
    <n v="0"/>
    <n v="0"/>
  </r>
  <r>
    <s v="334510"/>
    <x v="199"/>
    <s v="nitrous oxide"/>
    <s v="kg/2018 USD, purchaser price"/>
    <n v="0"/>
    <n v="0"/>
    <n v="0"/>
    <n v="0"/>
    <n v="0"/>
    <n v="0"/>
  </r>
  <r>
    <s v="334510"/>
    <x v="199"/>
    <s v="other GHGs"/>
    <s v="kg CO2e/2018 USD, purchaser price"/>
    <n v="2E-3"/>
    <n v="2E-3"/>
    <n v="0"/>
    <n v="0"/>
    <n v="2E-3"/>
    <n v="2E-3"/>
  </r>
  <r>
    <s v="334511"/>
    <x v="200"/>
    <s v="carbon dioxide"/>
    <s v="kg/2018 USD, purchaser price"/>
    <n v="3.6999999999999998E-2"/>
    <n v="3.6999999999999998E-2"/>
    <n v="1.7999999999999999E-2"/>
    <n v="1.7999999999999999E-2"/>
    <n v="5.5E-2"/>
    <n v="5.5E-2"/>
  </r>
  <r>
    <s v="334511"/>
    <x v="200"/>
    <s v="methane"/>
    <s v="kg/2018 USD, purchaser price"/>
    <n v="0"/>
    <n v="0"/>
    <n v="0"/>
    <n v="0"/>
    <n v="0"/>
    <n v="0"/>
  </r>
  <r>
    <s v="334511"/>
    <x v="200"/>
    <s v="nitrous oxide"/>
    <s v="kg/2018 USD, purchaser price"/>
    <n v="0"/>
    <n v="0"/>
    <n v="0"/>
    <n v="0"/>
    <n v="0"/>
    <n v="0"/>
  </r>
  <r>
    <s v="334511"/>
    <x v="200"/>
    <s v="other GHGs"/>
    <s v="kg CO2e/2018 USD, purchaser price"/>
    <n v="2E-3"/>
    <n v="2E-3"/>
    <n v="0"/>
    <n v="0"/>
    <n v="2E-3"/>
    <n v="2E-3"/>
  </r>
  <r>
    <s v="334512"/>
    <x v="201"/>
    <s v="carbon dioxide"/>
    <s v="kg/2018 USD, purchaser price"/>
    <n v="5.2999999999999999E-2"/>
    <n v="5.2999999999999999E-2"/>
    <n v="1.6E-2"/>
    <n v="1.6E-2"/>
    <n v="6.9000000000000006E-2"/>
    <n v="6.9000000000000006E-2"/>
  </r>
  <r>
    <s v="334512"/>
    <x v="201"/>
    <s v="methane"/>
    <s v="kg/2018 USD, purchaser price"/>
    <n v="0"/>
    <n v="0"/>
    <n v="0"/>
    <n v="0"/>
    <n v="0"/>
    <n v="0"/>
  </r>
  <r>
    <s v="334512"/>
    <x v="201"/>
    <s v="nitrous oxide"/>
    <s v="kg/2018 USD, purchaser price"/>
    <n v="0"/>
    <n v="0"/>
    <n v="0"/>
    <n v="0"/>
    <n v="0"/>
    <n v="0"/>
  </r>
  <r>
    <s v="334512"/>
    <x v="201"/>
    <s v="other GHGs"/>
    <s v="kg CO2e/2018 USD, purchaser price"/>
    <n v="8.9999999999999993E-3"/>
    <n v="8.9999999999999993E-3"/>
    <n v="0"/>
    <n v="0"/>
    <n v="8.9999999999999993E-3"/>
    <n v="8.9999999999999993E-3"/>
  </r>
  <r>
    <s v="334513"/>
    <x v="202"/>
    <s v="carbon dioxide"/>
    <s v="kg/2018 USD, purchaser price"/>
    <n v="6.4000000000000001E-2"/>
    <n v="6.4000000000000001E-2"/>
    <n v="1.9E-2"/>
    <n v="1.9E-2"/>
    <n v="8.3000000000000004E-2"/>
    <n v="8.3000000000000004E-2"/>
  </r>
  <r>
    <s v="334513"/>
    <x v="202"/>
    <s v="methane"/>
    <s v="kg/2018 USD, purchaser price"/>
    <n v="0"/>
    <n v="0"/>
    <n v="0"/>
    <n v="0"/>
    <n v="0"/>
    <n v="0"/>
  </r>
  <r>
    <s v="334513"/>
    <x v="202"/>
    <s v="nitrous oxide"/>
    <s v="kg/2018 USD, purchaser price"/>
    <n v="0"/>
    <n v="0"/>
    <n v="0"/>
    <n v="0"/>
    <n v="0"/>
    <n v="0"/>
  </r>
  <r>
    <s v="334513"/>
    <x v="202"/>
    <s v="other GHGs"/>
    <s v="kg CO2e/2018 USD, purchaser price"/>
    <n v="3.0000000000000001E-3"/>
    <n v="3.0000000000000001E-3"/>
    <n v="0"/>
    <n v="0"/>
    <n v="3.0000000000000001E-3"/>
    <n v="3.0000000000000001E-3"/>
  </r>
  <r>
    <s v="334514"/>
    <x v="203"/>
    <s v="carbon dioxide"/>
    <s v="kg/2018 USD, purchaser price"/>
    <n v="0.04"/>
    <n v="0.04"/>
    <n v="2.9000000000000001E-2"/>
    <n v="2.9000000000000001E-2"/>
    <n v="6.9000000000000006E-2"/>
    <n v="6.9000000000000006E-2"/>
  </r>
  <r>
    <s v="334514"/>
    <x v="203"/>
    <s v="methane"/>
    <s v="kg/2018 USD, purchaser price"/>
    <n v="0"/>
    <n v="0"/>
    <n v="0"/>
    <n v="0"/>
    <n v="0"/>
    <n v="0"/>
  </r>
  <r>
    <s v="334514"/>
    <x v="203"/>
    <s v="nitrous oxide"/>
    <s v="kg/2018 USD, purchaser price"/>
    <n v="0"/>
    <n v="0"/>
    <n v="0"/>
    <n v="0"/>
    <n v="0"/>
    <n v="0"/>
  </r>
  <r>
    <s v="334514"/>
    <x v="203"/>
    <s v="other GHGs"/>
    <s v="kg CO2e/2018 USD, purchaser price"/>
    <n v="2E-3"/>
    <n v="2E-3"/>
    <n v="0"/>
    <n v="0"/>
    <n v="2E-3"/>
    <n v="2E-3"/>
  </r>
  <r>
    <s v="334515"/>
    <x v="204"/>
    <s v="carbon dioxide"/>
    <s v="kg/2018 USD, purchaser price"/>
    <n v="5.5E-2"/>
    <n v="5.5E-2"/>
    <n v="0.03"/>
    <n v="0.03"/>
    <n v="8.5000000000000006E-2"/>
    <n v="8.5000000000000006E-2"/>
  </r>
  <r>
    <s v="334515"/>
    <x v="204"/>
    <s v="methane"/>
    <s v="kg/2018 USD, purchaser price"/>
    <n v="0"/>
    <n v="0"/>
    <n v="0"/>
    <n v="0"/>
    <n v="0"/>
    <n v="0"/>
  </r>
  <r>
    <s v="334515"/>
    <x v="204"/>
    <s v="nitrous oxide"/>
    <s v="kg/2018 USD, purchaser price"/>
    <n v="0"/>
    <n v="0"/>
    <n v="0"/>
    <n v="0"/>
    <n v="0"/>
    <n v="0"/>
  </r>
  <r>
    <s v="334515"/>
    <x v="204"/>
    <s v="other GHGs"/>
    <s v="kg CO2e/2018 USD, purchaser price"/>
    <n v="2E-3"/>
    <n v="2E-3"/>
    <n v="0"/>
    <n v="0"/>
    <n v="2E-3"/>
    <n v="2E-3"/>
  </r>
  <r>
    <s v="334516"/>
    <x v="205"/>
    <s v="carbon dioxide"/>
    <s v="kg/2018 USD, purchaser price"/>
    <n v="4.5999999999999999E-2"/>
    <n v="4.5999999999999999E-2"/>
    <n v="2.8000000000000001E-2"/>
    <n v="2.8000000000000001E-2"/>
    <n v="7.4999999999999997E-2"/>
    <n v="7.4999999999999997E-2"/>
  </r>
  <r>
    <s v="334516"/>
    <x v="205"/>
    <s v="methane"/>
    <s v="kg/2018 USD, purchaser price"/>
    <n v="0"/>
    <n v="0"/>
    <n v="0"/>
    <n v="0"/>
    <n v="0"/>
    <n v="0"/>
  </r>
  <r>
    <s v="334516"/>
    <x v="205"/>
    <s v="nitrous oxide"/>
    <s v="kg/2018 USD, purchaser price"/>
    <n v="0"/>
    <n v="0"/>
    <n v="0"/>
    <n v="0"/>
    <n v="0"/>
    <n v="0"/>
  </r>
  <r>
    <s v="334516"/>
    <x v="205"/>
    <s v="other GHGs"/>
    <s v="kg CO2e/2018 USD, purchaser price"/>
    <n v="2E-3"/>
    <n v="2E-3"/>
    <n v="0"/>
    <n v="0"/>
    <n v="2E-3"/>
    <n v="2E-3"/>
  </r>
  <r>
    <s v="334517"/>
    <x v="206"/>
    <s v="carbon dioxide"/>
    <s v="kg/2018 USD, purchaser price"/>
    <n v="0.08"/>
    <n v="0.08"/>
    <n v="4.2000000000000003E-2"/>
    <n v="4.2000000000000003E-2"/>
    <n v="0.123"/>
    <n v="0.123"/>
  </r>
  <r>
    <s v="334517"/>
    <x v="206"/>
    <s v="methane"/>
    <s v="kg/2018 USD, purchaser price"/>
    <n v="0"/>
    <n v="0"/>
    <n v="0"/>
    <n v="0"/>
    <n v="1E-3"/>
    <n v="2.8000000000000001E-2"/>
  </r>
  <r>
    <s v="334517"/>
    <x v="206"/>
    <s v="nitrous oxide"/>
    <s v="kg/2018 USD, purchaser price"/>
    <n v="0"/>
    <n v="0"/>
    <n v="0"/>
    <n v="0"/>
    <n v="0"/>
    <n v="0"/>
  </r>
  <r>
    <s v="334517"/>
    <x v="206"/>
    <s v="other GHGs"/>
    <s v="kg CO2e/2018 USD, purchaser price"/>
    <n v="3.0000000000000001E-3"/>
    <n v="3.0000000000000001E-3"/>
    <n v="0"/>
    <n v="0"/>
    <n v="3.0000000000000001E-3"/>
    <n v="3.0000000000000001E-3"/>
  </r>
  <r>
    <s v="33451A"/>
    <x v="207"/>
    <s v="carbon dioxide"/>
    <s v="kg/2018 USD, purchaser price"/>
    <n v="4.5999999999999999E-2"/>
    <n v="4.5999999999999999E-2"/>
    <n v="0.121"/>
    <n v="0.121"/>
    <n v="0.16600000000000001"/>
    <n v="0.16600000000000001"/>
  </r>
  <r>
    <s v="33451A"/>
    <x v="207"/>
    <s v="methane"/>
    <s v="kg/2018 USD, purchaser price"/>
    <n v="0"/>
    <n v="0"/>
    <n v="1E-3"/>
    <n v="2.8000000000000001E-2"/>
    <n v="1E-3"/>
    <n v="2.8000000000000001E-2"/>
  </r>
  <r>
    <s v="33451A"/>
    <x v="207"/>
    <s v="nitrous oxide"/>
    <s v="kg/2018 USD, purchaser price"/>
    <n v="0"/>
    <n v="0"/>
    <n v="0"/>
    <n v="0"/>
    <n v="0"/>
    <n v="0"/>
  </r>
  <r>
    <s v="33451A"/>
    <x v="207"/>
    <s v="other GHGs"/>
    <s v="kg CO2e/2018 USD, purchaser price"/>
    <n v="2E-3"/>
    <n v="2E-3"/>
    <n v="0"/>
    <n v="0"/>
    <n v="2E-3"/>
    <n v="2E-3"/>
  </r>
  <r>
    <s v="334610"/>
    <x v="208"/>
    <s v="carbon dioxide"/>
    <s v="kg/2018 USD, purchaser price"/>
    <n v="6.6000000000000003E-2"/>
    <n v="6.6000000000000003E-2"/>
    <n v="1.7000000000000001E-2"/>
    <n v="1.7000000000000001E-2"/>
    <n v="8.3000000000000004E-2"/>
    <n v="8.3000000000000004E-2"/>
  </r>
  <r>
    <s v="334610"/>
    <x v="208"/>
    <s v="methane"/>
    <s v="kg/2018 USD, purchaser price"/>
    <n v="0"/>
    <n v="0"/>
    <n v="0"/>
    <n v="0"/>
    <n v="0"/>
    <n v="0"/>
  </r>
  <r>
    <s v="334610"/>
    <x v="208"/>
    <s v="nitrous oxide"/>
    <s v="kg/2018 USD, purchaser price"/>
    <n v="0"/>
    <n v="0"/>
    <n v="0"/>
    <n v="0"/>
    <n v="0"/>
    <n v="0"/>
  </r>
  <r>
    <s v="334610"/>
    <x v="208"/>
    <s v="other GHGs"/>
    <s v="kg CO2e/2018 USD, purchaser price"/>
    <n v="3.0000000000000001E-3"/>
    <n v="3.0000000000000001E-3"/>
    <n v="0"/>
    <n v="0"/>
    <n v="3.0000000000000001E-3"/>
    <n v="3.0000000000000001E-3"/>
  </r>
  <r>
    <s v="335110"/>
    <x v="209"/>
    <s v="carbon dioxide"/>
    <s v="kg/2018 USD, purchaser price"/>
    <n v="0.20899999999999999"/>
    <n v="0.20899999999999999"/>
    <n v="0.17599999999999999"/>
    <n v="0.17599999999999999"/>
    <n v="0.38500000000000001"/>
    <n v="0.38500000000000001"/>
  </r>
  <r>
    <s v="335110"/>
    <x v="209"/>
    <s v="methane"/>
    <s v="kg/2018 USD, purchaser price"/>
    <n v="1E-3"/>
    <n v="2.8000000000000001E-2"/>
    <n v="1E-3"/>
    <n v="2.8000000000000001E-2"/>
    <n v="1E-3"/>
    <n v="2.8000000000000001E-2"/>
  </r>
  <r>
    <s v="335110"/>
    <x v="209"/>
    <s v="nitrous oxide"/>
    <s v="kg/2018 USD, purchaser price"/>
    <n v="0"/>
    <n v="0"/>
    <n v="0"/>
    <n v="0"/>
    <n v="0"/>
    <n v="0"/>
  </r>
  <r>
    <s v="335110"/>
    <x v="209"/>
    <s v="other GHGs"/>
    <s v="kg CO2e/2018 USD, purchaser price"/>
    <n v="0.01"/>
    <n v="0.01"/>
    <n v="0"/>
    <n v="0"/>
    <n v="0.01"/>
    <n v="0.01"/>
  </r>
  <r>
    <s v="335120"/>
    <x v="210"/>
    <s v="carbon dioxide"/>
    <s v="kg/2018 USD, purchaser price"/>
    <n v="0.2"/>
    <n v="0.2"/>
    <n v="0.20200000000000001"/>
    <n v="0.20200000000000001"/>
    <n v="0.40200000000000002"/>
    <n v="0.40200000000000002"/>
  </r>
  <r>
    <s v="335120"/>
    <x v="210"/>
    <s v="methane"/>
    <s v="kg/2018 USD, purchaser price"/>
    <n v="1E-3"/>
    <n v="2.8000000000000001E-2"/>
    <n v="2E-3"/>
    <n v="5.6000000000000001E-2"/>
    <n v="3.0000000000000001E-3"/>
    <n v="8.4000000000000005E-2"/>
  </r>
  <r>
    <s v="335120"/>
    <x v="210"/>
    <s v="nitrous oxide"/>
    <s v="kg/2018 USD, purchaser price"/>
    <n v="0"/>
    <n v="0"/>
    <n v="0"/>
    <n v="0"/>
    <n v="0"/>
    <n v="0"/>
  </r>
  <r>
    <s v="335120"/>
    <x v="210"/>
    <s v="other GHGs"/>
    <s v="kg CO2e/2018 USD, purchaser price"/>
    <n v="1.6E-2"/>
    <n v="1.6E-2"/>
    <n v="0"/>
    <n v="0"/>
    <n v="1.6E-2"/>
    <n v="1.6E-2"/>
  </r>
  <r>
    <s v="335210"/>
    <x v="211"/>
    <s v="carbon dioxide"/>
    <s v="kg/2018 USD, purchaser price"/>
    <n v="0.23499999999999999"/>
    <n v="0.23499999999999999"/>
    <n v="0.69199999999999995"/>
    <n v="0.69199999999999995"/>
    <n v="0.92700000000000005"/>
    <n v="0.92700000000000005"/>
  </r>
  <r>
    <s v="335210"/>
    <x v="211"/>
    <s v="methane"/>
    <s v="kg/2018 USD, purchaser price"/>
    <n v="1E-3"/>
    <n v="2.8000000000000001E-2"/>
    <n v="5.0000000000000001E-3"/>
    <n v="0.14000000000000001"/>
    <n v="6.0000000000000001E-3"/>
    <n v="0.16800000000000001"/>
  </r>
  <r>
    <s v="335210"/>
    <x v="211"/>
    <s v="nitrous oxide"/>
    <s v="kg/2018 USD, purchaser price"/>
    <n v="0"/>
    <n v="0"/>
    <n v="0"/>
    <n v="0"/>
    <n v="0"/>
    <n v="0"/>
  </r>
  <r>
    <s v="335210"/>
    <x v="211"/>
    <s v="other GHGs"/>
    <s v="kg CO2e/2018 USD, purchaser price"/>
    <n v="6.0000000000000001E-3"/>
    <n v="6.0000000000000001E-3"/>
    <n v="0"/>
    <n v="0"/>
    <n v="6.0000000000000001E-3"/>
    <n v="6.0000000000000001E-3"/>
  </r>
  <r>
    <s v="335221"/>
    <x v="212"/>
    <s v="carbon dioxide"/>
    <s v="kg/2018 USD, purchaser price"/>
    <n v="0.249"/>
    <n v="0.249"/>
    <n v="0.21199999999999999"/>
    <n v="0.21199999999999999"/>
    <n v="0.46"/>
    <n v="0.46"/>
  </r>
  <r>
    <s v="335221"/>
    <x v="212"/>
    <s v="methane"/>
    <s v="kg/2018 USD, purchaser price"/>
    <n v="1E-3"/>
    <n v="2.8000000000000001E-2"/>
    <n v="1E-3"/>
    <n v="2.8000000000000001E-2"/>
    <n v="2E-3"/>
    <n v="5.6000000000000001E-2"/>
  </r>
  <r>
    <s v="335221"/>
    <x v="212"/>
    <s v="nitrous oxide"/>
    <s v="kg/2018 USD, purchaser price"/>
    <n v="0"/>
    <n v="0"/>
    <n v="0"/>
    <n v="0"/>
    <n v="0"/>
    <n v="0"/>
  </r>
  <r>
    <s v="335221"/>
    <x v="212"/>
    <s v="other GHGs"/>
    <s v="kg CO2e/2018 USD, purchaser price"/>
    <n v="1.4E-2"/>
    <n v="1.4E-2"/>
    <n v="0"/>
    <n v="0"/>
    <n v="1.4E-2"/>
    <n v="1.4E-2"/>
  </r>
  <r>
    <s v="335222"/>
    <x v="213"/>
    <s v="carbon dioxide"/>
    <s v="kg/2018 USD, purchaser price"/>
    <n v="0.214"/>
    <n v="0.214"/>
    <n v="0.22700000000000001"/>
    <n v="0.22700000000000001"/>
    <n v="0.441"/>
    <n v="0.441"/>
  </r>
  <r>
    <s v="335222"/>
    <x v="213"/>
    <s v="methane"/>
    <s v="kg/2018 USD, purchaser price"/>
    <n v="1E-3"/>
    <n v="2.8000000000000001E-2"/>
    <n v="1E-3"/>
    <n v="2.8000000000000001E-2"/>
    <n v="2E-3"/>
    <n v="5.6000000000000001E-2"/>
  </r>
  <r>
    <s v="335222"/>
    <x v="213"/>
    <s v="nitrous oxide"/>
    <s v="kg/2018 USD, purchaser price"/>
    <n v="0"/>
    <n v="0"/>
    <n v="0"/>
    <n v="0"/>
    <n v="0"/>
    <n v="0"/>
  </r>
  <r>
    <s v="335222"/>
    <x v="213"/>
    <s v="other GHGs"/>
    <s v="kg CO2e/2018 USD, purchaser price"/>
    <n v="0.111"/>
    <n v="0.111"/>
    <n v="0"/>
    <n v="0"/>
    <n v="0.111"/>
    <n v="0.111"/>
  </r>
  <r>
    <s v="335224"/>
    <x v="214"/>
    <s v="carbon dioxide"/>
    <s v="kg/2018 USD, purchaser price"/>
    <n v="0.27600000000000002"/>
    <n v="0.27600000000000002"/>
    <n v="0.183"/>
    <n v="0.183"/>
    <n v="0.45900000000000002"/>
    <n v="0.45900000000000002"/>
  </r>
  <r>
    <s v="335224"/>
    <x v="214"/>
    <s v="methane"/>
    <s v="kg/2018 USD, purchaser price"/>
    <n v="1E-3"/>
    <n v="2.8000000000000001E-2"/>
    <n v="1E-3"/>
    <n v="2.8000000000000001E-2"/>
    <n v="2E-3"/>
    <n v="5.6000000000000001E-2"/>
  </r>
  <r>
    <s v="335224"/>
    <x v="214"/>
    <s v="nitrous oxide"/>
    <s v="kg/2018 USD, purchaser price"/>
    <n v="0"/>
    <n v="0"/>
    <n v="0"/>
    <n v="0"/>
    <n v="0"/>
    <n v="0"/>
  </r>
  <r>
    <s v="335224"/>
    <x v="214"/>
    <s v="other GHGs"/>
    <s v="kg CO2e/2018 USD, purchaser price"/>
    <n v="8.0000000000000002E-3"/>
    <n v="8.0000000000000002E-3"/>
    <n v="0"/>
    <n v="0"/>
    <n v="8.0000000000000002E-3"/>
    <n v="8.0000000000000002E-3"/>
  </r>
  <r>
    <s v="335228"/>
    <x v="215"/>
    <s v="carbon dioxide"/>
    <s v="kg/2018 USD, purchaser price"/>
    <n v="0.23699999999999999"/>
    <n v="0.23699999999999999"/>
    <n v="8.8999999999999996E-2"/>
    <n v="8.8999999999999996E-2"/>
    <n v="0.32700000000000001"/>
    <n v="0.32700000000000001"/>
  </r>
  <r>
    <s v="335228"/>
    <x v="215"/>
    <s v="methane"/>
    <s v="kg/2018 USD, purchaser price"/>
    <n v="1E-3"/>
    <n v="2.8000000000000001E-2"/>
    <n v="0"/>
    <n v="0"/>
    <n v="1E-3"/>
    <n v="2.8000000000000001E-2"/>
  </r>
  <r>
    <s v="335228"/>
    <x v="215"/>
    <s v="nitrous oxide"/>
    <s v="kg/2018 USD, purchaser price"/>
    <n v="0"/>
    <n v="0"/>
    <n v="0"/>
    <n v="0"/>
    <n v="0"/>
    <n v="0"/>
  </r>
  <r>
    <s v="335228"/>
    <x v="215"/>
    <s v="other GHGs"/>
    <s v="kg CO2e/2018 USD, purchaser price"/>
    <n v="7.0000000000000001E-3"/>
    <n v="7.0000000000000001E-3"/>
    <n v="0"/>
    <n v="0"/>
    <n v="7.0000000000000001E-3"/>
    <n v="7.0000000000000001E-3"/>
  </r>
  <r>
    <s v="335311"/>
    <x v="216"/>
    <s v="carbon dioxide"/>
    <s v="kg/2018 USD, purchaser price"/>
    <n v="0.26200000000000001"/>
    <n v="0.26200000000000001"/>
    <n v="4.7E-2"/>
    <n v="4.7E-2"/>
    <n v="0.309"/>
    <n v="0.309"/>
  </r>
  <r>
    <s v="335311"/>
    <x v="216"/>
    <s v="methane"/>
    <s v="kg/2018 USD, purchaser price"/>
    <n v="1E-3"/>
    <n v="2.8000000000000001E-2"/>
    <n v="0"/>
    <n v="0"/>
    <n v="2E-3"/>
    <n v="5.6000000000000001E-2"/>
  </r>
  <r>
    <s v="335311"/>
    <x v="216"/>
    <s v="nitrous oxide"/>
    <s v="kg/2018 USD, purchaser price"/>
    <n v="0"/>
    <n v="0"/>
    <n v="0"/>
    <n v="0"/>
    <n v="0"/>
    <n v="0"/>
  </r>
  <r>
    <s v="335311"/>
    <x v="216"/>
    <s v="other GHGs"/>
    <s v="kg CO2e/2018 USD, purchaser price"/>
    <n v="6.0000000000000001E-3"/>
    <n v="6.0000000000000001E-3"/>
    <n v="0"/>
    <n v="0"/>
    <n v="6.0000000000000001E-3"/>
    <n v="6.0000000000000001E-3"/>
  </r>
  <r>
    <s v="335312"/>
    <x v="217"/>
    <s v="carbon dioxide"/>
    <s v="kg/2018 USD, purchaser price"/>
    <n v="0.217"/>
    <n v="0.217"/>
    <n v="7.3999999999999996E-2"/>
    <n v="7.3999999999999996E-2"/>
    <n v="0.28999999999999998"/>
    <n v="0.28999999999999998"/>
  </r>
  <r>
    <s v="335312"/>
    <x v="217"/>
    <s v="methane"/>
    <s v="kg/2018 USD, purchaser price"/>
    <n v="1E-3"/>
    <n v="2.8000000000000001E-2"/>
    <n v="0"/>
    <n v="0"/>
    <n v="1E-3"/>
    <n v="2.8000000000000001E-2"/>
  </r>
  <r>
    <s v="335312"/>
    <x v="217"/>
    <s v="nitrous oxide"/>
    <s v="kg/2018 USD, purchaser price"/>
    <n v="0"/>
    <n v="0"/>
    <n v="0"/>
    <n v="0"/>
    <n v="0"/>
    <n v="0"/>
  </r>
  <r>
    <s v="335312"/>
    <x v="217"/>
    <s v="other GHGs"/>
    <s v="kg CO2e/2018 USD, purchaser price"/>
    <n v="1.2999999999999999E-2"/>
    <n v="1.2999999999999999E-2"/>
    <n v="0"/>
    <n v="0"/>
    <n v="1.2999999999999999E-2"/>
    <n v="1.2999999999999999E-2"/>
  </r>
  <r>
    <s v="335313"/>
    <x v="218"/>
    <s v="carbon dioxide"/>
    <s v="kg/2018 USD, purchaser price"/>
    <n v="0.23400000000000001"/>
    <n v="0.23400000000000001"/>
    <n v="4.8000000000000001E-2"/>
    <n v="4.8000000000000001E-2"/>
    <n v="0.28199999999999997"/>
    <n v="0.28199999999999997"/>
  </r>
  <r>
    <s v="335313"/>
    <x v="218"/>
    <s v="methane"/>
    <s v="kg/2018 USD, purchaser price"/>
    <n v="1E-3"/>
    <n v="2.8000000000000001E-2"/>
    <n v="0"/>
    <n v="0"/>
    <n v="1E-3"/>
    <n v="2.8000000000000001E-2"/>
  </r>
  <r>
    <s v="335313"/>
    <x v="218"/>
    <s v="nitrous oxide"/>
    <s v="kg/2018 USD, purchaser price"/>
    <n v="0"/>
    <n v="0"/>
    <n v="0"/>
    <n v="0"/>
    <n v="0"/>
    <n v="0"/>
  </r>
  <r>
    <s v="335313"/>
    <x v="218"/>
    <s v="other GHGs"/>
    <s v="kg CO2e/2018 USD, purchaser price"/>
    <n v="8.0000000000000002E-3"/>
    <n v="8.0000000000000002E-3"/>
    <n v="0"/>
    <n v="0"/>
    <n v="8.0000000000000002E-3"/>
    <n v="8.0000000000000002E-3"/>
  </r>
  <r>
    <s v="335314"/>
    <x v="219"/>
    <s v="carbon dioxide"/>
    <s v="kg/2018 USD, purchaser price"/>
    <n v="0.158"/>
    <n v="0.158"/>
    <n v="5.8999999999999997E-2"/>
    <n v="5.8999999999999997E-2"/>
    <n v="0.217"/>
    <n v="0.217"/>
  </r>
  <r>
    <s v="335314"/>
    <x v="219"/>
    <s v="methane"/>
    <s v="kg/2018 USD, purchaser price"/>
    <n v="1E-3"/>
    <n v="2.8000000000000001E-2"/>
    <n v="0"/>
    <n v="0"/>
    <n v="1E-3"/>
    <n v="2.8000000000000001E-2"/>
  </r>
  <r>
    <s v="335314"/>
    <x v="219"/>
    <s v="nitrous oxide"/>
    <s v="kg/2018 USD, purchaser price"/>
    <n v="0"/>
    <n v="0"/>
    <n v="0"/>
    <n v="0"/>
    <n v="0"/>
    <n v="0"/>
  </r>
  <r>
    <s v="335314"/>
    <x v="219"/>
    <s v="other GHGs"/>
    <s v="kg CO2e/2018 USD, purchaser price"/>
    <n v="5.0000000000000001E-3"/>
    <n v="5.0000000000000001E-3"/>
    <n v="0"/>
    <n v="0"/>
    <n v="5.0000000000000001E-3"/>
    <n v="5.0000000000000001E-3"/>
  </r>
  <r>
    <s v="335911"/>
    <x v="220"/>
    <s v="carbon dioxide"/>
    <s v="kg/2018 USD, purchaser price"/>
    <n v="0.38100000000000001"/>
    <n v="0.38100000000000001"/>
    <n v="0.106"/>
    <n v="0.106"/>
    <n v="0.48799999999999999"/>
    <n v="0.48799999999999999"/>
  </r>
  <r>
    <s v="335911"/>
    <x v="220"/>
    <s v="methane"/>
    <s v="kg/2018 USD, purchaser price"/>
    <n v="1E-3"/>
    <n v="2.8000000000000001E-2"/>
    <n v="1E-3"/>
    <n v="2.8000000000000001E-2"/>
    <n v="2E-3"/>
    <n v="5.6000000000000001E-2"/>
  </r>
  <r>
    <s v="335911"/>
    <x v="220"/>
    <s v="nitrous oxide"/>
    <s v="kg/2018 USD, purchaser price"/>
    <n v="0"/>
    <n v="0"/>
    <n v="0"/>
    <n v="0"/>
    <n v="0"/>
    <n v="0"/>
  </r>
  <r>
    <s v="335911"/>
    <x v="220"/>
    <s v="other GHGs"/>
    <s v="kg CO2e/2018 USD, purchaser price"/>
    <n v="1.6E-2"/>
    <n v="1.6E-2"/>
    <n v="0"/>
    <n v="0"/>
    <n v="1.6E-2"/>
    <n v="1.6E-2"/>
  </r>
  <r>
    <s v="335912"/>
    <x v="221"/>
    <s v="carbon dioxide"/>
    <s v="kg/2018 USD, purchaser price"/>
    <n v="0.27200000000000002"/>
    <n v="0.27200000000000002"/>
    <n v="0.183"/>
    <n v="0.183"/>
    <n v="0.45500000000000002"/>
    <n v="0.45500000000000002"/>
  </r>
  <r>
    <s v="335912"/>
    <x v="221"/>
    <s v="methane"/>
    <s v="kg/2018 USD, purchaser price"/>
    <n v="1E-3"/>
    <n v="2.8000000000000001E-2"/>
    <n v="1E-3"/>
    <n v="2.8000000000000001E-2"/>
    <n v="2E-3"/>
    <n v="5.6000000000000001E-2"/>
  </r>
  <r>
    <s v="335912"/>
    <x v="221"/>
    <s v="nitrous oxide"/>
    <s v="kg/2018 USD, purchaser price"/>
    <n v="0"/>
    <n v="0"/>
    <n v="0"/>
    <n v="0"/>
    <n v="0"/>
    <n v="0"/>
  </r>
  <r>
    <s v="335912"/>
    <x v="221"/>
    <s v="other GHGs"/>
    <s v="kg CO2e/2018 USD, purchaser price"/>
    <n v="1.0999999999999999E-2"/>
    <n v="1.0999999999999999E-2"/>
    <n v="0"/>
    <n v="0"/>
    <n v="1.0999999999999999E-2"/>
    <n v="1.0999999999999999E-2"/>
  </r>
  <r>
    <s v="335920"/>
    <x v="222"/>
    <s v="carbon dioxide"/>
    <s v="kg/2018 USD, purchaser price"/>
    <n v="0.36399999999999999"/>
    <n v="0.36399999999999999"/>
    <n v="4.2999999999999997E-2"/>
    <n v="4.2999999999999997E-2"/>
    <n v="0.40699999999999997"/>
    <n v="0.40699999999999997"/>
  </r>
  <r>
    <s v="335920"/>
    <x v="222"/>
    <s v="methane"/>
    <s v="kg/2018 USD, purchaser price"/>
    <n v="1E-3"/>
    <n v="2.8000000000000001E-2"/>
    <n v="0"/>
    <n v="0"/>
    <n v="1E-3"/>
    <n v="2.8000000000000001E-2"/>
  </r>
  <r>
    <s v="335920"/>
    <x v="222"/>
    <s v="nitrous oxide"/>
    <s v="kg/2018 USD, purchaser price"/>
    <n v="0"/>
    <n v="0"/>
    <n v="0"/>
    <n v="0"/>
    <n v="0"/>
    <n v="0"/>
  </r>
  <r>
    <s v="335920"/>
    <x v="222"/>
    <s v="other GHGs"/>
    <s v="kg CO2e/2018 USD, purchaser price"/>
    <n v="1.2999999999999999E-2"/>
    <n v="1.2999999999999999E-2"/>
    <n v="0"/>
    <n v="0"/>
    <n v="1.2999999999999999E-2"/>
    <n v="1.2999999999999999E-2"/>
  </r>
  <r>
    <s v="335930"/>
    <x v="223"/>
    <s v="carbon dioxide"/>
    <s v="kg/2018 USD, purchaser price"/>
    <n v="0.29099999999999998"/>
    <n v="0.29099999999999998"/>
    <n v="7.5999999999999998E-2"/>
    <n v="7.5999999999999998E-2"/>
    <n v="0.36699999999999999"/>
    <n v="0.36699999999999999"/>
  </r>
  <r>
    <s v="335930"/>
    <x v="223"/>
    <s v="methane"/>
    <s v="kg/2018 USD, purchaser price"/>
    <n v="1E-3"/>
    <n v="2.8000000000000001E-2"/>
    <n v="0"/>
    <n v="0"/>
    <n v="2E-3"/>
    <n v="5.6000000000000001E-2"/>
  </r>
  <r>
    <s v="335930"/>
    <x v="223"/>
    <s v="nitrous oxide"/>
    <s v="kg/2018 USD, purchaser price"/>
    <n v="0"/>
    <n v="0"/>
    <n v="0"/>
    <n v="0"/>
    <n v="0"/>
    <n v="0"/>
  </r>
  <r>
    <s v="335930"/>
    <x v="223"/>
    <s v="other GHGs"/>
    <s v="kg CO2e/2018 USD, purchaser price"/>
    <n v="8.0000000000000002E-3"/>
    <n v="8.0000000000000002E-3"/>
    <n v="0"/>
    <n v="0"/>
    <n v="8.0000000000000002E-3"/>
    <n v="8.0000000000000002E-3"/>
  </r>
  <r>
    <s v="335991"/>
    <x v="224"/>
    <s v="carbon dioxide"/>
    <s v="kg/2018 USD, purchaser price"/>
    <n v="0.193"/>
    <n v="0.193"/>
    <n v="8.0000000000000002E-3"/>
    <n v="8.0000000000000002E-3"/>
    <n v="0.20100000000000001"/>
    <n v="0.20100000000000001"/>
  </r>
  <r>
    <s v="335991"/>
    <x v="224"/>
    <s v="methane"/>
    <s v="kg/2018 USD, purchaser price"/>
    <n v="1E-3"/>
    <n v="2.8000000000000001E-2"/>
    <n v="0"/>
    <n v="0"/>
    <n v="1E-3"/>
    <n v="2.8000000000000001E-2"/>
  </r>
  <r>
    <s v="335991"/>
    <x v="224"/>
    <s v="nitrous oxide"/>
    <s v="kg/2018 USD, purchaser price"/>
    <n v="0"/>
    <n v="0"/>
    <n v="0"/>
    <n v="0"/>
    <n v="0"/>
    <n v="0"/>
  </r>
  <r>
    <s v="335991"/>
    <x v="224"/>
    <s v="other GHGs"/>
    <s v="kg CO2e/2018 USD, purchaser price"/>
    <n v="5.0000000000000001E-3"/>
    <n v="5.0000000000000001E-3"/>
    <n v="0"/>
    <n v="0"/>
    <n v="5.0000000000000001E-3"/>
    <n v="5.0000000000000001E-3"/>
  </r>
  <r>
    <s v="335999"/>
    <x v="225"/>
    <s v="carbon dioxide"/>
    <s v="kg/2018 USD, purchaser price"/>
    <n v="0.154"/>
    <n v="0.154"/>
    <n v="5.5E-2"/>
    <n v="5.5E-2"/>
    <n v="0.20899999999999999"/>
    <n v="0.20899999999999999"/>
  </r>
  <r>
    <s v="335999"/>
    <x v="225"/>
    <s v="methane"/>
    <s v="kg/2018 USD, purchaser price"/>
    <n v="1E-3"/>
    <n v="2.8000000000000001E-2"/>
    <n v="0"/>
    <n v="0"/>
    <n v="1E-3"/>
    <n v="2.8000000000000001E-2"/>
  </r>
  <r>
    <s v="335999"/>
    <x v="225"/>
    <s v="nitrous oxide"/>
    <s v="kg/2018 USD, purchaser price"/>
    <n v="0"/>
    <n v="0"/>
    <n v="0"/>
    <n v="0"/>
    <n v="0"/>
    <n v="0"/>
  </r>
  <r>
    <s v="335999"/>
    <x v="225"/>
    <s v="other GHGs"/>
    <s v="kg CO2e/2018 USD, purchaser price"/>
    <n v="8.0000000000000002E-3"/>
    <n v="8.0000000000000002E-3"/>
    <n v="0"/>
    <n v="0"/>
    <n v="8.0000000000000002E-3"/>
    <n v="8.0000000000000002E-3"/>
  </r>
  <r>
    <s v="336111"/>
    <x v="226"/>
    <s v="carbon dioxide"/>
    <s v="kg/2018 USD, purchaser price"/>
    <n v="0.20899999999999999"/>
    <n v="0.20899999999999999"/>
    <n v="0.16200000000000001"/>
    <n v="0.16200000000000001"/>
    <n v="0.371"/>
    <n v="0.371"/>
  </r>
  <r>
    <s v="336111"/>
    <x v="226"/>
    <s v="methane"/>
    <s v="kg/2018 USD, purchaser price"/>
    <n v="1E-3"/>
    <n v="2.8000000000000001E-2"/>
    <n v="1E-3"/>
    <n v="2.8000000000000001E-2"/>
    <n v="2E-3"/>
    <n v="5.6000000000000001E-2"/>
  </r>
  <r>
    <s v="336111"/>
    <x v="226"/>
    <s v="nitrous oxide"/>
    <s v="kg/2018 USD, purchaser price"/>
    <n v="0"/>
    <n v="0"/>
    <n v="0"/>
    <n v="0"/>
    <n v="0"/>
    <n v="0"/>
  </r>
  <r>
    <s v="336111"/>
    <x v="226"/>
    <s v="other GHGs"/>
    <s v="kg CO2e/2018 USD, purchaser price"/>
    <n v="2.1000000000000001E-2"/>
    <n v="2.1000000000000001E-2"/>
    <n v="0"/>
    <n v="0"/>
    <n v="2.1000000000000001E-2"/>
    <n v="2.1000000000000001E-2"/>
  </r>
  <r>
    <s v="336112"/>
    <x v="227"/>
    <s v="carbon dioxide"/>
    <s v="kg/2018 USD, purchaser price"/>
    <n v="0.22600000000000001"/>
    <n v="0.22600000000000001"/>
    <n v="3.1E-2"/>
    <n v="3.1E-2"/>
    <n v="0.25600000000000001"/>
    <n v="0.25600000000000001"/>
  </r>
  <r>
    <s v="336112"/>
    <x v="227"/>
    <s v="methane"/>
    <s v="kg/2018 USD, purchaser price"/>
    <n v="1E-3"/>
    <n v="2.8000000000000001E-2"/>
    <n v="0"/>
    <n v="0"/>
    <n v="1E-3"/>
    <n v="2.8000000000000001E-2"/>
  </r>
  <r>
    <s v="336112"/>
    <x v="227"/>
    <s v="nitrous oxide"/>
    <s v="kg/2018 USD, purchaser price"/>
    <n v="0"/>
    <n v="0"/>
    <n v="0"/>
    <n v="0"/>
    <n v="0"/>
    <n v="0"/>
  </r>
  <r>
    <s v="336112"/>
    <x v="227"/>
    <s v="other GHGs"/>
    <s v="kg CO2e/2018 USD, purchaser price"/>
    <n v="0.02"/>
    <n v="0.02"/>
    <n v="0"/>
    <n v="0"/>
    <n v="0.02"/>
    <n v="0.02"/>
  </r>
  <r>
    <s v="336120"/>
    <x v="228"/>
    <s v="carbon dioxide"/>
    <s v="kg/2018 USD, purchaser price"/>
    <n v="0.26200000000000001"/>
    <n v="0.26200000000000001"/>
    <n v="1.6E-2"/>
    <n v="1.6E-2"/>
    <n v="0.27800000000000002"/>
    <n v="0.27800000000000002"/>
  </r>
  <r>
    <s v="336120"/>
    <x v="228"/>
    <s v="methane"/>
    <s v="kg/2018 USD, purchaser price"/>
    <n v="1E-3"/>
    <n v="2.8000000000000001E-2"/>
    <n v="0"/>
    <n v="0"/>
    <n v="1E-3"/>
    <n v="2.8000000000000001E-2"/>
  </r>
  <r>
    <s v="336120"/>
    <x v="228"/>
    <s v="nitrous oxide"/>
    <s v="kg/2018 USD, purchaser price"/>
    <n v="0"/>
    <n v="0"/>
    <n v="0"/>
    <n v="0"/>
    <n v="0"/>
    <n v="0"/>
  </r>
  <r>
    <s v="336120"/>
    <x v="228"/>
    <s v="other GHGs"/>
    <s v="kg CO2e/2018 USD, purchaser price"/>
    <n v="4.2999999999999997E-2"/>
    <n v="4.2999999999999997E-2"/>
    <n v="0"/>
    <n v="0"/>
    <n v="4.2999999999999997E-2"/>
    <n v="4.2999999999999997E-2"/>
  </r>
  <r>
    <s v="336211"/>
    <x v="229"/>
    <s v="carbon dioxide"/>
    <s v="kg/2018 USD, purchaser price"/>
    <n v="0.24299999999999999"/>
    <n v="0.24299999999999999"/>
    <n v="4.9000000000000002E-2"/>
    <n v="4.9000000000000002E-2"/>
    <n v="0.29199999999999998"/>
    <n v="0.29199999999999998"/>
  </r>
  <r>
    <s v="336211"/>
    <x v="229"/>
    <s v="methane"/>
    <s v="kg/2018 USD, purchaser price"/>
    <n v="1E-3"/>
    <n v="2.8000000000000001E-2"/>
    <n v="0"/>
    <n v="0"/>
    <n v="1E-3"/>
    <n v="2.8000000000000001E-2"/>
  </r>
  <r>
    <s v="336211"/>
    <x v="229"/>
    <s v="nitrous oxide"/>
    <s v="kg/2018 USD, purchaser price"/>
    <n v="0"/>
    <n v="0"/>
    <n v="0"/>
    <n v="0"/>
    <n v="0"/>
    <n v="0"/>
  </r>
  <r>
    <s v="336211"/>
    <x v="229"/>
    <s v="other GHGs"/>
    <s v="kg CO2e/2018 USD, purchaser price"/>
    <n v="1.4999999999999999E-2"/>
    <n v="1.4999999999999999E-2"/>
    <n v="0"/>
    <n v="0"/>
    <n v="1.4999999999999999E-2"/>
    <n v="1.4999999999999999E-2"/>
  </r>
  <r>
    <s v="336212"/>
    <x v="230"/>
    <s v="carbon dioxide"/>
    <s v="kg/2018 USD, purchaser price"/>
    <n v="0.16400000000000001"/>
    <n v="0.16400000000000001"/>
    <n v="2.7E-2"/>
    <n v="2.7E-2"/>
    <n v="0.19"/>
    <n v="0.19"/>
  </r>
  <r>
    <s v="336212"/>
    <x v="230"/>
    <s v="methane"/>
    <s v="kg/2018 USD, purchaser price"/>
    <n v="1E-3"/>
    <n v="2.8000000000000001E-2"/>
    <n v="0"/>
    <n v="0"/>
    <n v="1E-3"/>
    <n v="2.8000000000000001E-2"/>
  </r>
  <r>
    <s v="336212"/>
    <x v="230"/>
    <s v="nitrous oxide"/>
    <s v="kg/2018 USD, purchaser price"/>
    <n v="0"/>
    <n v="0"/>
    <n v="0"/>
    <n v="0"/>
    <n v="0"/>
    <n v="0"/>
  </r>
  <r>
    <s v="336212"/>
    <x v="230"/>
    <s v="other GHGs"/>
    <s v="kg CO2e/2018 USD, purchaser price"/>
    <n v="4.7E-2"/>
    <n v="4.7E-2"/>
    <n v="0"/>
    <n v="0"/>
    <n v="4.7E-2"/>
    <n v="4.7E-2"/>
  </r>
  <r>
    <s v="336213"/>
    <x v="231"/>
    <s v="carbon dioxide"/>
    <s v="kg/2018 USD, purchaser price"/>
    <n v="0.21299999999999999"/>
    <n v="0.21299999999999999"/>
    <n v="8.4000000000000005E-2"/>
    <n v="8.4000000000000005E-2"/>
    <n v="0.29699999999999999"/>
    <n v="0.29699999999999999"/>
  </r>
  <r>
    <s v="336213"/>
    <x v="231"/>
    <s v="methane"/>
    <s v="kg/2018 USD, purchaser price"/>
    <n v="1E-3"/>
    <n v="2.8000000000000001E-2"/>
    <n v="0"/>
    <n v="0"/>
    <n v="1E-3"/>
    <n v="2.8000000000000001E-2"/>
  </r>
  <r>
    <s v="336213"/>
    <x v="231"/>
    <s v="nitrous oxide"/>
    <s v="kg/2018 USD, purchaser price"/>
    <n v="0"/>
    <n v="0"/>
    <n v="0"/>
    <n v="0"/>
    <n v="0"/>
    <n v="0"/>
  </r>
  <r>
    <s v="336213"/>
    <x v="231"/>
    <s v="other GHGs"/>
    <s v="kg CO2e/2018 USD, purchaser price"/>
    <n v="3.4000000000000002E-2"/>
    <n v="3.4000000000000002E-2"/>
    <n v="0"/>
    <n v="0"/>
    <n v="3.4000000000000002E-2"/>
    <n v="3.4000000000000002E-2"/>
  </r>
  <r>
    <s v="336214"/>
    <x v="232"/>
    <s v="carbon dioxide"/>
    <s v="kg/2018 USD, purchaser price"/>
    <n v="0.35"/>
    <n v="0.35"/>
    <n v="6.3E-2"/>
    <n v="6.3E-2"/>
    <n v="0.41299999999999998"/>
    <n v="0.41299999999999998"/>
  </r>
  <r>
    <s v="336214"/>
    <x v="232"/>
    <s v="methane"/>
    <s v="kg/2018 USD, purchaser price"/>
    <n v="2E-3"/>
    <n v="5.6000000000000001E-2"/>
    <n v="0"/>
    <n v="0"/>
    <n v="2E-3"/>
    <n v="5.6000000000000001E-2"/>
  </r>
  <r>
    <s v="336214"/>
    <x v="232"/>
    <s v="nitrous oxide"/>
    <s v="kg/2018 USD, purchaser price"/>
    <n v="0"/>
    <n v="0"/>
    <n v="0"/>
    <n v="0"/>
    <n v="0"/>
    <n v="0"/>
  </r>
  <r>
    <s v="336214"/>
    <x v="232"/>
    <s v="other GHGs"/>
    <s v="kg CO2e/2018 USD, purchaser price"/>
    <n v="3.7999999999999999E-2"/>
    <n v="3.7999999999999999E-2"/>
    <n v="0"/>
    <n v="0"/>
    <n v="3.7999999999999999E-2"/>
    <n v="3.7999999999999999E-2"/>
  </r>
  <r>
    <s v="336310"/>
    <x v="233"/>
    <s v="carbon dioxide"/>
    <s v="kg/2018 USD, purchaser price"/>
    <n v="0.28199999999999997"/>
    <n v="0.28199999999999997"/>
    <n v="5.2999999999999999E-2"/>
    <n v="5.2999999999999999E-2"/>
    <n v="0.33600000000000002"/>
    <n v="0.33600000000000002"/>
  </r>
  <r>
    <s v="336310"/>
    <x v="233"/>
    <s v="methane"/>
    <s v="kg/2018 USD, purchaser price"/>
    <n v="1E-3"/>
    <n v="2.8000000000000001E-2"/>
    <n v="0"/>
    <n v="0"/>
    <n v="1E-3"/>
    <n v="2.8000000000000001E-2"/>
  </r>
  <r>
    <s v="336310"/>
    <x v="233"/>
    <s v="nitrous oxide"/>
    <s v="kg/2018 USD, purchaser price"/>
    <n v="0"/>
    <n v="0"/>
    <n v="0"/>
    <n v="0"/>
    <n v="0"/>
    <n v="0"/>
  </r>
  <r>
    <s v="336310"/>
    <x v="233"/>
    <s v="other GHGs"/>
    <s v="kg CO2e/2018 USD, purchaser price"/>
    <n v="1.0999999999999999E-2"/>
    <n v="1.0999999999999999E-2"/>
    <n v="0"/>
    <n v="0"/>
    <n v="1.0999999999999999E-2"/>
    <n v="1.0999999999999999E-2"/>
  </r>
  <r>
    <s v="336320"/>
    <x v="234"/>
    <s v="carbon dioxide"/>
    <s v="kg/2018 USD, purchaser price"/>
    <n v="0.28699999999999998"/>
    <n v="0.28699999999999998"/>
    <n v="8.8999999999999996E-2"/>
    <n v="8.8999999999999996E-2"/>
    <n v="0.376"/>
    <n v="0.376"/>
  </r>
  <r>
    <s v="336320"/>
    <x v="234"/>
    <s v="methane"/>
    <s v="kg/2018 USD, purchaser price"/>
    <n v="1E-3"/>
    <n v="2.8000000000000001E-2"/>
    <n v="0"/>
    <n v="0"/>
    <n v="1E-3"/>
    <n v="2.8000000000000001E-2"/>
  </r>
  <r>
    <s v="336320"/>
    <x v="234"/>
    <s v="nitrous oxide"/>
    <s v="kg/2018 USD, purchaser price"/>
    <n v="0"/>
    <n v="0"/>
    <n v="0"/>
    <n v="0"/>
    <n v="0"/>
    <n v="0"/>
  </r>
  <r>
    <s v="336320"/>
    <x v="234"/>
    <s v="other GHGs"/>
    <s v="kg CO2e/2018 USD, purchaser price"/>
    <n v="1.2999999999999999E-2"/>
    <n v="1.2999999999999999E-2"/>
    <n v="0"/>
    <n v="0"/>
    <n v="1.2999999999999999E-2"/>
    <n v="1.2999999999999999E-2"/>
  </r>
  <r>
    <s v="336350"/>
    <x v="235"/>
    <s v="carbon dioxide"/>
    <s v="kg/2018 USD, purchaser price"/>
    <n v="0.189"/>
    <n v="0.189"/>
    <n v="2.8000000000000001E-2"/>
    <n v="2.8000000000000001E-2"/>
    <n v="0.217"/>
    <n v="0.217"/>
  </r>
  <r>
    <s v="336350"/>
    <x v="235"/>
    <s v="methane"/>
    <s v="kg/2018 USD, purchaser price"/>
    <n v="1E-3"/>
    <n v="2.8000000000000001E-2"/>
    <n v="0"/>
    <n v="0"/>
    <n v="1E-3"/>
    <n v="2.8000000000000001E-2"/>
  </r>
  <r>
    <s v="336350"/>
    <x v="235"/>
    <s v="nitrous oxide"/>
    <s v="kg/2018 USD, purchaser price"/>
    <n v="0"/>
    <n v="0"/>
    <n v="0"/>
    <n v="0"/>
    <n v="0"/>
    <n v="0"/>
  </r>
  <r>
    <s v="336350"/>
    <x v="235"/>
    <s v="other GHGs"/>
    <s v="kg CO2e/2018 USD, purchaser price"/>
    <n v="1.0999999999999999E-2"/>
    <n v="1.0999999999999999E-2"/>
    <n v="0"/>
    <n v="0"/>
    <n v="1.0999999999999999E-2"/>
    <n v="1.0999999999999999E-2"/>
  </r>
  <r>
    <s v="336360"/>
    <x v="236"/>
    <s v="carbon dioxide"/>
    <s v="kg/2018 USD, purchaser price"/>
    <n v="0.251"/>
    <n v="0.251"/>
    <n v="0.02"/>
    <n v="0.02"/>
    <n v="0.27100000000000002"/>
    <n v="0.27100000000000002"/>
  </r>
  <r>
    <s v="336360"/>
    <x v="236"/>
    <s v="methane"/>
    <s v="kg/2018 USD, purchaser price"/>
    <n v="1E-3"/>
    <n v="2.8000000000000001E-2"/>
    <n v="0"/>
    <n v="0"/>
    <n v="1E-3"/>
    <n v="2.8000000000000001E-2"/>
  </r>
  <r>
    <s v="336360"/>
    <x v="236"/>
    <s v="nitrous oxide"/>
    <s v="kg/2018 USD, purchaser price"/>
    <n v="0"/>
    <n v="0"/>
    <n v="0"/>
    <n v="0"/>
    <n v="0"/>
    <n v="0"/>
  </r>
  <r>
    <s v="336360"/>
    <x v="236"/>
    <s v="other GHGs"/>
    <s v="kg CO2e/2018 USD, purchaser price"/>
    <n v="2.1000000000000001E-2"/>
    <n v="2.1000000000000001E-2"/>
    <n v="0"/>
    <n v="0"/>
    <n v="2.1000000000000001E-2"/>
    <n v="2.1000000000000001E-2"/>
  </r>
  <r>
    <s v="336370"/>
    <x v="237"/>
    <s v="carbon dioxide"/>
    <s v="kg/2018 USD, purchaser price"/>
    <n v="0.39100000000000001"/>
    <n v="0.39100000000000001"/>
    <n v="1.7000000000000001E-2"/>
    <n v="1.7000000000000001E-2"/>
    <n v="0.40799999999999997"/>
    <n v="0.40799999999999997"/>
  </r>
  <r>
    <s v="336370"/>
    <x v="237"/>
    <s v="methane"/>
    <s v="kg/2018 USD, purchaser price"/>
    <n v="2E-3"/>
    <n v="5.6000000000000001E-2"/>
    <n v="0"/>
    <n v="0"/>
    <n v="2E-3"/>
    <n v="5.6000000000000001E-2"/>
  </r>
  <r>
    <s v="336370"/>
    <x v="237"/>
    <s v="nitrous oxide"/>
    <s v="kg/2018 USD, purchaser price"/>
    <n v="0"/>
    <n v="0"/>
    <n v="0"/>
    <n v="0"/>
    <n v="0"/>
    <n v="0"/>
  </r>
  <r>
    <s v="336370"/>
    <x v="237"/>
    <s v="other GHGs"/>
    <s v="kg CO2e/2018 USD, purchaser price"/>
    <n v="1.0999999999999999E-2"/>
    <n v="1.0999999999999999E-2"/>
    <n v="0"/>
    <n v="0"/>
    <n v="1.0999999999999999E-2"/>
    <n v="1.0999999999999999E-2"/>
  </r>
  <r>
    <s v="336390"/>
    <x v="238"/>
    <s v="carbon dioxide"/>
    <s v="kg/2018 USD, purchaser price"/>
    <n v="0.31900000000000001"/>
    <n v="0.31900000000000001"/>
    <n v="5.3999999999999999E-2"/>
    <n v="5.3999999999999999E-2"/>
    <n v="0.373"/>
    <n v="0.373"/>
  </r>
  <r>
    <s v="336390"/>
    <x v="238"/>
    <s v="methane"/>
    <s v="kg/2018 USD, purchaser price"/>
    <n v="1E-3"/>
    <n v="2.8000000000000001E-2"/>
    <n v="0"/>
    <n v="0"/>
    <n v="2E-3"/>
    <n v="5.6000000000000001E-2"/>
  </r>
  <r>
    <s v="336390"/>
    <x v="238"/>
    <s v="nitrous oxide"/>
    <s v="kg/2018 USD, purchaser price"/>
    <n v="0"/>
    <n v="0"/>
    <n v="0"/>
    <n v="0"/>
    <n v="0"/>
    <n v="0"/>
  </r>
  <r>
    <s v="336390"/>
    <x v="238"/>
    <s v="other GHGs"/>
    <s v="kg CO2e/2018 USD, purchaser price"/>
    <n v="1.4999999999999999E-2"/>
    <n v="1.4999999999999999E-2"/>
    <n v="0"/>
    <n v="0"/>
    <n v="1.4999999999999999E-2"/>
    <n v="1.4999999999999999E-2"/>
  </r>
  <r>
    <s v="3363A0"/>
    <x v="239"/>
    <s v="carbon dioxide"/>
    <s v="kg/2018 USD, purchaser price"/>
    <n v="0.26200000000000001"/>
    <n v="0.26200000000000001"/>
    <n v="4.9000000000000002E-2"/>
    <n v="4.9000000000000002E-2"/>
    <n v="0.311"/>
    <n v="0.311"/>
  </r>
  <r>
    <s v="3363A0"/>
    <x v="239"/>
    <s v="methane"/>
    <s v="kg/2018 USD, purchaser price"/>
    <n v="1E-3"/>
    <n v="2.8000000000000001E-2"/>
    <n v="0"/>
    <n v="0"/>
    <n v="1E-3"/>
    <n v="2.8000000000000001E-2"/>
  </r>
  <r>
    <s v="3363A0"/>
    <x v="239"/>
    <s v="nitrous oxide"/>
    <s v="kg/2018 USD, purchaser price"/>
    <n v="0"/>
    <n v="0"/>
    <n v="0"/>
    <n v="0"/>
    <n v="0"/>
    <n v="0"/>
  </r>
  <r>
    <s v="3363A0"/>
    <x v="239"/>
    <s v="other GHGs"/>
    <s v="kg CO2e/2018 USD, purchaser price"/>
    <n v="8.9999999999999993E-3"/>
    <n v="8.9999999999999993E-3"/>
    <n v="0"/>
    <n v="0"/>
    <n v="8.9999999999999993E-3"/>
    <n v="8.9999999999999993E-3"/>
  </r>
  <r>
    <s v="336411"/>
    <x v="240"/>
    <s v="carbon dioxide"/>
    <s v="kg/2018 USD, purchaser price"/>
    <n v="7.8E-2"/>
    <n v="7.8E-2"/>
    <n v="7.0000000000000001E-3"/>
    <n v="7.0000000000000001E-3"/>
    <n v="8.5000000000000006E-2"/>
    <n v="8.5000000000000006E-2"/>
  </r>
  <r>
    <s v="336411"/>
    <x v="240"/>
    <s v="methane"/>
    <s v="kg/2018 USD, purchaser price"/>
    <n v="0"/>
    <n v="0"/>
    <n v="0"/>
    <n v="0"/>
    <n v="0"/>
    <n v="0"/>
  </r>
  <r>
    <s v="336411"/>
    <x v="240"/>
    <s v="nitrous oxide"/>
    <s v="kg/2018 USD, purchaser price"/>
    <n v="0"/>
    <n v="0"/>
    <n v="0"/>
    <n v="0"/>
    <n v="0"/>
    <n v="0"/>
  </r>
  <r>
    <s v="336411"/>
    <x v="240"/>
    <s v="other GHGs"/>
    <s v="kg CO2e/2018 USD, purchaser price"/>
    <n v="5.0000000000000001E-3"/>
    <n v="5.0000000000000001E-3"/>
    <n v="0"/>
    <n v="0"/>
    <n v="5.0000000000000001E-3"/>
    <n v="5.0000000000000001E-3"/>
  </r>
  <r>
    <s v="336412"/>
    <x v="241"/>
    <s v="carbon dioxide"/>
    <s v="kg/2018 USD, purchaser price"/>
    <n v="6.8000000000000005E-2"/>
    <n v="6.8000000000000005E-2"/>
    <n v="0.01"/>
    <n v="0.01"/>
    <n v="7.8E-2"/>
    <n v="7.8E-2"/>
  </r>
  <r>
    <s v="336412"/>
    <x v="241"/>
    <s v="methane"/>
    <s v="kg/2018 USD, purchaser price"/>
    <n v="0"/>
    <n v="0"/>
    <n v="0"/>
    <n v="0"/>
    <n v="0"/>
    <n v="0"/>
  </r>
  <r>
    <s v="336412"/>
    <x v="241"/>
    <s v="nitrous oxide"/>
    <s v="kg/2018 USD, purchaser price"/>
    <n v="0"/>
    <n v="0"/>
    <n v="0"/>
    <n v="0"/>
    <n v="0"/>
    <n v="0"/>
  </r>
  <r>
    <s v="336412"/>
    <x v="241"/>
    <s v="other GHGs"/>
    <s v="kg CO2e/2018 USD, purchaser price"/>
    <n v="2E-3"/>
    <n v="2E-3"/>
    <n v="0"/>
    <n v="0"/>
    <n v="2E-3"/>
    <n v="2E-3"/>
  </r>
  <r>
    <s v="336413"/>
    <x v="242"/>
    <s v="carbon dioxide"/>
    <s v="kg/2018 USD, purchaser price"/>
    <n v="6.0999999999999999E-2"/>
    <n v="6.0999999999999999E-2"/>
    <n v="5.0000000000000001E-3"/>
    <n v="5.0000000000000001E-3"/>
    <n v="6.6000000000000003E-2"/>
    <n v="6.6000000000000003E-2"/>
  </r>
  <r>
    <s v="336413"/>
    <x v="242"/>
    <s v="methane"/>
    <s v="kg/2018 USD, purchaser price"/>
    <n v="0"/>
    <n v="0"/>
    <n v="0"/>
    <n v="0"/>
    <n v="0"/>
    <n v="0"/>
  </r>
  <r>
    <s v="336413"/>
    <x v="242"/>
    <s v="nitrous oxide"/>
    <s v="kg/2018 USD, purchaser price"/>
    <n v="0"/>
    <n v="0"/>
    <n v="0"/>
    <n v="0"/>
    <n v="0"/>
    <n v="0"/>
  </r>
  <r>
    <s v="336413"/>
    <x v="242"/>
    <s v="other GHGs"/>
    <s v="kg CO2e/2018 USD, purchaser price"/>
    <n v="5.0000000000000001E-3"/>
    <n v="5.0000000000000001E-3"/>
    <n v="0"/>
    <n v="0"/>
    <n v="5.0000000000000001E-3"/>
    <n v="5.0000000000000001E-3"/>
  </r>
  <r>
    <s v="336414"/>
    <x v="243"/>
    <s v="carbon dioxide"/>
    <s v="kg/2018 USD, purchaser price"/>
    <n v="9.0999999999999998E-2"/>
    <n v="9.0999999999999998E-2"/>
    <n v="7.0000000000000001E-3"/>
    <n v="7.0000000000000001E-3"/>
    <n v="9.8000000000000004E-2"/>
    <n v="9.8000000000000004E-2"/>
  </r>
  <r>
    <s v="336414"/>
    <x v="243"/>
    <s v="methane"/>
    <s v="kg/2018 USD, purchaser price"/>
    <n v="0"/>
    <n v="0"/>
    <n v="0"/>
    <n v="0"/>
    <n v="0"/>
    <n v="0"/>
  </r>
  <r>
    <s v="336414"/>
    <x v="243"/>
    <s v="nitrous oxide"/>
    <s v="kg/2018 USD, purchaser price"/>
    <n v="0"/>
    <n v="0"/>
    <n v="0"/>
    <n v="0"/>
    <n v="0"/>
    <n v="0"/>
  </r>
  <r>
    <s v="336414"/>
    <x v="243"/>
    <s v="other GHGs"/>
    <s v="kg CO2e/2018 USD, purchaser price"/>
    <n v="4.0000000000000001E-3"/>
    <n v="4.0000000000000001E-3"/>
    <n v="0"/>
    <n v="0"/>
    <n v="4.0000000000000001E-3"/>
    <n v="4.0000000000000001E-3"/>
  </r>
  <r>
    <s v="33641A"/>
    <x v="244"/>
    <s v="carbon dioxide"/>
    <s v="kg/2018 USD, purchaser price"/>
    <n v="0.10199999999999999"/>
    <n v="0.10199999999999999"/>
    <n v="8.0000000000000002E-3"/>
    <n v="8.0000000000000002E-3"/>
    <n v="0.11"/>
    <n v="0.11"/>
  </r>
  <r>
    <s v="33641A"/>
    <x v="244"/>
    <s v="methane"/>
    <s v="kg/2018 USD, purchaser price"/>
    <n v="0"/>
    <n v="0"/>
    <n v="0"/>
    <n v="0"/>
    <n v="0"/>
    <n v="0"/>
  </r>
  <r>
    <s v="33641A"/>
    <x v="244"/>
    <s v="nitrous oxide"/>
    <s v="kg/2018 USD, purchaser price"/>
    <n v="0"/>
    <n v="0"/>
    <n v="0"/>
    <n v="0"/>
    <n v="0"/>
    <n v="0"/>
  </r>
  <r>
    <s v="33641A"/>
    <x v="244"/>
    <s v="other GHGs"/>
    <s v="kg CO2e/2018 USD, purchaser price"/>
    <n v="3.0000000000000001E-3"/>
    <n v="3.0000000000000001E-3"/>
    <n v="0"/>
    <n v="0"/>
    <n v="3.0000000000000001E-3"/>
    <n v="3.0000000000000001E-3"/>
  </r>
  <r>
    <s v="336500"/>
    <x v="245"/>
    <s v="carbon dioxide"/>
    <s v="kg/2018 USD, purchaser price"/>
    <n v="0.255"/>
    <n v="0.255"/>
    <n v="2.4E-2"/>
    <n v="2.4E-2"/>
    <n v="0.27900000000000003"/>
    <n v="0.27900000000000003"/>
  </r>
  <r>
    <s v="336500"/>
    <x v="245"/>
    <s v="methane"/>
    <s v="kg/2018 USD, purchaser price"/>
    <n v="1E-3"/>
    <n v="2.8000000000000001E-2"/>
    <n v="0"/>
    <n v="0"/>
    <n v="1E-3"/>
    <n v="2.8000000000000001E-2"/>
  </r>
  <r>
    <s v="336500"/>
    <x v="245"/>
    <s v="nitrous oxide"/>
    <s v="kg/2018 USD, purchaser price"/>
    <n v="0"/>
    <n v="0"/>
    <n v="0"/>
    <n v="0"/>
    <n v="0"/>
    <n v="0"/>
  </r>
  <r>
    <s v="336500"/>
    <x v="245"/>
    <s v="other GHGs"/>
    <s v="kg CO2e/2018 USD, purchaser price"/>
    <n v="7.0000000000000001E-3"/>
    <n v="7.0000000000000001E-3"/>
    <n v="0"/>
    <n v="0"/>
    <n v="7.0000000000000001E-3"/>
    <n v="7.0000000000000001E-3"/>
  </r>
  <r>
    <s v="336611"/>
    <x v="246"/>
    <s v="carbon dioxide"/>
    <s v="kg/2018 USD, purchaser price"/>
    <n v="0.13800000000000001"/>
    <n v="0.13800000000000001"/>
    <n v="8.0000000000000002E-3"/>
    <n v="8.0000000000000002E-3"/>
    <n v="0.14599999999999999"/>
    <n v="0.14599999999999999"/>
  </r>
  <r>
    <s v="336611"/>
    <x v="246"/>
    <s v="methane"/>
    <s v="kg/2018 USD, purchaser price"/>
    <n v="1E-3"/>
    <n v="2.8000000000000001E-2"/>
    <n v="0"/>
    <n v="0"/>
    <n v="1E-3"/>
    <n v="2.8000000000000001E-2"/>
  </r>
  <r>
    <s v="336611"/>
    <x v="246"/>
    <s v="nitrous oxide"/>
    <s v="kg/2018 USD, purchaser price"/>
    <n v="0"/>
    <n v="0"/>
    <n v="0"/>
    <n v="0"/>
    <n v="0"/>
    <n v="0"/>
  </r>
  <r>
    <s v="336611"/>
    <x v="246"/>
    <s v="other GHGs"/>
    <s v="kg CO2e/2018 USD, purchaser price"/>
    <n v="6.0000000000000001E-3"/>
    <n v="6.0000000000000001E-3"/>
    <n v="0"/>
    <n v="0"/>
    <n v="6.0000000000000001E-3"/>
    <n v="6.0000000000000001E-3"/>
  </r>
  <r>
    <s v="336612"/>
    <x v="247"/>
    <s v="carbon dioxide"/>
    <s v="kg/2018 USD, purchaser price"/>
    <n v="0.17399999999999999"/>
    <n v="0.17399999999999999"/>
    <n v="6.5000000000000002E-2"/>
    <n v="6.5000000000000002E-2"/>
    <n v="0.23899999999999999"/>
    <n v="0.23899999999999999"/>
  </r>
  <r>
    <s v="336612"/>
    <x v="247"/>
    <s v="methane"/>
    <s v="kg/2018 USD, purchaser price"/>
    <n v="1E-3"/>
    <n v="2.8000000000000001E-2"/>
    <n v="0"/>
    <n v="0"/>
    <n v="1E-3"/>
    <n v="2.8000000000000001E-2"/>
  </r>
  <r>
    <s v="336612"/>
    <x v="247"/>
    <s v="nitrous oxide"/>
    <s v="kg/2018 USD, purchaser price"/>
    <n v="0"/>
    <n v="0"/>
    <n v="0"/>
    <n v="0"/>
    <n v="0"/>
    <n v="0"/>
  </r>
  <r>
    <s v="336612"/>
    <x v="247"/>
    <s v="other GHGs"/>
    <s v="kg CO2e/2018 USD, purchaser price"/>
    <n v="7.0000000000000001E-3"/>
    <n v="7.0000000000000001E-3"/>
    <n v="0"/>
    <n v="0"/>
    <n v="7.0000000000000001E-3"/>
    <n v="7.0000000000000001E-3"/>
  </r>
  <r>
    <s v="336991"/>
    <x v="248"/>
    <s v="carbon dioxide"/>
    <s v="kg/2018 USD, purchaser price"/>
    <n v="7.3999999999999996E-2"/>
    <n v="7.3999999999999996E-2"/>
    <n v="5.3999999999999999E-2"/>
    <n v="5.3999999999999999E-2"/>
    <n v="0.128"/>
    <n v="0.128"/>
  </r>
  <r>
    <s v="336991"/>
    <x v="248"/>
    <s v="methane"/>
    <s v="kg/2018 USD, purchaser price"/>
    <n v="0"/>
    <n v="0"/>
    <n v="0"/>
    <n v="0"/>
    <n v="1E-3"/>
    <n v="2.8000000000000001E-2"/>
  </r>
  <r>
    <s v="336991"/>
    <x v="248"/>
    <s v="nitrous oxide"/>
    <s v="kg/2018 USD, purchaser price"/>
    <n v="0"/>
    <n v="0"/>
    <n v="0"/>
    <n v="0"/>
    <n v="0"/>
    <n v="0"/>
  </r>
  <r>
    <s v="336991"/>
    <x v="248"/>
    <s v="other GHGs"/>
    <s v="kg CO2e/2018 USD, purchaser price"/>
    <n v="8.9999999999999993E-3"/>
    <n v="8.9999999999999993E-3"/>
    <n v="0"/>
    <n v="0"/>
    <n v="8.9999999999999993E-3"/>
    <n v="8.9999999999999993E-3"/>
  </r>
  <r>
    <s v="336992"/>
    <x v="249"/>
    <s v="carbon dioxide"/>
    <s v="kg/2018 USD, purchaser price"/>
    <n v="0.17"/>
    <n v="0.17"/>
    <n v="8.0000000000000002E-3"/>
    <n v="8.0000000000000002E-3"/>
    <n v="0.17699999999999999"/>
    <n v="0.17699999999999999"/>
  </r>
  <r>
    <s v="336992"/>
    <x v="249"/>
    <s v="methane"/>
    <s v="kg/2018 USD, purchaser price"/>
    <n v="1E-3"/>
    <n v="2.8000000000000001E-2"/>
    <n v="0"/>
    <n v="0"/>
    <n v="1E-3"/>
    <n v="2.8000000000000001E-2"/>
  </r>
  <r>
    <s v="336992"/>
    <x v="249"/>
    <s v="nitrous oxide"/>
    <s v="kg/2018 USD, purchaser price"/>
    <n v="0"/>
    <n v="0"/>
    <n v="0"/>
    <n v="0"/>
    <n v="0"/>
    <n v="0"/>
  </r>
  <r>
    <s v="336992"/>
    <x v="249"/>
    <s v="other GHGs"/>
    <s v="kg CO2e/2018 USD, purchaser price"/>
    <n v="0.01"/>
    <n v="0.01"/>
    <n v="0"/>
    <n v="0"/>
    <n v="0.01"/>
    <n v="0.01"/>
  </r>
  <r>
    <s v="336999"/>
    <x v="250"/>
    <s v="carbon dioxide"/>
    <s v="kg/2018 USD, purchaser price"/>
    <n v="0.23300000000000001"/>
    <n v="0.23300000000000001"/>
    <n v="5.7000000000000002E-2"/>
    <n v="5.7000000000000002E-2"/>
    <n v="0.28999999999999998"/>
    <n v="0.28999999999999998"/>
  </r>
  <r>
    <s v="336999"/>
    <x v="250"/>
    <s v="methane"/>
    <s v="kg/2018 USD, purchaser price"/>
    <n v="1E-3"/>
    <n v="2.8000000000000001E-2"/>
    <n v="0"/>
    <n v="0"/>
    <n v="1E-3"/>
    <n v="2.8000000000000001E-2"/>
  </r>
  <r>
    <s v="336999"/>
    <x v="250"/>
    <s v="nitrous oxide"/>
    <s v="kg/2018 USD, purchaser price"/>
    <n v="0"/>
    <n v="0"/>
    <n v="0"/>
    <n v="0"/>
    <n v="0"/>
    <n v="0"/>
  </r>
  <r>
    <s v="336999"/>
    <x v="250"/>
    <s v="other GHGs"/>
    <s v="kg CO2e/2018 USD, purchaser price"/>
    <n v="8.9999999999999993E-3"/>
    <n v="8.9999999999999993E-3"/>
    <n v="0"/>
    <n v="0"/>
    <n v="8.9999999999999993E-3"/>
    <n v="8.9999999999999993E-3"/>
  </r>
  <r>
    <s v="337110"/>
    <x v="251"/>
    <s v="carbon dioxide"/>
    <s v="kg/2018 USD, purchaser price"/>
    <n v="0.14799999999999999"/>
    <n v="0.14799999999999999"/>
    <n v="9.2999999999999999E-2"/>
    <n v="9.2999999999999999E-2"/>
    <n v="0.24099999999999999"/>
    <n v="0.24099999999999999"/>
  </r>
  <r>
    <s v="337110"/>
    <x v="251"/>
    <s v="methane"/>
    <s v="kg/2018 USD, purchaser price"/>
    <n v="1E-3"/>
    <n v="2.8000000000000001E-2"/>
    <n v="1E-3"/>
    <n v="2.8000000000000001E-2"/>
    <n v="1E-3"/>
    <n v="2.8000000000000001E-2"/>
  </r>
  <r>
    <s v="337110"/>
    <x v="251"/>
    <s v="nitrous oxide"/>
    <s v="kg/2018 USD, purchaser price"/>
    <n v="0"/>
    <n v="0"/>
    <n v="0"/>
    <n v="0"/>
    <n v="0"/>
    <n v="0"/>
  </r>
  <r>
    <s v="337110"/>
    <x v="251"/>
    <s v="other GHGs"/>
    <s v="kg CO2e/2018 USD, purchaser price"/>
    <n v="6.0000000000000001E-3"/>
    <n v="6.0000000000000001E-3"/>
    <n v="0"/>
    <n v="0"/>
    <n v="6.0000000000000001E-3"/>
    <n v="6.0000000000000001E-3"/>
  </r>
  <r>
    <s v="337121"/>
    <x v="252"/>
    <s v="carbon dioxide"/>
    <s v="kg/2018 USD, purchaser price"/>
    <n v="0.23499999999999999"/>
    <n v="0.23499999999999999"/>
    <n v="0.22900000000000001"/>
    <n v="0.22900000000000001"/>
    <n v="0.46400000000000002"/>
    <n v="0.46400000000000002"/>
  </r>
  <r>
    <s v="337121"/>
    <x v="252"/>
    <s v="methane"/>
    <s v="kg/2018 USD, purchaser price"/>
    <n v="1E-3"/>
    <n v="2.8000000000000001E-2"/>
    <n v="2E-3"/>
    <n v="5.6000000000000001E-2"/>
    <n v="3.0000000000000001E-3"/>
    <n v="8.4000000000000005E-2"/>
  </r>
  <r>
    <s v="337121"/>
    <x v="252"/>
    <s v="nitrous oxide"/>
    <s v="kg/2018 USD, purchaser price"/>
    <n v="0"/>
    <n v="0"/>
    <n v="0"/>
    <n v="0"/>
    <n v="0"/>
    <n v="0"/>
  </r>
  <r>
    <s v="337121"/>
    <x v="252"/>
    <s v="other GHGs"/>
    <s v="kg CO2e/2018 USD, purchaser price"/>
    <n v="4.3999999999999997E-2"/>
    <n v="4.3999999999999997E-2"/>
    <n v="0"/>
    <n v="0"/>
    <n v="4.3999999999999997E-2"/>
    <n v="4.3999999999999997E-2"/>
  </r>
  <r>
    <s v="337122"/>
    <x v="253"/>
    <s v="carbon dioxide"/>
    <s v="kg/2018 USD, purchaser price"/>
    <n v="0.26900000000000002"/>
    <n v="0.26900000000000002"/>
    <n v="0.748"/>
    <n v="0.748"/>
    <n v="1.0169999999999999"/>
    <n v="1.0169999999999999"/>
  </r>
  <r>
    <s v="337122"/>
    <x v="253"/>
    <s v="methane"/>
    <s v="kg/2018 USD, purchaser price"/>
    <n v="1E-3"/>
    <n v="2.8000000000000001E-2"/>
    <n v="5.0000000000000001E-3"/>
    <n v="0.14000000000000001"/>
    <n v="6.0000000000000001E-3"/>
    <n v="0.16800000000000001"/>
  </r>
  <r>
    <s v="337122"/>
    <x v="253"/>
    <s v="nitrous oxide"/>
    <s v="kg/2018 USD, purchaser price"/>
    <n v="0"/>
    <n v="0"/>
    <n v="0"/>
    <n v="0"/>
    <n v="0"/>
    <n v="0"/>
  </r>
  <r>
    <s v="337122"/>
    <x v="253"/>
    <s v="other GHGs"/>
    <s v="kg CO2e/2018 USD, purchaser price"/>
    <n v="1.4E-2"/>
    <n v="1.4E-2"/>
    <n v="0"/>
    <n v="0"/>
    <n v="1.4E-2"/>
    <n v="1.4E-2"/>
  </r>
  <r>
    <s v="337127"/>
    <x v="254"/>
    <s v="carbon dioxide"/>
    <s v="kg/2018 USD, purchaser price"/>
    <n v="0.28000000000000003"/>
    <n v="0.28000000000000003"/>
    <n v="0.22900000000000001"/>
    <n v="0.22900000000000001"/>
    <n v="0.50900000000000001"/>
    <n v="0.50900000000000001"/>
  </r>
  <r>
    <s v="337127"/>
    <x v="254"/>
    <s v="methane"/>
    <s v="kg/2018 USD, purchaser price"/>
    <n v="1E-3"/>
    <n v="2.8000000000000001E-2"/>
    <n v="2E-3"/>
    <n v="5.6000000000000001E-2"/>
    <n v="3.0000000000000001E-3"/>
    <n v="8.4000000000000005E-2"/>
  </r>
  <r>
    <s v="337127"/>
    <x v="254"/>
    <s v="nitrous oxide"/>
    <s v="kg/2018 USD, purchaser price"/>
    <n v="0"/>
    <n v="0"/>
    <n v="0"/>
    <n v="0"/>
    <n v="0"/>
    <n v="0"/>
  </r>
  <r>
    <s v="337127"/>
    <x v="254"/>
    <s v="other GHGs"/>
    <s v="kg CO2e/2018 USD, purchaser price"/>
    <n v="1.4999999999999999E-2"/>
    <n v="1.4999999999999999E-2"/>
    <n v="0"/>
    <n v="0"/>
    <n v="1.4999999999999999E-2"/>
    <n v="1.4999999999999999E-2"/>
  </r>
  <r>
    <s v="33712N"/>
    <x v="255"/>
    <s v="carbon dioxide"/>
    <s v="kg/2018 USD, purchaser price"/>
    <n v="0.30599999999999999"/>
    <n v="0.30599999999999999"/>
    <n v="0.46200000000000002"/>
    <n v="0.46200000000000002"/>
    <n v="0.76900000000000002"/>
    <n v="0.76900000000000002"/>
  </r>
  <r>
    <s v="33712N"/>
    <x v="255"/>
    <s v="methane"/>
    <s v="kg/2018 USD, purchaser price"/>
    <n v="1E-3"/>
    <n v="2.8000000000000001E-2"/>
    <n v="3.0000000000000001E-3"/>
    <n v="8.4000000000000005E-2"/>
    <n v="4.0000000000000001E-3"/>
    <n v="0.112"/>
  </r>
  <r>
    <s v="33712N"/>
    <x v="255"/>
    <s v="nitrous oxide"/>
    <s v="kg/2018 USD, purchaser price"/>
    <n v="0"/>
    <n v="0"/>
    <n v="0"/>
    <n v="0"/>
    <n v="0"/>
    <n v="0"/>
  </r>
  <r>
    <s v="33712N"/>
    <x v="255"/>
    <s v="other GHGs"/>
    <s v="kg CO2e/2018 USD, purchaser price"/>
    <n v="2.7E-2"/>
    <n v="2.7E-2"/>
    <n v="0"/>
    <n v="0"/>
    <n v="2.7E-2"/>
    <n v="2.7E-2"/>
  </r>
  <r>
    <s v="337215"/>
    <x v="256"/>
    <s v="carbon dioxide"/>
    <s v="kg/2018 USD, purchaser price"/>
    <n v="0.32800000000000001"/>
    <n v="0.32800000000000001"/>
    <n v="0.182"/>
    <n v="0.182"/>
    <n v="0.51"/>
    <n v="0.51"/>
  </r>
  <r>
    <s v="337215"/>
    <x v="256"/>
    <s v="methane"/>
    <s v="kg/2018 USD, purchaser price"/>
    <n v="1E-3"/>
    <n v="2.8000000000000001E-2"/>
    <n v="2E-3"/>
    <n v="5.6000000000000001E-2"/>
    <n v="3.0000000000000001E-3"/>
    <n v="8.4000000000000005E-2"/>
  </r>
  <r>
    <s v="337215"/>
    <x v="256"/>
    <s v="nitrous oxide"/>
    <s v="kg/2018 USD, purchaser price"/>
    <n v="0"/>
    <n v="0"/>
    <n v="0"/>
    <n v="0"/>
    <n v="0"/>
    <n v="0"/>
  </r>
  <r>
    <s v="337215"/>
    <x v="256"/>
    <s v="other GHGs"/>
    <s v="kg CO2e/2018 USD, purchaser price"/>
    <n v="1.2E-2"/>
    <n v="1.2E-2"/>
    <n v="0"/>
    <n v="0"/>
    <n v="1.2E-2"/>
    <n v="1.2E-2"/>
  </r>
  <r>
    <s v="33721A"/>
    <x v="257"/>
    <s v="carbon dioxide"/>
    <s v="kg/2018 USD, purchaser price"/>
    <n v="0.24399999999999999"/>
    <n v="0.24399999999999999"/>
    <n v="9.1999999999999998E-2"/>
    <n v="9.1999999999999998E-2"/>
    <n v="0.33600000000000002"/>
    <n v="0.33600000000000002"/>
  </r>
  <r>
    <s v="33721A"/>
    <x v="257"/>
    <s v="methane"/>
    <s v="kg/2018 USD, purchaser price"/>
    <n v="1E-3"/>
    <n v="2.8000000000000001E-2"/>
    <n v="1E-3"/>
    <n v="2.8000000000000001E-2"/>
    <n v="2E-3"/>
    <n v="5.6000000000000001E-2"/>
  </r>
  <r>
    <s v="33721A"/>
    <x v="257"/>
    <s v="nitrous oxide"/>
    <s v="kg/2018 USD, purchaser price"/>
    <n v="0"/>
    <n v="0"/>
    <n v="0"/>
    <n v="0"/>
    <n v="0"/>
    <n v="0"/>
  </r>
  <r>
    <s v="33721A"/>
    <x v="257"/>
    <s v="other GHGs"/>
    <s v="kg CO2e/2018 USD, purchaser price"/>
    <n v="1.2E-2"/>
    <n v="1.2E-2"/>
    <n v="0"/>
    <n v="0"/>
    <n v="1.2E-2"/>
    <n v="1.2E-2"/>
  </r>
  <r>
    <s v="337900"/>
    <x v="258"/>
    <s v="carbon dioxide"/>
    <s v="kg/2018 USD, purchaser price"/>
    <n v="0.22600000000000001"/>
    <n v="0.22600000000000001"/>
    <n v="0.27400000000000002"/>
    <n v="0.27400000000000002"/>
    <n v="0.5"/>
    <n v="0.5"/>
  </r>
  <r>
    <s v="337900"/>
    <x v="258"/>
    <s v="methane"/>
    <s v="kg/2018 USD, purchaser price"/>
    <n v="1E-3"/>
    <n v="2.8000000000000001E-2"/>
    <n v="2E-3"/>
    <n v="5.6000000000000001E-2"/>
    <n v="3.0000000000000001E-3"/>
    <n v="8.4000000000000005E-2"/>
  </r>
  <r>
    <s v="337900"/>
    <x v="258"/>
    <s v="nitrous oxide"/>
    <s v="kg/2018 USD, purchaser price"/>
    <n v="0"/>
    <n v="0"/>
    <n v="0"/>
    <n v="0"/>
    <n v="0"/>
    <n v="0"/>
  </r>
  <r>
    <s v="337900"/>
    <x v="258"/>
    <s v="other GHGs"/>
    <s v="kg CO2e/2018 USD, purchaser price"/>
    <n v="7.4999999999999997E-2"/>
    <n v="7.4999999999999997E-2"/>
    <n v="0"/>
    <n v="0"/>
    <n v="7.4999999999999997E-2"/>
    <n v="7.4999999999999997E-2"/>
  </r>
  <r>
    <s v="339112"/>
    <x v="259"/>
    <s v="carbon dioxide"/>
    <s v="kg/2018 USD, purchaser price"/>
    <n v="0.13800000000000001"/>
    <n v="0.13800000000000001"/>
    <n v="4.3999999999999997E-2"/>
    <n v="4.3999999999999997E-2"/>
    <n v="0.182"/>
    <n v="0.182"/>
  </r>
  <r>
    <s v="339112"/>
    <x v="259"/>
    <s v="methane"/>
    <s v="kg/2018 USD, purchaser price"/>
    <n v="1E-3"/>
    <n v="2.8000000000000001E-2"/>
    <n v="0"/>
    <n v="0"/>
    <n v="1E-3"/>
    <n v="2.8000000000000001E-2"/>
  </r>
  <r>
    <s v="339112"/>
    <x v="259"/>
    <s v="nitrous oxide"/>
    <s v="kg/2018 USD, purchaser price"/>
    <n v="0"/>
    <n v="0"/>
    <n v="0"/>
    <n v="0"/>
    <n v="0"/>
    <n v="0"/>
  </r>
  <r>
    <s v="339112"/>
    <x v="259"/>
    <s v="other GHGs"/>
    <s v="kg CO2e/2018 USD, purchaser price"/>
    <n v="4.0000000000000001E-3"/>
    <n v="4.0000000000000001E-3"/>
    <n v="0"/>
    <n v="0"/>
    <n v="4.0000000000000001E-3"/>
    <n v="4.0000000000000001E-3"/>
  </r>
  <r>
    <s v="339113"/>
    <x v="260"/>
    <s v="carbon dioxide"/>
    <s v="kg/2018 USD, purchaser price"/>
    <n v="0.151"/>
    <n v="0.151"/>
    <n v="0.1"/>
    <n v="0.1"/>
    <n v="0.251"/>
    <n v="0.251"/>
  </r>
  <r>
    <s v="339113"/>
    <x v="260"/>
    <s v="methane"/>
    <s v="kg/2018 USD, purchaser price"/>
    <n v="1E-3"/>
    <n v="2.8000000000000001E-2"/>
    <n v="1E-3"/>
    <n v="2.8000000000000001E-2"/>
    <n v="1E-3"/>
    <n v="2.8000000000000001E-2"/>
  </r>
  <r>
    <s v="339113"/>
    <x v="260"/>
    <s v="nitrous oxide"/>
    <s v="kg/2018 USD, purchaser price"/>
    <n v="0"/>
    <n v="0"/>
    <n v="0"/>
    <n v="0"/>
    <n v="0"/>
    <n v="0"/>
  </r>
  <r>
    <s v="339113"/>
    <x v="260"/>
    <s v="other GHGs"/>
    <s v="kg CO2e/2018 USD, purchaser price"/>
    <n v="5.0000000000000001E-3"/>
    <n v="5.0000000000000001E-3"/>
    <n v="0"/>
    <n v="0"/>
    <n v="5.0000000000000001E-3"/>
    <n v="5.0000000000000001E-3"/>
  </r>
  <r>
    <s v="339114"/>
    <x v="261"/>
    <s v="carbon dioxide"/>
    <s v="kg/2018 USD, purchaser price"/>
    <n v="0.193"/>
    <n v="0.193"/>
    <n v="0.05"/>
    <n v="0.05"/>
    <n v="0.24299999999999999"/>
    <n v="0.24299999999999999"/>
  </r>
  <r>
    <s v="339114"/>
    <x v="261"/>
    <s v="methane"/>
    <s v="kg/2018 USD, purchaser price"/>
    <n v="1E-3"/>
    <n v="2.8000000000000001E-2"/>
    <n v="0"/>
    <n v="0"/>
    <n v="1E-3"/>
    <n v="2.8000000000000001E-2"/>
  </r>
  <r>
    <s v="339114"/>
    <x v="261"/>
    <s v="nitrous oxide"/>
    <s v="kg/2018 USD, purchaser price"/>
    <n v="0"/>
    <n v="0"/>
    <n v="0"/>
    <n v="0"/>
    <n v="0"/>
    <n v="0"/>
  </r>
  <r>
    <s v="339114"/>
    <x v="261"/>
    <s v="other GHGs"/>
    <s v="kg CO2e/2018 USD, purchaser price"/>
    <n v="8.9999999999999993E-3"/>
    <n v="8.9999999999999993E-3"/>
    <n v="0"/>
    <n v="0"/>
    <n v="8.9999999999999993E-3"/>
    <n v="8.9999999999999993E-3"/>
  </r>
  <r>
    <s v="339115"/>
    <x v="262"/>
    <s v="carbon dioxide"/>
    <s v="kg/2018 USD, purchaser price"/>
    <n v="0.11799999999999999"/>
    <n v="0.11799999999999999"/>
    <n v="0.23300000000000001"/>
    <n v="0.23300000000000001"/>
    <n v="0.35099999999999998"/>
    <n v="0.35099999999999998"/>
  </r>
  <r>
    <s v="339115"/>
    <x v="262"/>
    <s v="methane"/>
    <s v="kg/2018 USD, purchaser price"/>
    <n v="0"/>
    <n v="0"/>
    <n v="1E-3"/>
    <n v="2.8000000000000001E-2"/>
    <n v="1E-3"/>
    <n v="2.8000000000000001E-2"/>
  </r>
  <r>
    <s v="339115"/>
    <x v="262"/>
    <s v="nitrous oxide"/>
    <s v="kg/2018 USD, purchaser price"/>
    <n v="0"/>
    <n v="0"/>
    <n v="0"/>
    <n v="0"/>
    <n v="0"/>
    <n v="0"/>
  </r>
  <r>
    <s v="339115"/>
    <x v="262"/>
    <s v="other GHGs"/>
    <s v="kg CO2e/2018 USD, purchaser price"/>
    <n v="2E-3"/>
    <n v="2E-3"/>
    <n v="0"/>
    <n v="0"/>
    <n v="2E-3"/>
    <n v="2E-3"/>
  </r>
  <r>
    <s v="339116"/>
    <x v="263"/>
    <s v="carbon dioxide"/>
    <s v="kg/2018 USD, purchaser price"/>
    <n v="0.12"/>
    <n v="0.12"/>
    <n v="3.7999999999999999E-2"/>
    <n v="3.7999999999999999E-2"/>
    <n v="0.157"/>
    <n v="0.157"/>
  </r>
  <r>
    <s v="339116"/>
    <x v="263"/>
    <s v="methane"/>
    <s v="kg/2018 USD, purchaser price"/>
    <n v="0"/>
    <n v="0"/>
    <n v="0"/>
    <n v="0"/>
    <n v="1E-3"/>
    <n v="2.8000000000000001E-2"/>
  </r>
  <r>
    <s v="339116"/>
    <x v="263"/>
    <s v="nitrous oxide"/>
    <s v="kg/2018 USD, purchaser price"/>
    <n v="0"/>
    <n v="0"/>
    <n v="0"/>
    <n v="0"/>
    <n v="0"/>
    <n v="0"/>
  </r>
  <r>
    <s v="339116"/>
    <x v="263"/>
    <s v="other GHGs"/>
    <s v="kg CO2e/2018 USD, purchaser price"/>
    <n v="5.0000000000000001E-3"/>
    <n v="5.0000000000000001E-3"/>
    <n v="0"/>
    <n v="0"/>
    <n v="5.0000000000000001E-3"/>
    <n v="5.0000000000000001E-3"/>
  </r>
  <r>
    <s v="339910"/>
    <x v="264"/>
    <s v="carbon dioxide"/>
    <s v="kg/2018 USD, purchaser price"/>
    <n v="7.5999999999999998E-2"/>
    <n v="7.5999999999999998E-2"/>
    <n v="0.158"/>
    <n v="0.158"/>
    <n v="0.23400000000000001"/>
    <n v="0.23400000000000001"/>
  </r>
  <r>
    <s v="339910"/>
    <x v="264"/>
    <s v="methane"/>
    <s v="kg/2018 USD, purchaser price"/>
    <n v="0"/>
    <n v="0"/>
    <n v="1E-3"/>
    <n v="2.8000000000000001E-2"/>
    <n v="1E-3"/>
    <n v="2.8000000000000001E-2"/>
  </r>
  <r>
    <s v="339910"/>
    <x v="264"/>
    <s v="nitrous oxide"/>
    <s v="kg/2018 USD, purchaser price"/>
    <n v="0"/>
    <n v="0"/>
    <n v="0"/>
    <n v="0"/>
    <n v="0"/>
    <n v="0"/>
  </r>
  <r>
    <s v="339910"/>
    <x v="264"/>
    <s v="other GHGs"/>
    <s v="kg CO2e/2018 USD, purchaser price"/>
    <n v="8.9999999999999993E-3"/>
    <n v="8.9999999999999993E-3"/>
    <n v="0"/>
    <n v="0"/>
    <n v="8.9999999999999993E-3"/>
    <n v="8.9999999999999993E-3"/>
  </r>
  <r>
    <s v="339920"/>
    <x v="265"/>
    <s v="carbon dioxide"/>
    <s v="kg/2018 USD, purchaser price"/>
    <n v="0.245"/>
    <n v="0.245"/>
    <n v="0.35699999999999998"/>
    <n v="0.35699999999999998"/>
    <n v="0.60199999999999998"/>
    <n v="0.60199999999999998"/>
  </r>
  <r>
    <s v="339920"/>
    <x v="265"/>
    <s v="methane"/>
    <s v="kg/2018 USD, purchaser price"/>
    <n v="1E-3"/>
    <n v="2.8000000000000001E-2"/>
    <n v="3.0000000000000001E-3"/>
    <n v="8.4000000000000005E-2"/>
    <n v="4.0000000000000001E-3"/>
    <n v="0.112"/>
  </r>
  <r>
    <s v="339920"/>
    <x v="265"/>
    <s v="nitrous oxide"/>
    <s v="kg/2018 USD, purchaser price"/>
    <n v="0"/>
    <n v="0"/>
    <n v="0"/>
    <n v="0"/>
    <n v="0"/>
    <n v="0"/>
  </r>
  <r>
    <s v="339920"/>
    <x v="265"/>
    <s v="other GHGs"/>
    <s v="kg CO2e/2018 USD, purchaser price"/>
    <n v="7.0000000000000001E-3"/>
    <n v="7.0000000000000001E-3"/>
    <n v="0"/>
    <n v="0"/>
    <n v="7.0000000000000001E-3"/>
    <n v="7.0000000000000001E-3"/>
  </r>
  <r>
    <s v="339930"/>
    <x v="266"/>
    <s v="carbon dioxide"/>
    <s v="kg/2018 USD, purchaser price"/>
    <n v="0.222"/>
    <n v="0.222"/>
    <n v="2.8650000000000002"/>
    <n v="2.8650000000000002"/>
    <n v="3.0870000000000002"/>
    <n v="3.0870000000000002"/>
  </r>
  <r>
    <s v="339930"/>
    <x v="266"/>
    <s v="methane"/>
    <s v="kg/2018 USD, purchaser price"/>
    <n v="1E-3"/>
    <n v="2.8000000000000001E-2"/>
    <n v="1.7999999999999999E-2"/>
    <n v="0.504"/>
    <n v="1.9E-2"/>
    <n v="0.53200000000000003"/>
  </r>
  <r>
    <s v="339930"/>
    <x v="266"/>
    <s v="nitrous oxide"/>
    <s v="kg/2018 USD, purchaser price"/>
    <n v="0"/>
    <n v="0"/>
    <n v="0"/>
    <n v="0"/>
    <n v="0"/>
    <n v="0"/>
  </r>
  <r>
    <s v="339930"/>
    <x v="266"/>
    <s v="other GHGs"/>
    <s v="kg CO2e/2018 USD, purchaser price"/>
    <n v="8.9999999999999993E-3"/>
    <n v="8.9999999999999993E-3"/>
    <n v="0"/>
    <n v="0"/>
    <n v="8.9999999999999993E-3"/>
    <n v="8.9999999999999993E-3"/>
  </r>
  <r>
    <s v="339940"/>
    <x v="267"/>
    <s v="carbon dioxide"/>
    <s v="kg/2018 USD, purchaser price"/>
    <n v="0.251"/>
    <n v="0.251"/>
    <n v="0.184"/>
    <n v="0.184"/>
    <n v="0.435"/>
    <n v="0.435"/>
  </r>
  <r>
    <s v="339940"/>
    <x v="267"/>
    <s v="methane"/>
    <s v="kg/2018 USD, purchaser price"/>
    <n v="1E-3"/>
    <n v="2.8000000000000001E-2"/>
    <n v="2E-3"/>
    <n v="5.6000000000000001E-2"/>
    <n v="3.0000000000000001E-3"/>
    <n v="8.4000000000000005E-2"/>
  </r>
  <r>
    <s v="339940"/>
    <x v="267"/>
    <s v="nitrous oxide"/>
    <s v="kg/2018 USD, purchaser price"/>
    <n v="0"/>
    <n v="0"/>
    <n v="0"/>
    <n v="0"/>
    <n v="0"/>
    <n v="0"/>
  </r>
  <r>
    <s v="339940"/>
    <x v="267"/>
    <s v="other GHGs"/>
    <s v="kg CO2e/2018 USD, purchaser price"/>
    <n v="5.0000000000000001E-3"/>
    <n v="5.0000000000000001E-3"/>
    <n v="0"/>
    <n v="0"/>
    <n v="5.0000000000000001E-3"/>
    <n v="5.0000000000000001E-3"/>
  </r>
  <r>
    <s v="339950"/>
    <x v="268"/>
    <s v="carbon dioxide"/>
    <s v="kg/2018 USD, purchaser price"/>
    <n v="0.252"/>
    <n v="0.252"/>
    <n v="9.5000000000000001E-2"/>
    <n v="9.5000000000000001E-2"/>
    <n v="0.34799999999999998"/>
    <n v="0.34799999999999998"/>
  </r>
  <r>
    <s v="339950"/>
    <x v="268"/>
    <s v="methane"/>
    <s v="kg/2018 USD, purchaser price"/>
    <n v="1E-3"/>
    <n v="2.8000000000000001E-2"/>
    <n v="1E-3"/>
    <n v="2.8000000000000001E-2"/>
    <n v="2E-3"/>
    <n v="5.6000000000000001E-2"/>
  </r>
  <r>
    <s v="339950"/>
    <x v="268"/>
    <s v="nitrous oxide"/>
    <s v="kg/2018 USD, purchaser price"/>
    <n v="0"/>
    <n v="0"/>
    <n v="0"/>
    <n v="0"/>
    <n v="0"/>
    <n v="0"/>
  </r>
  <r>
    <s v="339950"/>
    <x v="268"/>
    <s v="other GHGs"/>
    <s v="kg CO2e/2018 USD, purchaser price"/>
    <n v="1.0999999999999999E-2"/>
    <n v="1.0999999999999999E-2"/>
    <n v="0"/>
    <n v="0"/>
    <n v="1.0999999999999999E-2"/>
    <n v="1.0999999999999999E-2"/>
  </r>
  <r>
    <s v="339990"/>
    <x v="269"/>
    <s v="carbon dioxide"/>
    <s v="kg/2018 USD, purchaser price"/>
    <n v="6.2E-2"/>
    <n v="6.2E-2"/>
    <n v="7.0999999999999994E-2"/>
    <n v="7.0999999999999994E-2"/>
    <n v="0.13300000000000001"/>
    <n v="0.13300000000000001"/>
  </r>
  <r>
    <s v="339990"/>
    <x v="269"/>
    <s v="methane"/>
    <s v="kg/2018 USD, purchaser price"/>
    <n v="0"/>
    <n v="0"/>
    <n v="1E-3"/>
    <n v="2.8000000000000001E-2"/>
    <n v="1E-3"/>
    <n v="2.8000000000000001E-2"/>
  </r>
  <r>
    <s v="339990"/>
    <x v="269"/>
    <s v="nitrous oxide"/>
    <s v="kg/2018 USD, purchaser price"/>
    <n v="0"/>
    <n v="0"/>
    <n v="0"/>
    <n v="0"/>
    <n v="0"/>
    <n v="0"/>
  </r>
  <r>
    <s v="339990"/>
    <x v="269"/>
    <s v="other GHGs"/>
    <s v="kg CO2e/2018 USD, purchaser price"/>
    <n v="6.0000000000000001E-3"/>
    <n v="6.0000000000000001E-3"/>
    <n v="0"/>
    <n v="0"/>
    <n v="6.0000000000000001E-3"/>
    <n v="6.0000000000000001E-3"/>
  </r>
  <r>
    <s v="4200ID"/>
    <x v="270"/>
    <s v="carbon dioxide"/>
    <s v="kg/2018 USD, purchaser price"/>
    <n v="0"/>
    <n v="0"/>
    <n v="0"/>
    <n v="0"/>
    <n v="0"/>
    <n v="0"/>
  </r>
  <r>
    <s v="4200ID"/>
    <x v="270"/>
    <s v="methane"/>
    <s v="kg/2018 USD, purchaser price"/>
    <n v="0"/>
    <n v="0"/>
    <n v="0"/>
    <n v="0"/>
    <n v="0"/>
    <n v="0"/>
  </r>
  <r>
    <s v="4200ID"/>
    <x v="270"/>
    <s v="nitrous oxide"/>
    <s v="kg/2018 USD, purchaser price"/>
    <n v="0"/>
    <n v="0"/>
    <n v="0"/>
    <n v="0"/>
    <n v="0"/>
    <n v="0"/>
  </r>
  <r>
    <s v="4200ID"/>
    <x v="270"/>
    <s v="other GHGs"/>
    <s v="kg CO2e/2018 USD, purchaser price"/>
    <n v="0"/>
    <n v="0"/>
    <n v="0"/>
    <n v="0"/>
    <n v="0"/>
    <n v="0"/>
  </r>
  <r>
    <s v="423100"/>
    <x v="271"/>
    <s v="carbon dioxide"/>
    <s v="kg/2018 USD, purchaser price"/>
    <n v="0.14799999999999999"/>
    <n v="0.14799999999999999"/>
    <n v="0"/>
    <n v="0"/>
    <n v="0.14799999999999999"/>
    <n v="0.14799999999999999"/>
  </r>
  <r>
    <s v="423100"/>
    <x v="271"/>
    <s v="methane"/>
    <s v="kg/2018 USD, purchaser price"/>
    <n v="1E-3"/>
    <n v="2.8000000000000001E-2"/>
    <n v="0"/>
    <n v="0"/>
    <n v="1E-3"/>
    <n v="2.8000000000000001E-2"/>
  </r>
  <r>
    <s v="423100"/>
    <x v="271"/>
    <s v="nitrous oxide"/>
    <s v="kg/2018 USD, purchaser price"/>
    <n v="0"/>
    <n v="0"/>
    <n v="0"/>
    <n v="0"/>
    <n v="0"/>
    <n v="0"/>
  </r>
  <r>
    <s v="423100"/>
    <x v="271"/>
    <s v="other GHGs"/>
    <s v="kg CO2e/2018 USD, purchaser price"/>
    <n v="5.0000000000000001E-3"/>
    <n v="5.0000000000000001E-3"/>
    <n v="0"/>
    <n v="0"/>
    <n v="5.0000000000000001E-3"/>
    <n v="5.0000000000000001E-3"/>
  </r>
  <r>
    <s v="423400"/>
    <x v="272"/>
    <s v="carbon dioxide"/>
    <s v="kg/2018 USD, purchaser price"/>
    <n v="9.2999999999999999E-2"/>
    <n v="9.2999999999999999E-2"/>
    <n v="0"/>
    <n v="0"/>
    <n v="9.2999999999999999E-2"/>
    <n v="9.2999999999999999E-2"/>
  </r>
  <r>
    <s v="423400"/>
    <x v="272"/>
    <s v="methane"/>
    <s v="kg/2018 USD, purchaser price"/>
    <n v="0"/>
    <n v="0"/>
    <n v="0"/>
    <n v="0"/>
    <n v="0"/>
    <n v="0"/>
  </r>
  <r>
    <s v="423400"/>
    <x v="272"/>
    <s v="nitrous oxide"/>
    <s v="kg/2018 USD, purchaser price"/>
    <n v="0"/>
    <n v="0"/>
    <n v="0"/>
    <n v="0"/>
    <n v="0"/>
    <n v="0"/>
  </r>
  <r>
    <s v="423400"/>
    <x v="272"/>
    <s v="other GHGs"/>
    <s v="kg CO2e/2018 USD, purchaser price"/>
    <n v="3.0000000000000001E-3"/>
    <n v="3.0000000000000001E-3"/>
    <n v="0"/>
    <n v="0"/>
    <n v="3.0000000000000001E-3"/>
    <n v="3.0000000000000001E-3"/>
  </r>
  <r>
    <s v="423600"/>
    <x v="273"/>
    <s v="carbon dioxide"/>
    <s v="kg/2018 USD, purchaser price"/>
    <n v="0.11899999999999999"/>
    <n v="0.11899999999999999"/>
    <n v="0"/>
    <n v="0"/>
    <n v="0.11899999999999999"/>
    <n v="0.11899999999999999"/>
  </r>
  <r>
    <s v="423600"/>
    <x v="273"/>
    <s v="methane"/>
    <s v="kg/2018 USD, purchaser price"/>
    <n v="0"/>
    <n v="0"/>
    <n v="0"/>
    <n v="0"/>
    <n v="0"/>
    <n v="0"/>
  </r>
  <r>
    <s v="423600"/>
    <x v="273"/>
    <s v="nitrous oxide"/>
    <s v="kg/2018 USD, purchaser price"/>
    <n v="0"/>
    <n v="0"/>
    <n v="0"/>
    <n v="0"/>
    <n v="0"/>
    <n v="0"/>
  </r>
  <r>
    <s v="423600"/>
    <x v="273"/>
    <s v="other GHGs"/>
    <s v="kg CO2e/2018 USD, purchaser price"/>
    <n v="4.0000000000000001E-3"/>
    <n v="4.0000000000000001E-3"/>
    <n v="0"/>
    <n v="0"/>
    <n v="4.0000000000000001E-3"/>
    <n v="4.0000000000000001E-3"/>
  </r>
  <r>
    <s v="423800"/>
    <x v="274"/>
    <s v="carbon dioxide"/>
    <s v="kg/2018 USD, purchaser price"/>
    <n v="0.13200000000000001"/>
    <n v="0.13200000000000001"/>
    <n v="0"/>
    <n v="0"/>
    <n v="0.13200000000000001"/>
    <n v="0.13200000000000001"/>
  </r>
  <r>
    <s v="423800"/>
    <x v="274"/>
    <s v="methane"/>
    <s v="kg/2018 USD, purchaser price"/>
    <n v="1E-3"/>
    <n v="2.8000000000000001E-2"/>
    <n v="0"/>
    <n v="0"/>
    <n v="1E-3"/>
    <n v="2.8000000000000001E-2"/>
  </r>
  <r>
    <s v="423800"/>
    <x v="274"/>
    <s v="nitrous oxide"/>
    <s v="kg/2018 USD, purchaser price"/>
    <n v="0"/>
    <n v="0"/>
    <n v="0"/>
    <n v="0"/>
    <n v="0"/>
    <n v="0"/>
  </r>
  <r>
    <s v="423800"/>
    <x v="274"/>
    <s v="other GHGs"/>
    <s v="kg CO2e/2018 USD, purchaser price"/>
    <n v="6.0000000000000001E-3"/>
    <n v="6.0000000000000001E-3"/>
    <n v="0"/>
    <n v="0"/>
    <n v="6.0000000000000001E-3"/>
    <n v="6.0000000000000001E-3"/>
  </r>
  <r>
    <s v="423A00"/>
    <x v="275"/>
    <s v="carbon dioxide"/>
    <s v="kg/2018 USD, purchaser price"/>
    <n v="0.17199999999999999"/>
    <n v="0.17199999999999999"/>
    <n v="0"/>
    <n v="0"/>
    <n v="0.17199999999999999"/>
    <n v="0.17199999999999999"/>
  </r>
  <r>
    <s v="423A00"/>
    <x v="275"/>
    <s v="methane"/>
    <s v="kg/2018 USD, purchaser price"/>
    <n v="1E-3"/>
    <n v="2.8000000000000001E-2"/>
    <n v="0"/>
    <n v="0"/>
    <n v="1E-3"/>
    <n v="2.8000000000000001E-2"/>
  </r>
  <r>
    <s v="423A00"/>
    <x v="275"/>
    <s v="nitrous oxide"/>
    <s v="kg/2018 USD, purchaser price"/>
    <n v="0"/>
    <n v="0"/>
    <n v="0"/>
    <n v="0"/>
    <n v="0"/>
    <n v="0"/>
  </r>
  <r>
    <s v="423A00"/>
    <x v="275"/>
    <s v="other GHGs"/>
    <s v="kg CO2e/2018 USD, purchaser price"/>
    <n v="6.0000000000000001E-3"/>
    <n v="6.0000000000000001E-3"/>
    <n v="0"/>
    <n v="0"/>
    <n v="6.0000000000000001E-3"/>
    <n v="6.0000000000000001E-3"/>
  </r>
  <r>
    <s v="424200"/>
    <x v="276"/>
    <s v="carbon dioxide"/>
    <s v="kg/2018 USD, purchaser price"/>
    <n v="0.13100000000000001"/>
    <n v="0.13100000000000001"/>
    <n v="0"/>
    <n v="0"/>
    <n v="0.13100000000000001"/>
    <n v="0.13100000000000001"/>
  </r>
  <r>
    <s v="424200"/>
    <x v="276"/>
    <s v="methane"/>
    <s v="kg/2018 USD, purchaser price"/>
    <n v="1E-3"/>
    <n v="2.8000000000000001E-2"/>
    <n v="0"/>
    <n v="0"/>
    <n v="1E-3"/>
    <n v="2.8000000000000001E-2"/>
  </r>
  <r>
    <s v="424200"/>
    <x v="276"/>
    <s v="nitrous oxide"/>
    <s v="kg/2018 USD, purchaser price"/>
    <n v="0"/>
    <n v="0"/>
    <n v="0"/>
    <n v="0"/>
    <n v="0"/>
    <n v="0"/>
  </r>
  <r>
    <s v="424200"/>
    <x v="276"/>
    <s v="other GHGs"/>
    <s v="kg CO2e/2018 USD, purchaser price"/>
    <n v="3.0000000000000001E-3"/>
    <n v="3.0000000000000001E-3"/>
    <n v="0"/>
    <n v="0"/>
    <n v="3.0000000000000001E-3"/>
    <n v="3.0000000000000001E-3"/>
  </r>
  <r>
    <s v="424400"/>
    <x v="277"/>
    <s v="carbon dioxide"/>
    <s v="kg/2018 USD, purchaser price"/>
    <n v="0.185"/>
    <n v="0.185"/>
    <n v="0"/>
    <n v="0"/>
    <n v="0.185"/>
    <n v="0.185"/>
  </r>
  <r>
    <s v="424400"/>
    <x v="277"/>
    <s v="methane"/>
    <s v="kg/2018 USD, purchaser price"/>
    <n v="2E-3"/>
    <n v="5.6000000000000001E-2"/>
    <n v="0"/>
    <n v="0"/>
    <n v="2E-3"/>
    <n v="5.6000000000000001E-2"/>
  </r>
  <r>
    <s v="424400"/>
    <x v="277"/>
    <s v="nitrous oxide"/>
    <s v="kg/2018 USD, purchaser price"/>
    <n v="0"/>
    <n v="0"/>
    <n v="0"/>
    <n v="0"/>
    <n v="0"/>
    <n v="0"/>
  </r>
  <r>
    <s v="424400"/>
    <x v="277"/>
    <s v="other GHGs"/>
    <s v="kg CO2e/2018 USD, purchaser price"/>
    <n v="6.0000000000000001E-3"/>
    <n v="6.0000000000000001E-3"/>
    <n v="0"/>
    <n v="0"/>
    <n v="6.0000000000000001E-3"/>
    <n v="6.0000000000000001E-3"/>
  </r>
  <r>
    <s v="424700"/>
    <x v="278"/>
    <s v="carbon dioxide"/>
    <s v="kg/2018 USD, purchaser price"/>
    <n v="7.6999999999999999E-2"/>
    <n v="7.6999999999999999E-2"/>
    <n v="0"/>
    <n v="0"/>
    <n v="7.6999999999999999E-2"/>
    <n v="7.6999999999999999E-2"/>
  </r>
  <r>
    <s v="424700"/>
    <x v="278"/>
    <s v="methane"/>
    <s v="kg/2018 USD, purchaser price"/>
    <n v="1E-3"/>
    <n v="2.8000000000000001E-2"/>
    <n v="0"/>
    <n v="0"/>
    <n v="1E-3"/>
    <n v="2.8000000000000001E-2"/>
  </r>
  <r>
    <s v="424700"/>
    <x v="278"/>
    <s v="nitrous oxide"/>
    <s v="kg/2018 USD, purchaser price"/>
    <n v="0"/>
    <n v="0"/>
    <n v="0"/>
    <n v="0"/>
    <n v="0"/>
    <n v="0"/>
  </r>
  <r>
    <s v="424700"/>
    <x v="278"/>
    <s v="other GHGs"/>
    <s v="kg CO2e/2018 USD, purchaser price"/>
    <n v="2E-3"/>
    <n v="2E-3"/>
    <n v="0"/>
    <n v="0"/>
    <n v="2E-3"/>
    <n v="2E-3"/>
  </r>
  <r>
    <s v="424A00"/>
    <x v="279"/>
    <s v="carbon dioxide"/>
    <s v="kg/2018 USD, purchaser price"/>
    <n v="0.16800000000000001"/>
    <n v="0.16800000000000001"/>
    <n v="0"/>
    <n v="0"/>
    <n v="0.16800000000000001"/>
    <n v="0.16800000000000001"/>
  </r>
  <r>
    <s v="424A00"/>
    <x v="279"/>
    <s v="methane"/>
    <s v="kg/2018 USD, purchaser price"/>
    <n v="1E-3"/>
    <n v="2.8000000000000001E-2"/>
    <n v="0"/>
    <n v="0"/>
    <n v="1E-3"/>
    <n v="2.8000000000000001E-2"/>
  </r>
  <r>
    <s v="424A00"/>
    <x v="279"/>
    <s v="nitrous oxide"/>
    <s v="kg/2018 USD, purchaser price"/>
    <n v="0"/>
    <n v="0"/>
    <n v="0"/>
    <n v="0"/>
    <n v="0"/>
    <n v="0"/>
  </r>
  <r>
    <s v="424A00"/>
    <x v="279"/>
    <s v="other GHGs"/>
    <s v="kg CO2e/2018 USD, purchaser price"/>
    <n v="5.0000000000000001E-3"/>
    <n v="5.0000000000000001E-3"/>
    <n v="0"/>
    <n v="0"/>
    <n v="5.0000000000000001E-3"/>
    <n v="5.0000000000000001E-3"/>
  </r>
  <r>
    <s v="425000"/>
    <x v="280"/>
    <s v="carbon dioxide"/>
    <s v="kg/2018 USD, purchaser price"/>
    <n v="5.1999999999999998E-2"/>
    <n v="5.1999999999999998E-2"/>
    <n v="0"/>
    <n v="0"/>
    <n v="5.1999999999999998E-2"/>
    <n v="5.1999999999999998E-2"/>
  </r>
  <r>
    <s v="425000"/>
    <x v="280"/>
    <s v="methane"/>
    <s v="kg/2018 USD, purchaser price"/>
    <n v="0"/>
    <n v="0"/>
    <n v="0"/>
    <n v="0"/>
    <n v="0"/>
    <n v="0"/>
  </r>
  <r>
    <s v="425000"/>
    <x v="280"/>
    <s v="nitrous oxide"/>
    <s v="kg/2018 USD, purchaser price"/>
    <n v="0"/>
    <n v="0"/>
    <n v="0"/>
    <n v="0"/>
    <n v="0"/>
    <n v="0"/>
  </r>
  <r>
    <s v="425000"/>
    <x v="280"/>
    <s v="other GHGs"/>
    <s v="kg CO2e/2018 USD, purchaser price"/>
    <n v="2E-3"/>
    <n v="2E-3"/>
    <n v="0"/>
    <n v="0"/>
    <n v="2E-3"/>
    <n v="2E-3"/>
  </r>
  <r>
    <s v="441000"/>
    <x v="281"/>
    <s v="carbon dioxide"/>
    <s v="kg/2018 USD, purchaser price"/>
    <n v="0.11700000000000001"/>
    <n v="0.11700000000000001"/>
    <n v="0"/>
    <n v="0"/>
    <n v="0.11700000000000001"/>
    <n v="0.11700000000000001"/>
  </r>
  <r>
    <s v="441000"/>
    <x v="281"/>
    <s v="methane"/>
    <s v="kg/2018 USD, purchaser price"/>
    <n v="1E-3"/>
    <n v="2.8000000000000001E-2"/>
    <n v="0"/>
    <n v="0"/>
    <n v="1E-3"/>
    <n v="2.8000000000000001E-2"/>
  </r>
  <r>
    <s v="441000"/>
    <x v="281"/>
    <s v="nitrous oxide"/>
    <s v="kg/2018 USD, purchaser price"/>
    <n v="0"/>
    <n v="0"/>
    <n v="0"/>
    <n v="0"/>
    <n v="0"/>
    <n v="0"/>
  </r>
  <r>
    <s v="441000"/>
    <x v="281"/>
    <s v="other GHGs"/>
    <s v="kg CO2e/2018 USD, purchaser price"/>
    <n v="2E-3"/>
    <n v="2E-3"/>
    <n v="0"/>
    <n v="0"/>
    <n v="2E-3"/>
    <n v="2E-3"/>
  </r>
  <r>
    <s v="444000"/>
    <x v="282"/>
    <s v="carbon dioxide"/>
    <s v="kg/2018 USD, purchaser price"/>
    <n v="0.13600000000000001"/>
    <n v="0.13600000000000001"/>
    <n v="0"/>
    <n v="0"/>
    <n v="0.13600000000000001"/>
    <n v="0.13600000000000001"/>
  </r>
  <r>
    <s v="444000"/>
    <x v="282"/>
    <s v="methane"/>
    <s v="kg/2018 USD, purchaser price"/>
    <n v="1E-3"/>
    <n v="2.8000000000000001E-2"/>
    <n v="0"/>
    <n v="0"/>
    <n v="1E-3"/>
    <n v="2.8000000000000001E-2"/>
  </r>
  <r>
    <s v="444000"/>
    <x v="282"/>
    <s v="nitrous oxide"/>
    <s v="kg/2018 USD, purchaser price"/>
    <n v="0"/>
    <n v="0"/>
    <n v="0"/>
    <n v="0"/>
    <n v="0"/>
    <n v="0"/>
  </r>
  <r>
    <s v="444000"/>
    <x v="282"/>
    <s v="other GHGs"/>
    <s v="kg CO2e/2018 USD, purchaser price"/>
    <n v="2E-3"/>
    <n v="2E-3"/>
    <n v="0"/>
    <n v="0"/>
    <n v="2E-3"/>
    <n v="2E-3"/>
  </r>
  <r>
    <s v="445000"/>
    <x v="283"/>
    <s v="carbon dioxide"/>
    <s v="kg/2018 USD, purchaser price"/>
    <n v="0.25600000000000001"/>
    <n v="0.25600000000000001"/>
    <n v="0"/>
    <n v="0"/>
    <n v="0.25600000000000001"/>
    <n v="0.25600000000000001"/>
  </r>
  <r>
    <s v="445000"/>
    <x v="283"/>
    <s v="methane"/>
    <s v="kg/2018 USD, purchaser price"/>
    <n v="1E-3"/>
    <n v="2.8000000000000001E-2"/>
    <n v="0"/>
    <n v="0"/>
    <n v="1E-3"/>
    <n v="2.8000000000000001E-2"/>
  </r>
  <r>
    <s v="445000"/>
    <x v="283"/>
    <s v="nitrous oxide"/>
    <s v="kg/2018 USD, purchaser price"/>
    <n v="0"/>
    <n v="0"/>
    <n v="0"/>
    <n v="0"/>
    <n v="0"/>
    <n v="0"/>
  </r>
  <r>
    <s v="445000"/>
    <x v="283"/>
    <s v="other GHGs"/>
    <s v="kg CO2e/2018 USD, purchaser price"/>
    <n v="5.0000000000000001E-3"/>
    <n v="5.0000000000000001E-3"/>
    <n v="0"/>
    <n v="0"/>
    <n v="5.0000000000000001E-3"/>
    <n v="5.0000000000000001E-3"/>
  </r>
  <r>
    <s v="446000"/>
    <x v="284"/>
    <s v="carbon dioxide"/>
    <s v="kg/2018 USD, purchaser price"/>
    <n v="0.13700000000000001"/>
    <n v="0.13700000000000001"/>
    <n v="0"/>
    <n v="0"/>
    <n v="0.13700000000000001"/>
    <n v="0.13700000000000001"/>
  </r>
  <r>
    <s v="446000"/>
    <x v="284"/>
    <s v="methane"/>
    <s v="kg/2018 USD, purchaser price"/>
    <n v="1E-3"/>
    <n v="2.8000000000000001E-2"/>
    <n v="0"/>
    <n v="0"/>
    <n v="1E-3"/>
    <n v="2.8000000000000001E-2"/>
  </r>
  <r>
    <s v="446000"/>
    <x v="284"/>
    <s v="nitrous oxide"/>
    <s v="kg/2018 USD, purchaser price"/>
    <n v="0"/>
    <n v="0"/>
    <n v="0"/>
    <n v="0"/>
    <n v="0"/>
    <n v="0"/>
  </r>
  <r>
    <s v="446000"/>
    <x v="284"/>
    <s v="other GHGs"/>
    <s v="kg CO2e/2018 USD, purchaser price"/>
    <n v="3.0000000000000001E-3"/>
    <n v="3.0000000000000001E-3"/>
    <n v="0"/>
    <n v="0"/>
    <n v="3.0000000000000001E-3"/>
    <n v="3.0000000000000001E-3"/>
  </r>
  <r>
    <s v="447000"/>
    <x v="285"/>
    <s v="carbon dioxide"/>
    <s v="kg/2018 USD, purchaser price"/>
    <n v="0.26700000000000002"/>
    <n v="0.26700000000000002"/>
    <n v="0"/>
    <n v="0"/>
    <n v="0.26700000000000002"/>
    <n v="0.26700000000000002"/>
  </r>
  <r>
    <s v="447000"/>
    <x v="285"/>
    <s v="methane"/>
    <s v="kg/2018 USD, purchaser price"/>
    <n v="1E-3"/>
    <n v="2.8000000000000001E-2"/>
    <n v="0"/>
    <n v="0"/>
    <n v="1E-3"/>
    <n v="2.8000000000000001E-2"/>
  </r>
  <r>
    <s v="447000"/>
    <x v="285"/>
    <s v="nitrous oxide"/>
    <s v="kg/2018 USD, purchaser price"/>
    <n v="0"/>
    <n v="0"/>
    <n v="0"/>
    <n v="0"/>
    <n v="0"/>
    <n v="0"/>
  </r>
  <r>
    <s v="447000"/>
    <x v="285"/>
    <s v="other GHGs"/>
    <s v="kg CO2e/2018 USD, purchaser price"/>
    <n v="6.0000000000000001E-3"/>
    <n v="6.0000000000000001E-3"/>
    <n v="0"/>
    <n v="0"/>
    <n v="6.0000000000000001E-3"/>
    <n v="6.0000000000000001E-3"/>
  </r>
  <r>
    <s v="448000"/>
    <x v="286"/>
    <s v="carbon dioxide"/>
    <s v="kg/2018 USD, purchaser price"/>
    <n v="0.186"/>
    <n v="0.186"/>
    <n v="0"/>
    <n v="0"/>
    <n v="0.186"/>
    <n v="0.186"/>
  </r>
  <r>
    <s v="448000"/>
    <x v="286"/>
    <s v="methane"/>
    <s v="kg/2018 USD, purchaser price"/>
    <n v="1E-3"/>
    <n v="2.8000000000000001E-2"/>
    <n v="0"/>
    <n v="0"/>
    <n v="1E-3"/>
    <n v="2.8000000000000001E-2"/>
  </r>
  <r>
    <s v="448000"/>
    <x v="286"/>
    <s v="nitrous oxide"/>
    <s v="kg/2018 USD, purchaser price"/>
    <n v="0"/>
    <n v="0"/>
    <n v="0"/>
    <n v="0"/>
    <n v="0"/>
    <n v="0"/>
  </r>
  <r>
    <s v="448000"/>
    <x v="286"/>
    <s v="other GHGs"/>
    <s v="kg CO2e/2018 USD, purchaser price"/>
    <n v="4.0000000000000001E-3"/>
    <n v="4.0000000000000001E-3"/>
    <n v="0"/>
    <n v="0"/>
    <n v="4.0000000000000001E-3"/>
    <n v="4.0000000000000001E-3"/>
  </r>
  <r>
    <s v="452000"/>
    <x v="287"/>
    <s v="carbon dioxide"/>
    <s v="kg/2018 USD, purchaser price"/>
    <n v="0.17699999999999999"/>
    <n v="0.17699999999999999"/>
    <n v="0"/>
    <n v="0"/>
    <n v="0.17699999999999999"/>
    <n v="0.17699999999999999"/>
  </r>
  <r>
    <s v="452000"/>
    <x v="287"/>
    <s v="methane"/>
    <s v="kg/2018 USD, purchaser price"/>
    <n v="1E-3"/>
    <n v="2.8000000000000001E-2"/>
    <n v="0"/>
    <n v="0"/>
    <n v="1E-3"/>
    <n v="2.8000000000000001E-2"/>
  </r>
  <r>
    <s v="452000"/>
    <x v="287"/>
    <s v="nitrous oxide"/>
    <s v="kg/2018 USD, purchaser price"/>
    <n v="0"/>
    <n v="0"/>
    <n v="0"/>
    <n v="0"/>
    <n v="0"/>
    <n v="0"/>
  </r>
  <r>
    <s v="452000"/>
    <x v="287"/>
    <s v="other GHGs"/>
    <s v="kg CO2e/2018 USD, purchaser price"/>
    <n v="3.0000000000000001E-3"/>
    <n v="3.0000000000000001E-3"/>
    <n v="0"/>
    <n v="0"/>
    <n v="3.0000000000000001E-3"/>
    <n v="3.0000000000000001E-3"/>
  </r>
  <r>
    <s v="454000"/>
    <x v="288"/>
    <s v="carbon dioxide"/>
    <s v="kg/2018 USD, purchaser price"/>
    <n v="9.5000000000000001E-2"/>
    <n v="9.5000000000000001E-2"/>
    <n v="0"/>
    <n v="0"/>
    <n v="9.5000000000000001E-2"/>
    <n v="9.5000000000000001E-2"/>
  </r>
  <r>
    <s v="454000"/>
    <x v="288"/>
    <s v="methane"/>
    <s v="kg/2018 USD, purchaser price"/>
    <n v="0"/>
    <n v="0"/>
    <n v="0"/>
    <n v="0"/>
    <n v="0"/>
    <n v="0"/>
  </r>
  <r>
    <s v="454000"/>
    <x v="288"/>
    <s v="nitrous oxide"/>
    <s v="kg/2018 USD, purchaser price"/>
    <n v="0"/>
    <n v="0"/>
    <n v="0"/>
    <n v="0"/>
    <n v="0"/>
    <n v="0"/>
  </r>
  <r>
    <s v="454000"/>
    <x v="288"/>
    <s v="other GHGs"/>
    <s v="kg CO2e/2018 USD, purchaser price"/>
    <n v="3.0000000000000001E-3"/>
    <n v="3.0000000000000001E-3"/>
    <n v="0"/>
    <n v="0"/>
    <n v="3.0000000000000001E-3"/>
    <n v="3.0000000000000001E-3"/>
  </r>
  <r>
    <s v="481000"/>
    <x v="289"/>
    <s v="carbon dioxide"/>
    <s v="kg/2018 USD, purchaser price"/>
    <n v="0.879"/>
    <n v="0.879"/>
    <n v="0"/>
    <n v="0"/>
    <n v="0.879"/>
    <n v="0.879"/>
  </r>
  <r>
    <s v="481000"/>
    <x v="289"/>
    <s v="methane"/>
    <s v="kg/2018 USD, purchaser price"/>
    <n v="3.0000000000000001E-3"/>
    <n v="8.4000000000000005E-2"/>
    <n v="0"/>
    <n v="0"/>
    <n v="3.0000000000000001E-3"/>
    <n v="8.4000000000000005E-2"/>
  </r>
  <r>
    <s v="481000"/>
    <x v="289"/>
    <s v="nitrous oxide"/>
    <s v="kg/2018 USD, purchaser price"/>
    <n v="0"/>
    <n v="0"/>
    <n v="0"/>
    <n v="0"/>
    <n v="0"/>
    <n v="0"/>
  </r>
  <r>
    <s v="481000"/>
    <x v="289"/>
    <s v="other GHGs"/>
    <s v="kg CO2e/2018 USD, purchaser price"/>
    <n v="2E-3"/>
    <n v="2E-3"/>
    <n v="0"/>
    <n v="0"/>
    <n v="2E-3"/>
    <n v="2E-3"/>
  </r>
  <r>
    <s v="482000"/>
    <x v="290"/>
    <s v="carbon dioxide"/>
    <s v="kg/2018 USD, purchaser price"/>
    <n v="0.70199999999999996"/>
    <n v="0.70199999999999996"/>
    <n v="0"/>
    <n v="0"/>
    <n v="0.70199999999999996"/>
    <n v="0.70199999999999996"/>
  </r>
  <r>
    <s v="482000"/>
    <x v="290"/>
    <s v="methane"/>
    <s v="kg/2018 USD, purchaser price"/>
    <n v="2E-3"/>
    <n v="5.6000000000000001E-2"/>
    <n v="0"/>
    <n v="0"/>
    <n v="2E-3"/>
    <n v="5.6000000000000001E-2"/>
  </r>
  <r>
    <s v="482000"/>
    <x v="290"/>
    <s v="nitrous oxide"/>
    <s v="kg/2018 USD, purchaser price"/>
    <n v="0"/>
    <n v="0"/>
    <n v="0"/>
    <n v="0"/>
    <n v="0"/>
    <n v="0"/>
  </r>
  <r>
    <s v="482000"/>
    <x v="290"/>
    <s v="other GHGs"/>
    <s v="kg CO2e/2018 USD, purchaser price"/>
    <n v="4.0000000000000001E-3"/>
    <n v="4.0000000000000001E-3"/>
    <n v="0"/>
    <n v="0"/>
    <n v="4.0000000000000001E-3"/>
    <n v="4.0000000000000001E-3"/>
  </r>
  <r>
    <s v="483000"/>
    <x v="291"/>
    <s v="carbon dioxide"/>
    <s v="kg/2018 USD, purchaser price"/>
    <n v="0.63100000000000001"/>
    <n v="0.63100000000000001"/>
    <n v="0"/>
    <n v="0"/>
    <n v="0.63100000000000001"/>
    <n v="0.63100000000000001"/>
  </r>
  <r>
    <s v="483000"/>
    <x v="291"/>
    <s v="methane"/>
    <s v="kg/2018 USD, purchaser price"/>
    <n v="3.0000000000000001E-3"/>
    <n v="8.4000000000000005E-2"/>
    <n v="0"/>
    <n v="0"/>
    <n v="3.0000000000000001E-3"/>
    <n v="8.4000000000000005E-2"/>
  </r>
  <r>
    <s v="483000"/>
    <x v="291"/>
    <s v="nitrous oxide"/>
    <s v="kg/2018 USD, purchaser price"/>
    <n v="0"/>
    <n v="0"/>
    <n v="0"/>
    <n v="0"/>
    <n v="0"/>
    <n v="0"/>
  </r>
  <r>
    <s v="483000"/>
    <x v="291"/>
    <s v="other GHGs"/>
    <s v="kg CO2e/2018 USD, purchaser price"/>
    <n v="5.8999999999999997E-2"/>
    <n v="5.8999999999999997E-2"/>
    <n v="0"/>
    <n v="0"/>
    <n v="5.8999999999999997E-2"/>
    <n v="5.8999999999999997E-2"/>
  </r>
  <r>
    <s v="484000"/>
    <x v="292"/>
    <s v="carbon dioxide"/>
    <s v="kg/2018 USD, purchaser price"/>
    <n v="1.341"/>
    <n v="1.341"/>
    <n v="0"/>
    <n v="0"/>
    <n v="1.341"/>
    <n v="1.341"/>
  </r>
  <r>
    <s v="484000"/>
    <x v="292"/>
    <s v="methane"/>
    <s v="kg/2018 USD, purchaser price"/>
    <n v="3.0000000000000001E-3"/>
    <n v="8.4000000000000005E-2"/>
    <n v="0"/>
    <n v="0"/>
    <n v="3.0000000000000001E-3"/>
    <n v="8.4000000000000005E-2"/>
  </r>
  <r>
    <s v="484000"/>
    <x v="292"/>
    <s v="nitrous oxide"/>
    <s v="kg/2018 USD, purchaser price"/>
    <n v="0"/>
    <n v="0"/>
    <n v="0"/>
    <n v="0"/>
    <n v="0"/>
    <n v="0"/>
  </r>
  <r>
    <s v="484000"/>
    <x v="292"/>
    <s v="other GHGs"/>
    <s v="kg CO2e/2018 USD, purchaser price"/>
    <n v="2.1000000000000001E-2"/>
    <n v="2.1000000000000001E-2"/>
    <n v="0"/>
    <n v="0"/>
    <n v="2.1000000000000001E-2"/>
    <n v="2.1000000000000001E-2"/>
  </r>
  <r>
    <s v="485000"/>
    <x v="293"/>
    <s v="carbon dioxide"/>
    <s v="kg/2018 USD, purchaser price"/>
    <n v="0.27100000000000002"/>
    <n v="0.27100000000000002"/>
    <n v="0"/>
    <n v="0"/>
    <n v="0.27100000000000002"/>
    <n v="0.27100000000000002"/>
  </r>
  <r>
    <s v="485000"/>
    <x v="293"/>
    <s v="methane"/>
    <s v="kg/2018 USD, purchaser price"/>
    <n v="5.0000000000000001E-3"/>
    <n v="0.14000000000000001"/>
    <n v="0"/>
    <n v="0"/>
    <n v="5.0000000000000001E-3"/>
    <n v="0.14000000000000001"/>
  </r>
  <r>
    <s v="485000"/>
    <x v="293"/>
    <s v="nitrous oxide"/>
    <s v="kg/2018 USD, purchaser price"/>
    <n v="0"/>
    <n v="0"/>
    <n v="0"/>
    <n v="0"/>
    <n v="0"/>
    <n v="0"/>
  </r>
  <r>
    <s v="485000"/>
    <x v="293"/>
    <s v="other GHGs"/>
    <s v="kg CO2e/2018 USD, purchaser price"/>
    <n v="7.0000000000000001E-3"/>
    <n v="7.0000000000000001E-3"/>
    <n v="0"/>
    <n v="0"/>
    <n v="7.0000000000000001E-3"/>
    <n v="7.0000000000000001E-3"/>
  </r>
  <r>
    <s v="486000"/>
    <x v="294"/>
    <s v="carbon dioxide"/>
    <s v="kg/2018 USD, purchaser price"/>
    <n v="1.1319999999999999"/>
    <n v="1.1319999999999999"/>
    <n v="0"/>
    <n v="0"/>
    <n v="1.1319999999999999"/>
    <n v="1.1319999999999999"/>
  </r>
  <r>
    <s v="486000"/>
    <x v="294"/>
    <s v="methane"/>
    <s v="kg/2018 USD, purchaser price"/>
    <n v="3.1E-2"/>
    <n v="0.86799999999999999"/>
    <n v="0"/>
    <n v="0"/>
    <n v="3.1E-2"/>
    <n v="0.86799999999999999"/>
  </r>
  <r>
    <s v="486000"/>
    <x v="294"/>
    <s v="nitrous oxide"/>
    <s v="kg/2018 USD, purchaser price"/>
    <n v="0"/>
    <n v="0"/>
    <n v="0"/>
    <n v="0"/>
    <n v="0"/>
    <n v="0"/>
  </r>
  <r>
    <s v="486000"/>
    <x v="294"/>
    <s v="other GHGs"/>
    <s v="kg CO2e/2018 USD, purchaser price"/>
    <n v="1.4999999999999999E-2"/>
    <n v="1.4999999999999999E-2"/>
    <n v="0"/>
    <n v="0"/>
    <n v="1.4999999999999999E-2"/>
    <n v="1.4999999999999999E-2"/>
  </r>
  <r>
    <s v="48A000"/>
    <x v="295"/>
    <s v="carbon dioxide"/>
    <s v="kg/2018 USD, purchaser price"/>
    <n v="0.23899999999999999"/>
    <n v="0.23899999999999999"/>
    <n v="0"/>
    <n v="0"/>
    <n v="0.23899999999999999"/>
    <n v="0.23899999999999999"/>
  </r>
  <r>
    <s v="48A000"/>
    <x v="295"/>
    <s v="methane"/>
    <s v="kg/2018 USD, purchaser price"/>
    <n v="2E-3"/>
    <n v="5.6000000000000001E-2"/>
    <n v="0"/>
    <n v="0"/>
    <n v="2E-3"/>
    <n v="5.6000000000000001E-2"/>
  </r>
  <r>
    <s v="48A000"/>
    <x v="295"/>
    <s v="nitrous oxide"/>
    <s v="kg/2018 USD, purchaser price"/>
    <n v="0"/>
    <n v="0"/>
    <n v="0"/>
    <n v="0"/>
    <n v="0"/>
    <n v="0"/>
  </r>
  <r>
    <s v="48A000"/>
    <x v="295"/>
    <s v="other GHGs"/>
    <s v="kg CO2e/2018 USD, purchaser price"/>
    <n v="6.0000000000000001E-3"/>
    <n v="6.0000000000000001E-3"/>
    <n v="0"/>
    <n v="0"/>
    <n v="6.0000000000000001E-3"/>
    <n v="6.0000000000000001E-3"/>
  </r>
  <r>
    <s v="491000"/>
    <x v="296"/>
    <s v="carbon dioxide"/>
    <s v="kg/2018 USD, purchaser price"/>
    <n v="0.17799999999999999"/>
    <n v="0.17799999999999999"/>
    <n v="0"/>
    <n v="0"/>
    <n v="0.17799999999999999"/>
    <n v="0.17799999999999999"/>
  </r>
  <r>
    <s v="491000"/>
    <x v="296"/>
    <s v="methane"/>
    <s v="kg/2018 USD, purchaser price"/>
    <n v="1E-3"/>
    <n v="2.8000000000000001E-2"/>
    <n v="0"/>
    <n v="0"/>
    <n v="1E-3"/>
    <n v="2.8000000000000001E-2"/>
  </r>
  <r>
    <s v="491000"/>
    <x v="296"/>
    <s v="nitrous oxide"/>
    <s v="kg/2018 USD, purchaser price"/>
    <n v="0"/>
    <n v="0"/>
    <n v="0"/>
    <n v="0"/>
    <n v="0"/>
    <n v="0"/>
  </r>
  <r>
    <s v="491000"/>
    <x v="296"/>
    <s v="other GHGs"/>
    <s v="kg CO2e/2018 USD, purchaser price"/>
    <n v="3.0000000000000001E-3"/>
    <n v="3.0000000000000001E-3"/>
    <n v="0"/>
    <n v="0"/>
    <n v="3.0000000000000001E-3"/>
    <n v="3.0000000000000001E-3"/>
  </r>
  <r>
    <s v="492000"/>
    <x v="297"/>
    <s v="carbon dioxide"/>
    <s v="kg/2018 USD, purchaser price"/>
    <n v="0.52300000000000002"/>
    <n v="0.52300000000000002"/>
    <n v="0"/>
    <n v="0"/>
    <n v="0.52300000000000002"/>
    <n v="0.52300000000000002"/>
  </r>
  <r>
    <s v="492000"/>
    <x v="297"/>
    <s v="methane"/>
    <s v="kg/2018 USD, purchaser price"/>
    <n v="2E-3"/>
    <n v="5.6000000000000001E-2"/>
    <n v="0"/>
    <n v="0"/>
    <n v="2E-3"/>
    <n v="5.6000000000000001E-2"/>
  </r>
  <r>
    <s v="492000"/>
    <x v="297"/>
    <s v="nitrous oxide"/>
    <s v="kg/2018 USD, purchaser price"/>
    <n v="0"/>
    <n v="0"/>
    <n v="0"/>
    <n v="0"/>
    <n v="0"/>
    <n v="0"/>
  </r>
  <r>
    <s v="492000"/>
    <x v="297"/>
    <s v="other GHGs"/>
    <s v="kg CO2e/2018 USD, purchaser price"/>
    <n v="3.0000000000000001E-3"/>
    <n v="3.0000000000000001E-3"/>
    <n v="0"/>
    <n v="0"/>
    <n v="3.0000000000000001E-3"/>
    <n v="3.0000000000000001E-3"/>
  </r>
  <r>
    <s v="493000"/>
    <x v="298"/>
    <s v="carbon dioxide"/>
    <s v="kg/2018 USD, purchaser price"/>
    <n v="0.58199999999999996"/>
    <n v="0.58199999999999996"/>
    <n v="0"/>
    <n v="0"/>
    <n v="0.58199999999999996"/>
    <n v="0.58199999999999996"/>
  </r>
  <r>
    <s v="493000"/>
    <x v="298"/>
    <s v="methane"/>
    <s v="kg/2018 USD, purchaser price"/>
    <n v="2E-3"/>
    <n v="5.6000000000000001E-2"/>
    <n v="0"/>
    <n v="0"/>
    <n v="2E-3"/>
    <n v="5.6000000000000001E-2"/>
  </r>
  <r>
    <s v="493000"/>
    <x v="298"/>
    <s v="nitrous oxide"/>
    <s v="kg/2018 USD, purchaser price"/>
    <n v="0"/>
    <n v="0"/>
    <n v="0"/>
    <n v="0"/>
    <n v="0"/>
    <n v="0"/>
  </r>
  <r>
    <s v="493000"/>
    <x v="298"/>
    <s v="other GHGs"/>
    <s v="kg CO2e/2018 USD, purchaser price"/>
    <n v="5.0000000000000001E-3"/>
    <n v="5.0000000000000001E-3"/>
    <n v="0"/>
    <n v="0"/>
    <n v="5.0000000000000001E-3"/>
    <n v="5.0000000000000001E-3"/>
  </r>
  <r>
    <s v="4B0000"/>
    <x v="299"/>
    <s v="carbon dioxide"/>
    <s v="kg/2018 USD, purchaser price"/>
    <n v="0.16"/>
    <n v="0.16"/>
    <n v="0"/>
    <n v="0"/>
    <n v="0.16"/>
    <n v="0.16"/>
  </r>
  <r>
    <s v="4B0000"/>
    <x v="299"/>
    <s v="methane"/>
    <s v="kg/2018 USD, purchaser price"/>
    <n v="1E-3"/>
    <n v="2.8000000000000001E-2"/>
    <n v="0"/>
    <n v="0"/>
    <n v="1E-3"/>
    <n v="2.8000000000000001E-2"/>
  </r>
  <r>
    <s v="4B0000"/>
    <x v="299"/>
    <s v="nitrous oxide"/>
    <s v="kg/2018 USD, purchaser price"/>
    <n v="0"/>
    <n v="0"/>
    <n v="0"/>
    <n v="0"/>
    <n v="0"/>
    <n v="0"/>
  </r>
  <r>
    <s v="4B0000"/>
    <x v="299"/>
    <s v="other GHGs"/>
    <s v="kg CO2e/2018 USD, purchaser price"/>
    <n v="4.0000000000000001E-3"/>
    <n v="4.0000000000000001E-3"/>
    <n v="0"/>
    <n v="0"/>
    <n v="4.0000000000000001E-3"/>
    <n v="4.0000000000000001E-3"/>
  </r>
  <r>
    <s v="511110"/>
    <x v="300"/>
    <s v="carbon dioxide"/>
    <s v="kg/2018 USD, purchaser price"/>
    <n v="0.107"/>
    <n v="0.107"/>
    <n v="6.8000000000000005E-2"/>
    <n v="6.8000000000000005E-2"/>
    <n v="0.17399999999999999"/>
    <n v="0.17399999999999999"/>
  </r>
  <r>
    <s v="511110"/>
    <x v="300"/>
    <s v="methane"/>
    <s v="kg/2018 USD, purchaser price"/>
    <n v="0"/>
    <n v="0"/>
    <n v="1E-3"/>
    <n v="2.8000000000000001E-2"/>
    <n v="1E-3"/>
    <n v="2.8000000000000001E-2"/>
  </r>
  <r>
    <s v="511110"/>
    <x v="300"/>
    <s v="nitrous oxide"/>
    <s v="kg/2018 USD, purchaser price"/>
    <n v="0"/>
    <n v="0"/>
    <n v="0"/>
    <n v="0"/>
    <n v="0"/>
    <n v="0"/>
  </r>
  <r>
    <s v="511110"/>
    <x v="300"/>
    <s v="other GHGs"/>
    <s v="kg CO2e/2018 USD, purchaser price"/>
    <n v="2E-3"/>
    <n v="2E-3"/>
    <n v="0"/>
    <n v="0"/>
    <n v="2E-3"/>
    <n v="2E-3"/>
  </r>
  <r>
    <s v="511120"/>
    <x v="301"/>
    <s v="carbon dioxide"/>
    <s v="kg/2018 USD, purchaser price"/>
    <n v="7.9000000000000001E-2"/>
    <n v="7.9000000000000001E-2"/>
    <n v="4.5999999999999999E-2"/>
    <n v="4.5999999999999999E-2"/>
    <n v="0.125"/>
    <n v="0.125"/>
  </r>
  <r>
    <s v="511120"/>
    <x v="301"/>
    <s v="methane"/>
    <s v="kg/2018 USD, purchaser price"/>
    <n v="0"/>
    <n v="0"/>
    <n v="0"/>
    <n v="0"/>
    <n v="1E-3"/>
    <n v="2.8000000000000001E-2"/>
  </r>
  <r>
    <s v="511120"/>
    <x v="301"/>
    <s v="nitrous oxide"/>
    <s v="kg/2018 USD, purchaser price"/>
    <n v="0"/>
    <n v="0"/>
    <n v="0"/>
    <n v="0"/>
    <n v="0"/>
    <n v="0"/>
  </r>
  <r>
    <s v="511120"/>
    <x v="301"/>
    <s v="other GHGs"/>
    <s v="kg CO2e/2018 USD, purchaser price"/>
    <n v="2E-3"/>
    <n v="2E-3"/>
    <n v="0"/>
    <n v="0"/>
    <n v="2E-3"/>
    <n v="2E-3"/>
  </r>
  <r>
    <s v="511130"/>
    <x v="302"/>
    <s v="carbon dioxide"/>
    <s v="kg/2018 USD, purchaser price"/>
    <n v="9.1999999999999998E-2"/>
    <n v="9.1999999999999998E-2"/>
    <n v="7.0000000000000007E-2"/>
    <n v="7.0000000000000007E-2"/>
    <n v="0.16200000000000001"/>
    <n v="0.16200000000000001"/>
  </r>
  <r>
    <s v="511130"/>
    <x v="302"/>
    <s v="methane"/>
    <s v="kg/2018 USD, purchaser price"/>
    <n v="0"/>
    <n v="0"/>
    <n v="0"/>
    <n v="0"/>
    <n v="1E-3"/>
    <n v="2.8000000000000001E-2"/>
  </r>
  <r>
    <s v="511130"/>
    <x v="302"/>
    <s v="nitrous oxide"/>
    <s v="kg/2018 USD, purchaser price"/>
    <n v="0"/>
    <n v="0"/>
    <n v="0"/>
    <n v="0"/>
    <n v="0"/>
    <n v="0"/>
  </r>
  <r>
    <s v="511130"/>
    <x v="302"/>
    <s v="other GHGs"/>
    <s v="kg CO2e/2018 USD, purchaser price"/>
    <n v="2E-3"/>
    <n v="2E-3"/>
    <n v="0"/>
    <n v="0"/>
    <n v="2E-3"/>
    <n v="2E-3"/>
  </r>
  <r>
    <s v="5111A0"/>
    <x v="303"/>
    <s v="carbon dioxide"/>
    <s v="kg/2018 USD, purchaser price"/>
    <n v="8.5000000000000006E-2"/>
    <n v="8.5000000000000006E-2"/>
    <n v="6.5000000000000002E-2"/>
    <n v="6.5000000000000002E-2"/>
    <n v="0.15"/>
    <n v="0.15"/>
  </r>
  <r>
    <s v="5111A0"/>
    <x v="303"/>
    <s v="methane"/>
    <s v="kg/2018 USD, purchaser price"/>
    <n v="0"/>
    <n v="0"/>
    <n v="0"/>
    <n v="0"/>
    <n v="1E-3"/>
    <n v="2.8000000000000001E-2"/>
  </r>
  <r>
    <s v="5111A0"/>
    <x v="303"/>
    <s v="nitrous oxide"/>
    <s v="kg/2018 USD, purchaser price"/>
    <n v="0"/>
    <n v="0"/>
    <n v="0"/>
    <n v="0"/>
    <n v="0"/>
    <n v="0"/>
  </r>
  <r>
    <s v="5111A0"/>
    <x v="303"/>
    <s v="other GHGs"/>
    <s v="kg CO2e/2018 USD, purchaser price"/>
    <n v="3.0000000000000001E-3"/>
    <n v="3.0000000000000001E-3"/>
    <n v="0"/>
    <n v="0"/>
    <n v="3.0000000000000001E-3"/>
    <n v="3.0000000000000001E-3"/>
  </r>
  <r>
    <s v="511200"/>
    <x v="304"/>
    <s v="carbon dioxide"/>
    <s v="kg/2018 USD, purchaser price"/>
    <n v="3.5000000000000003E-2"/>
    <n v="3.5000000000000003E-2"/>
    <n v="3.5999999999999997E-2"/>
    <n v="3.5999999999999997E-2"/>
    <n v="7.0999999999999994E-2"/>
    <n v="7.0999999999999994E-2"/>
  </r>
  <r>
    <s v="511200"/>
    <x v="304"/>
    <s v="methane"/>
    <s v="kg/2018 USD, purchaser price"/>
    <n v="0"/>
    <n v="0"/>
    <n v="0"/>
    <n v="0"/>
    <n v="0"/>
    <n v="0"/>
  </r>
  <r>
    <s v="511200"/>
    <x v="304"/>
    <s v="nitrous oxide"/>
    <s v="kg/2018 USD, purchaser price"/>
    <n v="0"/>
    <n v="0"/>
    <n v="0"/>
    <n v="0"/>
    <n v="0"/>
    <n v="0"/>
  </r>
  <r>
    <s v="511200"/>
    <x v="304"/>
    <s v="other GHGs"/>
    <s v="kg CO2e/2018 USD, purchaser price"/>
    <n v="2E-3"/>
    <n v="2E-3"/>
    <n v="0"/>
    <n v="0"/>
    <n v="2E-3"/>
    <n v="2E-3"/>
  </r>
  <r>
    <s v="512100"/>
    <x v="305"/>
    <s v="carbon dioxide"/>
    <s v="kg/2018 USD, purchaser price"/>
    <n v="4.2999999999999997E-2"/>
    <n v="4.2999999999999997E-2"/>
    <n v="6.0000000000000001E-3"/>
    <n v="6.0000000000000001E-3"/>
    <n v="4.8000000000000001E-2"/>
    <n v="4.8000000000000001E-2"/>
  </r>
  <r>
    <s v="512100"/>
    <x v="305"/>
    <s v="methane"/>
    <s v="kg/2018 USD, purchaser price"/>
    <n v="0"/>
    <n v="0"/>
    <n v="0"/>
    <n v="0"/>
    <n v="0"/>
    <n v="0"/>
  </r>
  <r>
    <s v="512100"/>
    <x v="305"/>
    <s v="nitrous oxide"/>
    <s v="kg/2018 USD, purchaser price"/>
    <n v="0"/>
    <n v="0"/>
    <n v="0"/>
    <n v="0"/>
    <n v="0"/>
    <n v="0"/>
  </r>
  <r>
    <s v="512100"/>
    <x v="305"/>
    <s v="other GHGs"/>
    <s v="kg CO2e/2018 USD, purchaser price"/>
    <n v="2E-3"/>
    <n v="2E-3"/>
    <n v="0"/>
    <n v="0"/>
    <n v="2E-3"/>
    <n v="2E-3"/>
  </r>
  <r>
    <s v="512200"/>
    <x v="306"/>
    <s v="carbon dioxide"/>
    <s v="kg/2018 USD, purchaser price"/>
    <n v="2.5999999999999999E-2"/>
    <n v="2.5999999999999999E-2"/>
    <n v="4.1000000000000002E-2"/>
    <n v="4.1000000000000002E-2"/>
    <n v="6.7000000000000004E-2"/>
    <n v="6.7000000000000004E-2"/>
  </r>
  <r>
    <s v="512200"/>
    <x v="306"/>
    <s v="methane"/>
    <s v="kg/2018 USD, purchaser price"/>
    <n v="0"/>
    <n v="0"/>
    <n v="0"/>
    <n v="0"/>
    <n v="0"/>
    <n v="0"/>
  </r>
  <r>
    <s v="512200"/>
    <x v="306"/>
    <s v="nitrous oxide"/>
    <s v="kg/2018 USD, purchaser price"/>
    <n v="0"/>
    <n v="0"/>
    <n v="0"/>
    <n v="0"/>
    <n v="0"/>
    <n v="0"/>
  </r>
  <r>
    <s v="512200"/>
    <x v="306"/>
    <s v="other GHGs"/>
    <s v="kg CO2e/2018 USD, purchaser price"/>
    <n v="1E-3"/>
    <n v="1E-3"/>
    <n v="0"/>
    <n v="0"/>
    <n v="1E-3"/>
    <n v="1E-3"/>
  </r>
  <r>
    <s v="515100"/>
    <x v="307"/>
    <s v="carbon dioxide"/>
    <s v="kg/2018 USD, purchaser price"/>
    <n v="4.7E-2"/>
    <n v="4.7E-2"/>
    <n v="0"/>
    <n v="0"/>
    <n v="4.7E-2"/>
    <n v="4.7E-2"/>
  </r>
  <r>
    <s v="515100"/>
    <x v="307"/>
    <s v="methane"/>
    <s v="kg/2018 USD, purchaser price"/>
    <n v="0"/>
    <n v="0"/>
    <n v="0"/>
    <n v="0"/>
    <n v="0"/>
    <n v="0"/>
  </r>
  <r>
    <s v="515100"/>
    <x v="307"/>
    <s v="nitrous oxide"/>
    <s v="kg/2018 USD, purchaser price"/>
    <n v="0"/>
    <n v="0"/>
    <n v="0"/>
    <n v="0"/>
    <n v="0"/>
    <n v="0"/>
  </r>
  <r>
    <s v="515100"/>
    <x v="307"/>
    <s v="other GHGs"/>
    <s v="kg CO2e/2018 USD, purchaser price"/>
    <n v="2.3E-2"/>
    <n v="2.3E-2"/>
    <n v="0"/>
    <n v="0"/>
    <n v="2.3E-2"/>
    <n v="2.3E-2"/>
  </r>
  <r>
    <s v="515200"/>
    <x v="308"/>
    <s v="carbon dioxide"/>
    <s v="kg/2018 USD, purchaser price"/>
    <n v="7.3999999999999996E-2"/>
    <n v="7.3999999999999996E-2"/>
    <n v="0"/>
    <n v="0"/>
    <n v="7.3999999999999996E-2"/>
    <n v="7.3999999999999996E-2"/>
  </r>
  <r>
    <s v="515200"/>
    <x v="308"/>
    <s v="methane"/>
    <s v="kg/2018 USD, purchaser price"/>
    <n v="0"/>
    <n v="0"/>
    <n v="0"/>
    <n v="0"/>
    <n v="0"/>
    <n v="0"/>
  </r>
  <r>
    <s v="515200"/>
    <x v="308"/>
    <s v="nitrous oxide"/>
    <s v="kg/2018 USD, purchaser price"/>
    <n v="0"/>
    <n v="0"/>
    <n v="0"/>
    <n v="0"/>
    <n v="0"/>
    <n v="0"/>
  </r>
  <r>
    <s v="515200"/>
    <x v="308"/>
    <s v="other GHGs"/>
    <s v="kg CO2e/2018 USD, purchaser price"/>
    <n v="3.5000000000000003E-2"/>
    <n v="3.5000000000000003E-2"/>
    <n v="0"/>
    <n v="0"/>
    <n v="3.5000000000000003E-2"/>
    <n v="3.5000000000000003E-2"/>
  </r>
  <r>
    <s v="517110"/>
    <x v="309"/>
    <s v="carbon dioxide"/>
    <s v="kg/2018 USD, purchaser price"/>
    <n v="7.8E-2"/>
    <n v="7.8E-2"/>
    <n v="0"/>
    <n v="0"/>
    <n v="7.8E-2"/>
    <n v="7.8E-2"/>
  </r>
  <r>
    <s v="517110"/>
    <x v="309"/>
    <s v="methane"/>
    <s v="kg/2018 USD, purchaser price"/>
    <n v="0"/>
    <n v="0"/>
    <n v="0"/>
    <n v="0"/>
    <n v="0"/>
    <n v="0"/>
  </r>
  <r>
    <s v="517110"/>
    <x v="309"/>
    <s v="nitrous oxide"/>
    <s v="kg/2018 USD, purchaser price"/>
    <n v="0"/>
    <n v="0"/>
    <n v="0"/>
    <n v="0"/>
    <n v="0"/>
    <n v="0"/>
  </r>
  <r>
    <s v="517110"/>
    <x v="309"/>
    <s v="other GHGs"/>
    <s v="kg CO2e/2018 USD, purchaser price"/>
    <n v="4.0000000000000001E-3"/>
    <n v="4.0000000000000001E-3"/>
    <n v="0"/>
    <n v="0"/>
    <n v="4.0000000000000001E-3"/>
    <n v="4.0000000000000001E-3"/>
  </r>
  <r>
    <s v="517210"/>
    <x v="310"/>
    <s v="carbon dioxide"/>
    <s v="kg/2018 USD, purchaser price"/>
    <n v="0.107"/>
    <n v="0.107"/>
    <n v="0"/>
    <n v="0"/>
    <n v="0.107"/>
    <n v="0.107"/>
  </r>
  <r>
    <s v="517210"/>
    <x v="310"/>
    <s v="methane"/>
    <s v="kg/2018 USD, purchaser price"/>
    <n v="0"/>
    <n v="0"/>
    <n v="0"/>
    <n v="0"/>
    <n v="0"/>
    <n v="0"/>
  </r>
  <r>
    <s v="517210"/>
    <x v="310"/>
    <s v="nitrous oxide"/>
    <s v="kg/2018 USD, purchaser price"/>
    <n v="0"/>
    <n v="0"/>
    <n v="0"/>
    <n v="0"/>
    <n v="0"/>
    <n v="0"/>
  </r>
  <r>
    <s v="517210"/>
    <x v="310"/>
    <s v="other GHGs"/>
    <s v="kg CO2e/2018 USD, purchaser price"/>
    <n v="4.0000000000000001E-3"/>
    <n v="4.0000000000000001E-3"/>
    <n v="0"/>
    <n v="0"/>
    <n v="4.0000000000000001E-3"/>
    <n v="4.0000000000000001E-3"/>
  </r>
  <r>
    <s v="517A00"/>
    <x v="311"/>
    <s v="carbon dioxide"/>
    <s v="kg/2018 USD, purchaser price"/>
    <n v="0.10299999999999999"/>
    <n v="0.10299999999999999"/>
    <n v="0"/>
    <n v="0"/>
    <n v="0.10299999999999999"/>
    <n v="0.10299999999999999"/>
  </r>
  <r>
    <s v="517A00"/>
    <x v="311"/>
    <s v="methane"/>
    <s v="kg/2018 USD, purchaser price"/>
    <n v="0"/>
    <n v="0"/>
    <n v="0"/>
    <n v="0"/>
    <n v="0"/>
    <n v="0"/>
  </r>
  <r>
    <s v="517A00"/>
    <x v="311"/>
    <s v="nitrous oxide"/>
    <s v="kg/2018 USD, purchaser price"/>
    <n v="0"/>
    <n v="0"/>
    <n v="0"/>
    <n v="0"/>
    <n v="0"/>
    <n v="0"/>
  </r>
  <r>
    <s v="517A00"/>
    <x v="311"/>
    <s v="other GHGs"/>
    <s v="kg CO2e/2018 USD, purchaser price"/>
    <n v="3.0000000000000001E-3"/>
    <n v="3.0000000000000001E-3"/>
    <n v="0"/>
    <n v="0"/>
    <n v="3.0000000000000001E-3"/>
    <n v="3.0000000000000001E-3"/>
  </r>
  <r>
    <s v="518200"/>
    <x v="312"/>
    <s v="carbon dioxide"/>
    <s v="kg/2018 USD, purchaser price"/>
    <n v="0.126"/>
    <n v="0.126"/>
    <n v="0"/>
    <n v="0"/>
    <n v="0.126"/>
    <n v="0.126"/>
  </r>
  <r>
    <s v="518200"/>
    <x v="312"/>
    <s v="methane"/>
    <s v="kg/2018 USD, purchaser price"/>
    <n v="1E-3"/>
    <n v="2.8000000000000001E-2"/>
    <n v="0"/>
    <n v="0"/>
    <n v="1E-3"/>
    <n v="2.8000000000000001E-2"/>
  </r>
  <r>
    <s v="518200"/>
    <x v="312"/>
    <s v="nitrous oxide"/>
    <s v="kg/2018 USD, purchaser price"/>
    <n v="0"/>
    <n v="0"/>
    <n v="0"/>
    <n v="0"/>
    <n v="0"/>
    <n v="0"/>
  </r>
  <r>
    <s v="518200"/>
    <x v="312"/>
    <s v="other GHGs"/>
    <s v="kg CO2e/2018 USD, purchaser price"/>
    <n v="8.0000000000000002E-3"/>
    <n v="8.0000000000000002E-3"/>
    <n v="0"/>
    <n v="0"/>
    <n v="8.0000000000000002E-3"/>
    <n v="8.0000000000000002E-3"/>
  </r>
  <r>
    <s v="519130"/>
    <x v="313"/>
    <s v="carbon dioxide"/>
    <s v="kg/2018 USD, purchaser price"/>
    <n v="0.111"/>
    <n v="0.111"/>
    <n v="0"/>
    <n v="0"/>
    <n v="0.111"/>
    <n v="0.111"/>
  </r>
  <r>
    <s v="519130"/>
    <x v="313"/>
    <s v="methane"/>
    <s v="kg/2018 USD, purchaser price"/>
    <n v="0"/>
    <n v="0"/>
    <n v="0"/>
    <n v="0"/>
    <n v="0"/>
    <n v="0"/>
  </r>
  <r>
    <s v="519130"/>
    <x v="313"/>
    <s v="nitrous oxide"/>
    <s v="kg/2018 USD, purchaser price"/>
    <n v="0"/>
    <n v="0"/>
    <n v="0"/>
    <n v="0"/>
    <n v="0"/>
    <n v="0"/>
  </r>
  <r>
    <s v="519130"/>
    <x v="313"/>
    <s v="other GHGs"/>
    <s v="kg CO2e/2018 USD, purchaser price"/>
    <n v="2E-3"/>
    <n v="2E-3"/>
    <n v="0"/>
    <n v="0"/>
    <n v="2E-3"/>
    <n v="2E-3"/>
  </r>
  <r>
    <s v="5191A0"/>
    <x v="314"/>
    <s v="carbon dioxide"/>
    <s v="kg/2018 USD, purchaser price"/>
    <n v="0.11799999999999999"/>
    <n v="0.11799999999999999"/>
    <n v="0"/>
    <n v="0"/>
    <n v="0.11799999999999999"/>
    <n v="0.11799999999999999"/>
  </r>
  <r>
    <s v="5191A0"/>
    <x v="314"/>
    <s v="methane"/>
    <s v="kg/2018 USD, purchaser price"/>
    <n v="1E-3"/>
    <n v="2.8000000000000001E-2"/>
    <n v="0"/>
    <n v="0"/>
    <n v="1E-3"/>
    <n v="2.8000000000000001E-2"/>
  </r>
  <r>
    <s v="5191A0"/>
    <x v="314"/>
    <s v="nitrous oxide"/>
    <s v="kg/2018 USD, purchaser price"/>
    <n v="0"/>
    <n v="0"/>
    <n v="0"/>
    <n v="0"/>
    <n v="0"/>
    <n v="0"/>
  </r>
  <r>
    <s v="5191A0"/>
    <x v="314"/>
    <s v="other GHGs"/>
    <s v="kg CO2e/2018 USD, purchaser price"/>
    <n v="2E-3"/>
    <n v="2E-3"/>
    <n v="0"/>
    <n v="0"/>
    <n v="2E-3"/>
    <n v="2E-3"/>
  </r>
  <r>
    <s v="522A00"/>
    <x v="315"/>
    <s v="carbon dioxide"/>
    <s v="kg/2018 USD, purchaser price"/>
    <n v="6.5000000000000002E-2"/>
    <n v="6.5000000000000002E-2"/>
    <n v="0"/>
    <n v="0"/>
    <n v="6.5000000000000002E-2"/>
    <n v="6.5000000000000002E-2"/>
  </r>
  <r>
    <s v="522A00"/>
    <x v="315"/>
    <s v="methane"/>
    <s v="kg/2018 USD, purchaser price"/>
    <n v="0"/>
    <n v="0"/>
    <n v="0"/>
    <n v="0"/>
    <n v="0"/>
    <n v="0"/>
  </r>
  <r>
    <s v="522A00"/>
    <x v="315"/>
    <s v="nitrous oxide"/>
    <s v="kg/2018 USD, purchaser price"/>
    <n v="0"/>
    <n v="0"/>
    <n v="0"/>
    <n v="0"/>
    <n v="0"/>
    <n v="0"/>
  </r>
  <r>
    <s v="522A00"/>
    <x v="315"/>
    <s v="other GHGs"/>
    <s v="kg CO2e/2018 USD, purchaser price"/>
    <n v="1E-3"/>
    <n v="1E-3"/>
    <n v="0"/>
    <n v="0"/>
    <n v="1E-3"/>
    <n v="1E-3"/>
  </r>
  <r>
    <s v="523900"/>
    <x v="316"/>
    <s v="carbon dioxide"/>
    <s v="kg/2018 USD, purchaser price"/>
    <n v="8.6999999999999994E-2"/>
    <n v="8.6999999999999994E-2"/>
    <n v="0"/>
    <n v="0"/>
    <n v="8.6999999999999994E-2"/>
    <n v="8.6999999999999994E-2"/>
  </r>
  <r>
    <s v="523900"/>
    <x v="316"/>
    <s v="methane"/>
    <s v="kg/2018 USD, purchaser price"/>
    <n v="0"/>
    <n v="0"/>
    <n v="0"/>
    <n v="0"/>
    <n v="0"/>
    <n v="0"/>
  </r>
  <r>
    <s v="523900"/>
    <x v="316"/>
    <s v="nitrous oxide"/>
    <s v="kg/2018 USD, purchaser price"/>
    <n v="0"/>
    <n v="0"/>
    <n v="0"/>
    <n v="0"/>
    <n v="0"/>
    <n v="0"/>
  </r>
  <r>
    <s v="523900"/>
    <x v="316"/>
    <s v="other GHGs"/>
    <s v="kg CO2e/2018 USD, purchaser price"/>
    <n v="2E-3"/>
    <n v="2E-3"/>
    <n v="0"/>
    <n v="0"/>
    <n v="2E-3"/>
    <n v="2E-3"/>
  </r>
  <r>
    <s v="523A00"/>
    <x v="317"/>
    <s v="carbon dioxide"/>
    <s v="kg/2018 USD, purchaser price"/>
    <n v="6.5000000000000002E-2"/>
    <n v="6.5000000000000002E-2"/>
    <n v="0"/>
    <n v="0"/>
    <n v="6.5000000000000002E-2"/>
    <n v="6.5000000000000002E-2"/>
  </r>
  <r>
    <s v="523A00"/>
    <x v="317"/>
    <s v="methane"/>
    <s v="kg/2018 USD, purchaser price"/>
    <n v="0"/>
    <n v="0"/>
    <n v="0"/>
    <n v="0"/>
    <n v="0"/>
    <n v="0"/>
  </r>
  <r>
    <s v="523A00"/>
    <x v="317"/>
    <s v="nitrous oxide"/>
    <s v="kg/2018 USD, purchaser price"/>
    <n v="0"/>
    <n v="0"/>
    <n v="0"/>
    <n v="0"/>
    <n v="0"/>
    <n v="0"/>
  </r>
  <r>
    <s v="523A00"/>
    <x v="317"/>
    <s v="other GHGs"/>
    <s v="kg CO2e/2018 USD, purchaser price"/>
    <n v="1E-3"/>
    <n v="1E-3"/>
    <n v="0"/>
    <n v="0"/>
    <n v="1E-3"/>
    <n v="1E-3"/>
  </r>
  <r>
    <s v="524113"/>
    <x v="318"/>
    <s v="carbon dioxide"/>
    <s v="kg/2018 USD, purchaser price"/>
    <n v="2.3E-2"/>
    <n v="2.3E-2"/>
    <n v="0"/>
    <n v="0"/>
    <n v="2.3E-2"/>
    <n v="2.3E-2"/>
  </r>
  <r>
    <s v="524113"/>
    <x v="318"/>
    <s v="methane"/>
    <s v="kg/2018 USD, purchaser price"/>
    <n v="0"/>
    <n v="0"/>
    <n v="0"/>
    <n v="0"/>
    <n v="0"/>
    <n v="0"/>
  </r>
  <r>
    <s v="524113"/>
    <x v="318"/>
    <s v="nitrous oxide"/>
    <s v="kg/2018 USD, purchaser price"/>
    <n v="0"/>
    <n v="0"/>
    <n v="0"/>
    <n v="0"/>
    <n v="0"/>
    <n v="0"/>
  </r>
  <r>
    <s v="524113"/>
    <x v="318"/>
    <s v="other GHGs"/>
    <s v="kg CO2e/2018 USD, purchaser price"/>
    <n v="1E-3"/>
    <n v="1E-3"/>
    <n v="0"/>
    <n v="0"/>
    <n v="1E-3"/>
    <n v="1E-3"/>
  </r>
  <r>
    <s v="5241XX"/>
    <x v="319"/>
    <s v="carbon dioxide"/>
    <s v="kg/2018 USD, purchaser price"/>
    <n v="3.5000000000000003E-2"/>
    <n v="3.5000000000000003E-2"/>
    <n v="0"/>
    <n v="0"/>
    <n v="3.5000000000000003E-2"/>
    <n v="3.5000000000000003E-2"/>
  </r>
  <r>
    <s v="5241XX"/>
    <x v="319"/>
    <s v="methane"/>
    <s v="kg/2018 USD, purchaser price"/>
    <n v="0"/>
    <n v="0"/>
    <n v="0"/>
    <n v="0"/>
    <n v="0"/>
    <n v="0"/>
  </r>
  <r>
    <s v="5241XX"/>
    <x v="319"/>
    <s v="nitrous oxide"/>
    <s v="kg/2018 USD, purchaser price"/>
    <n v="0"/>
    <n v="0"/>
    <n v="0"/>
    <n v="0"/>
    <n v="0"/>
    <n v="0"/>
  </r>
  <r>
    <s v="5241XX"/>
    <x v="319"/>
    <s v="other GHGs"/>
    <s v="kg CO2e/2018 USD, purchaser price"/>
    <n v="1E-3"/>
    <n v="1E-3"/>
    <n v="0"/>
    <n v="0"/>
    <n v="1E-3"/>
    <n v="1E-3"/>
  </r>
  <r>
    <s v="524200"/>
    <x v="320"/>
    <s v="carbon dioxide"/>
    <s v="kg/2018 USD, purchaser price"/>
    <n v="3.2000000000000001E-2"/>
    <n v="3.2000000000000001E-2"/>
    <n v="0"/>
    <n v="0"/>
    <n v="3.2000000000000001E-2"/>
    <n v="3.2000000000000001E-2"/>
  </r>
  <r>
    <s v="524200"/>
    <x v="320"/>
    <s v="methane"/>
    <s v="kg/2018 USD, purchaser price"/>
    <n v="0"/>
    <n v="0"/>
    <n v="0"/>
    <n v="0"/>
    <n v="0"/>
    <n v="0"/>
  </r>
  <r>
    <s v="524200"/>
    <x v="320"/>
    <s v="nitrous oxide"/>
    <s v="kg/2018 USD, purchaser price"/>
    <n v="0"/>
    <n v="0"/>
    <n v="0"/>
    <n v="0"/>
    <n v="0"/>
    <n v="0"/>
  </r>
  <r>
    <s v="524200"/>
    <x v="320"/>
    <s v="other GHGs"/>
    <s v="kg CO2e/2018 USD, purchaser price"/>
    <n v="1E-3"/>
    <n v="1E-3"/>
    <n v="0"/>
    <n v="0"/>
    <n v="1E-3"/>
    <n v="1E-3"/>
  </r>
  <r>
    <s v="525000"/>
    <x v="321"/>
    <s v="carbon dioxide"/>
    <s v="kg/2018 USD, purchaser price"/>
    <n v="0.17399999999999999"/>
    <n v="0.17399999999999999"/>
    <n v="0"/>
    <n v="0"/>
    <n v="0.17399999999999999"/>
    <n v="0.17399999999999999"/>
  </r>
  <r>
    <s v="525000"/>
    <x v="321"/>
    <s v="methane"/>
    <s v="kg/2018 USD, purchaser price"/>
    <n v="1E-3"/>
    <n v="2.8000000000000001E-2"/>
    <n v="0"/>
    <n v="0"/>
    <n v="1E-3"/>
    <n v="2.8000000000000001E-2"/>
  </r>
  <r>
    <s v="525000"/>
    <x v="321"/>
    <s v="nitrous oxide"/>
    <s v="kg/2018 USD, purchaser price"/>
    <n v="0"/>
    <n v="0"/>
    <n v="0"/>
    <n v="0"/>
    <n v="0"/>
    <n v="0"/>
  </r>
  <r>
    <s v="525000"/>
    <x v="321"/>
    <s v="other GHGs"/>
    <s v="kg CO2e/2018 USD, purchaser price"/>
    <n v="2E-3"/>
    <n v="2E-3"/>
    <n v="0"/>
    <n v="0"/>
    <n v="2E-3"/>
    <n v="2E-3"/>
  </r>
  <r>
    <s v="52A000"/>
    <x v="322"/>
    <s v="carbon dioxide"/>
    <s v="kg/2018 USD, purchaser price"/>
    <n v="6.8000000000000005E-2"/>
    <n v="6.8000000000000005E-2"/>
    <n v="0"/>
    <n v="0"/>
    <n v="6.8000000000000005E-2"/>
    <n v="6.8000000000000005E-2"/>
  </r>
  <r>
    <s v="52A000"/>
    <x v="322"/>
    <s v="methane"/>
    <s v="kg/2018 USD, purchaser price"/>
    <n v="0"/>
    <n v="0"/>
    <n v="0"/>
    <n v="0"/>
    <n v="0"/>
    <n v="0"/>
  </r>
  <r>
    <s v="52A000"/>
    <x v="322"/>
    <s v="nitrous oxide"/>
    <s v="kg/2018 USD, purchaser price"/>
    <n v="0"/>
    <n v="0"/>
    <n v="0"/>
    <n v="0"/>
    <n v="0"/>
    <n v="0"/>
  </r>
  <r>
    <s v="52A000"/>
    <x v="322"/>
    <s v="other GHGs"/>
    <s v="kg CO2e/2018 USD, purchaser price"/>
    <n v="1E-3"/>
    <n v="1E-3"/>
    <n v="0"/>
    <n v="0"/>
    <n v="1E-3"/>
    <n v="1E-3"/>
  </r>
  <r>
    <s v="531HSO"/>
    <x v="323"/>
    <s v="carbon dioxide"/>
    <s v="kg/2018 USD, purchaser price"/>
    <n v="2.1000000000000001E-2"/>
    <n v="2.1000000000000001E-2"/>
    <n v="0"/>
    <n v="0"/>
    <n v="2.1000000000000001E-2"/>
    <n v="2.1000000000000001E-2"/>
  </r>
  <r>
    <s v="531HSO"/>
    <x v="323"/>
    <s v="methane"/>
    <s v="kg/2018 USD, purchaser price"/>
    <n v="0"/>
    <n v="0"/>
    <n v="0"/>
    <n v="0"/>
    <n v="0"/>
    <n v="0"/>
  </r>
  <r>
    <s v="531HSO"/>
    <x v="323"/>
    <s v="nitrous oxide"/>
    <s v="kg/2018 USD, purchaser price"/>
    <n v="0"/>
    <n v="0"/>
    <n v="0"/>
    <n v="0"/>
    <n v="0"/>
    <n v="0"/>
  </r>
  <r>
    <s v="531HSO"/>
    <x v="323"/>
    <s v="other GHGs"/>
    <s v="kg CO2e/2018 USD, purchaser price"/>
    <n v="2E-3"/>
    <n v="2E-3"/>
    <n v="0"/>
    <n v="0"/>
    <n v="2E-3"/>
    <n v="2E-3"/>
  </r>
  <r>
    <s v="531HST"/>
    <x v="324"/>
    <s v="carbon dioxide"/>
    <s v="kg/2018 USD, purchaser price"/>
    <n v="0.01"/>
    <n v="0.01"/>
    <n v="0"/>
    <n v="0"/>
    <n v="0.01"/>
    <n v="0.01"/>
  </r>
  <r>
    <s v="531HST"/>
    <x v="324"/>
    <s v="methane"/>
    <s v="kg/2018 USD, purchaser price"/>
    <n v="0"/>
    <n v="0"/>
    <n v="0"/>
    <n v="0"/>
    <n v="0"/>
    <n v="0"/>
  </r>
  <r>
    <s v="531HST"/>
    <x v="324"/>
    <s v="nitrous oxide"/>
    <s v="kg/2018 USD, purchaser price"/>
    <n v="0"/>
    <n v="0"/>
    <n v="0"/>
    <n v="0"/>
    <n v="0"/>
    <n v="0"/>
  </r>
  <r>
    <s v="531HST"/>
    <x v="324"/>
    <s v="other GHGs"/>
    <s v="kg CO2e/2018 USD, purchaser price"/>
    <n v="1E-3"/>
    <n v="1E-3"/>
    <n v="0"/>
    <n v="0"/>
    <n v="1E-3"/>
    <n v="1E-3"/>
  </r>
  <r>
    <s v="531ORE"/>
    <x v="325"/>
    <s v="carbon dioxide"/>
    <s v="kg/2018 USD, purchaser price"/>
    <n v="0.38400000000000001"/>
    <n v="0.38400000000000001"/>
    <n v="0"/>
    <n v="0"/>
    <n v="0.38400000000000001"/>
    <n v="0.38400000000000001"/>
  </r>
  <r>
    <s v="531ORE"/>
    <x v="325"/>
    <s v="methane"/>
    <s v="kg/2018 USD, purchaser price"/>
    <n v="1E-3"/>
    <n v="2.8000000000000001E-2"/>
    <n v="0"/>
    <n v="0"/>
    <n v="1E-3"/>
    <n v="2.8000000000000001E-2"/>
  </r>
  <r>
    <s v="531ORE"/>
    <x v="325"/>
    <s v="nitrous oxide"/>
    <s v="kg/2018 USD, purchaser price"/>
    <n v="0"/>
    <n v="0"/>
    <n v="0"/>
    <n v="0"/>
    <n v="0"/>
    <n v="0"/>
  </r>
  <r>
    <s v="531ORE"/>
    <x v="325"/>
    <s v="other GHGs"/>
    <s v="kg CO2e/2018 USD, purchaser price"/>
    <n v="6.0000000000000001E-3"/>
    <n v="6.0000000000000001E-3"/>
    <n v="0"/>
    <n v="0"/>
    <n v="6.0000000000000001E-3"/>
    <n v="6.0000000000000001E-3"/>
  </r>
  <r>
    <s v="532100"/>
    <x v="326"/>
    <s v="carbon dioxide"/>
    <s v="kg/2018 USD, purchaser price"/>
    <n v="0.14099999999999999"/>
    <n v="0.14099999999999999"/>
    <n v="0"/>
    <n v="0"/>
    <n v="0.14099999999999999"/>
    <n v="0.14099999999999999"/>
  </r>
  <r>
    <s v="532100"/>
    <x v="326"/>
    <s v="methane"/>
    <s v="kg/2018 USD, purchaser price"/>
    <n v="1E-3"/>
    <n v="2.8000000000000001E-2"/>
    <n v="0"/>
    <n v="0"/>
    <n v="1E-3"/>
    <n v="2.8000000000000001E-2"/>
  </r>
  <r>
    <s v="532100"/>
    <x v="326"/>
    <s v="nitrous oxide"/>
    <s v="kg/2018 USD, purchaser price"/>
    <n v="0"/>
    <n v="0"/>
    <n v="0"/>
    <n v="0"/>
    <n v="0"/>
    <n v="0"/>
  </r>
  <r>
    <s v="532100"/>
    <x v="326"/>
    <s v="other GHGs"/>
    <s v="kg CO2e/2018 USD, purchaser price"/>
    <n v="2E-3"/>
    <n v="2E-3"/>
    <n v="0"/>
    <n v="0"/>
    <n v="2E-3"/>
    <n v="2E-3"/>
  </r>
  <r>
    <s v="532400"/>
    <x v="327"/>
    <s v="carbon dioxide"/>
    <s v="kg/2018 USD, purchaser price"/>
    <n v="0.124"/>
    <n v="0.124"/>
    <n v="0"/>
    <n v="0"/>
    <n v="0.124"/>
    <n v="0.124"/>
  </r>
  <r>
    <s v="532400"/>
    <x v="327"/>
    <s v="methane"/>
    <s v="kg/2018 USD, purchaser price"/>
    <n v="1E-3"/>
    <n v="2.8000000000000001E-2"/>
    <n v="0"/>
    <n v="0"/>
    <n v="1E-3"/>
    <n v="2.8000000000000001E-2"/>
  </r>
  <r>
    <s v="532400"/>
    <x v="327"/>
    <s v="nitrous oxide"/>
    <s v="kg/2018 USD, purchaser price"/>
    <n v="0"/>
    <n v="0"/>
    <n v="0"/>
    <n v="0"/>
    <n v="0"/>
    <n v="0"/>
  </r>
  <r>
    <s v="532400"/>
    <x v="327"/>
    <s v="other GHGs"/>
    <s v="kg CO2e/2018 USD, purchaser price"/>
    <n v="8.0000000000000002E-3"/>
    <n v="8.0000000000000002E-3"/>
    <n v="0"/>
    <n v="0"/>
    <n v="8.0000000000000002E-3"/>
    <n v="8.0000000000000002E-3"/>
  </r>
  <r>
    <s v="532A00"/>
    <x v="328"/>
    <s v="carbon dioxide"/>
    <s v="kg/2018 USD, purchaser price"/>
    <n v="0.129"/>
    <n v="0.129"/>
    <n v="0"/>
    <n v="0"/>
    <n v="0.129"/>
    <n v="0.129"/>
  </r>
  <r>
    <s v="532A00"/>
    <x v="328"/>
    <s v="methane"/>
    <s v="kg/2018 USD, purchaser price"/>
    <n v="1E-3"/>
    <n v="2.8000000000000001E-2"/>
    <n v="0"/>
    <n v="0"/>
    <n v="1E-3"/>
    <n v="2.8000000000000001E-2"/>
  </r>
  <r>
    <s v="532A00"/>
    <x v="328"/>
    <s v="nitrous oxide"/>
    <s v="kg/2018 USD, purchaser price"/>
    <n v="0"/>
    <n v="0"/>
    <n v="0"/>
    <n v="0"/>
    <n v="0"/>
    <n v="0"/>
  </r>
  <r>
    <s v="532A00"/>
    <x v="328"/>
    <s v="other GHGs"/>
    <s v="kg CO2e/2018 USD, purchaser price"/>
    <n v="2E-3"/>
    <n v="2E-3"/>
    <n v="0"/>
    <n v="0"/>
    <n v="2E-3"/>
    <n v="2E-3"/>
  </r>
  <r>
    <s v="533000"/>
    <x v="329"/>
    <s v="carbon dioxide"/>
    <s v="kg/2018 USD, purchaser price"/>
    <n v="5.7000000000000002E-2"/>
    <n v="5.7000000000000002E-2"/>
    <n v="0"/>
    <n v="0"/>
    <n v="5.7000000000000002E-2"/>
    <n v="5.7000000000000002E-2"/>
  </r>
  <r>
    <s v="533000"/>
    <x v="329"/>
    <s v="methane"/>
    <s v="kg/2018 USD, purchaser price"/>
    <n v="0"/>
    <n v="0"/>
    <n v="0"/>
    <n v="0"/>
    <n v="0"/>
    <n v="0"/>
  </r>
  <r>
    <s v="533000"/>
    <x v="329"/>
    <s v="nitrous oxide"/>
    <s v="kg/2018 USD, purchaser price"/>
    <n v="0"/>
    <n v="0"/>
    <n v="0"/>
    <n v="0"/>
    <n v="0"/>
    <n v="0"/>
  </r>
  <r>
    <s v="533000"/>
    <x v="329"/>
    <s v="other GHGs"/>
    <s v="kg CO2e/2018 USD, purchaser price"/>
    <n v="1E-3"/>
    <n v="1E-3"/>
    <n v="0"/>
    <n v="0"/>
    <n v="1E-3"/>
    <n v="1E-3"/>
  </r>
  <r>
    <s v="541100"/>
    <x v="330"/>
    <s v="carbon dioxide"/>
    <s v="kg/2018 USD, purchaser price"/>
    <n v="6.3E-2"/>
    <n v="6.3E-2"/>
    <n v="0"/>
    <n v="0"/>
    <n v="6.3E-2"/>
    <n v="6.3E-2"/>
  </r>
  <r>
    <s v="541100"/>
    <x v="330"/>
    <s v="methane"/>
    <s v="kg/2018 USD, purchaser price"/>
    <n v="0"/>
    <n v="0"/>
    <n v="0"/>
    <n v="0"/>
    <n v="0"/>
    <n v="0"/>
  </r>
  <r>
    <s v="541100"/>
    <x v="330"/>
    <s v="nitrous oxide"/>
    <s v="kg/2018 USD, purchaser price"/>
    <n v="0"/>
    <n v="0"/>
    <n v="0"/>
    <n v="0"/>
    <n v="0"/>
    <n v="0"/>
  </r>
  <r>
    <s v="541100"/>
    <x v="330"/>
    <s v="other GHGs"/>
    <s v="kg CO2e/2018 USD, purchaser price"/>
    <n v="2E-3"/>
    <n v="2E-3"/>
    <n v="0"/>
    <n v="0"/>
    <n v="2E-3"/>
    <n v="2E-3"/>
  </r>
  <r>
    <s v="541200"/>
    <x v="331"/>
    <s v="carbon dioxide"/>
    <s v="kg/2018 USD, purchaser price"/>
    <n v="5.0999999999999997E-2"/>
    <n v="5.0999999999999997E-2"/>
    <n v="0"/>
    <n v="0"/>
    <n v="5.0999999999999997E-2"/>
    <n v="5.0999999999999997E-2"/>
  </r>
  <r>
    <s v="541200"/>
    <x v="331"/>
    <s v="methane"/>
    <s v="kg/2018 USD, purchaser price"/>
    <n v="0"/>
    <n v="0"/>
    <n v="0"/>
    <n v="0"/>
    <n v="0"/>
    <n v="0"/>
  </r>
  <r>
    <s v="541200"/>
    <x v="331"/>
    <s v="nitrous oxide"/>
    <s v="kg/2018 USD, purchaser price"/>
    <n v="0"/>
    <n v="0"/>
    <n v="0"/>
    <n v="0"/>
    <n v="0"/>
    <n v="0"/>
  </r>
  <r>
    <s v="541200"/>
    <x v="331"/>
    <s v="other GHGs"/>
    <s v="kg CO2e/2018 USD, purchaser price"/>
    <n v="1E-3"/>
    <n v="1E-3"/>
    <n v="0"/>
    <n v="0"/>
    <n v="1E-3"/>
    <n v="1E-3"/>
  </r>
  <r>
    <s v="541300"/>
    <x v="332"/>
    <s v="carbon dioxide"/>
    <s v="kg/2018 USD, purchaser price"/>
    <n v="0.11899999999999999"/>
    <n v="0.11899999999999999"/>
    <n v="0"/>
    <n v="0"/>
    <n v="0.11899999999999999"/>
    <n v="0.11899999999999999"/>
  </r>
  <r>
    <s v="541300"/>
    <x v="332"/>
    <s v="methane"/>
    <s v="kg/2018 USD, purchaser price"/>
    <n v="1E-3"/>
    <n v="2.8000000000000001E-2"/>
    <n v="0"/>
    <n v="0"/>
    <n v="1E-3"/>
    <n v="2.8000000000000001E-2"/>
  </r>
  <r>
    <s v="541300"/>
    <x v="332"/>
    <s v="nitrous oxide"/>
    <s v="kg/2018 USD, purchaser price"/>
    <n v="0"/>
    <n v="0"/>
    <n v="0"/>
    <n v="0"/>
    <n v="0"/>
    <n v="0"/>
  </r>
  <r>
    <s v="541300"/>
    <x v="332"/>
    <s v="other GHGs"/>
    <s v="kg CO2e/2018 USD, purchaser price"/>
    <n v="3.0000000000000001E-3"/>
    <n v="3.0000000000000001E-3"/>
    <n v="0"/>
    <n v="0"/>
    <n v="3.0000000000000001E-3"/>
    <n v="3.0000000000000001E-3"/>
  </r>
  <r>
    <s v="541400"/>
    <x v="333"/>
    <s v="carbon dioxide"/>
    <s v="kg/2018 USD, purchaser price"/>
    <n v="8.2000000000000003E-2"/>
    <n v="8.2000000000000003E-2"/>
    <n v="0"/>
    <n v="0"/>
    <n v="8.2000000000000003E-2"/>
    <n v="8.2000000000000003E-2"/>
  </r>
  <r>
    <s v="541400"/>
    <x v="333"/>
    <s v="methane"/>
    <s v="kg/2018 USD, purchaser price"/>
    <n v="0"/>
    <n v="0"/>
    <n v="0"/>
    <n v="0"/>
    <n v="0"/>
    <n v="0"/>
  </r>
  <r>
    <s v="541400"/>
    <x v="333"/>
    <s v="nitrous oxide"/>
    <s v="kg/2018 USD, purchaser price"/>
    <n v="0"/>
    <n v="0"/>
    <n v="0"/>
    <n v="0"/>
    <n v="0"/>
    <n v="0"/>
  </r>
  <r>
    <s v="541400"/>
    <x v="333"/>
    <s v="other GHGs"/>
    <s v="kg CO2e/2018 USD, purchaser price"/>
    <n v="2E-3"/>
    <n v="2E-3"/>
    <n v="0"/>
    <n v="0"/>
    <n v="2E-3"/>
    <n v="2E-3"/>
  </r>
  <r>
    <s v="541511"/>
    <x v="334"/>
    <s v="carbon dioxide"/>
    <s v="kg/2018 USD, purchaser price"/>
    <n v="7.6999999999999999E-2"/>
    <n v="7.6999999999999999E-2"/>
    <n v="0"/>
    <n v="0"/>
    <n v="7.6999999999999999E-2"/>
    <n v="7.6999999999999999E-2"/>
  </r>
  <r>
    <s v="541511"/>
    <x v="334"/>
    <s v="methane"/>
    <s v="kg/2018 USD, purchaser price"/>
    <n v="0"/>
    <n v="0"/>
    <n v="0"/>
    <n v="0"/>
    <n v="0"/>
    <n v="0"/>
  </r>
  <r>
    <s v="541511"/>
    <x v="334"/>
    <s v="nitrous oxide"/>
    <s v="kg/2018 USD, purchaser price"/>
    <n v="0"/>
    <n v="0"/>
    <n v="0"/>
    <n v="0"/>
    <n v="0"/>
    <n v="0"/>
  </r>
  <r>
    <s v="541511"/>
    <x v="334"/>
    <s v="other GHGs"/>
    <s v="kg CO2e/2018 USD, purchaser price"/>
    <n v="3.0000000000000001E-3"/>
    <n v="3.0000000000000001E-3"/>
    <n v="0"/>
    <n v="0"/>
    <n v="3.0000000000000001E-3"/>
    <n v="3.0000000000000001E-3"/>
  </r>
  <r>
    <s v="541512"/>
    <x v="335"/>
    <s v="carbon dioxide"/>
    <s v="kg/2018 USD, purchaser price"/>
    <n v="5.3999999999999999E-2"/>
    <n v="5.3999999999999999E-2"/>
    <n v="0"/>
    <n v="0"/>
    <n v="5.3999999999999999E-2"/>
    <n v="5.3999999999999999E-2"/>
  </r>
  <r>
    <s v="541512"/>
    <x v="335"/>
    <s v="methane"/>
    <s v="kg/2018 USD, purchaser price"/>
    <n v="0"/>
    <n v="0"/>
    <n v="0"/>
    <n v="0"/>
    <n v="0"/>
    <n v="0"/>
  </r>
  <r>
    <s v="541512"/>
    <x v="335"/>
    <s v="nitrous oxide"/>
    <s v="kg/2018 USD, purchaser price"/>
    <n v="0"/>
    <n v="0"/>
    <n v="0"/>
    <n v="0"/>
    <n v="0"/>
    <n v="0"/>
  </r>
  <r>
    <s v="541512"/>
    <x v="335"/>
    <s v="other GHGs"/>
    <s v="kg CO2e/2018 USD, purchaser price"/>
    <n v="8.0000000000000002E-3"/>
    <n v="8.0000000000000002E-3"/>
    <n v="0"/>
    <n v="0"/>
    <n v="8.0000000000000002E-3"/>
    <n v="8.0000000000000002E-3"/>
  </r>
  <r>
    <s v="54151A"/>
    <x v="336"/>
    <s v="carbon dioxide"/>
    <s v="kg/2018 USD, purchaser price"/>
    <n v="6.6000000000000003E-2"/>
    <n v="6.6000000000000003E-2"/>
    <n v="0"/>
    <n v="0"/>
    <n v="6.6000000000000003E-2"/>
    <n v="6.6000000000000003E-2"/>
  </r>
  <r>
    <s v="54151A"/>
    <x v="336"/>
    <s v="methane"/>
    <s v="kg/2018 USD, purchaser price"/>
    <n v="0"/>
    <n v="0"/>
    <n v="0"/>
    <n v="0"/>
    <n v="0"/>
    <n v="0"/>
  </r>
  <r>
    <s v="54151A"/>
    <x v="336"/>
    <s v="nitrous oxide"/>
    <s v="kg/2018 USD, purchaser price"/>
    <n v="0"/>
    <n v="0"/>
    <n v="0"/>
    <n v="0"/>
    <n v="0"/>
    <n v="0"/>
  </r>
  <r>
    <s v="54151A"/>
    <x v="336"/>
    <s v="other GHGs"/>
    <s v="kg CO2e/2018 USD, purchaser price"/>
    <n v="4.0000000000000001E-3"/>
    <n v="4.0000000000000001E-3"/>
    <n v="0"/>
    <n v="0"/>
    <n v="4.0000000000000001E-3"/>
    <n v="4.0000000000000001E-3"/>
  </r>
  <r>
    <s v="541610"/>
    <x v="337"/>
    <s v="carbon dioxide"/>
    <s v="kg/2018 USD, purchaser price"/>
    <n v="6.7000000000000004E-2"/>
    <n v="6.7000000000000004E-2"/>
    <n v="0"/>
    <n v="0"/>
    <n v="6.7000000000000004E-2"/>
    <n v="6.7000000000000004E-2"/>
  </r>
  <r>
    <s v="541610"/>
    <x v="337"/>
    <s v="methane"/>
    <s v="kg/2018 USD, purchaser price"/>
    <n v="0"/>
    <n v="0"/>
    <n v="0"/>
    <n v="0"/>
    <n v="0"/>
    <n v="0"/>
  </r>
  <r>
    <s v="541610"/>
    <x v="337"/>
    <s v="nitrous oxide"/>
    <s v="kg/2018 USD, purchaser price"/>
    <n v="0"/>
    <n v="0"/>
    <n v="0"/>
    <n v="0"/>
    <n v="0"/>
    <n v="0"/>
  </r>
  <r>
    <s v="541610"/>
    <x v="337"/>
    <s v="other GHGs"/>
    <s v="kg CO2e/2018 USD, purchaser price"/>
    <n v="3.0000000000000001E-3"/>
    <n v="3.0000000000000001E-3"/>
    <n v="0"/>
    <n v="0"/>
    <n v="3.0000000000000001E-3"/>
    <n v="3.0000000000000001E-3"/>
  </r>
  <r>
    <s v="5416A0"/>
    <x v="338"/>
    <s v="carbon dioxide"/>
    <s v="kg/2018 USD, purchaser price"/>
    <n v="6.5000000000000002E-2"/>
    <n v="6.5000000000000002E-2"/>
    <n v="0"/>
    <n v="0"/>
    <n v="6.5000000000000002E-2"/>
    <n v="6.5000000000000002E-2"/>
  </r>
  <r>
    <s v="5416A0"/>
    <x v="338"/>
    <s v="methane"/>
    <s v="kg/2018 USD, purchaser price"/>
    <n v="0"/>
    <n v="0"/>
    <n v="0"/>
    <n v="0"/>
    <n v="0"/>
    <n v="0"/>
  </r>
  <r>
    <s v="5416A0"/>
    <x v="338"/>
    <s v="nitrous oxide"/>
    <s v="kg/2018 USD, purchaser price"/>
    <n v="0"/>
    <n v="0"/>
    <n v="0"/>
    <n v="0"/>
    <n v="0"/>
    <n v="0"/>
  </r>
  <r>
    <s v="5416A0"/>
    <x v="338"/>
    <s v="other GHGs"/>
    <s v="kg CO2e/2018 USD, purchaser price"/>
    <n v="2E-3"/>
    <n v="2E-3"/>
    <n v="0"/>
    <n v="0"/>
    <n v="2E-3"/>
    <n v="2E-3"/>
  </r>
  <r>
    <s v="541700"/>
    <x v="339"/>
    <s v="carbon dioxide"/>
    <s v="kg/2018 USD, purchaser price"/>
    <n v="0.156"/>
    <n v="0.156"/>
    <n v="0"/>
    <n v="0"/>
    <n v="0.156"/>
    <n v="0.156"/>
  </r>
  <r>
    <s v="541700"/>
    <x v="339"/>
    <s v="methane"/>
    <s v="kg/2018 USD, purchaser price"/>
    <n v="1E-3"/>
    <n v="2.8000000000000001E-2"/>
    <n v="0"/>
    <n v="0"/>
    <n v="1E-3"/>
    <n v="2.8000000000000001E-2"/>
  </r>
  <r>
    <s v="541700"/>
    <x v="339"/>
    <s v="nitrous oxide"/>
    <s v="kg/2018 USD, purchaser price"/>
    <n v="0"/>
    <n v="0"/>
    <n v="0"/>
    <n v="0"/>
    <n v="0"/>
    <n v="0"/>
  </r>
  <r>
    <s v="541700"/>
    <x v="339"/>
    <s v="other GHGs"/>
    <s v="kg CO2e/2018 USD, purchaser price"/>
    <n v="6.0000000000000001E-3"/>
    <n v="6.0000000000000001E-3"/>
    <n v="0"/>
    <n v="0"/>
    <n v="6.0000000000000001E-3"/>
    <n v="6.0000000000000001E-3"/>
  </r>
  <r>
    <s v="541800"/>
    <x v="340"/>
    <s v="carbon dioxide"/>
    <s v="kg/2018 USD, purchaser price"/>
    <n v="0.107"/>
    <n v="0.107"/>
    <n v="0"/>
    <n v="0"/>
    <n v="0.107"/>
    <n v="0.107"/>
  </r>
  <r>
    <s v="541800"/>
    <x v="340"/>
    <s v="methane"/>
    <s v="kg/2018 USD, purchaser price"/>
    <n v="0"/>
    <n v="0"/>
    <n v="0"/>
    <n v="0"/>
    <n v="0"/>
    <n v="0"/>
  </r>
  <r>
    <s v="541800"/>
    <x v="340"/>
    <s v="nitrous oxide"/>
    <s v="kg/2018 USD, purchaser price"/>
    <n v="0"/>
    <n v="0"/>
    <n v="0"/>
    <n v="0"/>
    <n v="0"/>
    <n v="0"/>
  </r>
  <r>
    <s v="541800"/>
    <x v="340"/>
    <s v="other GHGs"/>
    <s v="kg CO2e/2018 USD, purchaser price"/>
    <n v="7.0000000000000001E-3"/>
    <n v="7.0000000000000001E-3"/>
    <n v="0"/>
    <n v="0"/>
    <n v="7.0000000000000001E-3"/>
    <n v="7.0000000000000001E-3"/>
  </r>
  <r>
    <s v="541920"/>
    <x v="341"/>
    <s v="carbon dioxide"/>
    <s v="kg/2018 USD, purchaser price"/>
    <n v="0.105"/>
    <n v="0.105"/>
    <n v="0"/>
    <n v="0"/>
    <n v="0.105"/>
    <n v="0.105"/>
  </r>
  <r>
    <s v="541920"/>
    <x v="341"/>
    <s v="methane"/>
    <s v="kg/2018 USD, purchaser price"/>
    <n v="0"/>
    <n v="0"/>
    <n v="0"/>
    <n v="0"/>
    <n v="0"/>
    <n v="0"/>
  </r>
  <r>
    <s v="541920"/>
    <x v="341"/>
    <s v="nitrous oxide"/>
    <s v="kg/2018 USD, purchaser price"/>
    <n v="0"/>
    <n v="0"/>
    <n v="0"/>
    <n v="0"/>
    <n v="0"/>
    <n v="0"/>
  </r>
  <r>
    <s v="541920"/>
    <x v="341"/>
    <s v="other GHGs"/>
    <s v="kg CO2e/2018 USD, purchaser price"/>
    <n v="2E-3"/>
    <n v="2E-3"/>
    <n v="0"/>
    <n v="0"/>
    <n v="2E-3"/>
    <n v="2E-3"/>
  </r>
  <r>
    <s v="541940"/>
    <x v="342"/>
    <s v="carbon dioxide"/>
    <s v="kg/2018 USD, purchaser price"/>
    <n v="9.8000000000000004E-2"/>
    <n v="9.8000000000000004E-2"/>
    <n v="0"/>
    <n v="0"/>
    <n v="9.8000000000000004E-2"/>
    <n v="9.8000000000000004E-2"/>
  </r>
  <r>
    <s v="541940"/>
    <x v="342"/>
    <s v="methane"/>
    <s v="kg/2018 USD, purchaser price"/>
    <n v="1E-3"/>
    <n v="2.8000000000000001E-2"/>
    <n v="0"/>
    <n v="0"/>
    <n v="1E-3"/>
    <n v="2.8000000000000001E-2"/>
  </r>
  <r>
    <s v="541940"/>
    <x v="342"/>
    <s v="nitrous oxide"/>
    <s v="kg/2018 USD, purchaser price"/>
    <n v="0"/>
    <n v="0"/>
    <n v="0"/>
    <n v="0"/>
    <n v="0"/>
    <n v="0"/>
  </r>
  <r>
    <s v="541940"/>
    <x v="342"/>
    <s v="other GHGs"/>
    <s v="kg CO2e/2018 USD, purchaser price"/>
    <n v="2E-3"/>
    <n v="2E-3"/>
    <n v="0"/>
    <n v="0"/>
    <n v="2E-3"/>
    <n v="2E-3"/>
  </r>
  <r>
    <s v="5419A0"/>
    <x v="343"/>
    <s v="carbon dioxide"/>
    <s v="kg/2018 USD, purchaser price"/>
    <n v="7.4999999999999997E-2"/>
    <n v="7.4999999999999997E-2"/>
    <n v="0"/>
    <n v="0"/>
    <n v="7.4999999999999997E-2"/>
    <n v="7.4999999999999997E-2"/>
  </r>
  <r>
    <s v="5419A0"/>
    <x v="343"/>
    <s v="methane"/>
    <s v="kg/2018 USD, purchaser price"/>
    <n v="0"/>
    <n v="0"/>
    <n v="0"/>
    <n v="0"/>
    <n v="0"/>
    <n v="0"/>
  </r>
  <r>
    <s v="5419A0"/>
    <x v="343"/>
    <s v="nitrous oxide"/>
    <s v="kg/2018 USD, purchaser price"/>
    <n v="0"/>
    <n v="0"/>
    <n v="0"/>
    <n v="0"/>
    <n v="0"/>
    <n v="0"/>
  </r>
  <r>
    <s v="5419A0"/>
    <x v="343"/>
    <s v="other GHGs"/>
    <s v="kg CO2e/2018 USD, purchaser price"/>
    <n v="2E-3"/>
    <n v="2E-3"/>
    <n v="0"/>
    <n v="0"/>
    <n v="2E-3"/>
    <n v="2E-3"/>
  </r>
  <r>
    <s v="550000"/>
    <x v="344"/>
    <s v="carbon dioxide"/>
    <s v="kg/2018 USD, purchaser price"/>
    <n v="0.113"/>
    <n v="0.113"/>
    <n v="0"/>
    <n v="0"/>
    <n v="0.113"/>
    <n v="0.113"/>
  </r>
  <r>
    <s v="550000"/>
    <x v="344"/>
    <s v="methane"/>
    <s v="kg/2018 USD, purchaser price"/>
    <n v="0"/>
    <n v="0"/>
    <n v="0"/>
    <n v="0"/>
    <n v="0"/>
    <n v="0"/>
  </r>
  <r>
    <s v="550000"/>
    <x v="344"/>
    <s v="nitrous oxide"/>
    <s v="kg/2018 USD, purchaser price"/>
    <n v="0"/>
    <n v="0"/>
    <n v="0"/>
    <n v="0"/>
    <n v="0"/>
    <n v="0"/>
  </r>
  <r>
    <s v="550000"/>
    <x v="344"/>
    <s v="other GHGs"/>
    <s v="kg CO2e/2018 USD, purchaser price"/>
    <n v="2E-3"/>
    <n v="2E-3"/>
    <n v="0"/>
    <n v="0"/>
    <n v="2E-3"/>
    <n v="2E-3"/>
  </r>
  <r>
    <s v="561100"/>
    <x v="345"/>
    <s v="carbon dioxide"/>
    <s v="kg/2018 USD, purchaser price"/>
    <n v="8.4000000000000005E-2"/>
    <n v="8.4000000000000005E-2"/>
    <n v="0"/>
    <n v="0"/>
    <n v="8.4000000000000005E-2"/>
    <n v="8.4000000000000005E-2"/>
  </r>
  <r>
    <s v="561100"/>
    <x v="345"/>
    <s v="methane"/>
    <s v="kg/2018 USD, purchaser price"/>
    <n v="0"/>
    <n v="0"/>
    <n v="0"/>
    <n v="0"/>
    <n v="0"/>
    <n v="0"/>
  </r>
  <r>
    <s v="561100"/>
    <x v="345"/>
    <s v="nitrous oxide"/>
    <s v="kg/2018 USD, purchaser price"/>
    <n v="0"/>
    <n v="0"/>
    <n v="0"/>
    <n v="0"/>
    <n v="0"/>
    <n v="0"/>
  </r>
  <r>
    <s v="561100"/>
    <x v="345"/>
    <s v="other GHGs"/>
    <s v="kg CO2e/2018 USD, purchaser price"/>
    <n v="2E-3"/>
    <n v="2E-3"/>
    <n v="0"/>
    <n v="0"/>
    <n v="2E-3"/>
    <n v="2E-3"/>
  </r>
  <r>
    <s v="561200"/>
    <x v="346"/>
    <s v="carbon dioxide"/>
    <s v="kg/2018 USD, purchaser price"/>
    <n v="0.20699999999999999"/>
    <n v="0.20699999999999999"/>
    <n v="0"/>
    <n v="0"/>
    <n v="0.20699999999999999"/>
    <n v="0.20699999999999999"/>
  </r>
  <r>
    <s v="561200"/>
    <x v="346"/>
    <s v="methane"/>
    <s v="kg/2018 USD, purchaser price"/>
    <n v="1E-3"/>
    <n v="2.8000000000000001E-2"/>
    <n v="0"/>
    <n v="0"/>
    <n v="1E-3"/>
    <n v="2.8000000000000001E-2"/>
  </r>
  <r>
    <s v="561200"/>
    <x v="346"/>
    <s v="nitrous oxide"/>
    <s v="kg/2018 USD, purchaser price"/>
    <n v="0"/>
    <n v="0"/>
    <n v="0"/>
    <n v="0"/>
    <n v="0"/>
    <n v="0"/>
  </r>
  <r>
    <s v="561200"/>
    <x v="346"/>
    <s v="other GHGs"/>
    <s v="kg CO2e/2018 USD, purchaser price"/>
    <n v="4.0000000000000001E-3"/>
    <n v="4.0000000000000001E-3"/>
    <n v="0"/>
    <n v="0"/>
    <n v="4.0000000000000001E-3"/>
    <n v="4.0000000000000001E-3"/>
  </r>
  <r>
    <s v="561300"/>
    <x v="347"/>
    <s v="carbon dioxide"/>
    <s v="kg/2018 USD, purchaser price"/>
    <n v="3.3000000000000002E-2"/>
    <n v="3.3000000000000002E-2"/>
    <n v="0"/>
    <n v="0"/>
    <n v="3.3000000000000002E-2"/>
    <n v="3.3000000000000002E-2"/>
  </r>
  <r>
    <s v="561300"/>
    <x v="347"/>
    <s v="methane"/>
    <s v="kg/2018 USD, purchaser price"/>
    <n v="0"/>
    <n v="0"/>
    <n v="0"/>
    <n v="0"/>
    <n v="0"/>
    <n v="0"/>
  </r>
  <r>
    <s v="561300"/>
    <x v="347"/>
    <s v="nitrous oxide"/>
    <s v="kg/2018 USD, purchaser price"/>
    <n v="0"/>
    <n v="0"/>
    <n v="0"/>
    <n v="0"/>
    <n v="0"/>
    <n v="0"/>
  </r>
  <r>
    <s v="561300"/>
    <x v="347"/>
    <s v="other GHGs"/>
    <s v="kg CO2e/2018 USD, purchaser price"/>
    <n v="1E-3"/>
    <n v="1E-3"/>
    <n v="0"/>
    <n v="0"/>
    <n v="1E-3"/>
    <n v="1E-3"/>
  </r>
  <r>
    <s v="561400"/>
    <x v="348"/>
    <s v="carbon dioxide"/>
    <s v="kg/2018 USD, purchaser price"/>
    <n v="0.112"/>
    <n v="0.112"/>
    <n v="0"/>
    <n v="0"/>
    <n v="0.112"/>
    <n v="0.112"/>
  </r>
  <r>
    <s v="561400"/>
    <x v="348"/>
    <s v="methane"/>
    <s v="kg/2018 USD, purchaser price"/>
    <n v="1E-3"/>
    <n v="2.8000000000000001E-2"/>
    <n v="0"/>
    <n v="0"/>
    <n v="1E-3"/>
    <n v="2.8000000000000001E-2"/>
  </r>
  <r>
    <s v="561400"/>
    <x v="348"/>
    <s v="nitrous oxide"/>
    <s v="kg/2018 USD, purchaser price"/>
    <n v="0"/>
    <n v="0"/>
    <n v="0"/>
    <n v="0"/>
    <n v="0"/>
    <n v="0"/>
  </r>
  <r>
    <s v="561400"/>
    <x v="348"/>
    <s v="other GHGs"/>
    <s v="kg CO2e/2018 USD, purchaser price"/>
    <n v="2E-3"/>
    <n v="2E-3"/>
    <n v="0"/>
    <n v="0"/>
    <n v="2E-3"/>
    <n v="2E-3"/>
  </r>
  <r>
    <s v="561500"/>
    <x v="349"/>
    <s v="carbon dioxide"/>
    <s v="kg/2018 USD, purchaser price"/>
    <n v="0.09"/>
    <n v="0.09"/>
    <n v="0"/>
    <n v="0"/>
    <n v="0.09"/>
    <n v="0.09"/>
  </r>
  <r>
    <s v="561500"/>
    <x v="349"/>
    <s v="methane"/>
    <s v="kg/2018 USD, purchaser price"/>
    <n v="0"/>
    <n v="0"/>
    <n v="0"/>
    <n v="0"/>
    <n v="0"/>
    <n v="0"/>
  </r>
  <r>
    <s v="561500"/>
    <x v="349"/>
    <s v="nitrous oxide"/>
    <s v="kg/2018 USD, purchaser price"/>
    <n v="0"/>
    <n v="0"/>
    <n v="0"/>
    <n v="0"/>
    <n v="0"/>
    <n v="0"/>
  </r>
  <r>
    <s v="561500"/>
    <x v="349"/>
    <s v="other GHGs"/>
    <s v="kg CO2e/2018 USD, purchaser price"/>
    <n v="3.0000000000000001E-3"/>
    <n v="3.0000000000000001E-3"/>
    <n v="0"/>
    <n v="0"/>
    <n v="3.0000000000000001E-3"/>
    <n v="3.0000000000000001E-3"/>
  </r>
  <r>
    <s v="561600"/>
    <x v="350"/>
    <s v="carbon dioxide"/>
    <s v="kg/2018 USD, purchaser price"/>
    <n v="0.09"/>
    <n v="0.09"/>
    <n v="0"/>
    <n v="0"/>
    <n v="0.09"/>
    <n v="0.09"/>
  </r>
  <r>
    <s v="561600"/>
    <x v="350"/>
    <s v="methane"/>
    <s v="kg/2018 USD, purchaser price"/>
    <n v="0"/>
    <n v="0"/>
    <n v="0"/>
    <n v="0"/>
    <n v="0"/>
    <n v="0"/>
  </r>
  <r>
    <s v="561600"/>
    <x v="350"/>
    <s v="nitrous oxide"/>
    <s v="kg/2018 USD, purchaser price"/>
    <n v="0"/>
    <n v="0"/>
    <n v="0"/>
    <n v="0"/>
    <n v="0"/>
    <n v="0"/>
  </r>
  <r>
    <s v="561600"/>
    <x v="350"/>
    <s v="other GHGs"/>
    <s v="kg CO2e/2018 USD, purchaser price"/>
    <n v="2E-3"/>
    <n v="2E-3"/>
    <n v="0"/>
    <n v="0"/>
    <n v="2E-3"/>
    <n v="2E-3"/>
  </r>
  <r>
    <s v="561700"/>
    <x v="351"/>
    <s v="carbon dioxide"/>
    <s v="kg/2018 USD, purchaser price"/>
    <n v="0.14699999999999999"/>
    <n v="0.14699999999999999"/>
    <n v="0"/>
    <n v="0"/>
    <n v="0.14699999999999999"/>
    <n v="0.14699999999999999"/>
  </r>
  <r>
    <s v="561700"/>
    <x v="351"/>
    <s v="methane"/>
    <s v="kg/2018 USD, purchaser price"/>
    <n v="1E-3"/>
    <n v="2.8000000000000001E-2"/>
    <n v="0"/>
    <n v="0"/>
    <n v="1E-3"/>
    <n v="2.8000000000000001E-2"/>
  </r>
  <r>
    <s v="561700"/>
    <x v="351"/>
    <s v="nitrous oxide"/>
    <s v="kg/2018 USD, purchaser price"/>
    <n v="0"/>
    <n v="0"/>
    <n v="0"/>
    <n v="0"/>
    <n v="0"/>
    <n v="0"/>
  </r>
  <r>
    <s v="561700"/>
    <x v="351"/>
    <s v="other GHGs"/>
    <s v="kg CO2e/2018 USD, purchaser price"/>
    <n v="1.6E-2"/>
    <n v="1.6E-2"/>
    <n v="0"/>
    <n v="0"/>
    <n v="1.6E-2"/>
    <n v="1.6E-2"/>
  </r>
  <r>
    <s v="561900"/>
    <x v="352"/>
    <s v="carbon dioxide"/>
    <s v="kg/2018 USD, purchaser price"/>
    <n v="0.13300000000000001"/>
    <n v="0.13300000000000001"/>
    <n v="0"/>
    <n v="0"/>
    <n v="0.13300000000000001"/>
    <n v="0.13300000000000001"/>
  </r>
  <r>
    <s v="561900"/>
    <x v="352"/>
    <s v="methane"/>
    <s v="kg/2018 USD, purchaser price"/>
    <n v="1E-3"/>
    <n v="2.8000000000000001E-2"/>
    <n v="0"/>
    <n v="0"/>
    <n v="1E-3"/>
    <n v="2.8000000000000001E-2"/>
  </r>
  <r>
    <s v="561900"/>
    <x v="352"/>
    <s v="nitrous oxide"/>
    <s v="kg/2018 USD, purchaser price"/>
    <n v="0"/>
    <n v="0"/>
    <n v="0"/>
    <n v="0"/>
    <n v="0"/>
    <n v="0"/>
  </r>
  <r>
    <s v="561900"/>
    <x v="352"/>
    <s v="other GHGs"/>
    <s v="kg CO2e/2018 USD, purchaser price"/>
    <n v="5.0000000000000001E-3"/>
    <n v="5.0000000000000001E-3"/>
    <n v="0"/>
    <n v="0"/>
    <n v="5.0000000000000001E-3"/>
    <n v="5.0000000000000001E-3"/>
  </r>
  <r>
    <s v="562000"/>
    <x v="353"/>
    <s v="carbon dioxide"/>
    <s v="kg/2018 USD, purchaser price"/>
    <n v="0.311"/>
    <n v="0.311"/>
    <n v="0"/>
    <n v="0"/>
    <n v="0.311"/>
    <n v="0.311"/>
  </r>
  <r>
    <s v="562000"/>
    <x v="353"/>
    <s v="methane"/>
    <s v="kg/2018 USD, purchaser price"/>
    <n v="4.7E-2"/>
    <n v="1.3160000000000001"/>
    <n v="0"/>
    <n v="0"/>
    <n v="4.7E-2"/>
    <n v="1.3160000000000001"/>
  </r>
  <r>
    <s v="562000"/>
    <x v="353"/>
    <s v="nitrous oxide"/>
    <s v="kg/2018 USD, purchaser price"/>
    <n v="0"/>
    <n v="0"/>
    <n v="0"/>
    <n v="0"/>
    <n v="0"/>
    <n v="0"/>
  </r>
  <r>
    <s v="562000"/>
    <x v="353"/>
    <s v="other GHGs"/>
    <s v="kg CO2e/2018 USD, purchaser price"/>
    <n v="1.4999999999999999E-2"/>
    <n v="1.4999999999999999E-2"/>
    <n v="0"/>
    <n v="0"/>
    <n v="1.4999999999999999E-2"/>
    <n v="1.4999999999999999E-2"/>
  </r>
  <r>
    <s v="611100"/>
    <x v="354"/>
    <s v="carbon dioxide"/>
    <s v="kg/2018 USD, purchaser price"/>
    <n v="0.13400000000000001"/>
    <n v="0.13400000000000001"/>
    <n v="0"/>
    <n v="0"/>
    <n v="0.13400000000000001"/>
    <n v="0.13400000000000001"/>
  </r>
  <r>
    <s v="611100"/>
    <x v="354"/>
    <s v="methane"/>
    <s v="kg/2018 USD, purchaser price"/>
    <n v="1E-3"/>
    <n v="2.8000000000000001E-2"/>
    <n v="0"/>
    <n v="0"/>
    <n v="1E-3"/>
    <n v="2.8000000000000001E-2"/>
  </r>
  <r>
    <s v="611100"/>
    <x v="354"/>
    <s v="nitrous oxide"/>
    <s v="kg/2018 USD, purchaser price"/>
    <n v="0"/>
    <n v="0"/>
    <n v="0"/>
    <n v="0"/>
    <n v="0"/>
    <n v="0"/>
  </r>
  <r>
    <s v="611100"/>
    <x v="354"/>
    <s v="other GHGs"/>
    <s v="kg CO2e/2018 USD, purchaser price"/>
    <n v="3.0000000000000001E-3"/>
    <n v="3.0000000000000001E-3"/>
    <n v="0"/>
    <n v="0"/>
    <n v="3.0000000000000001E-3"/>
    <n v="3.0000000000000001E-3"/>
  </r>
  <r>
    <s v="611A00"/>
    <x v="355"/>
    <s v="carbon dioxide"/>
    <s v="kg/2018 USD, purchaser price"/>
    <n v="0.16800000000000001"/>
    <n v="0.16800000000000001"/>
    <n v="0"/>
    <n v="0"/>
    <n v="0.16800000000000001"/>
    <n v="0.16800000000000001"/>
  </r>
  <r>
    <s v="611A00"/>
    <x v="355"/>
    <s v="methane"/>
    <s v="kg/2018 USD, purchaser price"/>
    <n v="1E-3"/>
    <n v="2.8000000000000001E-2"/>
    <n v="0"/>
    <n v="0"/>
    <n v="1E-3"/>
    <n v="2.8000000000000001E-2"/>
  </r>
  <r>
    <s v="611A00"/>
    <x v="355"/>
    <s v="nitrous oxide"/>
    <s v="kg/2018 USD, purchaser price"/>
    <n v="0"/>
    <n v="0"/>
    <n v="0"/>
    <n v="0"/>
    <n v="0"/>
    <n v="0"/>
  </r>
  <r>
    <s v="611A00"/>
    <x v="355"/>
    <s v="other GHGs"/>
    <s v="kg CO2e/2018 USD, purchaser price"/>
    <n v="3.0000000000000001E-3"/>
    <n v="3.0000000000000001E-3"/>
    <n v="0"/>
    <n v="0"/>
    <n v="3.0000000000000001E-3"/>
    <n v="3.0000000000000001E-3"/>
  </r>
  <r>
    <s v="611B00"/>
    <x v="356"/>
    <s v="carbon dioxide"/>
    <s v="kg/2018 USD, purchaser price"/>
    <n v="0.121"/>
    <n v="0.121"/>
    <n v="0"/>
    <n v="0"/>
    <n v="0.121"/>
    <n v="0.121"/>
  </r>
  <r>
    <s v="611B00"/>
    <x v="356"/>
    <s v="methane"/>
    <s v="kg/2018 USD, purchaser price"/>
    <n v="1E-3"/>
    <n v="2.8000000000000001E-2"/>
    <n v="0"/>
    <n v="0"/>
    <n v="1E-3"/>
    <n v="2.8000000000000001E-2"/>
  </r>
  <r>
    <s v="611B00"/>
    <x v="356"/>
    <s v="nitrous oxide"/>
    <s v="kg/2018 USD, purchaser price"/>
    <n v="0"/>
    <n v="0"/>
    <n v="0"/>
    <n v="0"/>
    <n v="0"/>
    <n v="0"/>
  </r>
  <r>
    <s v="611B00"/>
    <x v="356"/>
    <s v="other GHGs"/>
    <s v="kg CO2e/2018 USD, purchaser price"/>
    <n v="3.0000000000000001E-3"/>
    <n v="3.0000000000000001E-3"/>
    <n v="0"/>
    <n v="0"/>
    <n v="3.0000000000000001E-3"/>
    <n v="3.0000000000000001E-3"/>
  </r>
  <r>
    <s v="621100"/>
    <x v="357"/>
    <s v="carbon dioxide"/>
    <s v="kg/2018 USD, purchaser price"/>
    <n v="7.2999999999999995E-2"/>
    <n v="7.2999999999999995E-2"/>
    <n v="0"/>
    <n v="0"/>
    <n v="7.2999999999999995E-2"/>
    <n v="7.2999999999999995E-2"/>
  </r>
  <r>
    <s v="621100"/>
    <x v="357"/>
    <s v="methane"/>
    <s v="kg/2018 USD, purchaser price"/>
    <n v="0"/>
    <n v="0"/>
    <n v="0"/>
    <n v="0"/>
    <n v="0"/>
    <n v="0"/>
  </r>
  <r>
    <s v="621100"/>
    <x v="357"/>
    <s v="nitrous oxide"/>
    <s v="kg/2018 USD, purchaser price"/>
    <n v="0"/>
    <n v="0"/>
    <n v="0"/>
    <n v="0"/>
    <n v="0"/>
    <n v="0"/>
  </r>
  <r>
    <s v="621100"/>
    <x v="357"/>
    <s v="other GHGs"/>
    <s v="kg CO2e/2018 USD, purchaser price"/>
    <n v="3.0000000000000001E-3"/>
    <n v="3.0000000000000001E-3"/>
    <n v="0"/>
    <n v="0"/>
    <n v="3.0000000000000001E-3"/>
    <n v="3.0000000000000001E-3"/>
  </r>
  <r>
    <s v="621200"/>
    <x v="358"/>
    <s v="carbon dioxide"/>
    <s v="kg/2018 USD, purchaser price"/>
    <n v="9.4E-2"/>
    <n v="9.4E-2"/>
    <n v="0"/>
    <n v="0"/>
    <n v="9.4E-2"/>
    <n v="9.4E-2"/>
  </r>
  <r>
    <s v="621200"/>
    <x v="358"/>
    <s v="methane"/>
    <s v="kg/2018 USD, purchaser price"/>
    <n v="0"/>
    <n v="0"/>
    <n v="0"/>
    <n v="0"/>
    <n v="0"/>
    <n v="0"/>
  </r>
  <r>
    <s v="621200"/>
    <x v="358"/>
    <s v="nitrous oxide"/>
    <s v="kg/2018 USD, purchaser price"/>
    <n v="0"/>
    <n v="0"/>
    <n v="0"/>
    <n v="0"/>
    <n v="0"/>
    <n v="0"/>
  </r>
  <r>
    <s v="621200"/>
    <x v="358"/>
    <s v="other GHGs"/>
    <s v="kg CO2e/2018 USD, purchaser price"/>
    <n v="3.0000000000000001E-3"/>
    <n v="3.0000000000000001E-3"/>
    <n v="0"/>
    <n v="0"/>
    <n v="3.0000000000000001E-3"/>
    <n v="3.0000000000000001E-3"/>
  </r>
  <r>
    <s v="621300"/>
    <x v="359"/>
    <s v="carbon dioxide"/>
    <s v="kg/2018 USD, purchaser price"/>
    <n v="9.9000000000000005E-2"/>
    <n v="9.9000000000000005E-2"/>
    <n v="0"/>
    <n v="0"/>
    <n v="9.9000000000000005E-2"/>
    <n v="9.9000000000000005E-2"/>
  </r>
  <r>
    <s v="621300"/>
    <x v="359"/>
    <s v="methane"/>
    <s v="kg/2018 USD, purchaser price"/>
    <n v="0"/>
    <n v="0"/>
    <n v="0"/>
    <n v="0"/>
    <n v="0"/>
    <n v="0"/>
  </r>
  <r>
    <s v="621300"/>
    <x v="359"/>
    <s v="nitrous oxide"/>
    <s v="kg/2018 USD, purchaser price"/>
    <n v="0"/>
    <n v="0"/>
    <n v="0"/>
    <n v="0"/>
    <n v="0"/>
    <n v="0"/>
  </r>
  <r>
    <s v="621300"/>
    <x v="359"/>
    <s v="other GHGs"/>
    <s v="kg CO2e/2018 USD, purchaser price"/>
    <n v="3.0000000000000001E-3"/>
    <n v="3.0000000000000001E-3"/>
    <n v="0"/>
    <n v="0"/>
    <n v="3.0000000000000001E-3"/>
    <n v="3.0000000000000001E-3"/>
  </r>
  <r>
    <s v="621400"/>
    <x v="360"/>
    <s v="carbon dioxide"/>
    <s v="kg/2018 USD, purchaser price"/>
    <n v="0.114"/>
    <n v="0.114"/>
    <n v="0"/>
    <n v="0"/>
    <n v="0.114"/>
    <n v="0.114"/>
  </r>
  <r>
    <s v="621400"/>
    <x v="360"/>
    <s v="methane"/>
    <s v="kg/2018 USD, purchaser price"/>
    <n v="1E-3"/>
    <n v="2.8000000000000001E-2"/>
    <n v="0"/>
    <n v="0"/>
    <n v="1E-3"/>
    <n v="2.8000000000000001E-2"/>
  </r>
  <r>
    <s v="621400"/>
    <x v="360"/>
    <s v="nitrous oxide"/>
    <s v="kg/2018 USD, purchaser price"/>
    <n v="0"/>
    <n v="0"/>
    <n v="0"/>
    <n v="0"/>
    <n v="0"/>
    <n v="0"/>
  </r>
  <r>
    <s v="621400"/>
    <x v="360"/>
    <s v="other GHGs"/>
    <s v="kg CO2e/2018 USD, purchaser price"/>
    <n v="3.0000000000000001E-3"/>
    <n v="3.0000000000000001E-3"/>
    <n v="0"/>
    <n v="0"/>
    <n v="3.0000000000000001E-3"/>
    <n v="3.0000000000000001E-3"/>
  </r>
  <r>
    <s v="621500"/>
    <x v="361"/>
    <s v="carbon dioxide"/>
    <s v="kg/2018 USD, purchaser price"/>
    <n v="0.09"/>
    <n v="0.09"/>
    <n v="0"/>
    <n v="0"/>
    <n v="0.09"/>
    <n v="0.09"/>
  </r>
  <r>
    <s v="621500"/>
    <x v="361"/>
    <s v="methane"/>
    <s v="kg/2018 USD, purchaser price"/>
    <n v="0"/>
    <n v="0"/>
    <n v="0"/>
    <n v="0"/>
    <n v="0"/>
    <n v="0"/>
  </r>
  <r>
    <s v="621500"/>
    <x v="361"/>
    <s v="nitrous oxide"/>
    <s v="kg/2018 USD, purchaser price"/>
    <n v="0"/>
    <n v="0"/>
    <n v="0"/>
    <n v="0"/>
    <n v="0"/>
    <n v="0"/>
  </r>
  <r>
    <s v="621500"/>
    <x v="361"/>
    <s v="other GHGs"/>
    <s v="kg CO2e/2018 USD, purchaser price"/>
    <n v="2E-3"/>
    <n v="2E-3"/>
    <n v="0"/>
    <n v="0"/>
    <n v="2E-3"/>
    <n v="2E-3"/>
  </r>
  <r>
    <s v="621600"/>
    <x v="362"/>
    <s v="carbon dioxide"/>
    <s v="kg/2018 USD, purchaser price"/>
    <n v="0.10100000000000001"/>
    <n v="0.10100000000000001"/>
    <n v="0"/>
    <n v="0"/>
    <n v="0.10100000000000001"/>
    <n v="0.10100000000000001"/>
  </r>
  <r>
    <s v="621600"/>
    <x v="362"/>
    <s v="methane"/>
    <s v="kg/2018 USD, purchaser price"/>
    <n v="1E-3"/>
    <n v="2.8000000000000001E-2"/>
    <n v="0"/>
    <n v="0"/>
    <n v="1E-3"/>
    <n v="2.8000000000000001E-2"/>
  </r>
  <r>
    <s v="621600"/>
    <x v="362"/>
    <s v="nitrous oxide"/>
    <s v="kg/2018 USD, purchaser price"/>
    <n v="0"/>
    <n v="0"/>
    <n v="0"/>
    <n v="0"/>
    <n v="0"/>
    <n v="0"/>
  </r>
  <r>
    <s v="621600"/>
    <x v="362"/>
    <s v="other GHGs"/>
    <s v="kg CO2e/2018 USD, purchaser price"/>
    <n v="4.0000000000000001E-3"/>
    <n v="4.0000000000000001E-3"/>
    <n v="0"/>
    <n v="0"/>
    <n v="4.0000000000000001E-3"/>
    <n v="4.0000000000000001E-3"/>
  </r>
  <r>
    <s v="621900"/>
    <x v="363"/>
    <s v="carbon dioxide"/>
    <s v="kg/2018 USD, purchaser price"/>
    <n v="0.158"/>
    <n v="0.158"/>
    <n v="0"/>
    <n v="0"/>
    <n v="0.158"/>
    <n v="0.158"/>
  </r>
  <r>
    <s v="621900"/>
    <x v="363"/>
    <s v="methane"/>
    <s v="kg/2018 USD, purchaser price"/>
    <n v="1E-3"/>
    <n v="2.8000000000000001E-2"/>
    <n v="0"/>
    <n v="0"/>
    <n v="1E-3"/>
    <n v="2.8000000000000001E-2"/>
  </r>
  <r>
    <s v="621900"/>
    <x v="363"/>
    <s v="nitrous oxide"/>
    <s v="kg/2018 USD, purchaser price"/>
    <n v="0"/>
    <n v="0"/>
    <n v="0"/>
    <n v="0"/>
    <n v="0"/>
    <n v="0"/>
  </r>
  <r>
    <s v="621900"/>
    <x v="363"/>
    <s v="other GHGs"/>
    <s v="kg CO2e/2018 USD, purchaser price"/>
    <n v="7.0000000000000001E-3"/>
    <n v="7.0000000000000001E-3"/>
    <n v="0"/>
    <n v="0"/>
    <n v="7.0000000000000001E-3"/>
    <n v="7.0000000000000001E-3"/>
  </r>
  <r>
    <s v="622000"/>
    <x v="364"/>
    <s v="carbon dioxide"/>
    <s v="kg/2018 USD, purchaser price"/>
    <n v="0.14199999999999999"/>
    <n v="0.14199999999999999"/>
    <n v="0"/>
    <n v="0"/>
    <n v="0.14199999999999999"/>
    <n v="0.14199999999999999"/>
  </r>
  <r>
    <s v="622000"/>
    <x v="364"/>
    <s v="methane"/>
    <s v="kg/2018 USD, purchaser price"/>
    <n v="1E-3"/>
    <n v="2.8000000000000001E-2"/>
    <n v="0"/>
    <n v="0"/>
    <n v="1E-3"/>
    <n v="2.8000000000000001E-2"/>
  </r>
  <r>
    <s v="622000"/>
    <x v="364"/>
    <s v="nitrous oxide"/>
    <s v="kg/2018 USD, purchaser price"/>
    <n v="0"/>
    <n v="0"/>
    <n v="0"/>
    <n v="0"/>
    <n v="0"/>
    <n v="0"/>
  </r>
  <r>
    <s v="622000"/>
    <x v="364"/>
    <s v="other GHGs"/>
    <s v="kg CO2e/2018 USD, purchaser price"/>
    <n v="5.0000000000000001E-3"/>
    <n v="5.0000000000000001E-3"/>
    <n v="0"/>
    <n v="0"/>
    <n v="5.0000000000000001E-3"/>
    <n v="5.0000000000000001E-3"/>
  </r>
  <r>
    <s v="623A00"/>
    <x v="365"/>
    <s v="carbon dioxide"/>
    <s v="kg/2018 USD, purchaser price"/>
    <n v="0.14099999999999999"/>
    <n v="0.14099999999999999"/>
    <n v="0"/>
    <n v="0"/>
    <n v="0.14099999999999999"/>
    <n v="0.14099999999999999"/>
  </r>
  <r>
    <s v="623A00"/>
    <x v="365"/>
    <s v="methane"/>
    <s v="kg/2018 USD, purchaser price"/>
    <n v="1E-3"/>
    <n v="2.8000000000000001E-2"/>
    <n v="0"/>
    <n v="0"/>
    <n v="1E-3"/>
    <n v="2.8000000000000001E-2"/>
  </r>
  <r>
    <s v="623A00"/>
    <x v="365"/>
    <s v="nitrous oxide"/>
    <s v="kg/2018 USD, purchaser price"/>
    <n v="0"/>
    <n v="0"/>
    <n v="0"/>
    <n v="0"/>
    <n v="0"/>
    <n v="0"/>
  </r>
  <r>
    <s v="623A00"/>
    <x v="365"/>
    <s v="other GHGs"/>
    <s v="kg CO2e/2018 USD, purchaser price"/>
    <n v="5.0000000000000001E-3"/>
    <n v="5.0000000000000001E-3"/>
    <n v="0"/>
    <n v="0"/>
    <n v="5.0000000000000001E-3"/>
    <n v="5.0000000000000001E-3"/>
  </r>
  <r>
    <s v="623B00"/>
    <x v="366"/>
    <s v="carbon dioxide"/>
    <s v="kg/2018 USD, purchaser price"/>
    <n v="0.13900000000000001"/>
    <n v="0.13900000000000001"/>
    <n v="0"/>
    <n v="0"/>
    <n v="0.13900000000000001"/>
    <n v="0.13900000000000001"/>
  </r>
  <r>
    <s v="623B00"/>
    <x v="366"/>
    <s v="methane"/>
    <s v="kg/2018 USD, purchaser price"/>
    <n v="2E-3"/>
    <n v="5.6000000000000001E-2"/>
    <n v="0"/>
    <n v="0"/>
    <n v="2E-3"/>
    <n v="5.6000000000000001E-2"/>
  </r>
  <r>
    <s v="623B00"/>
    <x v="366"/>
    <s v="nitrous oxide"/>
    <s v="kg/2018 USD, purchaser price"/>
    <n v="0"/>
    <n v="0"/>
    <n v="0"/>
    <n v="0"/>
    <n v="0"/>
    <n v="0"/>
  </r>
  <r>
    <s v="623B00"/>
    <x v="366"/>
    <s v="other GHGs"/>
    <s v="kg CO2e/2018 USD, purchaser price"/>
    <n v="8.9999999999999993E-3"/>
    <n v="8.9999999999999993E-3"/>
    <n v="0"/>
    <n v="0"/>
    <n v="8.9999999999999993E-3"/>
    <n v="8.9999999999999993E-3"/>
  </r>
  <r>
    <s v="624100"/>
    <x v="367"/>
    <s v="carbon dioxide"/>
    <s v="kg/2018 USD, purchaser price"/>
    <n v="0.13700000000000001"/>
    <n v="0.13700000000000001"/>
    <n v="0"/>
    <n v="0"/>
    <n v="0.13700000000000001"/>
    <n v="0.13700000000000001"/>
  </r>
  <r>
    <s v="624100"/>
    <x v="367"/>
    <s v="methane"/>
    <s v="kg/2018 USD, purchaser price"/>
    <n v="1E-3"/>
    <n v="2.8000000000000001E-2"/>
    <n v="0"/>
    <n v="0"/>
    <n v="1E-3"/>
    <n v="2.8000000000000001E-2"/>
  </r>
  <r>
    <s v="624100"/>
    <x v="367"/>
    <s v="nitrous oxide"/>
    <s v="kg/2018 USD, purchaser price"/>
    <n v="0"/>
    <n v="0"/>
    <n v="0"/>
    <n v="0"/>
    <n v="0"/>
    <n v="0"/>
  </r>
  <r>
    <s v="624100"/>
    <x v="367"/>
    <s v="other GHGs"/>
    <s v="kg CO2e/2018 USD, purchaser price"/>
    <n v="4.0000000000000001E-3"/>
    <n v="4.0000000000000001E-3"/>
    <n v="0"/>
    <n v="0"/>
    <n v="4.0000000000000001E-3"/>
    <n v="4.0000000000000001E-3"/>
  </r>
  <r>
    <s v="624400"/>
    <x v="368"/>
    <s v="carbon dioxide"/>
    <s v="kg/2018 USD, purchaser price"/>
    <n v="0.155"/>
    <n v="0.155"/>
    <n v="0"/>
    <n v="0"/>
    <n v="0.155"/>
    <n v="0.155"/>
  </r>
  <r>
    <s v="624400"/>
    <x v="368"/>
    <s v="methane"/>
    <s v="kg/2018 USD, purchaser price"/>
    <n v="2E-3"/>
    <n v="5.6000000000000001E-2"/>
    <n v="0"/>
    <n v="0"/>
    <n v="2E-3"/>
    <n v="5.6000000000000001E-2"/>
  </r>
  <r>
    <s v="624400"/>
    <x v="368"/>
    <s v="nitrous oxide"/>
    <s v="kg/2018 USD, purchaser price"/>
    <n v="0"/>
    <n v="0"/>
    <n v="0"/>
    <n v="0"/>
    <n v="0"/>
    <n v="0"/>
  </r>
  <r>
    <s v="624400"/>
    <x v="368"/>
    <s v="other GHGs"/>
    <s v="kg CO2e/2018 USD, purchaser price"/>
    <n v="4.0000000000000001E-3"/>
    <n v="4.0000000000000001E-3"/>
    <n v="0"/>
    <n v="0"/>
    <n v="4.0000000000000001E-3"/>
    <n v="4.0000000000000001E-3"/>
  </r>
  <r>
    <s v="624A00"/>
    <x v="369"/>
    <s v="carbon dioxide"/>
    <s v="kg/2018 USD, purchaser price"/>
    <n v="0.21099999999999999"/>
    <n v="0.21099999999999999"/>
    <n v="0"/>
    <n v="0"/>
    <n v="0.21099999999999999"/>
    <n v="0.21099999999999999"/>
  </r>
  <r>
    <s v="624A00"/>
    <x v="369"/>
    <s v="methane"/>
    <s v="kg/2018 USD, purchaser price"/>
    <n v="3.0000000000000001E-3"/>
    <n v="8.4000000000000005E-2"/>
    <n v="0"/>
    <n v="0"/>
    <n v="3.0000000000000001E-3"/>
    <n v="8.4000000000000005E-2"/>
  </r>
  <r>
    <s v="624A00"/>
    <x v="369"/>
    <s v="nitrous oxide"/>
    <s v="kg/2018 USD, purchaser price"/>
    <n v="0"/>
    <n v="0"/>
    <n v="0"/>
    <n v="0"/>
    <n v="0"/>
    <n v="0"/>
  </r>
  <r>
    <s v="624A00"/>
    <x v="369"/>
    <s v="other GHGs"/>
    <s v="kg CO2e/2018 USD, purchaser price"/>
    <n v="8.0000000000000002E-3"/>
    <n v="8.0000000000000002E-3"/>
    <n v="0"/>
    <n v="0"/>
    <n v="8.0000000000000002E-3"/>
    <n v="8.0000000000000002E-3"/>
  </r>
  <r>
    <s v="711100"/>
    <x v="370"/>
    <s v="carbon dioxide"/>
    <s v="kg/2018 USD, purchaser price"/>
    <n v="8.5000000000000006E-2"/>
    <n v="8.5000000000000006E-2"/>
    <n v="0"/>
    <n v="0"/>
    <n v="8.5000000000000006E-2"/>
    <n v="8.5000000000000006E-2"/>
  </r>
  <r>
    <s v="711100"/>
    <x v="370"/>
    <s v="methane"/>
    <s v="kg/2018 USD, purchaser price"/>
    <n v="0"/>
    <n v="0"/>
    <n v="0"/>
    <n v="0"/>
    <n v="0"/>
    <n v="0"/>
  </r>
  <r>
    <s v="711100"/>
    <x v="370"/>
    <s v="nitrous oxide"/>
    <s v="kg/2018 USD, purchaser price"/>
    <n v="0"/>
    <n v="0"/>
    <n v="0"/>
    <n v="0"/>
    <n v="0"/>
    <n v="0"/>
  </r>
  <r>
    <s v="711100"/>
    <x v="370"/>
    <s v="other GHGs"/>
    <s v="kg CO2e/2018 USD, purchaser price"/>
    <n v="2E-3"/>
    <n v="2E-3"/>
    <n v="0"/>
    <n v="0"/>
    <n v="2E-3"/>
    <n v="2E-3"/>
  </r>
  <r>
    <s v="711200"/>
    <x v="371"/>
    <s v="carbon dioxide"/>
    <s v="kg/2018 USD, purchaser price"/>
    <n v="6.9000000000000006E-2"/>
    <n v="6.9000000000000006E-2"/>
    <n v="0"/>
    <n v="0"/>
    <n v="6.9000000000000006E-2"/>
    <n v="6.9000000000000006E-2"/>
  </r>
  <r>
    <s v="711200"/>
    <x v="371"/>
    <s v="methane"/>
    <s v="kg/2018 USD, purchaser price"/>
    <n v="0"/>
    <n v="0"/>
    <n v="0"/>
    <n v="0"/>
    <n v="0"/>
    <n v="0"/>
  </r>
  <r>
    <s v="711200"/>
    <x v="371"/>
    <s v="nitrous oxide"/>
    <s v="kg/2018 USD, purchaser price"/>
    <n v="0"/>
    <n v="0"/>
    <n v="0"/>
    <n v="0"/>
    <n v="0"/>
    <n v="0"/>
  </r>
  <r>
    <s v="711200"/>
    <x v="371"/>
    <s v="other GHGs"/>
    <s v="kg CO2e/2018 USD, purchaser price"/>
    <n v="2E-3"/>
    <n v="2E-3"/>
    <n v="0"/>
    <n v="0"/>
    <n v="2E-3"/>
    <n v="2E-3"/>
  </r>
  <r>
    <s v="711500"/>
    <x v="372"/>
    <s v="carbon dioxide"/>
    <s v="kg/2018 USD, purchaser price"/>
    <n v="1.4E-2"/>
    <n v="1.4E-2"/>
    <n v="0"/>
    <n v="0"/>
    <n v="1.4E-2"/>
    <n v="1.4E-2"/>
  </r>
  <r>
    <s v="711500"/>
    <x v="372"/>
    <s v="methane"/>
    <s v="kg/2018 USD, purchaser price"/>
    <n v="0"/>
    <n v="0"/>
    <n v="0"/>
    <n v="0"/>
    <n v="0"/>
    <n v="0"/>
  </r>
  <r>
    <s v="711500"/>
    <x v="372"/>
    <s v="nitrous oxide"/>
    <s v="kg/2018 USD, purchaser price"/>
    <n v="0"/>
    <n v="0"/>
    <n v="0"/>
    <n v="0"/>
    <n v="0"/>
    <n v="0"/>
  </r>
  <r>
    <s v="711500"/>
    <x v="372"/>
    <s v="other GHGs"/>
    <s v="kg CO2e/2018 USD, purchaser price"/>
    <n v="0"/>
    <n v="0"/>
    <n v="0"/>
    <n v="0"/>
    <n v="0"/>
    <n v="0"/>
  </r>
  <r>
    <s v="711A00"/>
    <x v="373"/>
    <s v="carbon dioxide"/>
    <s v="kg/2018 USD, purchaser price"/>
    <n v="0.08"/>
    <n v="0.08"/>
    <n v="0"/>
    <n v="0"/>
    <n v="0.08"/>
    <n v="0.08"/>
  </r>
  <r>
    <s v="711A00"/>
    <x v="373"/>
    <s v="methane"/>
    <s v="kg/2018 USD, purchaser price"/>
    <n v="1E-3"/>
    <n v="2.8000000000000001E-2"/>
    <n v="0"/>
    <n v="0"/>
    <n v="1E-3"/>
    <n v="2.8000000000000001E-2"/>
  </r>
  <r>
    <s v="711A00"/>
    <x v="373"/>
    <s v="nitrous oxide"/>
    <s v="kg/2018 USD, purchaser price"/>
    <n v="0"/>
    <n v="0"/>
    <n v="0"/>
    <n v="0"/>
    <n v="0"/>
    <n v="0"/>
  </r>
  <r>
    <s v="711A00"/>
    <x v="373"/>
    <s v="other GHGs"/>
    <s v="kg CO2e/2018 USD, purchaser price"/>
    <n v="1E-3"/>
    <n v="1E-3"/>
    <n v="0"/>
    <n v="0"/>
    <n v="1E-3"/>
    <n v="1E-3"/>
  </r>
  <r>
    <s v="712000"/>
    <x v="374"/>
    <s v="carbon dioxide"/>
    <s v="kg/2018 USD, purchaser price"/>
    <n v="0.17499999999999999"/>
    <n v="0.17499999999999999"/>
    <n v="0"/>
    <n v="0"/>
    <n v="0.17499999999999999"/>
    <n v="0.17499999999999999"/>
  </r>
  <r>
    <s v="712000"/>
    <x v="374"/>
    <s v="methane"/>
    <s v="kg/2018 USD, purchaser price"/>
    <n v="1E-3"/>
    <n v="2.8000000000000001E-2"/>
    <n v="0"/>
    <n v="0"/>
    <n v="1E-3"/>
    <n v="2.8000000000000001E-2"/>
  </r>
  <r>
    <s v="712000"/>
    <x v="374"/>
    <s v="nitrous oxide"/>
    <s v="kg/2018 USD, purchaser price"/>
    <n v="0"/>
    <n v="0"/>
    <n v="0"/>
    <n v="0"/>
    <n v="0"/>
    <n v="0"/>
  </r>
  <r>
    <s v="712000"/>
    <x v="374"/>
    <s v="other GHGs"/>
    <s v="kg CO2e/2018 USD, purchaser price"/>
    <n v="3.0000000000000001E-3"/>
    <n v="3.0000000000000001E-3"/>
    <n v="0"/>
    <n v="0"/>
    <n v="3.0000000000000001E-3"/>
    <n v="3.0000000000000001E-3"/>
  </r>
  <r>
    <s v="713100"/>
    <x v="375"/>
    <s v="carbon dioxide"/>
    <s v="kg/2018 USD, purchaser price"/>
    <n v="0.13800000000000001"/>
    <n v="0.13800000000000001"/>
    <n v="0"/>
    <n v="0"/>
    <n v="0.13800000000000001"/>
    <n v="0.13800000000000001"/>
  </r>
  <r>
    <s v="713100"/>
    <x v="375"/>
    <s v="methane"/>
    <s v="kg/2018 USD, purchaser price"/>
    <n v="1E-3"/>
    <n v="2.8000000000000001E-2"/>
    <n v="0"/>
    <n v="0"/>
    <n v="1E-3"/>
    <n v="2.8000000000000001E-2"/>
  </r>
  <r>
    <s v="713100"/>
    <x v="375"/>
    <s v="nitrous oxide"/>
    <s v="kg/2018 USD, purchaser price"/>
    <n v="0"/>
    <n v="0"/>
    <n v="0"/>
    <n v="0"/>
    <n v="0"/>
    <n v="0"/>
  </r>
  <r>
    <s v="713100"/>
    <x v="375"/>
    <s v="other GHGs"/>
    <s v="kg CO2e/2018 USD, purchaser price"/>
    <n v="3.0000000000000001E-3"/>
    <n v="3.0000000000000001E-3"/>
    <n v="0"/>
    <n v="0"/>
    <n v="3.0000000000000001E-3"/>
    <n v="3.0000000000000001E-3"/>
  </r>
  <r>
    <s v="713200"/>
    <x v="376"/>
    <s v="carbon dioxide"/>
    <s v="kg/2018 USD, purchaser price"/>
    <n v="0.20100000000000001"/>
    <n v="0.20100000000000001"/>
    <n v="0"/>
    <n v="0"/>
    <n v="0.20100000000000001"/>
    <n v="0.20100000000000001"/>
  </r>
  <r>
    <s v="713200"/>
    <x v="376"/>
    <s v="methane"/>
    <s v="kg/2018 USD, purchaser price"/>
    <n v="1E-3"/>
    <n v="2.8000000000000001E-2"/>
    <n v="0"/>
    <n v="0"/>
    <n v="1E-3"/>
    <n v="2.8000000000000001E-2"/>
  </r>
  <r>
    <s v="713200"/>
    <x v="376"/>
    <s v="nitrous oxide"/>
    <s v="kg/2018 USD, purchaser price"/>
    <n v="0"/>
    <n v="0"/>
    <n v="0"/>
    <n v="0"/>
    <n v="0"/>
    <n v="0"/>
  </r>
  <r>
    <s v="713200"/>
    <x v="376"/>
    <s v="other GHGs"/>
    <s v="kg CO2e/2018 USD, purchaser price"/>
    <n v="6.0000000000000001E-3"/>
    <n v="6.0000000000000001E-3"/>
    <n v="0"/>
    <n v="0"/>
    <n v="6.0000000000000001E-3"/>
    <n v="6.0000000000000001E-3"/>
  </r>
  <r>
    <s v="713900"/>
    <x v="377"/>
    <s v="carbon dioxide"/>
    <s v="kg/2018 USD, purchaser price"/>
    <n v="0.249"/>
    <n v="0.249"/>
    <n v="0"/>
    <n v="0"/>
    <n v="0.249"/>
    <n v="0.249"/>
  </r>
  <r>
    <s v="713900"/>
    <x v="377"/>
    <s v="methane"/>
    <s v="kg/2018 USD, purchaser price"/>
    <n v="2E-3"/>
    <n v="5.6000000000000001E-2"/>
    <n v="0"/>
    <n v="0"/>
    <n v="2E-3"/>
    <n v="5.6000000000000001E-2"/>
  </r>
  <r>
    <s v="713900"/>
    <x v="377"/>
    <s v="nitrous oxide"/>
    <s v="kg/2018 USD, purchaser price"/>
    <n v="0"/>
    <n v="0"/>
    <n v="0"/>
    <n v="0"/>
    <n v="0"/>
    <n v="0"/>
  </r>
  <r>
    <s v="713900"/>
    <x v="377"/>
    <s v="other GHGs"/>
    <s v="kg CO2e/2018 USD, purchaser price"/>
    <n v="5.0000000000000001E-3"/>
    <n v="5.0000000000000001E-3"/>
    <n v="0"/>
    <n v="0"/>
    <n v="5.0000000000000001E-3"/>
    <n v="5.0000000000000001E-3"/>
  </r>
  <r>
    <s v="721000"/>
    <x v="378"/>
    <s v="carbon dioxide"/>
    <s v="kg/2018 USD, purchaser price"/>
    <n v="0.17399999999999999"/>
    <n v="0.17399999999999999"/>
    <n v="0"/>
    <n v="0"/>
    <n v="0.17399999999999999"/>
    <n v="0.17399999999999999"/>
  </r>
  <r>
    <s v="721000"/>
    <x v="378"/>
    <s v="methane"/>
    <s v="kg/2018 USD, purchaser price"/>
    <n v="1E-3"/>
    <n v="2.8000000000000001E-2"/>
    <n v="0"/>
    <n v="0"/>
    <n v="1E-3"/>
    <n v="2.8000000000000001E-2"/>
  </r>
  <r>
    <s v="721000"/>
    <x v="378"/>
    <s v="nitrous oxide"/>
    <s v="kg/2018 USD, purchaser price"/>
    <n v="0"/>
    <n v="0"/>
    <n v="0"/>
    <n v="0"/>
    <n v="0"/>
    <n v="0"/>
  </r>
  <r>
    <s v="721000"/>
    <x v="378"/>
    <s v="other GHGs"/>
    <s v="kg CO2e/2018 USD, purchaser price"/>
    <n v="3.0000000000000001E-3"/>
    <n v="3.0000000000000001E-3"/>
    <n v="0"/>
    <n v="0"/>
    <n v="3.0000000000000001E-3"/>
    <n v="3.0000000000000001E-3"/>
  </r>
  <r>
    <s v="722110"/>
    <x v="379"/>
    <s v="carbon dioxide"/>
    <s v="kg/2018 USD, purchaser price"/>
    <n v="0.20599999999999999"/>
    <n v="0.20599999999999999"/>
    <n v="0"/>
    <n v="0"/>
    <n v="0.20599999999999999"/>
    <n v="0.20599999999999999"/>
  </r>
  <r>
    <s v="722110"/>
    <x v="379"/>
    <s v="methane"/>
    <s v="kg/2018 USD, purchaser price"/>
    <n v="2E-3"/>
    <n v="5.6000000000000001E-2"/>
    <n v="0"/>
    <n v="0"/>
    <n v="2E-3"/>
    <n v="5.6000000000000001E-2"/>
  </r>
  <r>
    <s v="722110"/>
    <x v="379"/>
    <s v="nitrous oxide"/>
    <s v="kg/2018 USD, purchaser price"/>
    <n v="0"/>
    <n v="0"/>
    <n v="0"/>
    <n v="0"/>
    <n v="0"/>
    <n v="0"/>
  </r>
  <r>
    <s v="722110"/>
    <x v="379"/>
    <s v="other GHGs"/>
    <s v="kg CO2e/2018 USD, purchaser price"/>
    <n v="5.0000000000000001E-3"/>
    <n v="5.0000000000000001E-3"/>
    <n v="0"/>
    <n v="0"/>
    <n v="5.0000000000000001E-3"/>
    <n v="5.0000000000000001E-3"/>
  </r>
  <r>
    <s v="722211"/>
    <x v="380"/>
    <s v="carbon dioxide"/>
    <s v="kg/2018 USD, purchaser price"/>
    <n v="0.28999999999999998"/>
    <n v="0.28999999999999998"/>
    <n v="0"/>
    <n v="0"/>
    <n v="0.28999999999999998"/>
    <n v="0.28999999999999998"/>
  </r>
  <r>
    <s v="722211"/>
    <x v="380"/>
    <s v="methane"/>
    <s v="kg/2018 USD, purchaser price"/>
    <n v="2E-3"/>
    <n v="5.6000000000000001E-2"/>
    <n v="0"/>
    <n v="0"/>
    <n v="2E-3"/>
    <n v="5.6000000000000001E-2"/>
  </r>
  <r>
    <s v="722211"/>
    <x v="380"/>
    <s v="nitrous oxide"/>
    <s v="kg/2018 USD, purchaser price"/>
    <n v="0"/>
    <n v="0"/>
    <n v="0"/>
    <n v="0"/>
    <n v="0"/>
    <n v="0"/>
  </r>
  <r>
    <s v="722211"/>
    <x v="380"/>
    <s v="other GHGs"/>
    <s v="kg CO2e/2018 USD, purchaser price"/>
    <n v="0.01"/>
    <n v="0.01"/>
    <n v="0"/>
    <n v="0"/>
    <n v="0.01"/>
    <n v="0.01"/>
  </r>
  <r>
    <s v="722A00"/>
    <x v="381"/>
    <s v="carbon dioxide"/>
    <s v="kg/2018 USD, purchaser price"/>
    <n v="0.14799999999999999"/>
    <n v="0.14799999999999999"/>
    <n v="0"/>
    <n v="0"/>
    <n v="0.14799999999999999"/>
    <n v="0.14799999999999999"/>
  </r>
  <r>
    <s v="722A00"/>
    <x v="381"/>
    <s v="methane"/>
    <s v="kg/2018 USD, purchaser price"/>
    <n v="1E-3"/>
    <n v="2.8000000000000001E-2"/>
    <n v="0"/>
    <n v="0"/>
    <n v="1E-3"/>
    <n v="2.8000000000000001E-2"/>
  </r>
  <r>
    <s v="722A00"/>
    <x v="381"/>
    <s v="nitrous oxide"/>
    <s v="kg/2018 USD, purchaser price"/>
    <n v="0"/>
    <n v="0"/>
    <n v="0"/>
    <n v="0"/>
    <n v="0"/>
    <n v="0"/>
  </r>
  <r>
    <s v="722A00"/>
    <x v="381"/>
    <s v="other GHGs"/>
    <s v="kg CO2e/2018 USD, purchaser price"/>
    <n v="4.0000000000000001E-3"/>
    <n v="4.0000000000000001E-3"/>
    <n v="0"/>
    <n v="0"/>
    <n v="4.0000000000000001E-3"/>
    <n v="4.0000000000000001E-3"/>
  </r>
  <r>
    <s v="811100"/>
    <x v="382"/>
    <s v="carbon dioxide"/>
    <s v="kg/2018 USD, purchaser price"/>
    <n v="0.13300000000000001"/>
    <n v="0.13300000000000001"/>
    <n v="0"/>
    <n v="0"/>
    <n v="0.13300000000000001"/>
    <n v="0.13300000000000001"/>
  </r>
  <r>
    <s v="811100"/>
    <x v="382"/>
    <s v="methane"/>
    <s v="kg/2018 USD, purchaser price"/>
    <n v="1E-3"/>
    <n v="2.8000000000000001E-2"/>
    <n v="0"/>
    <n v="0"/>
    <n v="1E-3"/>
    <n v="2.8000000000000001E-2"/>
  </r>
  <r>
    <s v="811100"/>
    <x v="382"/>
    <s v="nitrous oxide"/>
    <s v="kg/2018 USD, purchaser price"/>
    <n v="0"/>
    <n v="0"/>
    <n v="0"/>
    <n v="0"/>
    <n v="0"/>
    <n v="0"/>
  </r>
  <r>
    <s v="811100"/>
    <x v="382"/>
    <s v="other GHGs"/>
    <s v="kg CO2e/2018 USD, purchaser price"/>
    <n v="3.0000000000000001E-3"/>
    <n v="3.0000000000000001E-3"/>
    <n v="0"/>
    <n v="0"/>
    <n v="3.0000000000000001E-3"/>
    <n v="3.0000000000000001E-3"/>
  </r>
  <r>
    <s v="811200"/>
    <x v="383"/>
    <s v="carbon dioxide"/>
    <s v="kg/2018 USD, purchaser price"/>
    <n v="9.2999999999999999E-2"/>
    <n v="9.2999999999999999E-2"/>
    <n v="0"/>
    <n v="0"/>
    <n v="9.2999999999999999E-2"/>
    <n v="9.2999999999999999E-2"/>
  </r>
  <r>
    <s v="811200"/>
    <x v="383"/>
    <s v="methane"/>
    <s v="kg/2018 USD, purchaser price"/>
    <n v="0"/>
    <n v="0"/>
    <n v="0"/>
    <n v="0"/>
    <n v="0"/>
    <n v="0"/>
  </r>
  <r>
    <s v="811200"/>
    <x v="383"/>
    <s v="nitrous oxide"/>
    <s v="kg/2018 USD, purchaser price"/>
    <n v="0"/>
    <n v="0"/>
    <n v="0"/>
    <n v="0"/>
    <n v="0"/>
    <n v="0"/>
  </r>
  <r>
    <s v="811200"/>
    <x v="383"/>
    <s v="other GHGs"/>
    <s v="kg CO2e/2018 USD, purchaser price"/>
    <n v="5.0000000000000001E-3"/>
    <n v="5.0000000000000001E-3"/>
    <n v="0"/>
    <n v="0"/>
    <n v="5.0000000000000001E-3"/>
    <n v="5.0000000000000001E-3"/>
  </r>
  <r>
    <s v="811300"/>
    <x v="384"/>
    <s v="carbon dioxide"/>
    <s v="kg/2018 USD, purchaser price"/>
    <n v="0.122"/>
    <n v="0.122"/>
    <n v="0"/>
    <n v="0"/>
    <n v="0.122"/>
    <n v="0.122"/>
  </r>
  <r>
    <s v="811300"/>
    <x v="384"/>
    <s v="methane"/>
    <s v="kg/2018 USD, purchaser price"/>
    <n v="1E-3"/>
    <n v="2.8000000000000001E-2"/>
    <n v="0"/>
    <n v="0"/>
    <n v="1E-3"/>
    <n v="2.8000000000000001E-2"/>
  </r>
  <r>
    <s v="811300"/>
    <x v="384"/>
    <s v="nitrous oxide"/>
    <s v="kg/2018 USD, purchaser price"/>
    <n v="0"/>
    <n v="0"/>
    <n v="0"/>
    <n v="0"/>
    <n v="0"/>
    <n v="0"/>
  </r>
  <r>
    <s v="811300"/>
    <x v="384"/>
    <s v="other GHGs"/>
    <s v="kg CO2e/2018 USD, purchaser price"/>
    <n v="2.1999999999999999E-2"/>
    <n v="2.1999999999999999E-2"/>
    <n v="0"/>
    <n v="0"/>
    <n v="2.1999999999999999E-2"/>
    <n v="2.1999999999999999E-2"/>
  </r>
  <r>
    <s v="811400"/>
    <x v="385"/>
    <s v="carbon dioxide"/>
    <s v="kg/2018 USD, purchaser price"/>
    <n v="9.7000000000000003E-2"/>
    <n v="9.7000000000000003E-2"/>
    <n v="0"/>
    <n v="0"/>
    <n v="9.7000000000000003E-2"/>
    <n v="9.7000000000000003E-2"/>
  </r>
  <r>
    <s v="811400"/>
    <x v="385"/>
    <s v="methane"/>
    <s v="kg/2018 USD, purchaser price"/>
    <n v="0"/>
    <n v="0"/>
    <n v="0"/>
    <n v="0"/>
    <n v="0"/>
    <n v="0"/>
  </r>
  <r>
    <s v="811400"/>
    <x v="385"/>
    <s v="nitrous oxide"/>
    <s v="kg/2018 USD, purchaser price"/>
    <n v="0"/>
    <n v="0"/>
    <n v="0"/>
    <n v="0"/>
    <n v="0"/>
    <n v="0"/>
  </r>
  <r>
    <s v="811400"/>
    <x v="385"/>
    <s v="other GHGs"/>
    <s v="kg CO2e/2018 USD, purchaser price"/>
    <n v="3.0000000000000001E-3"/>
    <n v="3.0000000000000001E-3"/>
    <n v="0"/>
    <n v="0"/>
    <n v="3.0000000000000001E-3"/>
    <n v="3.0000000000000001E-3"/>
  </r>
  <r>
    <s v="812100"/>
    <x v="386"/>
    <s v="carbon dioxide"/>
    <s v="kg/2018 USD, purchaser price"/>
    <n v="0.121"/>
    <n v="0.121"/>
    <n v="0"/>
    <n v="0"/>
    <n v="0.121"/>
    <n v="0.121"/>
  </r>
  <r>
    <s v="812100"/>
    <x v="386"/>
    <s v="methane"/>
    <s v="kg/2018 USD, purchaser price"/>
    <n v="1E-3"/>
    <n v="2.8000000000000001E-2"/>
    <n v="0"/>
    <n v="0"/>
    <n v="1E-3"/>
    <n v="2.8000000000000001E-2"/>
  </r>
  <r>
    <s v="812100"/>
    <x v="386"/>
    <s v="nitrous oxide"/>
    <s v="kg/2018 USD, purchaser price"/>
    <n v="0"/>
    <n v="0"/>
    <n v="0"/>
    <n v="0"/>
    <n v="0"/>
    <n v="0"/>
  </r>
  <r>
    <s v="812100"/>
    <x v="386"/>
    <s v="other GHGs"/>
    <s v="kg CO2e/2018 USD, purchaser price"/>
    <n v="2E-3"/>
    <n v="2E-3"/>
    <n v="0"/>
    <n v="0"/>
    <n v="2E-3"/>
    <n v="2E-3"/>
  </r>
  <r>
    <s v="812200"/>
    <x v="387"/>
    <s v="carbon dioxide"/>
    <s v="kg/2018 USD, purchaser price"/>
    <n v="3.6999999999999998E-2"/>
    <n v="3.6999999999999998E-2"/>
    <n v="0"/>
    <n v="0"/>
    <n v="3.6999999999999998E-2"/>
    <n v="3.6999999999999998E-2"/>
  </r>
  <r>
    <s v="812200"/>
    <x v="387"/>
    <s v="methane"/>
    <s v="kg/2018 USD, purchaser price"/>
    <n v="0"/>
    <n v="0"/>
    <n v="0"/>
    <n v="0"/>
    <n v="0"/>
    <n v="0"/>
  </r>
  <r>
    <s v="812200"/>
    <x v="387"/>
    <s v="nitrous oxide"/>
    <s v="kg/2018 USD, purchaser price"/>
    <n v="0"/>
    <n v="0"/>
    <n v="0"/>
    <n v="0"/>
    <n v="0"/>
    <n v="0"/>
  </r>
  <r>
    <s v="812200"/>
    <x v="387"/>
    <s v="other GHGs"/>
    <s v="kg CO2e/2018 USD, purchaser price"/>
    <n v="1E-3"/>
    <n v="1E-3"/>
    <n v="0"/>
    <n v="0"/>
    <n v="1E-3"/>
    <n v="1E-3"/>
  </r>
  <r>
    <s v="812300"/>
    <x v="388"/>
    <s v="carbon dioxide"/>
    <s v="kg/2018 USD, purchaser price"/>
    <n v="0.17"/>
    <n v="0.17"/>
    <n v="0"/>
    <n v="0"/>
    <n v="0.17"/>
    <n v="0.17"/>
  </r>
  <r>
    <s v="812300"/>
    <x v="388"/>
    <s v="methane"/>
    <s v="kg/2018 USD, purchaser price"/>
    <n v="1E-3"/>
    <n v="2.8000000000000001E-2"/>
    <n v="0"/>
    <n v="0"/>
    <n v="1E-3"/>
    <n v="2.8000000000000001E-2"/>
  </r>
  <r>
    <s v="812300"/>
    <x v="388"/>
    <s v="nitrous oxide"/>
    <s v="kg/2018 USD, purchaser price"/>
    <n v="0"/>
    <n v="0"/>
    <n v="0"/>
    <n v="0"/>
    <n v="0"/>
    <n v="0"/>
  </r>
  <r>
    <s v="812300"/>
    <x v="388"/>
    <s v="other GHGs"/>
    <s v="kg CO2e/2018 USD, purchaser price"/>
    <n v="3.0000000000000001E-3"/>
    <n v="3.0000000000000001E-3"/>
    <n v="0"/>
    <n v="0"/>
    <n v="3.0000000000000001E-3"/>
    <n v="3.0000000000000001E-3"/>
  </r>
  <r>
    <s v="812900"/>
    <x v="389"/>
    <s v="carbon dioxide"/>
    <s v="kg/2018 USD, purchaser price"/>
    <n v="0.11"/>
    <n v="0.11"/>
    <n v="0"/>
    <n v="0"/>
    <n v="0.11"/>
    <n v="0.11"/>
  </r>
  <r>
    <s v="812900"/>
    <x v="389"/>
    <s v="methane"/>
    <s v="kg/2018 USD, purchaser price"/>
    <n v="1E-3"/>
    <n v="2.8000000000000001E-2"/>
    <n v="0"/>
    <n v="0"/>
    <n v="1E-3"/>
    <n v="2.8000000000000001E-2"/>
  </r>
  <r>
    <s v="812900"/>
    <x v="389"/>
    <s v="nitrous oxide"/>
    <s v="kg/2018 USD, purchaser price"/>
    <n v="0"/>
    <n v="0"/>
    <n v="0"/>
    <n v="0"/>
    <n v="0"/>
    <n v="0"/>
  </r>
  <r>
    <s v="812900"/>
    <x v="389"/>
    <s v="other GHGs"/>
    <s v="kg CO2e/2018 USD, purchaser price"/>
    <n v="3.0000000000000001E-3"/>
    <n v="3.0000000000000001E-3"/>
    <n v="0"/>
    <n v="0"/>
    <n v="3.0000000000000001E-3"/>
    <n v="3.0000000000000001E-3"/>
  </r>
  <r>
    <s v="813100"/>
    <x v="390"/>
    <s v="carbon dioxide"/>
    <s v="kg/2018 USD, purchaser price"/>
    <n v="0.219"/>
    <n v="0.219"/>
    <n v="0"/>
    <n v="0"/>
    <n v="0.219"/>
    <n v="0.219"/>
  </r>
  <r>
    <s v="813100"/>
    <x v="390"/>
    <s v="methane"/>
    <s v="kg/2018 USD, purchaser price"/>
    <n v="1E-3"/>
    <n v="2.8000000000000001E-2"/>
    <n v="0"/>
    <n v="0"/>
    <n v="1E-3"/>
    <n v="2.8000000000000001E-2"/>
  </r>
  <r>
    <s v="813100"/>
    <x v="390"/>
    <s v="nitrous oxide"/>
    <s v="kg/2018 USD, purchaser price"/>
    <n v="0"/>
    <n v="0"/>
    <n v="0"/>
    <n v="0"/>
    <n v="0"/>
    <n v="0"/>
  </r>
  <r>
    <s v="813100"/>
    <x v="390"/>
    <s v="other GHGs"/>
    <s v="kg CO2e/2018 USD, purchaser price"/>
    <n v="5.0000000000000001E-3"/>
    <n v="5.0000000000000001E-3"/>
    <n v="0"/>
    <n v="0"/>
    <n v="5.0000000000000001E-3"/>
    <n v="5.0000000000000001E-3"/>
  </r>
  <r>
    <s v="813A00"/>
    <x v="391"/>
    <s v="carbon dioxide"/>
    <s v="kg/2018 USD, purchaser price"/>
    <n v="7.2999999999999995E-2"/>
    <n v="7.2999999999999995E-2"/>
    <n v="0"/>
    <n v="0"/>
    <n v="7.2999999999999995E-2"/>
    <n v="7.2999999999999995E-2"/>
  </r>
  <r>
    <s v="813A00"/>
    <x v="391"/>
    <s v="methane"/>
    <s v="kg/2018 USD, purchaser price"/>
    <n v="0"/>
    <n v="0"/>
    <n v="0"/>
    <n v="0"/>
    <n v="0"/>
    <n v="0"/>
  </r>
  <r>
    <s v="813A00"/>
    <x v="391"/>
    <s v="nitrous oxide"/>
    <s v="kg/2018 USD, purchaser price"/>
    <n v="0"/>
    <n v="0"/>
    <n v="0"/>
    <n v="0"/>
    <n v="0"/>
    <n v="0"/>
  </r>
  <r>
    <s v="813A00"/>
    <x v="391"/>
    <s v="other GHGs"/>
    <s v="kg CO2e/2018 USD, purchaser price"/>
    <n v="1E-3"/>
    <n v="1E-3"/>
    <n v="0"/>
    <n v="0"/>
    <n v="1E-3"/>
    <n v="1E-3"/>
  </r>
  <r>
    <s v="813B00"/>
    <x v="392"/>
    <s v="carbon dioxide"/>
    <s v="kg/2018 USD, purchaser price"/>
    <n v="0.127"/>
    <n v="0.127"/>
    <n v="0"/>
    <n v="0"/>
    <n v="0.127"/>
    <n v="0.127"/>
  </r>
  <r>
    <s v="813B00"/>
    <x v="392"/>
    <s v="methane"/>
    <s v="kg/2018 USD, purchaser price"/>
    <n v="1E-3"/>
    <n v="2.8000000000000001E-2"/>
    <n v="0"/>
    <n v="0"/>
    <n v="1E-3"/>
    <n v="2.8000000000000001E-2"/>
  </r>
  <r>
    <s v="813B00"/>
    <x v="392"/>
    <s v="nitrous oxide"/>
    <s v="kg/2018 USD, purchaser price"/>
    <n v="0"/>
    <n v="0"/>
    <n v="0"/>
    <n v="0"/>
    <n v="0"/>
    <n v="0"/>
  </r>
  <r>
    <s v="813B00"/>
    <x v="392"/>
    <s v="other GHGs"/>
    <s v="kg CO2e/2018 USD, purchaser price"/>
    <n v="8.9999999999999993E-3"/>
    <n v="8.9999999999999993E-3"/>
    <n v="0"/>
    <n v="0"/>
    <n v="8.9999999999999993E-3"/>
    <n v="8.9999999999999993E-3"/>
  </r>
  <r>
    <s v="814000"/>
    <x v="393"/>
    <s v="carbon dioxide"/>
    <s v="kg/2018 USD, purchaser price"/>
    <n v="0"/>
    <n v="0"/>
    <n v="0"/>
    <n v="0"/>
    <n v="0"/>
    <n v="0"/>
  </r>
  <r>
    <s v="814000"/>
    <x v="393"/>
    <s v="methane"/>
    <s v="kg/2018 USD, purchaser price"/>
    <n v="0"/>
    <n v="0"/>
    <n v="0"/>
    <n v="0"/>
    <n v="0"/>
    <n v="0"/>
  </r>
  <r>
    <s v="814000"/>
    <x v="393"/>
    <s v="nitrous oxide"/>
    <s v="kg/2018 USD, purchaser price"/>
    <n v="0"/>
    <n v="0"/>
    <n v="0"/>
    <n v="0"/>
    <n v="0"/>
    <n v="0"/>
  </r>
  <r>
    <s v="814000"/>
    <x v="393"/>
    <s v="other GHGs"/>
    <s v="kg CO2e/2018 USD, purchaser price"/>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6">
  <r>
    <x v="0"/>
    <s v="carbon dioxide"/>
    <s v="kg/2018 USD, purchaser price"/>
    <n v="0.32300000000000001"/>
    <n v="0.32300000000000001"/>
    <n v="6.6000000000000003E-2"/>
    <n v="6.6000000000000003E-2"/>
    <n v="0.38900000000000001"/>
    <n v="0.38900000000000001"/>
  </r>
  <r>
    <x v="0"/>
    <s v="methane"/>
    <s v="kg/2018 USD, purchaser price"/>
    <n v="1E-3"/>
    <n v="2.8000000000000001E-2"/>
    <n v="1E-3"/>
    <n v="2.8000000000000001E-2"/>
    <n v="2E-3"/>
    <n v="5.6000000000000001E-2"/>
  </r>
  <r>
    <x v="0"/>
    <s v="nitrous oxide"/>
    <s v="kg/2018 USD, purchaser price"/>
    <n v="2E-3"/>
    <n v="0.53"/>
    <n v="0"/>
    <n v="0"/>
    <n v="2E-3"/>
    <n v="0.53"/>
  </r>
  <r>
    <x v="0"/>
    <s v="other GHGs"/>
    <s v="kg CO2e/2018 USD, purchaser price"/>
    <n v="3.0000000000000001E-3"/>
    <n v="3.0000000000000001E-3"/>
    <n v="0"/>
    <n v="0"/>
    <n v="3.0000000000000001E-3"/>
    <n v="3.0000000000000001E-3"/>
  </r>
  <r>
    <x v="1"/>
    <s v="carbon dioxide"/>
    <s v="kg/2018 USD, purchaser price"/>
    <n v="0.65800000000000003"/>
    <n v="0.65800000000000003"/>
    <n v="7.2999999999999995E-2"/>
    <n v="7.2999999999999995E-2"/>
    <n v="0.73099999999999998"/>
    <n v="0.73099999999999998"/>
  </r>
  <r>
    <x v="1"/>
    <s v="methane"/>
    <s v="kg/2018 USD, purchaser price"/>
    <n v="6.0000000000000001E-3"/>
    <n v="0.16800000000000001"/>
    <n v="1E-3"/>
    <n v="2.8000000000000001E-2"/>
    <n v="7.0000000000000001E-3"/>
    <n v="0.19600000000000001"/>
  </r>
  <r>
    <x v="1"/>
    <s v="nitrous oxide"/>
    <s v="kg/2018 USD, purchaser price"/>
    <n v="3.0000000000000001E-3"/>
    <n v="0.79500000000000004"/>
    <n v="0"/>
    <n v="0"/>
    <n v="3.0000000000000001E-3"/>
    <n v="0.79500000000000004"/>
  </r>
  <r>
    <x v="1"/>
    <s v="other GHGs"/>
    <s v="kg CO2e/2018 USD, purchaser price"/>
    <n v="4.0000000000000001E-3"/>
    <n v="4.0000000000000001E-3"/>
    <n v="0"/>
    <n v="0"/>
    <n v="4.0000000000000001E-3"/>
    <n v="4.0000000000000001E-3"/>
  </r>
  <r>
    <x v="2"/>
    <s v="carbon dioxide"/>
    <s v="kg/2018 USD, purchaser price"/>
    <n v="0.17599999999999999"/>
    <n v="0.17599999999999999"/>
    <n v="0.114"/>
    <n v="0.114"/>
    <n v="0.28999999999999998"/>
    <n v="0.28999999999999998"/>
  </r>
  <r>
    <x v="2"/>
    <s v="methane"/>
    <s v="kg/2018 USD, purchaser price"/>
    <n v="1E-3"/>
    <n v="2.8000000000000001E-2"/>
    <n v="1E-3"/>
    <n v="2.8000000000000001E-2"/>
    <n v="1E-3"/>
    <n v="2.8000000000000001E-2"/>
  </r>
  <r>
    <x v="2"/>
    <s v="nitrous oxide"/>
    <s v="kg/2018 USD, purchaser price"/>
    <n v="1E-3"/>
    <n v="0.26500000000000001"/>
    <n v="0"/>
    <n v="0"/>
    <n v="1E-3"/>
    <n v="0.26500000000000001"/>
  </r>
  <r>
    <x v="2"/>
    <s v="other GHGs"/>
    <s v="kg CO2e/2018 USD, purchaser price"/>
    <n v="3.0000000000000001E-3"/>
    <n v="3.0000000000000001E-3"/>
    <n v="0"/>
    <n v="0"/>
    <n v="3.0000000000000001E-3"/>
    <n v="3.0000000000000001E-3"/>
  </r>
  <r>
    <x v="3"/>
    <s v="carbon dioxide"/>
    <s v="kg/2018 USD, purchaser price"/>
    <n v="0.18"/>
    <n v="0.18"/>
    <n v="0.106"/>
    <n v="0.106"/>
    <n v="0.28499999999999998"/>
    <n v="0.28499999999999998"/>
  </r>
  <r>
    <x v="3"/>
    <s v="methane"/>
    <s v="kg/2018 USD, purchaser price"/>
    <n v="1E-3"/>
    <n v="2.8000000000000001E-2"/>
    <n v="1E-3"/>
    <n v="2.8000000000000001E-2"/>
    <n v="1E-3"/>
    <n v="2.8000000000000001E-2"/>
  </r>
  <r>
    <x v="3"/>
    <s v="nitrous oxide"/>
    <s v="kg/2018 USD, purchaser price"/>
    <n v="1E-3"/>
    <n v="0.26500000000000001"/>
    <n v="0"/>
    <n v="0"/>
    <n v="1E-3"/>
    <n v="0.26500000000000001"/>
  </r>
  <r>
    <x v="3"/>
    <s v="other GHGs"/>
    <s v="kg CO2e/2018 USD, purchaser price"/>
    <n v="2E-3"/>
    <n v="2E-3"/>
    <n v="0"/>
    <n v="0"/>
    <n v="2E-3"/>
    <n v="2E-3"/>
  </r>
  <r>
    <x v="4"/>
    <s v="carbon dioxide"/>
    <s v="kg/2018 USD, purchaser price"/>
    <n v="0.26600000000000001"/>
    <n v="0.26600000000000001"/>
    <n v="8.3000000000000004E-2"/>
    <n v="8.3000000000000004E-2"/>
    <n v="0.34899999999999998"/>
    <n v="0.34899999999999998"/>
  </r>
  <r>
    <x v="4"/>
    <s v="methane"/>
    <s v="kg/2018 USD, purchaser price"/>
    <n v="1E-3"/>
    <n v="2.8000000000000001E-2"/>
    <n v="1E-3"/>
    <n v="2.8000000000000001E-2"/>
    <n v="1E-3"/>
    <n v="2.8000000000000001E-2"/>
  </r>
  <r>
    <x v="4"/>
    <s v="nitrous oxide"/>
    <s v="kg/2018 USD, purchaser price"/>
    <n v="0"/>
    <n v="0"/>
    <n v="0"/>
    <n v="0"/>
    <n v="0"/>
    <n v="0"/>
  </r>
  <r>
    <x v="4"/>
    <s v="other GHGs"/>
    <s v="kg CO2e/2018 USD, purchaser price"/>
    <n v="2E-3"/>
    <n v="2E-3"/>
    <n v="0"/>
    <n v="0"/>
    <n v="2E-3"/>
    <n v="2E-3"/>
  </r>
  <r>
    <x v="5"/>
    <s v="carbon dioxide"/>
    <s v="kg/2018 USD, purchaser price"/>
    <n v="0.27800000000000002"/>
    <n v="0.27800000000000002"/>
    <n v="6.6000000000000003E-2"/>
    <n v="6.6000000000000003E-2"/>
    <n v="0.34499999999999997"/>
    <n v="0.34499999999999997"/>
  </r>
  <r>
    <x v="5"/>
    <s v="methane"/>
    <s v="kg/2018 USD, purchaser price"/>
    <n v="1E-3"/>
    <n v="2.8000000000000001E-2"/>
    <n v="1E-3"/>
    <n v="2.8000000000000001E-2"/>
    <n v="2E-3"/>
    <n v="5.6000000000000001E-2"/>
  </r>
  <r>
    <x v="5"/>
    <s v="nitrous oxide"/>
    <s v="kg/2018 USD, purchaser price"/>
    <n v="2E-3"/>
    <n v="0.53"/>
    <n v="0"/>
    <n v="0"/>
    <n v="2E-3"/>
    <n v="0.53"/>
  </r>
  <r>
    <x v="5"/>
    <s v="other GHGs"/>
    <s v="kg CO2e/2018 USD, purchaser price"/>
    <n v="3.0000000000000001E-3"/>
    <n v="3.0000000000000001E-3"/>
    <n v="0"/>
    <n v="0"/>
    <n v="3.0000000000000001E-3"/>
    <n v="3.0000000000000001E-3"/>
  </r>
  <r>
    <x v="6"/>
    <s v="carbon dioxide"/>
    <s v="kg/2018 USD, purchaser price"/>
    <n v="0.439"/>
    <n v="0.439"/>
    <n v="5.0999999999999997E-2"/>
    <n v="5.0999999999999997E-2"/>
    <n v="0.49099999999999999"/>
    <n v="0.49099999999999999"/>
  </r>
  <r>
    <x v="6"/>
    <s v="methane"/>
    <s v="kg/2018 USD, purchaser price"/>
    <n v="6.7000000000000004E-2"/>
    <n v="1.8760000000000001"/>
    <n v="1E-3"/>
    <n v="2.8000000000000001E-2"/>
    <n v="6.7000000000000004E-2"/>
    <n v="1.8760000000000001"/>
  </r>
  <r>
    <x v="6"/>
    <s v="nitrous oxide"/>
    <s v="kg/2018 USD, purchaser price"/>
    <n v="1E-3"/>
    <n v="0.26500000000000001"/>
    <n v="0"/>
    <n v="0"/>
    <n v="1E-3"/>
    <n v="0.26500000000000001"/>
  </r>
  <r>
    <x v="6"/>
    <s v="other GHGs"/>
    <s v="kg CO2e/2018 USD, purchaser price"/>
    <n v="4.0000000000000001E-3"/>
    <n v="4.0000000000000001E-3"/>
    <n v="0"/>
    <n v="0"/>
    <n v="4.0000000000000001E-3"/>
    <n v="4.0000000000000001E-3"/>
  </r>
  <r>
    <x v="7"/>
    <s v="carbon dioxide"/>
    <s v="kg/2018 USD, purchaser price"/>
    <n v="0.52800000000000002"/>
    <n v="0.52800000000000002"/>
    <n v="5.0999999999999997E-2"/>
    <n v="5.0999999999999997E-2"/>
    <n v="0.57899999999999996"/>
    <n v="0.57899999999999996"/>
  </r>
  <r>
    <x v="7"/>
    <s v="methane"/>
    <s v="kg/2018 USD, purchaser price"/>
    <n v="7.8E-2"/>
    <n v="2.1840000000000002"/>
    <n v="1E-3"/>
    <n v="2.8000000000000001E-2"/>
    <n v="7.9000000000000001E-2"/>
    <n v="2.2120000000000002"/>
  </r>
  <r>
    <x v="7"/>
    <s v="nitrous oxide"/>
    <s v="kg/2018 USD, purchaser price"/>
    <n v="4.0000000000000001E-3"/>
    <n v="1.06"/>
    <n v="0"/>
    <n v="0"/>
    <n v="4.0000000000000001E-3"/>
    <n v="1.06"/>
  </r>
  <r>
    <x v="7"/>
    <s v="other GHGs"/>
    <s v="kg CO2e/2018 USD, purchaser price"/>
    <n v="3.0000000000000001E-3"/>
    <n v="3.0000000000000001E-3"/>
    <n v="0"/>
    <n v="0"/>
    <n v="3.0000000000000001E-3"/>
    <n v="3.0000000000000001E-3"/>
  </r>
  <r>
    <x v="8"/>
    <s v="carbon dioxide"/>
    <s v="kg/2018 USD, purchaser price"/>
    <n v="0.64200000000000002"/>
    <n v="0.64200000000000002"/>
    <n v="5.7000000000000002E-2"/>
    <n v="5.7000000000000002E-2"/>
    <n v="0.69899999999999995"/>
    <n v="0.69899999999999995"/>
  </r>
  <r>
    <x v="8"/>
    <s v="methane"/>
    <s v="kg/2018 USD, purchaser price"/>
    <n v="7.0000000000000001E-3"/>
    <n v="0.19600000000000001"/>
    <n v="1E-3"/>
    <n v="2.8000000000000001E-2"/>
    <n v="8.0000000000000002E-3"/>
    <n v="0.224"/>
  </r>
  <r>
    <x v="8"/>
    <s v="nitrous oxide"/>
    <s v="kg/2018 USD, purchaser price"/>
    <n v="1E-3"/>
    <n v="0.26500000000000001"/>
    <n v="0"/>
    <n v="0"/>
    <n v="1E-3"/>
    <n v="0.26500000000000001"/>
  </r>
  <r>
    <x v="8"/>
    <s v="other GHGs"/>
    <s v="kg CO2e/2018 USD, purchaser price"/>
    <n v="5.0000000000000001E-3"/>
    <n v="5.0000000000000001E-3"/>
    <n v="0"/>
    <n v="0"/>
    <n v="5.0000000000000001E-3"/>
    <n v="5.0000000000000001E-3"/>
  </r>
  <r>
    <x v="9"/>
    <s v="carbon dioxide"/>
    <s v="kg/2018 USD, purchaser price"/>
    <n v="0.183"/>
    <n v="0.183"/>
    <n v="6.4000000000000001E-2"/>
    <n v="6.4000000000000001E-2"/>
    <n v="0.247"/>
    <n v="0.247"/>
  </r>
  <r>
    <x v="9"/>
    <s v="methane"/>
    <s v="kg/2018 USD, purchaser price"/>
    <n v="3.4000000000000002E-2"/>
    <n v="0.95200000000000007"/>
    <n v="1E-3"/>
    <n v="2.8000000000000001E-2"/>
    <n v="3.5000000000000003E-2"/>
    <n v="0.98000000000000009"/>
  </r>
  <r>
    <x v="9"/>
    <s v="nitrous oxide"/>
    <s v="kg/2018 USD, purchaser price"/>
    <n v="1E-3"/>
    <n v="0.26500000000000001"/>
    <n v="0"/>
    <n v="0"/>
    <n v="1E-3"/>
    <n v="0.26500000000000001"/>
  </r>
  <r>
    <x v="9"/>
    <s v="other GHGs"/>
    <s v="kg CO2e/2018 USD, purchaser price"/>
    <n v="2E-3"/>
    <n v="2E-3"/>
    <n v="0"/>
    <n v="0"/>
    <n v="2E-3"/>
    <n v="2E-3"/>
  </r>
  <r>
    <x v="10"/>
    <s v="carbon dioxide"/>
    <s v="kg/2018 USD, purchaser price"/>
    <n v="0.18099999999999999"/>
    <n v="0.18099999999999999"/>
    <n v="6.7000000000000004E-2"/>
    <n v="6.7000000000000004E-2"/>
    <n v="0.249"/>
    <n v="0.249"/>
  </r>
  <r>
    <x v="10"/>
    <s v="methane"/>
    <s v="kg/2018 USD, purchaser price"/>
    <n v="1E-3"/>
    <n v="2.8000000000000001E-2"/>
    <n v="1E-3"/>
    <n v="2.8000000000000001E-2"/>
    <n v="2E-3"/>
    <n v="5.6000000000000001E-2"/>
  </r>
  <r>
    <x v="10"/>
    <s v="nitrous oxide"/>
    <s v="kg/2018 USD, purchaser price"/>
    <n v="0"/>
    <n v="0"/>
    <n v="0"/>
    <n v="0"/>
    <n v="0"/>
    <n v="0"/>
  </r>
  <r>
    <x v="10"/>
    <s v="other GHGs"/>
    <s v="kg CO2e/2018 USD, purchaser price"/>
    <n v="2E-3"/>
    <n v="2E-3"/>
    <n v="0"/>
    <n v="0"/>
    <n v="2E-3"/>
    <n v="2E-3"/>
  </r>
  <r>
    <x v="11"/>
    <s v="carbon dioxide"/>
    <s v="kg/2018 USD, purchaser price"/>
    <n v="0.22600000000000001"/>
    <n v="0.22600000000000001"/>
    <n v="9.8000000000000004E-2"/>
    <n v="9.8000000000000004E-2"/>
    <n v="0.32400000000000001"/>
    <n v="0.32400000000000001"/>
  </r>
  <r>
    <x v="11"/>
    <s v="methane"/>
    <s v="kg/2018 USD, purchaser price"/>
    <n v="1E-3"/>
    <n v="2.8000000000000001E-2"/>
    <n v="1E-3"/>
    <n v="2.8000000000000001E-2"/>
    <n v="2E-3"/>
    <n v="5.6000000000000001E-2"/>
  </r>
  <r>
    <x v="11"/>
    <s v="nitrous oxide"/>
    <s v="kg/2018 USD, purchaser price"/>
    <n v="0"/>
    <n v="0"/>
    <n v="0"/>
    <n v="0"/>
    <n v="0"/>
    <n v="0"/>
  </r>
  <r>
    <x v="11"/>
    <s v="other GHGs"/>
    <s v="kg CO2e/2018 USD, purchaser price"/>
    <n v="2E-3"/>
    <n v="2E-3"/>
    <n v="0"/>
    <n v="0"/>
    <n v="2E-3"/>
    <n v="2E-3"/>
  </r>
  <r>
    <x v="12"/>
    <s v="carbon dioxide"/>
    <s v="kg/2018 USD, purchaser price"/>
    <n v="0.317"/>
    <n v="0.317"/>
    <n v="0"/>
    <n v="0"/>
    <n v="0.317"/>
    <n v="0.317"/>
  </r>
  <r>
    <x v="12"/>
    <s v="methane"/>
    <s v="kg/2018 USD, purchaser price"/>
    <n v="5.0000000000000001E-3"/>
    <n v="0.14000000000000001"/>
    <n v="0"/>
    <n v="0"/>
    <n v="5.0000000000000001E-3"/>
    <n v="0.14000000000000001"/>
  </r>
  <r>
    <x v="12"/>
    <s v="nitrous oxide"/>
    <s v="kg/2018 USD, purchaser price"/>
    <n v="0"/>
    <n v="0"/>
    <n v="0"/>
    <n v="0"/>
    <n v="0"/>
    <n v="0"/>
  </r>
  <r>
    <x v="12"/>
    <s v="other GHGs"/>
    <s v="kg CO2e/2018 USD, purchaser price"/>
    <n v="2E-3"/>
    <n v="2E-3"/>
    <n v="0"/>
    <n v="0"/>
    <n v="2E-3"/>
    <n v="2E-3"/>
  </r>
  <r>
    <x v="13"/>
    <s v="carbon dioxide"/>
    <s v="kg/2018 USD, purchaser price"/>
    <n v="0.317"/>
    <n v="0.317"/>
    <n v="7.4999999999999997E-2"/>
    <n v="7.4999999999999997E-2"/>
    <n v="0.39100000000000001"/>
    <n v="0.39100000000000001"/>
  </r>
  <r>
    <x v="13"/>
    <s v="methane"/>
    <s v="kg/2018 USD, purchaser price"/>
    <n v="1.4999999999999999E-2"/>
    <n v="0.42"/>
    <n v="1E-3"/>
    <n v="2.8000000000000001E-2"/>
    <n v="1.6E-2"/>
    <n v="0.44800000000000001"/>
  </r>
  <r>
    <x v="13"/>
    <s v="nitrous oxide"/>
    <s v="kg/2018 USD, purchaser price"/>
    <n v="0"/>
    <n v="0"/>
    <n v="0"/>
    <n v="0"/>
    <n v="0"/>
    <n v="0"/>
  </r>
  <r>
    <x v="13"/>
    <s v="other GHGs"/>
    <s v="kg CO2e/2018 USD, purchaser price"/>
    <n v="4.0000000000000001E-3"/>
    <n v="4.0000000000000001E-3"/>
    <n v="0"/>
    <n v="0"/>
    <n v="4.0000000000000001E-3"/>
    <n v="4.0000000000000001E-3"/>
  </r>
  <r>
    <x v="14"/>
    <s v="carbon dioxide"/>
    <s v="kg/2018 USD, purchaser price"/>
    <n v="0.308"/>
    <n v="0.308"/>
    <n v="0.17799999999999999"/>
    <n v="0.17799999999999999"/>
    <n v="0.48499999999999999"/>
    <n v="0.48499999999999999"/>
  </r>
  <r>
    <x v="14"/>
    <s v="methane"/>
    <s v="kg/2018 USD, purchaser price"/>
    <n v="4.8000000000000001E-2"/>
    <n v="1.3440000000000001"/>
    <n v="2E-3"/>
    <n v="5.6000000000000001E-2"/>
    <n v="0.05"/>
    <n v="1.4000000000000001"/>
  </r>
  <r>
    <x v="14"/>
    <s v="nitrous oxide"/>
    <s v="kg/2018 USD, purchaser price"/>
    <n v="0"/>
    <n v="0"/>
    <n v="0"/>
    <n v="0"/>
    <n v="0"/>
    <n v="0"/>
  </r>
  <r>
    <x v="14"/>
    <s v="other GHGs"/>
    <s v="kg CO2e/2018 USD, purchaser price"/>
    <n v="3.0000000000000001E-3"/>
    <n v="3.0000000000000001E-3"/>
    <n v="0"/>
    <n v="0"/>
    <n v="3.0000000000000001E-3"/>
    <n v="3.0000000000000001E-3"/>
  </r>
  <r>
    <x v="15"/>
    <s v="carbon dioxide"/>
    <s v="kg/2018 USD, purchaser price"/>
    <n v="1.2090000000000001"/>
    <n v="1.2090000000000001"/>
    <n v="7.0999999999999994E-2"/>
    <n v="7.0999999999999994E-2"/>
    <n v="1.28"/>
    <n v="1.28"/>
  </r>
  <r>
    <x v="15"/>
    <s v="methane"/>
    <s v="kg/2018 USD, purchaser price"/>
    <n v="2E-3"/>
    <n v="5.6000000000000001E-2"/>
    <n v="1E-3"/>
    <n v="2.8000000000000001E-2"/>
    <n v="3.0000000000000001E-3"/>
    <n v="8.4000000000000005E-2"/>
  </r>
  <r>
    <x v="15"/>
    <s v="nitrous oxide"/>
    <s v="kg/2018 USD, purchaser price"/>
    <n v="0"/>
    <n v="0"/>
    <n v="0"/>
    <n v="0"/>
    <n v="0"/>
    <n v="0"/>
  </r>
  <r>
    <x v="15"/>
    <s v="other GHGs"/>
    <s v="kg CO2e/2018 USD, purchaser price"/>
    <n v="5.0000000000000001E-3"/>
    <n v="5.0000000000000001E-3"/>
    <n v="0"/>
    <n v="0"/>
    <n v="5.0000000000000001E-3"/>
    <n v="5.0000000000000001E-3"/>
  </r>
  <r>
    <x v="16"/>
    <s v="carbon dioxide"/>
    <s v="kg/2018 USD, purchaser price"/>
    <n v="1.081"/>
    <n v="1.081"/>
    <n v="6.5000000000000002E-2"/>
    <n v="6.5000000000000002E-2"/>
    <n v="1.1459999999999999"/>
    <n v="1.1459999999999999"/>
  </r>
  <r>
    <x v="16"/>
    <s v="methane"/>
    <s v="kg/2018 USD, purchaser price"/>
    <n v="2E-3"/>
    <n v="5.6000000000000001E-2"/>
    <n v="1E-3"/>
    <n v="2.8000000000000001E-2"/>
    <n v="3.0000000000000001E-3"/>
    <n v="8.4000000000000005E-2"/>
  </r>
  <r>
    <x v="16"/>
    <s v="nitrous oxide"/>
    <s v="kg/2018 USD, purchaser price"/>
    <n v="0"/>
    <n v="0"/>
    <n v="0"/>
    <n v="0"/>
    <n v="0"/>
    <n v="0"/>
  </r>
  <r>
    <x v="16"/>
    <s v="other GHGs"/>
    <s v="kg CO2e/2018 USD, purchaser price"/>
    <n v="6.0000000000000001E-3"/>
    <n v="6.0000000000000001E-3"/>
    <n v="0"/>
    <n v="0"/>
    <n v="6.0000000000000001E-3"/>
    <n v="6.0000000000000001E-3"/>
  </r>
  <r>
    <x v="17"/>
    <s v="carbon dioxide"/>
    <s v="kg/2018 USD, purchaser price"/>
    <n v="0.34300000000000003"/>
    <n v="0.34300000000000003"/>
    <n v="0.11600000000000001"/>
    <n v="0.11600000000000001"/>
    <n v="0.45900000000000002"/>
    <n v="0.45900000000000002"/>
  </r>
  <r>
    <x v="17"/>
    <s v="methane"/>
    <s v="kg/2018 USD, purchaser price"/>
    <n v="1E-3"/>
    <n v="2.8000000000000001E-2"/>
    <n v="1E-3"/>
    <n v="2.8000000000000001E-2"/>
    <n v="3.0000000000000001E-3"/>
    <n v="8.4000000000000005E-2"/>
  </r>
  <r>
    <x v="17"/>
    <s v="nitrous oxide"/>
    <s v="kg/2018 USD, purchaser price"/>
    <n v="0"/>
    <n v="0"/>
    <n v="0"/>
    <n v="0"/>
    <n v="0"/>
    <n v="0"/>
  </r>
  <r>
    <x v="17"/>
    <s v="other GHGs"/>
    <s v="kg CO2e/2018 USD, purchaser price"/>
    <n v="4.0000000000000001E-3"/>
    <n v="4.0000000000000001E-3"/>
    <n v="0"/>
    <n v="0"/>
    <n v="4.0000000000000001E-3"/>
    <n v="4.0000000000000001E-3"/>
  </r>
  <r>
    <x v="18"/>
    <s v="carbon dioxide"/>
    <s v="kg/2018 USD, purchaser price"/>
    <n v="0.55100000000000005"/>
    <n v="0.55100000000000005"/>
    <n v="0.156"/>
    <n v="0.156"/>
    <n v="0.70699999999999996"/>
    <n v="0.70699999999999996"/>
  </r>
  <r>
    <x v="18"/>
    <s v="methane"/>
    <s v="kg/2018 USD, purchaser price"/>
    <n v="3.0000000000000001E-3"/>
    <n v="8.4000000000000005E-2"/>
    <n v="2E-3"/>
    <n v="5.6000000000000001E-2"/>
    <n v="4.0000000000000001E-3"/>
    <n v="0.112"/>
  </r>
  <r>
    <x v="18"/>
    <s v="nitrous oxide"/>
    <s v="kg/2018 USD, purchaser price"/>
    <n v="0"/>
    <n v="0"/>
    <n v="0"/>
    <n v="0"/>
    <n v="0"/>
    <n v="0"/>
  </r>
  <r>
    <x v="18"/>
    <s v="other GHGs"/>
    <s v="kg CO2e/2018 USD, purchaser price"/>
    <n v="4.0000000000000001E-3"/>
    <n v="4.0000000000000001E-3"/>
    <n v="0"/>
    <n v="0"/>
    <n v="4.0000000000000001E-3"/>
    <n v="4.0000000000000001E-3"/>
  </r>
  <r>
    <x v="19"/>
    <s v="carbon dioxide"/>
    <s v="kg/2018 USD, purchaser price"/>
    <n v="0.34"/>
    <n v="0.34"/>
    <n v="0"/>
    <n v="0"/>
    <n v="0.34"/>
    <n v="0.34"/>
  </r>
  <r>
    <x v="19"/>
    <s v="methane"/>
    <s v="kg/2018 USD, purchaser price"/>
    <n v="8.0000000000000002E-3"/>
    <n v="0.224"/>
    <n v="0"/>
    <n v="0"/>
    <n v="8.0000000000000002E-3"/>
    <n v="0.224"/>
  </r>
  <r>
    <x v="19"/>
    <s v="nitrous oxide"/>
    <s v="kg/2018 USD, purchaser price"/>
    <n v="0"/>
    <n v="0"/>
    <n v="0"/>
    <n v="0"/>
    <n v="0"/>
    <n v="0"/>
  </r>
  <r>
    <x v="19"/>
    <s v="other GHGs"/>
    <s v="kg CO2e/2018 USD, purchaser price"/>
    <n v="3.0000000000000001E-3"/>
    <n v="3.0000000000000001E-3"/>
    <n v="0"/>
    <n v="0"/>
    <n v="3.0000000000000001E-3"/>
    <n v="3.0000000000000001E-3"/>
  </r>
  <r>
    <x v="20"/>
    <s v="carbon dioxide"/>
    <s v="kg/2018 USD, purchaser price"/>
    <n v="0.40899999999999997"/>
    <n v="0.40899999999999997"/>
    <n v="0"/>
    <n v="0"/>
    <n v="0.40899999999999997"/>
    <n v="0.40899999999999997"/>
  </r>
  <r>
    <x v="20"/>
    <s v="methane"/>
    <s v="kg/2018 USD, purchaser price"/>
    <n v="8.0000000000000002E-3"/>
    <n v="0.224"/>
    <n v="0"/>
    <n v="0"/>
    <n v="8.0000000000000002E-3"/>
    <n v="0.224"/>
  </r>
  <r>
    <x v="20"/>
    <s v="nitrous oxide"/>
    <s v="kg/2018 USD, purchaser price"/>
    <n v="0"/>
    <n v="0"/>
    <n v="0"/>
    <n v="0"/>
    <n v="0"/>
    <n v="0"/>
  </r>
  <r>
    <x v="20"/>
    <s v="other GHGs"/>
    <s v="kg CO2e/2018 USD, purchaser price"/>
    <n v="4.0000000000000001E-3"/>
    <n v="4.0000000000000001E-3"/>
    <n v="0"/>
    <n v="0"/>
    <n v="4.0000000000000001E-3"/>
    <n v="4.0000000000000001E-3"/>
  </r>
  <r>
    <x v="21"/>
    <s v="carbon dioxide"/>
    <s v="kg/2018 USD, purchaser price"/>
    <n v="3.5859999999999999"/>
    <n v="3.5859999999999999"/>
    <n v="0"/>
    <n v="0"/>
    <n v="3.5859999999999999"/>
    <n v="3.5859999999999999"/>
  </r>
  <r>
    <x v="21"/>
    <s v="methane"/>
    <s v="kg/2018 USD, purchaser price"/>
    <n v="6.0000000000000001E-3"/>
    <n v="0.16800000000000001"/>
    <n v="0"/>
    <n v="0"/>
    <n v="6.0000000000000001E-3"/>
    <n v="0.16800000000000001"/>
  </r>
  <r>
    <x v="21"/>
    <s v="nitrous oxide"/>
    <s v="kg/2018 USD, purchaser price"/>
    <n v="0"/>
    <n v="0"/>
    <n v="0"/>
    <n v="0"/>
    <n v="0"/>
    <n v="0"/>
  </r>
  <r>
    <x v="21"/>
    <s v="other GHGs"/>
    <s v="kg CO2e/2018 USD, purchaser price"/>
    <n v="1.2999999999999999E-2"/>
    <n v="1.2999999999999999E-2"/>
    <n v="0"/>
    <n v="0"/>
    <n v="1.2999999999999999E-2"/>
    <n v="1.2999999999999999E-2"/>
  </r>
  <r>
    <x v="22"/>
    <s v="carbon dioxide"/>
    <s v="kg/2018 USD, purchaser price"/>
    <n v="0.54600000000000004"/>
    <n v="0.54600000000000004"/>
    <n v="0"/>
    <n v="0"/>
    <n v="0.54600000000000004"/>
    <n v="0.54600000000000004"/>
  </r>
  <r>
    <x v="22"/>
    <s v="methane"/>
    <s v="kg/2018 USD, purchaser price"/>
    <n v="0.01"/>
    <n v="0.28000000000000003"/>
    <n v="0"/>
    <n v="0"/>
    <n v="0.01"/>
    <n v="0.28000000000000003"/>
  </r>
  <r>
    <x v="22"/>
    <s v="nitrous oxide"/>
    <s v="kg/2018 USD, purchaser price"/>
    <n v="0"/>
    <n v="0"/>
    <n v="0"/>
    <n v="0"/>
    <n v="0"/>
    <n v="0"/>
  </r>
  <r>
    <x v="22"/>
    <s v="other GHGs"/>
    <s v="kg CO2e/2018 USD, purchaser price"/>
    <n v="4.0000000000000001E-3"/>
    <n v="4.0000000000000001E-3"/>
    <n v="0"/>
    <n v="0"/>
    <n v="4.0000000000000001E-3"/>
    <n v="4.0000000000000001E-3"/>
  </r>
  <r>
    <x v="23"/>
    <s v="carbon dioxide"/>
    <s v="kg/2018 USD, purchaser price"/>
    <n v="0.38400000000000001"/>
    <n v="0.38400000000000001"/>
    <n v="0"/>
    <n v="0"/>
    <n v="0.38400000000000001"/>
    <n v="0.38400000000000001"/>
  </r>
  <r>
    <x v="23"/>
    <s v="methane"/>
    <s v="kg/2018 USD, purchaser price"/>
    <n v="8.9999999999999993E-3"/>
    <n v="0.252"/>
    <n v="0"/>
    <n v="0"/>
    <n v="8.9999999999999993E-3"/>
    <n v="0.252"/>
  </r>
  <r>
    <x v="23"/>
    <s v="nitrous oxide"/>
    <s v="kg/2018 USD, purchaser price"/>
    <n v="0"/>
    <n v="0"/>
    <n v="0"/>
    <n v="0"/>
    <n v="0"/>
    <n v="0"/>
  </r>
  <r>
    <x v="23"/>
    <s v="other GHGs"/>
    <s v="kg CO2e/2018 USD, purchaser price"/>
    <n v="8.9999999999999993E-3"/>
    <n v="8.9999999999999993E-3"/>
    <n v="0"/>
    <n v="0"/>
    <n v="8.9999999999999993E-3"/>
    <n v="8.9999999999999993E-3"/>
  </r>
  <r>
    <x v="24"/>
    <s v="carbon dioxide"/>
    <s v="kg/2018 USD, purchaser price"/>
    <n v="0.38900000000000001"/>
    <n v="0.38900000000000001"/>
    <n v="0"/>
    <n v="0"/>
    <n v="0.38900000000000001"/>
    <n v="0.38900000000000001"/>
  </r>
  <r>
    <x v="24"/>
    <s v="methane"/>
    <s v="kg/2018 USD, purchaser price"/>
    <n v="2E-3"/>
    <n v="5.6000000000000001E-2"/>
    <n v="0"/>
    <n v="0"/>
    <n v="2E-3"/>
    <n v="5.6000000000000001E-2"/>
  </r>
  <r>
    <x v="24"/>
    <s v="nitrous oxide"/>
    <s v="kg/2018 USD, purchaser price"/>
    <n v="0"/>
    <n v="0"/>
    <n v="0"/>
    <n v="0"/>
    <n v="0"/>
    <n v="0"/>
  </r>
  <r>
    <x v="24"/>
    <s v="other GHGs"/>
    <s v="kg CO2e/2018 USD, purchaser price"/>
    <n v="3.9E-2"/>
    <n v="3.9E-2"/>
    <n v="0"/>
    <n v="0"/>
    <n v="3.9E-2"/>
    <n v="3.9E-2"/>
  </r>
  <r>
    <x v="25"/>
    <s v="carbon dioxide"/>
    <s v="kg/2018 USD, purchaser price"/>
    <n v="0.31"/>
    <n v="0.31"/>
    <n v="0"/>
    <n v="0"/>
    <n v="0.31"/>
    <n v="0.31"/>
  </r>
  <r>
    <x v="25"/>
    <s v="methane"/>
    <s v="kg/2018 USD, purchaser price"/>
    <n v="1E-3"/>
    <n v="2.8000000000000001E-2"/>
    <n v="0"/>
    <n v="0"/>
    <n v="1E-3"/>
    <n v="2.8000000000000001E-2"/>
  </r>
  <r>
    <x v="25"/>
    <s v="nitrous oxide"/>
    <s v="kg/2018 USD, purchaser price"/>
    <n v="0"/>
    <n v="0"/>
    <n v="0"/>
    <n v="0"/>
    <n v="0"/>
    <n v="0"/>
  </r>
  <r>
    <x v="25"/>
    <s v="other GHGs"/>
    <s v="kg CO2e/2018 USD, purchaser price"/>
    <n v="0.04"/>
    <n v="0.04"/>
    <n v="0"/>
    <n v="0"/>
    <n v="0.04"/>
    <n v="0.04"/>
  </r>
  <r>
    <x v="26"/>
    <s v="carbon dioxide"/>
    <s v="kg/2018 USD, purchaser price"/>
    <n v="0.23400000000000001"/>
    <n v="0.23400000000000001"/>
    <n v="0"/>
    <n v="0"/>
    <n v="0.23400000000000001"/>
    <n v="0.23400000000000001"/>
  </r>
  <r>
    <x v="26"/>
    <s v="methane"/>
    <s v="kg/2018 USD, purchaser price"/>
    <n v="1E-3"/>
    <n v="2.8000000000000001E-2"/>
    <n v="0"/>
    <n v="0"/>
    <n v="1E-3"/>
    <n v="2.8000000000000001E-2"/>
  </r>
  <r>
    <x v="26"/>
    <s v="nitrous oxide"/>
    <s v="kg/2018 USD, purchaser price"/>
    <n v="0"/>
    <n v="0"/>
    <n v="0"/>
    <n v="0"/>
    <n v="0"/>
    <n v="0"/>
  </r>
  <r>
    <x v="26"/>
    <s v="other GHGs"/>
    <s v="kg CO2e/2018 USD, purchaser price"/>
    <n v="4.2000000000000003E-2"/>
    <n v="4.2000000000000003E-2"/>
    <n v="0"/>
    <n v="0"/>
    <n v="4.2000000000000003E-2"/>
    <n v="4.2000000000000003E-2"/>
  </r>
  <r>
    <x v="27"/>
    <s v="carbon dioxide"/>
    <s v="kg/2018 USD, purchaser price"/>
    <n v="0.313"/>
    <n v="0.313"/>
    <n v="0"/>
    <n v="0"/>
    <n v="0.313"/>
    <n v="0.313"/>
  </r>
  <r>
    <x v="27"/>
    <s v="methane"/>
    <s v="kg/2018 USD, purchaser price"/>
    <n v="1E-3"/>
    <n v="2.8000000000000001E-2"/>
    <n v="0"/>
    <n v="0"/>
    <n v="1E-3"/>
    <n v="2.8000000000000001E-2"/>
  </r>
  <r>
    <x v="27"/>
    <s v="nitrous oxide"/>
    <s v="kg/2018 USD, purchaser price"/>
    <n v="0"/>
    <n v="0"/>
    <n v="0"/>
    <n v="0"/>
    <n v="0"/>
    <n v="0"/>
  </r>
  <r>
    <x v="27"/>
    <s v="other GHGs"/>
    <s v="kg CO2e/2018 USD, purchaser price"/>
    <n v="1.9E-2"/>
    <n v="1.9E-2"/>
    <n v="0"/>
    <n v="0"/>
    <n v="1.9E-2"/>
    <n v="1.9E-2"/>
  </r>
  <r>
    <x v="28"/>
    <s v="carbon dioxide"/>
    <s v="kg/2018 USD, purchaser price"/>
    <n v="0.33400000000000002"/>
    <n v="0.33400000000000002"/>
    <n v="0"/>
    <n v="0"/>
    <n v="0.33400000000000002"/>
    <n v="0.33400000000000002"/>
  </r>
  <r>
    <x v="28"/>
    <s v="methane"/>
    <s v="kg/2018 USD, purchaser price"/>
    <n v="5.0000000000000001E-3"/>
    <n v="0.14000000000000001"/>
    <n v="0"/>
    <n v="0"/>
    <n v="5.0000000000000001E-3"/>
    <n v="0.14000000000000001"/>
  </r>
  <r>
    <x v="28"/>
    <s v="nitrous oxide"/>
    <s v="kg/2018 USD, purchaser price"/>
    <n v="0"/>
    <n v="0"/>
    <n v="0"/>
    <n v="0"/>
    <n v="0"/>
    <n v="0"/>
  </r>
  <r>
    <x v="28"/>
    <s v="other GHGs"/>
    <s v="kg CO2e/2018 USD, purchaser price"/>
    <n v="1.0999999999999999E-2"/>
    <n v="1.0999999999999999E-2"/>
    <n v="0"/>
    <n v="0"/>
    <n v="1.0999999999999999E-2"/>
    <n v="1.0999999999999999E-2"/>
  </r>
  <r>
    <x v="29"/>
    <s v="carbon dioxide"/>
    <s v="kg/2018 USD, purchaser price"/>
    <n v="0.22"/>
    <n v="0.22"/>
    <n v="0"/>
    <n v="0"/>
    <n v="0.22"/>
    <n v="0.22"/>
  </r>
  <r>
    <x v="29"/>
    <s v="methane"/>
    <s v="kg/2018 USD, purchaser price"/>
    <n v="1E-3"/>
    <n v="2.8000000000000001E-2"/>
    <n v="0"/>
    <n v="0"/>
    <n v="1E-3"/>
    <n v="2.8000000000000001E-2"/>
  </r>
  <r>
    <x v="29"/>
    <s v="nitrous oxide"/>
    <s v="kg/2018 USD, purchaser price"/>
    <n v="0"/>
    <n v="0"/>
    <n v="0"/>
    <n v="0"/>
    <n v="0"/>
    <n v="0"/>
  </r>
  <r>
    <x v="29"/>
    <s v="other GHGs"/>
    <s v="kg CO2e/2018 USD, purchaser price"/>
    <n v="3.6999999999999998E-2"/>
    <n v="3.6999999999999998E-2"/>
    <n v="0"/>
    <n v="0"/>
    <n v="3.6999999999999998E-2"/>
    <n v="3.6999999999999998E-2"/>
  </r>
  <r>
    <x v="30"/>
    <s v="carbon dioxide"/>
    <s v="kg/2018 USD, purchaser price"/>
    <n v="0.22700000000000001"/>
    <n v="0.22700000000000001"/>
    <n v="0"/>
    <n v="0"/>
    <n v="0.22700000000000001"/>
    <n v="0.22700000000000001"/>
  </r>
  <r>
    <x v="30"/>
    <s v="methane"/>
    <s v="kg/2018 USD, purchaser price"/>
    <n v="1E-3"/>
    <n v="2.8000000000000001E-2"/>
    <n v="0"/>
    <n v="0"/>
    <n v="1E-3"/>
    <n v="2.8000000000000001E-2"/>
  </r>
  <r>
    <x v="30"/>
    <s v="nitrous oxide"/>
    <s v="kg/2018 USD, purchaser price"/>
    <n v="0"/>
    <n v="0"/>
    <n v="0"/>
    <n v="0"/>
    <n v="0"/>
    <n v="0"/>
  </r>
  <r>
    <x v="30"/>
    <s v="other GHGs"/>
    <s v="kg CO2e/2018 USD, purchaser price"/>
    <n v="3.6999999999999998E-2"/>
    <n v="3.6999999999999998E-2"/>
    <n v="0"/>
    <n v="0"/>
    <n v="3.6999999999999998E-2"/>
    <n v="3.6999999999999998E-2"/>
  </r>
  <r>
    <x v="31"/>
    <s v="carbon dioxide"/>
    <s v="kg/2018 USD, purchaser price"/>
    <n v="0.40600000000000003"/>
    <n v="0.40600000000000003"/>
    <n v="0"/>
    <n v="0"/>
    <n v="0.40600000000000003"/>
    <n v="0.40600000000000003"/>
  </r>
  <r>
    <x v="31"/>
    <s v="methane"/>
    <s v="kg/2018 USD, purchaser price"/>
    <n v="2E-3"/>
    <n v="5.6000000000000001E-2"/>
    <n v="0"/>
    <n v="0"/>
    <n v="2E-3"/>
    <n v="5.6000000000000001E-2"/>
  </r>
  <r>
    <x v="31"/>
    <s v="nitrous oxide"/>
    <s v="kg/2018 USD, purchaser price"/>
    <n v="0"/>
    <n v="0"/>
    <n v="0"/>
    <n v="0"/>
    <n v="0"/>
    <n v="0"/>
  </r>
  <r>
    <x v="31"/>
    <s v="other GHGs"/>
    <s v="kg CO2e/2018 USD, purchaser price"/>
    <n v="1.2999999999999999E-2"/>
    <n v="1.2999999999999999E-2"/>
    <n v="0"/>
    <n v="0"/>
    <n v="1.2999999999999999E-2"/>
    <n v="1.2999999999999999E-2"/>
  </r>
  <r>
    <x v="32"/>
    <s v="carbon dioxide"/>
    <s v="kg/2018 USD, purchaser price"/>
    <n v="0.35299999999999998"/>
    <n v="0.35299999999999998"/>
    <n v="0"/>
    <n v="0"/>
    <n v="0.35299999999999998"/>
    <n v="0.35299999999999998"/>
  </r>
  <r>
    <x v="32"/>
    <s v="methane"/>
    <s v="kg/2018 USD, purchaser price"/>
    <n v="2E-3"/>
    <n v="5.6000000000000001E-2"/>
    <n v="0"/>
    <n v="0"/>
    <n v="2E-3"/>
    <n v="5.6000000000000001E-2"/>
  </r>
  <r>
    <x v="32"/>
    <s v="nitrous oxide"/>
    <s v="kg/2018 USD, purchaser price"/>
    <n v="0"/>
    <n v="0"/>
    <n v="0"/>
    <n v="0"/>
    <n v="0"/>
    <n v="0"/>
  </r>
  <r>
    <x v="32"/>
    <s v="other GHGs"/>
    <s v="kg CO2e/2018 USD, purchaser price"/>
    <n v="1.9E-2"/>
    <n v="1.9E-2"/>
    <n v="0"/>
    <n v="0"/>
    <n v="1.9E-2"/>
    <n v="1.9E-2"/>
  </r>
  <r>
    <x v="33"/>
    <s v="carbon dioxide"/>
    <s v="kg/2018 USD, purchaser price"/>
    <n v="0.19"/>
    <n v="0.19"/>
    <n v="0"/>
    <n v="0"/>
    <n v="0.19"/>
    <n v="0.19"/>
  </r>
  <r>
    <x v="33"/>
    <s v="methane"/>
    <s v="kg/2018 USD, purchaser price"/>
    <n v="1E-3"/>
    <n v="2.8000000000000001E-2"/>
    <n v="0"/>
    <n v="0"/>
    <n v="1E-3"/>
    <n v="2.8000000000000001E-2"/>
  </r>
  <r>
    <x v="33"/>
    <s v="nitrous oxide"/>
    <s v="kg/2018 USD, purchaser price"/>
    <n v="0"/>
    <n v="0"/>
    <n v="0"/>
    <n v="0"/>
    <n v="0"/>
    <n v="0"/>
  </r>
  <r>
    <x v="33"/>
    <s v="other GHGs"/>
    <s v="kg CO2e/2018 USD, purchaser price"/>
    <n v="1.0999999999999999E-2"/>
    <n v="1.0999999999999999E-2"/>
    <n v="0"/>
    <n v="0"/>
    <n v="1.0999999999999999E-2"/>
    <n v="1.0999999999999999E-2"/>
  </r>
  <r>
    <x v="34"/>
    <s v="carbon dioxide"/>
    <s v="kg/2018 USD, purchaser price"/>
    <n v="0.107"/>
    <n v="0.107"/>
    <n v="0"/>
    <n v="0"/>
    <n v="0.107"/>
    <n v="0.107"/>
  </r>
  <r>
    <x v="34"/>
    <s v="methane"/>
    <s v="kg/2018 USD, purchaser price"/>
    <n v="0"/>
    <n v="0"/>
    <n v="0"/>
    <n v="0"/>
    <n v="0"/>
    <n v="0"/>
  </r>
  <r>
    <x v="34"/>
    <s v="nitrous oxide"/>
    <s v="kg/2018 USD, purchaser price"/>
    <n v="0"/>
    <n v="0"/>
    <n v="0"/>
    <n v="0"/>
    <n v="0"/>
    <n v="0"/>
  </r>
  <r>
    <x v="34"/>
    <s v="other GHGs"/>
    <s v="kg CO2e/2018 USD, purchaser price"/>
    <n v="6.0000000000000001E-3"/>
    <n v="6.0000000000000001E-3"/>
    <n v="0"/>
    <n v="0"/>
    <n v="6.0000000000000001E-3"/>
    <n v="6.0000000000000001E-3"/>
  </r>
  <r>
    <x v="35"/>
    <s v="carbon dioxide"/>
    <s v="kg/2018 USD, purchaser price"/>
    <n v="0.30399999999999999"/>
    <n v="0.30399999999999999"/>
    <n v="0"/>
    <n v="0"/>
    <n v="0.30399999999999999"/>
    <n v="0.30399999999999999"/>
  </r>
  <r>
    <x v="35"/>
    <s v="methane"/>
    <s v="kg/2018 USD, purchaser price"/>
    <n v="1E-3"/>
    <n v="2.8000000000000001E-2"/>
    <n v="0"/>
    <n v="0"/>
    <n v="1E-3"/>
    <n v="2.8000000000000001E-2"/>
  </r>
  <r>
    <x v="35"/>
    <s v="nitrous oxide"/>
    <s v="kg/2018 USD, purchaser price"/>
    <n v="0"/>
    <n v="0"/>
    <n v="0"/>
    <n v="0"/>
    <n v="0"/>
    <n v="0"/>
  </r>
  <r>
    <x v="35"/>
    <s v="other GHGs"/>
    <s v="kg CO2e/2018 USD, purchaser price"/>
    <n v="2.3E-2"/>
    <n v="2.3E-2"/>
    <n v="0"/>
    <n v="0"/>
    <n v="2.3E-2"/>
    <n v="2.3E-2"/>
  </r>
  <r>
    <x v="36"/>
    <s v="carbon dioxide"/>
    <s v="kg/2018 USD, purchaser price"/>
    <n v="0.25800000000000001"/>
    <n v="0.25800000000000001"/>
    <n v="6.7000000000000004E-2"/>
    <n v="6.7000000000000004E-2"/>
    <n v="0.32600000000000001"/>
    <n v="0.32600000000000001"/>
  </r>
  <r>
    <x v="36"/>
    <s v="methane"/>
    <s v="kg/2018 USD, purchaser price"/>
    <n v="5.0000000000000001E-3"/>
    <n v="0.14000000000000001"/>
    <n v="0"/>
    <n v="0"/>
    <n v="5.0000000000000001E-3"/>
    <n v="0.14000000000000001"/>
  </r>
  <r>
    <x v="36"/>
    <s v="nitrous oxide"/>
    <s v="kg/2018 USD, purchaser price"/>
    <n v="1E-3"/>
    <n v="0.26500000000000001"/>
    <n v="0"/>
    <n v="0"/>
    <n v="1E-3"/>
    <n v="0.26500000000000001"/>
  </r>
  <r>
    <x v="36"/>
    <s v="other GHGs"/>
    <s v="kg CO2e/2018 USD, purchaser price"/>
    <n v="8.0000000000000002E-3"/>
    <n v="8.0000000000000002E-3"/>
    <n v="0"/>
    <n v="0"/>
    <n v="8.0000000000000002E-3"/>
    <n v="8.0000000000000002E-3"/>
  </r>
  <r>
    <x v="37"/>
    <s v="carbon dioxide"/>
    <s v="kg/2018 USD, purchaser price"/>
    <n v="0.23499999999999999"/>
    <n v="0.23499999999999999"/>
    <n v="3.4000000000000002E-2"/>
    <n v="3.4000000000000002E-2"/>
    <n v="0.26900000000000002"/>
    <n v="0.26900000000000002"/>
  </r>
  <r>
    <x v="37"/>
    <s v="methane"/>
    <s v="kg/2018 USD, purchaser price"/>
    <n v="2E-3"/>
    <n v="5.6000000000000001E-2"/>
    <n v="0"/>
    <n v="0"/>
    <n v="2E-3"/>
    <n v="5.6000000000000001E-2"/>
  </r>
  <r>
    <x v="37"/>
    <s v="nitrous oxide"/>
    <s v="kg/2018 USD, purchaser price"/>
    <n v="1E-3"/>
    <n v="0.26500000000000001"/>
    <n v="0"/>
    <n v="0"/>
    <n v="1E-3"/>
    <n v="0.26500000000000001"/>
  </r>
  <r>
    <x v="37"/>
    <s v="other GHGs"/>
    <s v="kg CO2e/2018 USD, purchaser price"/>
    <n v="5.0000000000000001E-3"/>
    <n v="5.0000000000000001E-3"/>
    <n v="0"/>
    <n v="0"/>
    <n v="5.0000000000000001E-3"/>
    <n v="5.0000000000000001E-3"/>
  </r>
  <r>
    <x v="38"/>
    <s v="carbon dioxide"/>
    <s v="kg/2018 USD, purchaser price"/>
    <n v="0.36"/>
    <n v="0.36"/>
    <n v="3.3000000000000002E-2"/>
    <n v="3.3000000000000002E-2"/>
    <n v="0.39200000000000002"/>
    <n v="0.39200000000000002"/>
  </r>
  <r>
    <x v="38"/>
    <s v="methane"/>
    <s v="kg/2018 USD, purchaser price"/>
    <n v="2E-3"/>
    <n v="5.6000000000000001E-2"/>
    <n v="0"/>
    <n v="0"/>
    <n v="3.0000000000000001E-3"/>
    <n v="8.4000000000000005E-2"/>
  </r>
  <r>
    <x v="38"/>
    <s v="nitrous oxide"/>
    <s v="kg/2018 USD, purchaser price"/>
    <n v="1E-3"/>
    <n v="0.26500000000000001"/>
    <n v="0"/>
    <n v="0"/>
    <n v="1E-3"/>
    <n v="0.26500000000000001"/>
  </r>
  <r>
    <x v="38"/>
    <s v="other GHGs"/>
    <s v="kg CO2e/2018 USD, purchaser price"/>
    <n v="5.0000000000000001E-3"/>
    <n v="5.0000000000000001E-3"/>
    <n v="0"/>
    <n v="0"/>
    <n v="5.0000000000000001E-3"/>
    <n v="5.0000000000000001E-3"/>
  </r>
  <r>
    <x v="39"/>
    <s v="carbon dioxide"/>
    <s v="kg/2018 USD, purchaser price"/>
    <n v="0.496"/>
    <n v="0.496"/>
    <n v="2.5999999999999999E-2"/>
    <n v="2.5999999999999999E-2"/>
    <n v="0.52300000000000002"/>
    <n v="0.52300000000000002"/>
  </r>
  <r>
    <x v="39"/>
    <s v="methane"/>
    <s v="kg/2018 USD, purchaser price"/>
    <n v="2E-3"/>
    <n v="5.6000000000000001E-2"/>
    <n v="0"/>
    <n v="0"/>
    <n v="3.0000000000000001E-3"/>
    <n v="8.4000000000000005E-2"/>
  </r>
  <r>
    <x v="39"/>
    <s v="nitrous oxide"/>
    <s v="kg/2018 USD, purchaser price"/>
    <n v="1E-3"/>
    <n v="0.26500000000000001"/>
    <n v="0"/>
    <n v="0"/>
    <n v="1E-3"/>
    <n v="0.26500000000000001"/>
  </r>
  <r>
    <x v="39"/>
    <s v="other GHGs"/>
    <s v="kg CO2e/2018 USD, purchaser price"/>
    <n v="5.0000000000000001E-3"/>
    <n v="5.0000000000000001E-3"/>
    <n v="0"/>
    <n v="0"/>
    <n v="5.0000000000000001E-3"/>
    <n v="5.0000000000000001E-3"/>
  </r>
  <r>
    <x v="40"/>
    <s v="carbon dioxide"/>
    <s v="kg/2018 USD, purchaser price"/>
    <n v="5.1999999999999998E-2"/>
    <n v="5.1999999999999998E-2"/>
    <n v="6.0000000000000001E-3"/>
    <n v="6.0000000000000001E-3"/>
    <n v="5.8000000000000003E-2"/>
    <n v="5.8000000000000003E-2"/>
  </r>
  <r>
    <x v="40"/>
    <s v="methane"/>
    <s v="kg/2018 USD, purchaser price"/>
    <n v="0"/>
    <n v="0"/>
    <n v="0"/>
    <n v="0"/>
    <n v="0"/>
    <n v="0"/>
  </r>
  <r>
    <x v="40"/>
    <s v="nitrous oxide"/>
    <s v="kg/2018 USD, purchaser price"/>
    <n v="0"/>
    <n v="0"/>
    <n v="0"/>
    <n v="0"/>
    <n v="0"/>
    <n v="0"/>
  </r>
  <r>
    <x v="40"/>
    <s v="other GHGs"/>
    <s v="kg CO2e/2018 USD, purchaser price"/>
    <n v="4.0000000000000001E-3"/>
    <n v="4.0000000000000001E-3"/>
    <n v="0"/>
    <n v="0"/>
    <n v="4.0000000000000001E-3"/>
    <n v="4.0000000000000001E-3"/>
  </r>
  <r>
    <x v="41"/>
    <s v="carbon dioxide"/>
    <s v="kg/2018 USD, purchaser price"/>
    <n v="0.35099999999999998"/>
    <n v="0.35099999999999998"/>
    <n v="3.1E-2"/>
    <n v="3.1E-2"/>
    <n v="0.38300000000000001"/>
    <n v="0.38300000000000001"/>
  </r>
  <r>
    <x v="41"/>
    <s v="methane"/>
    <s v="kg/2018 USD, purchaser price"/>
    <n v="2E-3"/>
    <n v="5.6000000000000001E-2"/>
    <n v="0"/>
    <n v="0"/>
    <n v="2E-3"/>
    <n v="5.6000000000000001E-2"/>
  </r>
  <r>
    <x v="41"/>
    <s v="nitrous oxide"/>
    <s v="kg/2018 USD, purchaser price"/>
    <n v="1E-3"/>
    <n v="0.26500000000000001"/>
    <n v="0"/>
    <n v="0"/>
    <n v="1E-3"/>
    <n v="0.26500000000000001"/>
  </r>
  <r>
    <x v="41"/>
    <s v="other GHGs"/>
    <s v="kg CO2e/2018 USD, purchaser price"/>
    <n v="6.0000000000000001E-3"/>
    <n v="6.0000000000000001E-3"/>
    <n v="0"/>
    <n v="0"/>
    <n v="6.0000000000000001E-3"/>
    <n v="6.0000000000000001E-3"/>
  </r>
  <r>
    <x v="42"/>
    <s v="carbon dioxide"/>
    <s v="kg/2018 USD, purchaser price"/>
    <n v="0.39"/>
    <n v="0.39"/>
    <n v="8.4000000000000005E-2"/>
    <n v="8.4000000000000005E-2"/>
    <n v="0.47399999999999998"/>
    <n v="0.47399999999999998"/>
  </r>
  <r>
    <x v="42"/>
    <s v="methane"/>
    <s v="kg/2018 USD, purchaser price"/>
    <n v="2E-3"/>
    <n v="5.6000000000000001E-2"/>
    <n v="0"/>
    <n v="0"/>
    <n v="2E-3"/>
    <n v="5.6000000000000001E-2"/>
  </r>
  <r>
    <x v="42"/>
    <s v="nitrous oxide"/>
    <s v="kg/2018 USD, purchaser price"/>
    <n v="1E-3"/>
    <n v="0.26500000000000001"/>
    <n v="0"/>
    <n v="0"/>
    <n v="1E-3"/>
    <n v="0.26500000000000001"/>
  </r>
  <r>
    <x v="42"/>
    <s v="other GHGs"/>
    <s v="kg CO2e/2018 USD, purchaser price"/>
    <n v="1.0999999999999999E-2"/>
    <n v="1.0999999999999999E-2"/>
    <n v="0"/>
    <n v="0"/>
    <n v="1.0999999999999999E-2"/>
    <n v="1.0999999999999999E-2"/>
  </r>
  <r>
    <x v="43"/>
    <s v="carbon dioxide"/>
    <s v="kg/2018 USD, purchaser price"/>
    <n v="0.437"/>
    <n v="0.437"/>
    <n v="7.8E-2"/>
    <n v="7.8E-2"/>
    <n v="0.51500000000000001"/>
    <n v="0.51500000000000001"/>
  </r>
  <r>
    <x v="43"/>
    <s v="methane"/>
    <s v="kg/2018 USD, purchaser price"/>
    <n v="3.0000000000000001E-3"/>
    <n v="8.4000000000000005E-2"/>
    <n v="0"/>
    <n v="0"/>
    <n v="3.0000000000000001E-3"/>
    <n v="8.4000000000000005E-2"/>
  </r>
  <r>
    <x v="43"/>
    <s v="nitrous oxide"/>
    <s v="kg/2018 USD, purchaser price"/>
    <n v="0"/>
    <n v="0"/>
    <n v="0"/>
    <n v="0"/>
    <n v="0"/>
    <n v="0"/>
  </r>
  <r>
    <x v="43"/>
    <s v="other GHGs"/>
    <s v="kg CO2e/2018 USD, purchaser price"/>
    <n v="8.0000000000000002E-3"/>
    <n v="8.0000000000000002E-3"/>
    <n v="0"/>
    <n v="0"/>
    <n v="8.0000000000000002E-3"/>
    <n v="8.0000000000000002E-3"/>
  </r>
  <r>
    <x v="44"/>
    <s v="carbon dioxide"/>
    <s v="kg/2018 USD, purchaser price"/>
    <n v="0.42399999999999999"/>
    <n v="0.42399999999999999"/>
    <n v="7.9000000000000001E-2"/>
    <n v="7.9000000000000001E-2"/>
    <n v="0.504"/>
    <n v="0.504"/>
  </r>
  <r>
    <x v="44"/>
    <s v="methane"/>
    <s v="kg/2018 USD, purchaser price"/>
    <n v="6.0000000000000001E-3"/>
    <n v="0.16800000000000001"/>
    <n v="0"/>
    <n v="0"/>
    <n v="7.0000000000000001E-3"/>
    <n v="0.19600000000000001"/>
  </r>
  <r>
    <x v="44"/>
    <s v="nitrous oxide"/>
    <s v="kg/2018 USD, purchaser price"/>
    <n v="1E-3"/>
    <n v="0.26500000000000001"/>
    <n v="0"/>
    <n v="0"/>
    <n v="1E-3"/>
    <n v="0.26500000000000001"/>
  </r>
  <r>
    <x v="44"/>
    <s v="other GHGs"/>
    <s v="kg CO2e/2018 USD, purchaser price"/>
    <n v="7.0000000000000001E-3"/>
    <n v="7.0000000000000001E-3"/>
    <n v="0"/>
    <n v="0"/>
    <n v="7.0000000000000001E-3"/>
    <n v="7.0000000000000001E-3"/>
  </r>
  <r>
    <x v="45"/>
    <s v="carbon dioxide"/>
    <s v="kg/2018 USD, purchaser price"/>
    <n v="0.29699999999999999"/>
    <n v="0.29699999999999999"/>
    <n v="6.0999999999999999E-2"/>
    <n v="6.0999999999999999E-2"/>
    <n v="0.35799999999999998"/>
    <n v="0.35799999999999998"/>
  </r>
  <r>
    <x v="45"/>
    <s v="methane"/>
    <s v="kg/2018 USD, purchaser price"/>
    <n v="5.0000000000000001E-3"/>
    <n v="0.14000000000000001"/>
    <n v="0"/>
    <n v="0"/>
    <n v="5.0000000000000001E-3"/>
    <n v="0.14000000000000001"/>
  </r>
  <r>
    <x v="45"/>
    <s v="nitrous oxide"/>
    <s v="kg/2018 USD, purchaser price"/>
    <n v="0"/>
    <n v="0"/>
    <n v="0"/>
    <n v="0"/>
    <n v="0"/>
    <n v="0"/>
  </r>
  <r>
    <x v="45"/>
    <s v="other GHGs"/>
    <s v="kg CO2e/2018 USD, purchaser price"/>
    <n v="4.2999999999999997E-2"/>
    <n v="4.2999999999999997E-2"/>
    <n v="0"/>
    <n v="0"/>
    <n v="4.2999999999999997E-2"/>
    <n v="4.2999999999999997E-2"/>
  </r>
  <r>
    <x v="46"/>
    <s v="carbon dioxide"/>
    <s v="kg/2018 USD, purchaser price"/>
    <n v="0.42099999999999999"/>
    <n v="0.42099999999999999"/>
    <n v="0.05"/>
    <n v="0.05"/>
    <n v="0.47099999999999997"/>
    <n v="0.47099999999999997"/>
  </r>
  <r>
    <x v="46"/>
    <s v="methane"/>
    <s v="kg/2018 USD, purchaser price"/>
    <n v="3.5999999999999997E-2"/>
    <n v="1.008"/>
    <n v="0"/>
    <n v="0"/>
    <n v="3.5999999999999997E-2"/>
    <n v="1.008"/>
  </r>
  <r>
    <x v="46"/>
    <s v="nitrous oxide"/>
    <s v="kg/2018 USD, purchaser price"/>
    <n v="1E-3"/>
    <n v="0.26500000000000001"/>
    <n v="0"/>
    <n v="0"/>
    <n v="1E-3"/>
    <n v="0.26500000000000001"/>
  </r>
  <r>
    <x v="46"/>
    <s v="other GHGs"/>
    <s v="kg CO2e/2018 USD, purchaser price"/>
    <n v="7.0000000000000001E-3"/>
    <n v="7.0000000000000001E-3"/>
    <n v="0"/>
    <n v="0"/>
    <n v="7.0000000000000001E-3"/>
    <n v="7.0000000000000001E-3"/>
  </r>
  <r>
    <x v="47"/>
    <s v="carbon dioxide"/>
    <s v="kg/2018 USD, purchaser price"/>
    <n v="0.41299999999999998"/>
    <n v="0.41299999999999998"/>
    <n v="5.3999999999999999E-2"/>
    <n v="5.3999999999999999E-2"/>
    <n v="0.46700000000000003"/>
    <n v="0.46700000000000003"/>
  </r>
  <r>
    <x v="47"/>
    <s v="methane"/>
    <s v="kg/2018 USD, purchaser price"/>
    <n v="2.5000000000000001E-2"/>
    <n v="0.70000000000000007"/>
    <n v="0"/>
    <n v="0"/>
    <n v="2.5999999999999999E-2"/>
    <n v="0.72799999999999998"/>
  </r>
  <r>
    <x v="47"/>
    <s v="nitrous oxide"/>
    <s v="kg/2018 USD, purchaser price"/>
    <n v="1E-3"/>
    <n v="0.26500000000000001"/>
    <n v="0"/>
    <n v="0"/>
    <n v="1E-3"/>
    <n v="0.26500000000000001"/>
  </r>
  <r>
    <x v="47"/>
    <s v="other GHGs"/>
    <s v="kg CO2e/2018 USD, purchaser price"/>
    <n v="8.0000000000000002E-3"/>
    <n v="8.0000000000000002E-3"/>
    <n v="0"/>
    <n v="0"/>
    <n v="8.0000000000000002E-3"/>
    <n v="8.0000000000000002E-3"/>
  </r>
  <r>
    <x v="48"/>
    <s v="carbon dioxide"/>
    <s v="kg/2018 USD, purchaser price"/>
    <n v="0.40699999999999997"/>
    <n v="0.40699999999999997"/>
    <n v="6.3E-2"/>
    <n v="6.3E-2"/>
    <n v="0.47"/>
    <n v="0.47"/>
  </r>
  <r>
    <x v="48"/>
    <s v="methane"/>
    <s v="kg/2018 USD, purchaser price"/>
    <n v="3.1E-2"/>
    <n v="0.86799999999999999"/>
    <n v="0"/>
    <n v="0"/>
    <n v="3.1E-2"/>
    <n v="0.86799999999999999"/>
  </r>
  <r>
    <x v="48"/>
    <s v="nitrous oxide"/>
    <s v="kg/2018 USD, purchaser price"/>
    <n v="1E-3"/>
    <n v="0.26500000000000001"/>
    <n v="0"/>
    <n v="0"/>
    <n v="1E-3"/>
    <n v="0.26500000000000001"/>
  </r>
  <r>
    <x v="48"/>
    <s v="other GHGs"/>
    <s v="kg CO2e/2018 USD, purchaser price"/>
    <n v="7.0000000000000001E-3"/>
    <n v="7.0000000000000001E-3"/>
    <n v="0"/>
    <n v="0"/>
    <n v="7.0000000000000001E-3"/>
    <n v="7.0000000000000001E-3"/>
  </r>
  <r>
    <x v="49"/>
    <s v="carbon dioxide"/>
    <s v="kg/2018 USD, purchaser price"/>
    <n v="0.36399999999999999"/>
    <n v="0.36399999999999999"/>
    <n v="4.2000000000000003E-2"/>
    <n v="4.2000000000000003E-2"/>
    <n v="0.40600000000000003"/>
    <n v="0.40600000000000003"/>
  </r>
  <r>
    <x v="49"/>
    <s v="methane"/>
    <s v="kg/2018 USD, purchaser price"/>
    <n v="1.2E-2"/>
    <n v="0.33600000000000002"/>
    <n v="0"/>
    <n v="0"/>
    <n v="1.2E-2"/>
    <n v="0.33600000000000002"/>
  </r>
  <r>
    <x v="49"/>
    <s v="nitrous oxide"/>
    <s v="kg/2018 USD, purchaser price"/>
    <n v="0"/>
    <n v="0"/>
    <n v="0"/>
    <n v="0"/>
    <n v="0"/>
    <n v="0"/>
  </r>
  <r>
    <x v="49"/>
    <s v="other GHGs"/>
    <s v="kg CO2e/2018 USD, purchaser price"/>
    <n v="1.4E-2"/>
    <n v="1.4E-2"/>
    <n v="0"/>
    <n v="0"/>
    <n v="1.4E-2"/>
    <n v="1.4E-2"/>
  </r>
  <r>
    <x v="50"/>
    <s v="carbon dioxide"/>
    <s v="kg/2018 USD, purchaser price"/>
    <n v="0.47699999999999998"/>
    <n v="0.47699999999999998"/>
    <n v="0.05"/>
    <n v="0.05"/>
    <n v="0.52800000000000002"/>
    <n v="0.52800000000000002"/>
  </r>
  <r>
    <x v="50"/>
    <s v="methane"/>
    <s v="kg/2018 USD, purchaser price"/>
    <n v="6.0000000000000001E-3"/>
    <n v="0.16800000000000001"/>
    <n v="0"/>
    <n v="0"/>
    <n v="6.0000000000000001E-3"/>
    <n v="0.16800000000000001"/>
  </r>
  <r>
    <x v="50"/>
    <s v="nitrous oxide"/>
    <s v="kg/2018 USD, purchaser price"/>
    <n v="1E-3"/>
    <n v="0.26500000000000001"/>
    <n v="0"/>
    <n v="0"/>
    <n v="1E-3"/>
    <n v="0.26500000000000001"/>
  </r>
  <r>
    <x v="50"/>
    <s v="other GHGs"/>
    <s v="kg CO2e/2018 USD, purchaser price"/>
    <n v="5.0000000000000001E-3"/>
    <n v="5.0000000000000001E-3"/>
    <n v="0"/>
    <n v="0"/>
    <n v="5.0000000000000001E-3"/>
    <n v="5.0000000000000001E-3"/>
  </r>
  <r>
    <x v="51"/>
    <s v="carbon dioxide"/>
    <s v="kg/2018 USD, purchaser price"/>
    <n v="0.41799999999999998"/>
    <n v="0.41799999999999998"/>
    <n v="5.0999999999999997E-2"/>
    <n v="5.0999999999999997E-2"/>
    <n v="0.46899999999999997"/>
    <n v="0.46899999999999997"/>
  </r>
  <r>
    <x v="51"/>
    <s v="methane"/>
    <s v="kg/2018 USD, purchaser price"/>
    <n v="4.1000000000000002E-2"/>
    <n v="1.1480000000000001"/>
    <n v="0"/>
    <n v="0"/>
    <n v="4.1000000000000002E-2"/>
    <n v="1.1480000000000001"/>
  </r>
  <r>
    <x v="51"/>
    <s v="nitrous oxide"/>
    <s v="kg/2018 USD, purchaser price"/>
    <n v="2E-3"/>
    <n v="0.53"/>
    <n v="0"/>
    <n v="0"/>
    <n v="2E-3"/>
    <n v="0.53"/>
  </r>
  <r>
    <x v="51"/>
    <s v="other GHGs"/>
    <s v="kg CO2e/2018 USD, purchaser price"/>
    <n v="4.0000000000000001E-3"/>
    <n v="4.0000000000000001E-3"/>
    <n v="0"/>
    <n v="0"/>
    <n v="4.0000000000000001E-3"/>
    <n v="4.0000000000000001E-3"/>
  </r>
  <r>
    <x v="52"/>
    <s v="carbon dioxide"/>
    <s v="kg/2018 USD, purchaser price"/>
    <n v="0.27600000000000002"/>
    <n v="0.27600000000000002"/>
    <n v="5.6000000000000001E-2"/>
    <n v="5.6000000000000001E-2"/>
    <n v="0.33200000000000002"/>
    <n v="0.33200000000000002"/>
  </r>
  <r>
    <x v="52"/>
    <s v="methane"/>
    <s v="kg/2018 USD, purchaser price"/>
    <n v="4.0000000000000001E-3"/>
    <n v="0.112"/>
    <n v="0"/>
    <n v="0"/>
    <n v="4.0000000000000001E-3"/>
    <n v="0.112"/>
  </r>
  <r>
    <x v="52"/>
    <s v="nitrous oxide"/>
    <s v="kg/2018 USD, purchaser price"/>
    <n v="0"/>
    <n v="0"/>
    <n v="0"/>
    <n v="0"/>
    <n v="0"/>
    <n v="0"/>
  </r>
  <r>
    <x v="52"/>
    <s v="other GHGs"/>
    <s v="kg CO2e/2018 USD, purchaser price"/>
    <n v="5.0000000000000001E-3"/>
    <n v="5.0000000000000001E-3"/>
    <n v="0"/>
    <n v="0"/>
    <n v="5.0000000000000001E-3"/>
    <n v="5.0000000000000001E-3"/>
  </r>
  <r>
    <x v="53"/>
    <s v="carbon dioxide"/>
    <s v="kg/2018 USD, purchaser price"/>
    <n v="0.191"/>
    <n v="0.191"/>
    <n v="5.1999999999999998E-2"/>
    <n v="5.1999999999999998E-2"/>
    <n v="0.24299999999999999"/>
    <n v="0.24299999999999999"/>
  </r>
  <r>
    <x v="53"/>
    <s v="methane"/>
    <s v="kg/2018 USD, purchaser price"/>
    <n v="1E-3"/>
    <n v="2.8000000000000001E-2"/>
    <n v="0"/>
    <n v="0"/>
    <n v="2E-3"/>
    <n v="5.6000000000000001E-2"/>
  </r>
  <r>
    <x v="53"/>
    <s v="nitrous oxide"/>
    <s v="kg/2018 USD, purchaser price"/>
    <n v="0"/>
    <n v="0"/>
    <n v="0"/>
    <n v="0"/>
    <n v="0"/>
    <n v="0"/>
  </r>
  <r>
    <x v="53"/>
    <s v="other GHGs"/>
    <s v="kg CO2e/2018 USD, purchaser price"/>
    <n v="6.0000000000000001E-3"/>
    <n v="6.0000000000000001E-3"/>
    <n v="0"/>
    <n v="0"/>
    <n v="6.0000000000000001E-3"/>
    <n v="6.0000000000000001E-3"/>
  </r>
  <r>
    <x v="54"/>
    <s v="carbon dioxide"/>
    <s v="kg/2018 USD, purchaser price"/>
    <n v="0.39300000000000002"/>
    <n v="0.39300000000000002"/>
    <n v="8.5000000000000006E-2"/>
    <n v="8.5000000000000006E-2"/>
    <n v="0.47799999999999998"/>
    <n v="0.47799999999999998"/>
  </r>
  <r>
    <x v="54"/>
    <s v="methane"/>
    <s v="kg/2018 USD, purchaser price"/>
    <n v="4.0000000000000001E-3"/>
    <n v="0.112"/>
    <n v="0"/>
    <n v="0"/>
    <n v="4.0000000000000001E-3"/>
    <n v="0.112"/>
  </r>
  <r>
    <x v="54"/>
    <s v="nitrous oxide"/>
    <s v="kg/2018 USD, purchaser price"/>
    <n v="1E-3"/>
    <n v="0.26500000000000001"/>
    <n v="0"/>
    <n v="0"/>
    <n v="1E-3"/>
    <n v="0.26500000000000001"/>
  </r>
  <r>
    <x v="54"/>
    <s v="other GHGs"/>
    <s v="kg CO2e/2018 USD, purchaser price"/>
    <n v="1.0999999999999999E-2"/>
    <n v="1.0999999999999999E-2"/>
    <n v="0"/>
    <n v="0"/>
    <n v="1.0999999999999999E-2"/>
    <n v="1.0999999999999999E-2"/>
  </r>
  <r>
    <x v="55"/>
    <s v="carbon dioxide"/>
    <s v="kg/2018 USD, purchaser price"/>
    <n v="0.17499999999999999"/>
    <n v="0.17499999999999999"/>
    <n v="3.6999999999999998E-2"/>
    <n v="3.6999999999999998E-2"/>
    <n v="0.21199999999999999"/>
    <n v="0.21199999999999999"/>
  </r>
  <r>
    <x v="55"/>
    <s v="methane"/>
    <s v="kg/2018 USD, purchaser price"/>
    <n v="1E-3"/>
    <n v="2.8000000000000001E-2"/>
    <n v="0"/>
    <n v="0"/>
    <n v="1E-3"/>
    <n v="2.8000000000000001E-2"/>
  </r>
  <r>
    <x v="55"/>
    <s v="nitrous oxide"/>
    <s v="kg/2018 USD, purchaser price"/>
    <n v="0"/>
    <n v="0"/>
    <n v="0"/>
    <n v="0"/>
    <n v="0"/>
    <n v="0"/>
  </r>
  <r>
    <x v="55"/>
    <s v="other GHGs"/>
    <s v="kg CO2e/2018 USD, purchaser price"/>
    <n v="8.9999999999999993E-3"/>
    <n v="8.9999999999999993E-3"/>
    <n v="0"/>
    <n v="0"/>
    <n v="8.9999999999999993E-3"/>
    <n v="8.9999999999999993E-3"/>
  </r>
  <r>
    <x v="56"/>
    <s v="carbon dioxide"/>
    <s v="kg/2018 USD, purchaser price"/>
    <n v="0.184"/>
    <n v="0.184"/>
    <n v="3.9E-2"/>
    <n v="3.9E-2"/>
    <n v="0.222"/>
    <n v="0.222"/>
  </r>
  <r>
    <x v="56"/>
    <s v="methane"/>
    <s v="kg/2018 USD, purchaser price"/>
    <n v="1E-3"/>
    <n v="2.8000000000000001E-2"/>
    <n v="0"/>
    <n v="0"/>
    <n v="1E-3"/>
    <n v="2.8000000000000001E-2"/>
  </r>
  <r>
    <x v="56"/>
    <s v="nitrous oxide"/>
    <s v="kg/2018 USD, purchaser price"/>
    <n v="0"/>
    <n v="0"/>
    <n v="0"/>
    <n v="0"/>
    <n v="0"/>
    <n v="0"/>
  </r>
  <r>
    <x v="56"/>
    <s v="other GHGs"/>
    <s v="kg CO2e/2018 USD, purchaser price"/>
    <n v="5.0000000000000001E-3"/>
    <n v="5.0000000000000001E-3"/>
    <n v="0"/>
    <n v="0"/>
    <n v="5.0000000000000001E-3"/>
    <n v="5.0000000000000001E-3"/>
  </r>
  <r>
    <x v="57"/>
    <s v="carbon dioxide"/>
    <s v="kg/2018 USD, purchaser price"/>
    <n v="8.5000000000000006E-2"/>
    <n v="8.5000000000000006E-2"/>
    <n v="8.9999999999999993E-3"/>
    <n v="8.9999999999999993E-3"/>
    <n v="9.4E-2"/>
    <n v="9.4E-2"/>
  </r>
  <r>
    <x v="57"/>
    <s v="methane"/>
    <s v="kg/2018 USD, purchaser price"/>
    <n v="1E-3"/>
    <n v="2.8000000000000001E-2"/>
    <n v="0"/>
    <n v="0"/>
    <n v="1E-3"/>
    <n v="2.8000000000000001E-2"/>
  </r>
  <r>
    <x v="57"/>
    <s v="nitrous oxide"/>
    <s v="kg/2018 USD, purchaser price"/>
    <n v="0"/>
    <n v="0"/>
    <n v="0"/>
    <n v="0"/>
    <n v="0"/>
    <n v="0"/>
  </r>
  <r>
    <x v="57"/>
    <s v="other GHGs"/>
    <s v="kg CO2e/2018 USD, purchaser price"/>
    <n v="7.0000000000000001E-3"/>
    <n v="7.0000000000000001E-3"/>
    <n v="0"/>
    <n v="0"/>
    <n v="7.0000000000000001E-3"/>
    <n v="7.0000000000000001E-3"/>
  </r>
  <r>
    <x v="58"/>
    <s v="carbon dioxide"/>
    <s v="kg/2018 USD, purchaser price"/>
    <n v="0.159"/>
    <n v="0.159"/>
    <n v="0.03"/>
    <n v="0.03"/>
    <n v="0.189"/>
    <n v="0.189"/>
  </r>
  <r>
    <x v="58"/>
    <s v="methane"/>
    <s v="kg/2018 USD, purchaser price"/>
    <n v="2E-3"/>
    <n v="5.6000000000000001E-2"/>
    <n v="0"/>
    <n v="0"/>
    <n v="2E-3"/>
    <n v="5.6000000000000001E-2"/>
  </r>
  <r>
    <x v="58"/>
    <s v="nitrous oxide"/>
    <s v="kg/2018 USD, purchaser price"/>
    <n v="0"/>
    <n v="0"/>
    <n v="0"/>
    <n v="0"/>
    <n v="0"/>
    <n v="0"/>
  </r>
  <r>
    <x v="58"/>
    <s v="other GHGs"/>
    <s v="kg CO2e/2018 USD, purchaser price"/>
    <n v="7.0000000000000001E-3"/>
    <n v="7.0000000000000001E-3"/>
    <n v="0"/>
    <n v="0"/>
    <n v="7.0000000000000001E-3"/>
    <n v="7.0000000000000001E-3"/>
  </r>
  <r>
    <x v="59"/>
    <s v="carbon dioxide"/>
    <s v="kg/2018 USD, purchaser price"/>
    <n v="0.14899999999999999"/>
    <n v="0.14899999999999999"/>
    <n v="3.7999999999999999E-2"/>
    <n v="3.7999999999999999E-2"/>
    <n v="0.188"/>
    <n v="0.188"/>
  </r>
  <r>
    <x v="59"/>
    <s v="methane"/>
    <s v="kg/2018 USD, purchaser price"/>
    <n v="2E-3"/>
    <n v="5.6000000000000001E-2"/>
    <n v="0"/>
    <n v="0"/>
    <n v="2E-3"/>
    <n v="5.6000000000000001E-2"/>
  </r>
  <r>
    <x v="59"/>
    <s v="nitrous oxide"/>
    <s v="kg/2018 USD, purchaser price"/>
    <n v="0"/>
    <n v="0"/>
    <n v="0"/>
    <n v="0"/>
    <n v="0"/>
    <n v="0"/>
  </r>
  <r>
    <x v="59"/>
    <s v="other GHGs"/>
    <s v="kg CO2e/2018 USD, purchaser price"/>
    <n v="6.0000000000000001E-3"/>
    <n v="6.0000000000000001E-3"/>
    <n v="0"/>
    <n v="0"/>
    <n v="6.0000000000000001E-3"/>
    <n v="6.0000000000000001E-3"/>
  </r>
  <r>
    <x v="60"/>
    <s v="carbon dioxide"/>
    <s v="kg/2018 USD, purchaser price"/>
    <n v="0.20499999999999999"/>
    <n v="0.20499999999999999"/>
    <n v="4.2999999999999997E-2"/>
    <n v="4.2999999999999997E-2"/>
    <n v="0.248"/>
    <n v="0.248"/>
  </r>
  <r>
    <x v="60"/>
    <s v="methane"/>
    <s v="kg/2018 USD, purchaser price"/>
    <n v="1E-3"/>
    <n v="2.8000000000000001E-2"/>
    <n v="0"/>
    <n v="0"/>
    <n v="1E-3"/>
    <n v="2.8000000000000001E-2"/>
  </r>
  <r>
    <x v="60"/>
    <s v="nitrous oxide"/>
    <s v="kg/2018 USD, purchaser price"/>
    <n v="0"/>
    <n v="0"/>
    <n v="0"/>
    <n v="0"/>
    <n v="0"/>
    <n v="0"/>
  </r>
  <r>
    <x v="60"/>
    <s v="other GHGs"/>
    <s v="kg CO2e/2018 USD, purchaser price"/>
    <n v="2.4E-2"/>
    <n v="2.4E-2"/>
    <n v="0"/>
    <n v="0"/>
    <n v="2.4E-2"/>
    <n v="2.4E-2"/>
  </r>
  <r>
    <x v="61"/>
    <s v="carbon dioxide"/>
    <s v="kg/2018 USD, purchaser price"/>
    <n v="0.25900000000000001"/>
    <n v="0.25900000000000001"/>
    <n v="9.9000000000000005E-2"/>
    <n v="9.9000000000000005E-2"/>
    <n v="0.35899999999999999"/>
    <n v="0.35899999999999999"/>
  </r>
  <r>
    <x v="61"/>
    <s v="methane"/>
    <s v="kg/2018 USD, purchaser price"/>
    <n v="1E-3"/>
    <n v="2.8000000000000001E-2"/>
    <n v="1E-3"/>
    <n v="2.8000000000000001E-2"/>
    <n v="2E-3"/>
    <n v="5.6000000000000001E-2"/>
  </r>
  <r>
    <x v="61"/>
    <s v="nitrous oxide"/>
    <s v="kg/2018 USD, purchaser price"/>
    <n v="0"/>
    <n v="0"/>
    <n v="0"/>
    <n v="0"/>
    <n v="0"/>
    <n v="0"/>
  </r>
  <r>
    <x v="61"/>
    <s v="other GHGs"/>
    <s v="kg CO2e/2018 USD, purchaser price"/>
    <n v="0.01"/>
    <n v="0.01"/>
    <n v="0"/>
    <n v="0"/>
    <n v="0.01"/>
    <n v="0.01"/>
  </r>
  <r>
    <x v="62"/>
    <s v="carbon dioxide"/>
    <s v="kg/2018 USD, purchaser price"/>
    <n v="0.155"/>
    <n v="0.155"/>
    <n v="0.14499999999999999"/>
    <n v="0.14499999999999999"/>
    <n v="0.3"/>
    <n v="0.3"/>
  </r>
  <r>
    <x v="62"/>
    <s v="methane"/>
    <s v="kg/2018 USD, purchaser price"/>
    <n v="1E-3"/>
    <n v="2.8000000000000001E-2"/>
    <n v="1E-3"/>
    <n v="2.8000000000000001E-2"/>
    <n v="1E-3"/>
    <n v="2.8000000000000001E-2"/>
  </r>
  <r>
    <x v="62"/>
    <s v="nitrous oxide"/>
    <s v="kg/2018 USD, purchaser price"/>
    <n v="0"/>
    <n v="0"/>
    <n v="0"/>
    <n v="0"/>
    <n v="0"/>
    <n v="0"/>
  </r>
  <r>
    <x v="62"/>
    <s v="other GHGs"/>
    <s v="kg CO2e/2018 USD, purchaser price"/>
    <n v="5.0000000000000001E-3"/>
    <n v="5.0000000000000001E-3"/>
    <n v="0"/>
    <n v="0"/>
    <n v="5.0000000000000001E-3"/>
    <n v="5.0000000000000001E-3"/>
  </r>
  <r>
    <x v="63"/>
    <s v="carbon dioxide"/>
    <s v="kg/2018 USD, purchaser price"/>
    <n v="0.29099999999999998"/>
    <n v="0.29099999999999998"/>
    <n v="8.2000000000000003E-2"/>
    <n v="8.2000000000000003E-2"/>
    <n v="0.373"/>
    <n v="0.373"/>
  </r>
  <r>
    <x v="63"/>
    <s v="methane"/>
    <s v="kg/2018 USD, purchaser price"/>
    <n v="1E-3"/>
    <n v="2.8000000000000001E-2"/>
    <n v="0"/>
    <n v="0"/>
    <n v="2E-3"/>
    <n v="5.6000000000000001E-2"/>
  </r>
  <r>
    <x v="63"/>
    <s v="nitrous oxide"/>
    <s v="kg/2018 USD, purchaser price"/>
    <n v="0"/>
    <n v="0"/>
    <n v="0"/>
    <n v="0"/>
    <n v="0"/>
    <n v="0"/>
  </r>
  <r>
    <x v="63"/>
    <s v="other GHGs"/>
    <s v="kg CO2e/2018 USD, purchaser price"/>
    <n v="4.0000000000000001E-3"/>
    <n v="4.0000000000000001E-3"/>
    <n v="0"/>
    <n v="0"/>
    <n v="4.0000000000000001E-3"/>
    <n v="4.0000000000000001E-3"/>
  </r>
  <r>
    <x v="64"/>
    <s v="carbon dioxide"/>
    <s v="kg/2018 USD, purchaser price"/>
    <n v="0.109"/>
    <n v="0.109"/>
    <n v="7.5999999999999998E-2"/>
    <n v="7.5999999999999998E-2"/>
    <n v="0.185"/>
    <n v="0.185"/>
  </r>
  <r>
    <x v="64"/>
    <s v="methane"/>
    <s v="kg/2018 USD, purchaser price"/>
    <n v="0"/>
    <n v="0"/>
    <n v="0"/>
    <n v="0"/>
    <n v="1E-3"/>
    <n v="2.8000000000000001E-2"/>
  </r>
  <r>
    <x v="64"/>
    <s v="nitrous oxide"/>
    <s v="kg/2018 USD, purchaser price"/>
    <n v="0"/>
    <n v="0"/>
    <n v="0"/>
    <n v="0"/>
    <n v="0"/>
    <n v="0"/>
  </r>
  <r>
    <x v="64"/>
    <s v="other GHGs"/>
    <s v="kg CO2e/2018 USD, purchaser price"/>
    <n v="2E-3"/>
    <n v="2E-3"/>
    <n v="0"/>
    <n v="0"/>
    <n v="2E-3"/>
    <n v="2E-3"/>
  </r>
  <r>
    <x v="65"/>
    <s v="carbon dioxide"/>
    <s v="kg/2018 USD, purchaser price"/>
    <n v="0.48899999999999999"/>
    <n v="0.48899999999999999"/>
    <n v="3.7999999999999999E-2"/>
    <n v="3.7999999999999999E-2"/>
    <n v="0.52700000000000002"/>
    <n v="0.52700000000000002"/>
  </r>
  <r>
    <x v="65"/>
    <s v="methane"/>
    <s v="kg/2018 USD, purchaser price"/>
    <n v="2E-3"/>
    <n v="5.6000000000000001E-2"/>
    <n v="0"/>
    <n v="0"/>
    <n v="3.0000000000000001E-3"/>
    <n v="8.4000000000000005E-2"/>
  </r>
  <r>
    <x v="65"/>
    <s v="nitrous oxide"/>
    <s v="kg/2018 USD, purchaser price"/>
    <n v="0"/>
    <n v="0"/>
    <n v="0"/>
    <n v="0"/>
    <n v="0"/>
    <n v="0"/>
  </r>
  <r>
    <x v="65"/>
    <s v="other GHGs"/>
    <s v="kg CO2e/2018 USD, purchaser price"/>
    <n v="5.0000000000000001E-3"/>
    <n v="5.0000000000000001E-3"/>
    <n v="0"/>
    <n v="0"/>
    <n v="5.0000000000000001E-3"/>
    <n v="5.0000000000000001E-3"/>
  </r>
  <r>
    <x v="66"/>
    <s v="carbon dioxide"/>
    <s v="kg/2018 USD, purchaser price"/>
    <n v="0.376"/>
    <n v="0.376"/>
    <n v="5.3999999999999999E-2"/>
    <n v="5.3999999999999999E-2"/>
    <n v="0.43"/>
    <n v="0.43"/>
  </r>
  <r>
    <x v="66"/>
    <s v="methane"/>
    <s v="kg/2018 USD, purchaser price"/>
    <n v="2E-3"/>
    <n v="5.6000000000000001E-2"/>
    <n v="0"/>
    <n v="0"/>
    <n v="2E-3"/>
    <n v="5.6000000000000001E-2"/>
  </r>
  <r>
    <x v="66"/>
    <s v="nitrous oxide"/>
    <s v="kg/2018 USD, purchaser price"/>
    <n v="0"/>
    <n v="0"/>
    <n v="0"/>
    <n v="0"/>
    <n v="0"/>
    <n v="0"/>
  </r>
  <r>
    <x v="66"/>
    <s v="other GHGs"/>
    <s v="kg CO2e/2018 USD, purchaser price"/>
    <n v="4.0000000000000001E-3"/>
    <n v="4.0000000000000001E-3"/>
    <n v="0"/>
    <n v="0"/>
    <n v="4.0000000000000001E-3"/>
    <n v="4.0000000000000001E-3"/>
  </r>
  <r>
    <x v="67"/>
    <s v="carbon dioxide"/>
    <s v="kg/2018 USD, purchaser price"/>
    <n v="0.251"/>
    <n v="0.251"/>
    <n v="2.5000000000000001E-2"/>
    <n v="2.5000000000000001E-2"/>
    <n v="0.27600000000000002"/>
    <n v="0.27600000000000002"/>
  </r>
  <r>
    <x v="67"/>
    <s v="methane"/>
    <s v="kg/2018 USD, purchaser price"/>
    <n v="1E-3"/>
    <n v="2.8000000000000001E-2"/>
    <n v="0"/>
    <n v="0"/>
    <n v="1E-3"/>
    <n v="2.8000000000000001E-2"/>
  </r>
  <r>
    <x v="67"/>
    <s v="nitrous oxide"/>
    <s v="kg/2018 USD, purchaser price"/>
    <n v="0"/>
    <n v="0"/>
    <n v="0"/>
    <n v="0"/>
    <n v="0"/>
    <n v="0"/>
  </r>
  <r>
    <x v="67"/>
    <s v="other GHGs"/>
    <s v="kg CO2e/2018 USD, purchaser price"/>
    <n v="5.0000000000000001E-3"/>
    <n v="5.0000000000000001E-3"/>
    <n v="0"/>
    <n v="0"/>
    <n v="5.0000000000000001E-3"/>
    <n v="5.0000000000000001E-3"/>
  </r>
  <r>
    <x v="68"/>
    <s v="carbon dioxide"/>
    <s v="kg/2018 USD, purchaser price"/>
    <n v="0.439"/>
    <n v="0.439"/>
    <n v="0.21199999999999999"/>
    <n v="0.21199999999999999"/>
    <n v="0.65100000000000002"/>
    <n v="0.65100000000000002"/>
  </r>
  <r>
    <x v="68"/>
    <s v="methane"/>
    <s v="kg/2018 USD, purchaser price"/>
    <n v="2E-3"/>
    <n v="5.6000000000000001E-2"/>
    <n v="1E-3"/>
    <n v="2.8000000000000001E-2"/>
    <n v="3.0000000000000001E-3"/>
    <n v="8.4000000000000005E-2"/>
  </r>
  <r>
    <x v="68"/>
    <s v="nitrous oxide"/>
    <s v="kg/2018 USD, purchaser price"/>
    <n v="0"/>
    <n v="0"/>
    <n v="0"/>
    <n v="0"/>
    <n v="0"/>
    <n v="0"/>
  </r>
  <r>
    <x v="68"/>
    <s v="other GHGs"/>
    <s v="kg CO2e/2018 USD, purchaser price"/>
    <n v="6.0000000000000001E-3"/>
    <n v="6.0000000000000001E-3"/>
    <n v="0"/>
    <n v="0"/>
    <n v="6.0000000000000001E-3"/>
    <n v="6.0000000000000001E-3"/>
  </r>
  <r>
    <x v="69"/>
    <s v="carbon dioxide"/>
    <s v="kg/2018 USD, purchaser price"/>
    <n v="0.25600000000000001"/>
    <n v="0.25600000000000001"/>
    <n v="0.77900000000000003"/>
    <n v="0.77900000000000003"/>
    <n v="1.0349999999999999"/>
    <n v="1.0349999999999999"/>
  </r>
  <r>
    <x v="69"/>
    <s v="methane"/>
    <s v="kg/2018 USD, purchaser price"/>
    <n v="1E-3"/>
    <n v="2.8000000000000001E-2"/>
    <n v="4.0000000000000001E-3"/>
    <n v="0.112"/>
    <n v="5.0000000000000001E-3"/>
    <n v="0.14000000000000001"/>
  </r>
  <r>
    <x v="69"/>
    <s v="nitrous oxide"/>
    <s v="kg/2018 USD, purchaser price"/>
    <n v="0"/>
    <n v="0"/>
    <n v="0"/>
    <n v="0"/>
    <n v="0"/>
    <n v="0"/>
  </r>
  <r>
    <x v="69"/>
    <s v="other GHGs"/>
    <s v="kg CO2e/2018 USD, purchaser price"/>
    <n v="7.0000000000000001E-3"/>
    <n v="7.0000000000000001E-3"/>
    <n v="0"/>
    <n v="0"/>
    <n v="7.0000000000000001E-3"/>
    <n v="7.0000000000000001E-3"/>
  </r>
  <r>
    <x v="70"/>
    <s v="carbon dioxide"/>
    <s v="kg/2018 USD, purchaser price"/>
    <n v="0.34399999999999997"/>
    <n v="0.34399999999999997"/>
    <n v="0.215"/>
    <n v="0.215"/>
    <n v="0.55900000000000005"/>
    <n v="0.55900000000000005"/>
  </r>
  <r>
    <x v="70"/>
    <s v="methane"/>
    <s v="kg/2018 USD, purchaser price"/>
    <n v="2E-3"/>
    <n v="5.6000000000000001E-2"/>
    <n v="1E-3"/>
    <n v="2.8000000000000001E-2"/>
    <n v="3.0000000000000001E-3"/>
    <n v="8.4000000000000005E-2"/>
  </r>
  <r>
    <x v="70"/>
    <s v="nitrous oxide"/>
    <s v="kg/2018 USD, purchaser price"/>
    <n v="0"/>
    <n v="0"/>
    <n v="0"/>
    <n v="0"/>
    <n v="0"/>
    <n v="0"/>
  </r>
  <r>
    <x v="70"/>
    <s v="other GHGs"/>
    <s v="kg CO2e/2018 USD, purchaser price"/>
    <n v="8.9999999999999993E-3"/>
    <n v="8.9999999999999993E-3"/>
    <n v="0"/>
    <n v="0"/>
    <n v="8.9999999999999993E-3"/>
    <n v="8.9999999999999993E-3"/>
  </r>
  <r>
    <x v="71"/>
    <s v="carbon dioxide"/>
    <s v="kg/2018 USD, purchaser price"/>
    <n v="0.11700000000000001"/>
    <n v="0.11700000000000001"/>
    <n v="1.603"/>
    <n v="1.603"/>
    <n v="1.72"/>
    <n v="1.72"/>
  </r>
  <r>
    <x v="71"/>
    <s v="methane"/>
    <s v="kg/2018 USD, purchaser price"/>
    <n v="1E-3"/>
    <n v="2.8000000000000001E-2"/>
    <n v="8.0000000000000002E-3"/>
    <n v="0.224"/>
    <n v="8.9999999999999993E-3"/>
    <n v="0.252"/>
  </r>
  <r>
    <x v="71"/>
    <s v="nitrous oxide"/>
    <s v="kg/2018 USD, purchaser price"/>
    <n v="0"/>
    <n v="0"/>
    <n v="0"/>
    <n v="0"/>
    <n v="0"/>
    <n v="0"/>
  </r>
  <r>
    <x v="71"/>
    <s v="other GHGs"/>
    <s v="kg CO2e/2018 USD, purchaser price"/>
    <n v="2E-3"/>
    <n v="2E-3"/>
    <n v="0"/>
    <n v="0"/>
    <n v="2E-3"/>
    <n v="2E-3"/>
  </r>
  <r>
    <x v="72"/>
    <s v="carbon dioxide"/>
    <s v="kg/2018 USD, purchaser price"/>
    <n v="0.106"/>
    <n v="0.106"/>
    <n v="0.69499999999999995"/>
    <n v="0.69499999999999995"/>
    <n v="0.80100000000000005"/>
    <n v="0.80100000000000005"/>
  </r>
  <r>
    <x v="72"/>
    <s v="methane"/>
    <s v="kg/2018 USD, purchaser price"/>
    <n v="4.0000000000000001E-3"/>
    <n v="0.112"/>
    <n v="4.0000000000000001E-3"/>
    <n v="0.112"/>
    <n v="7.0000000000000001E-3"/>
    <n v="0.19600000000000001"/>
  </r>
  <r>
    <x v="72"/>
    <s v="nitrous oxide"/>
    <s v="kg/2018 USD, purchaser price"/>
    <n v="0"/>
    <n v="0"/>
    <n v="0"/>
    <n v="0"/>
    <n v="0"/>
    <n v="0"/>
  </r>
  <r>
    <x v="72"/>
    <s v="other GHGs"/>
    <s v="kg CO2e/2018 USD, purchaser price"/>
    <n v="4.0000000000000001E-3"/>
    <n v="4.0000000000000001E-3"/>
    <n v="0"/>
    <n v="0"/>
    <n v="4.0000000000000001E-3"/>
    <n v="4.0000000000000001E-3"/>
  </r>
  <r>
    <x v="73"/>
    <s v="carbon dioxide"/>
    <s v="kg/2018 USD, purchaser price"/>
    <n v="0.193"/>
    <n v="0.193"/>
    <n v="4.2000000000000003E-2"/>
    <n v="4.2000000000000003E-2"/>
    <n v="0.23599999999999999"/>
    <n v="0.23599999999999999"/>
  </r>
  <r>
    <x v="73"/>
    <s v="methane"/>
    <s v="kg/2018 USD, purchaser price"/>
    <n v="1E-3"/>
    <n v="2.8000000000000001E-2"/>
    <n v="0"/>
    <n v="0"/>
    <n v="1E-3"/>
    <n v="2.8000000000000001E-2"/>
  </r>
  <r>
    <x v="73"/>
    <s v="nitrous oxide"/>
    <s v="kg/2018 USD, purchaser price"/>
    <n v="0"/>
    <n v="0"/>
    <n v="0"/>
    <n v="0"/>
    <n v="0"/>
    <n v="0"/>
  </r>
  <r>
    <x v="73"/>
    <s v="other GHGs"/>
    <s v="kg CO2e/2018 USD, purchaser price"/>
    <n v="6.0000000000000001E-3"/>
    <n v="6.0000000000000001E-3"/>
    <n v="0"/>
    <n v="0"/>
    <n v="6.0000000000000001E-3"/>
    <n v="6.0000000000000001E-3"/>
  </r>
  <r>
    <x v="74"/>
    <s v="carbon dioxide"/>
    <s v="kg/2018 USD, purchaser price"/>
    <n v="0.318"/>
    <n v="0.318"/>
    <n v="5.2999999999999999E-2"/>
    <n v="5.2999999999999999E-2"/>
    <n v="0.372"/>
    <n v="0.372"/>
  </r>
  <r>
    <x v="74"/>
    <s v="methane"/>
    <s v="kg/2018 USD, purchaser price"/>
    <n v="1E-3"/>
    <n v="2.8000000000000001E-2"/>
    <n v="0"/>
    <n v="0"/>
    <n v="1E-3"/>
    <n v="2.8000000000000001E-2"/>
  </r>
  <r>
    <x v="74"/>
    <s v="nitrous oxide"/>
    <s v="kg/2018 USD, purchaser price"/>
    <n v="0"/>
    <n v="0"/>
    <n v="0"/>
    <n v="0"/>
    <n v="0"/>
    <n v="0"/>
  </r>
  <r>
    <x v="74"/>
    <s v="other GHGs"/>
    <s v="kg CO2e/2018 USD, purchaser price"/>
    <n v="5.0000000000000001E-3"/>
    <n v="5.0000000000000001E-3"/>
    <n v="0"/>
    <n v="0"/>
    <n v="5.0000000000000001E-3"/>
    <n v="5.0000000000000001E-3"/>
  </r>
  <r>
    <x v="75"/>
    <s v="carbon dioxide"/>
    <s v="kg/2018 USD, purchaser price"/>
    <n v="0.20300000000000001"/>
    <n v="0.20300000000000001"/>
    <n v="6.4000000000000001E-2"/>
    <n v="6.4000000000000001E-2"/>
    <n v="0.26700000000000002"/>
    <n v="0.26700000000000002"/>
  </r>
  <r>
    <x v="75"/>
    <s v="methane"/>
    <s v="kg/2018 USD, purchaser price"/>
    <n v="1E-3"/>
    <n v="2.8000000000000001E-2"/>
    <n v="0"/>
    <n v="0"/>
    <n v="1E-3"/>
    <n v="2.8000000000000001E-2"/>
  </r>
  <r>
    <x v="75"/>
    <s v="nitrous oxide"/>
    <s v="kg/2018 USD, purchaser price"/>
    <n v="0"/>
    <n v="0"/>
    <n v="0"/>
    <n v="0"/>
    <n v="0"/>
    <n v="0"/>
  </r>
  <r>
    <x v="75"/>
    <s v="other GHGs"/>
    <s v="kg CO2e/2018 USD, purchaser price"/>
    <n v="1.9E-2"/>
    <n v="1.9E-2"/>
    <n v="0"/>
    <n v="0"/>
    <n v="1.9E-2"/>
    <n v="1.9E-2"/>
  </r>
  <r>
    <x v="76"/>
    <s v="carbon dioxide"/>
    <s v="kg/2018 USD, purchaser price"/>
    <n v="0.23599999999999999"/>
    <n v="0.23599999999999999"/>
    <n v="7.5999999999999998E-2"/>
    <n v="7.5999999999999998E-2"/>
    <n v="0.312"/>
    <n v="0.312"/>
  </r>
  <r>
    <x v="76"/>
    <s v="methane"/>
    <s v="kg/2018 USD, purchaser price"/>
    <n v="1E-3"/>
    <n v="2.8000000000000001E-2"/>
    <n v="1E-3"/>
    <n v="2.8000000000000001E-2"/>
    <n v="1E-3"/>
    <n v="2.8000000000000001E-2"/>
  </r>
  <r>
    <x v="76"/>
    <s v="nitrous oxide"/>
    <s v="kg/2018 USD, purchaser price"/>
    <n v="0"/>
    <n v="0"/>
    <n v="0"/>
    <n v="0"/>
    <n v="0"/>
    <n v="0"/>
  </r>
  <r>
    <x v="76"/>
    <s v="other GHGs"/>
    <s v="kg CO2e/2018 USD, purchaser price"/>
    <n v="1.7000000000000001E-2"/>
    <n v="1.7000000000000001E-2"/>
    <n v="0"/>
    <n v="0"/>
    <n v="1.7000000000000001E-2"/>
    <n v="1.7000000000000001E-2"/>
  </r>
  <r>
    <x v="77"/>
    <s v="carbon dioxide"/>
    <s v="kg/2018 USD, purchaser price"/>
    <n v="0.72599999999999998"/>
    <n v="0.72599999999999998"/>
    <n v="6.3E-2"/>
    <n v="6.3E-2"/>
    <n v="0.78900000000000003"/>
    <n v="0.78900000000000003"/>
  </r>
  <r>
    <x v="77"/>
    <s v="methane"/>
    <s v="kg/2018 USD, purchaser price"/>
    <n v="3.0000000000000001E-3"/>
    <n v="8.4000000000000005E-2"/>
    <n v="1E-3"/>
    <n v="2.8000000000000001E-2"/>
    <n v="4.0000000000000001E-3"/>
    <n v="0.112"/>
  </r>
  <r>
    <x v="77"/>
    <s v="nitrous oxide"/>
    <s v="kg/2018 USD, purchaser price"/>
    <n v="0"/>
    <n v="0"/>
    <n v="0"/>
    <n v="0"/>
    <n v="0"/>
    <n v="0"/>
  </r>
  <r>
    <x v="77"/>
    <s v="other GHGs"/>
    <s v="kg CO2e/2018 USD, purchaser price"/>
    <n v="5.0000000000000001E-3"/>
    <n v="5.0000000000000001E-3"/>
    <n v="0"/>
    <n v="0"/>
    <n v="5.0000000000000001E-3"/>
    <n v="5.0000000000000001E-3"/>
  </r>
  <r>
    <x v="78"/>
    <s v="carbon dioxide"/>
    <s v="kg/2018 USD, purchaser price"/>
    <n v="0.83299999999999996"/>
    <n v="0.83299999999999996"/>
    <n v="8.3000000000000004E-2"/>
    <n v="8.3000000000000004E-2"/>
    <n v="0.91500000000000004"/>
    <n v="0.91500000000000004"/>
  </r>
  <r>
    <x v="78"/>
    <s v="methane"/>
    <s v="kg/2018 USD, purchaser price"/>
    <n v="3.0000000000000001E-3"/>
    <n v="8.4000000000000005E-2"/>
    <n v="1E-3"/>
    <n v="2.8000000000000001E-2"/>
    <n v="3.0000000000000001E-3"/>
    <n v="8.4000000000000005E-2"/>
  </r>
  <r>
    <x v="78"/>
    <s v="nitrous oxide"/>
    <s v="kg/2018 USD, purchaser price"/>
    <n v="0"/>
    <n v="0"/>
    <n v="0"/>
    <n v="0"/>
    <n v="0"/>
    <n v="0"/>
  </r>
  <r>
    <x v="78"/>
    <s v="other GHGs"/>
    <s v="kg CO2e/2018 USD, purchaser price"/>
    <n v="5.0000000000000001E-3"/>
    <n v="5.0000000000000001E-3"/>
    <n v="0"/>
    <n v="0"/>
    <n v="5.0000000000000001E-3"/>
    <n v="5.0000000000000001E-3"/>
  </r>
  <r>
    <x v="79"/>
    <s v="carbon dioxide"/>
    <s v="kg/2018 USD, purchaser price"/>
    <n v="0.74399999999999999"/>
    <n v="0.74399999999999999"/>
    <n v="0.05"/>
    <n v="0.05"/>
    <n v="0.79500000000000004"/>
    <n v="0.79500000000000004"/>
  </r>
  <r>
    <x v="79"/>
    <s v="methane"/>
    <s v="kg/2018 USD, purchaser price"/>
    <n v="3.0000000000000001E-3"/>
    <n v="8.4000000000000005E-2"/>
    <n v="1E-3"/>
    <n v="2.8000000000000001E-2"/>
    <n v="3.0000000000000001E-3"/>
    <n v="8.4000000000000005E-2"/>
  </r>
  <r>
    <x v="79"/>
    <s v="nitrous oxide"/>
    <s v="kg/2018 USD, purchaser price"/>
    <n v="0"/>
    <n v="0"/>
    <n v="0"/>
    <n v="0"/>
    <n v="0"/>
    <n v="0"/>
  </r>
  <r>
    <x v="79"/>
    <s v="other GHGs"/>
    <s v="kg CO2e/2018 USD, purchaser price"/>
    <n v="5.0000000000000001E-3"/>
    <n v="5.0000000000000001E-3"/>
    <n v="0"/>
    <n v="0"/>
    <n v="5.0000000000000001E-3"/>
    <n v="5.0000000000000001E-3"/>
  </r>
  <r>
    <x v="80"/>
    <s v="carbon dioxide"/>
    <s v="kg/2018 USD, purchaser price"/>
    <n v="0.48"/>
    <n v="0.48"/>
    <n v="0.03"/>
    <n v="0.03"/>
    <n v="0.51"/>
    <n v="0.51"/>
  </r>
  <r>
    <x v="80"/>
    <s v="methane"/>
    <s v="kg/2018 USD, purchaser price"/>
    <n v="2E-3"/>
    <n v="5.6000000000000001E-2"/>
    <n v="0"/>
    <n v="0"/>
    <n v="2E-3"/>
    <n v="5.6000000000000001E-2"/>
  </r>
  <r>
    <x v="80"/>
    <s v="nitrous oxide"/>
    <s v="kg/2018 USD, purchaser price"/>
    <n v="0"/>
    <n v="0"/>
    <n v="0"/>
    <n v="0"/>
    <n v="0"/>
    <n v="0"/>
  </r>
  <r>
    <x v="80"/>
    <s v="other GHGs"/>
    <s v="kg CO2e/2018 USD, purchaser price"/>
    <n v="6.0000000000000001E-3"/>
    <n v="6.0000000000000001E-3"/>
    <n v="0"/>
    <n v="0"/>
    <n v="6.0000000000000001E-3"/>
    <n v="6.0000000000000001E-3"/>
  </r>
  <r>
    <x v="81"/>
    <s v="carbon dioxide"/>
    <s v="kg/2018 USD, purchaser price"/>
    <n v="0.434"/>
    <n v="0.434"/>
    <n v="4.9000000000000002E-2"/>
    <n v="4.9000000000000002E-2"/>
    <n v="0.48199999999999998"/>
    <n v="0.48199999999999998"/>
  </r>
  <r>
    <x v="81"/>
    <s v="methane"/>
    <s v="kg/2018 USD, purchaser price"/>
    <n v="1E-3"/>
    <n v="2.8000000000000001E-2"/>
    <n v="0"/>
    <n v="0"/>
    <n v="2E-3"/>
    <n v="5.6000000000000001E-2"/>
  </r>
  <r>
    <x v="81"/>
    <s v="nitrous oxide"/>
    <s v="kg/2018 USD, purchaser price"/>
    <n v="0"/>
    <n v="0"/>
    <n v="0"/>
    <n v="0"/>
    <n v="0"/>
    <n v="0"/>
  </r>
  <r>
    <x v="81"/>
    <s v="other GHGs"/>
    <s v="kg CO2e/2018 USD, purchaser price"/>
    <n v="6.0000000000000001E-3"/>
    <n v="6.0000000000000001E-3"/>
    <n v="0"/>
    <n v="0"/>
    <n v="6.0000000000000001E-3"/>
    <n v="6.0000000000000001E-3"/>
  </r>
  <r>
    <x v="82"/>
    <s v="carbon dioxide"/>
    <s v="kg/2018 USD, purchaser price"/>
    <n v="0.39500000000000002"/>
    <n v="0.39500000000000002"/>
    <n v="4.3999999999999997E-2"/>
    <n v="4.3999999999999997E-2"/>
    <n v="0.439"/>
    <n v="0.439"/>
  </r>
  <r>
    <x v="82"/>
    <s v="methane"/>
    <s v="kg/2018 USD, purchaser price"/>
    <n v="1E-3"/>
    <n v="2.8000000000000001E-2"/>
    <n v="0"/>
    <n v="0"/>
    <n v="2E-3"/>
    <n v="5.6000000000000001E-2"/>
  </r>
  <r>
    <x v="82"/>
    <s v="nitrous oxide"/>
    <s v="kg/2018 USD, purchaser price"/>
    <n v="0"/>
    <n v="0"/>
    <n v="0"/>
    <n v="0"/>
    <n v="0"/>
    <n v="0"/>
  </r>
  <r>
    <x v="82"/>
    <s v="other GHGs"/>
    <s v="kg CO2e/2018 USD, purchaser price"/>
    <n v="5.0000000000000001E-3"/>
    <n v="5.0000000000000001E-3"/>
    <n v="0"/>
    <n v="0"/>
    <n v="5.0000000000000001E-3"/>
    <n v="5.0000000000000001E-3"/>
  </r>
  <r>
    <x v="83"/>
    <s v="carbon dioxide"/>
    <s v="kg/2018 USD, purchaser price"/>
    <n v="0.45800000000000002"/>
    <n v="0.45800000000000002"/>
    <n v="0.14499999999999999"/>
    <n v="0.14499999999999999"/>
    <n v="0.60299999999999998"/>
    <n v="0.60299999999999998"/>
  </r>
  <r>
    <x v="83"/>
    <s v="methane"/>
    <s v="kg/2018 USD, purchaser price"/>
    <n v="1E-3"/>
    <n v="2.8000000000000001E-2"/>
    <n v="1E-3"/>
    <n v="2.8000000000000001E-2"/>
    <n v="2E-3"/>
    <n v="5.6000000000000001E-2"/>
  </r>
  <r>
    <x v="83"/>
    <s v="nitrous oxide"/>
    <s v="kg/2018 USD, purchaser price"/>
    <n v="0"/>
    <n v="0"/>
    <n v="0"/>
    <n v="0"/>
    <n v="0"/>
    <n v="0"/>
  </r>
  <r>
    <x v="83"/>
    <s v="other GHGs"/>
    <s v="kg CO2e/2018 USD, purchaser price"/>
    <n v="5.0000000000000001E-3"/>
    <n v="5.0000000000000001E-3"/>
    <n v="0"/>
    <n v="0"/>
    <n v="5.0000000000000001E-3"/>
    <n v="5.0000000000000001E-3"/>
  </r>
  <r>
    <x v="84"/>
    <s v="carbon dioxide"/>
    <s v="kg/2018 USD, purchaser price"/>
    <n v="0.371"/>
    <n v="0.371"/>
    <n v="5.1999999999999998E-2"/>
    <n v="5.1999999999999998E-2"/>
    <n v="0.42299999999999999"/>
    <n v="0.42299999999999999"/>
  </r>
  <r>
    <x v="84"/>
    <s v="methane"/>
    <s v="kg/2018 USD, purchaser price"/>
    <n v="1E-3"/>
    <n v="2.8000000000000001E-2"/>
    <n v="0"/>
    <n v="0"/>
    <n v="2E-3"/>
    <n v="5.6000000000000001E-2"/>
  </r>
  <r>
    <x v="84"/>
    <s v="nitrous oxide"/>
    <s v="kg/2018 USD, purchaser price"/>
    <n v="0"/>
    <n v="0"/>
    <n v="0"/>
    <n v="0"/>
    <n v="0"/>
    <n v="0"/>
  </r>
  <r>
    <x v="84"/>
    <s v="other GHGs"/>
    <s v="kg CO2e/2018 USD, purchaser price"/>
    <n v="5.0000000000000001E-3"/>
    <n v="5.0000000000000001E-3"/>
    <n v="0"/>
    <n v="0"/>
    <n v="5.0000000000000001E-3"/>
    <n v="5.0000000000000001E-3"/>
  </r>
  <r>
    <x v="85"/>
    <s v="carbon dioxide"/>
    <s v="kg/2018 USD, purchaser price"/>
    <n v="0.28399999999999997"/>
    <n v="0.28399999999999997"/>
    <n v="4.4999999999999998E-2"/>
    <n v="4.4999999999999998E-2"/>
    <n v="0.32900000000000001"/>
    <n v="0.32900000000000001"/>
  </r>
  <r>
    <x v="85"/>
    <s v="methane"/>
    <s v="kg/2018 USD, purchaser price"/>
    <n v="1E-3"/>
    <n v="2.8000000000000001E-2"/>
    <n v="0"/>
    <n v="0"/>
    <n v="1E-3"/>
    <n v="2.8000000000000001E-2"/>
  </r>
  <r>
    <x v="85"/>
    <s v="nitrous oxide"/>
    <s v="kg/2018 USD, purchaser price"/>
    <n v="0"/>
    <n v="0"/>
    <n v="0"/>
    <n v="0"/>
    <n v="0"/>
    <n v="0"/>
  </r>
  <r>
    <x v="85"/>
    <s v="other GHGs"/>
    <s v="kg CO2e/2018 USD, purchaser price"/>
    <n v="4.0000000000000001E-3"/>
    <n v="4.0000000000000001E-3"/>
    <n v="0"/>
    <n v="0"/>
    <n v="4.0000000000000001E-3"/>
    <n v="4.0000000000000001E-3"/>
  </r>
  <r>
    <x v="86"/>
    <s v="carbon dioxide"/>
    <s v="kg/2018 USD, purchaser price"/>
    <n v="0.21199999999999999"/>
    <n v="0.21199999999999999"/>
    <n v="0.03"/>
    <n v="0.03"/>
    <n v="0.24199999999999999"/>
    <n v="0.24199999999999999"/>
  </r>
  <r>
    <x v="86"/>
    <s v="methane"/>
    <s v="kg/2018 USD, purchaser price"/>
    <n v="1E-3"/>
    <n v="2.8000000000000001E-2"/>
    <n v="0"/>
    <n v="0"/>
    <n v="1E-3"/>
    <n v="2.8000000000000001E-2"/>
  </r>
  <r>
    <x v="86"/>
    <s v="nitrous oxide"/>
    <s v="kg/2018 USD, purchaser price"/>
    <n v="0"/>
    <n v="0"/>
    <n v="0"/>
    <n v="0"/>
    <n v="0"/>
    <n v="0"/>
  </r>
  <r>
    <x v="86"/>
    <s v="other GHGs"/>
    <s v="kg CO2e/2018 USD, purchaser price"/>
    <n v="3.0000000000000001E-3"/>
    <n v="3.0000000000000001E-3"/>
    <n v="0"/>
    <n v="0"/>
    <n v="3.0000000000000001E-3"/>
    <n v="3.0000000000000001E-3"/>
  </r>
  <r>
    <x v="87"/>
    <s v="carbon dioxide"/>
    <s v="kg/2018 USD, purchaser price"/>
    <n v="0.45100000000000001"/>
    <n v="0.45100000000000001"/>
    <n v="4.9000000000000002E-2"/>
    <n v="4.9000000000000002E-2"/>
    <n v="0.5"/>
    <n v="0.5"/>
  </r>
  <r>
    <x v="87"/>
    <s v="methane"/>
    <s v="kg/2018 USD, purchaser price"/>
    <n v="1.2E-2"/>
    <n v="0.33600000000000002"/>
    <n v="0"/>
    <n v="0"/>
    <n v="1.2999999999999999E-2"/>
    <n v="0.36399999999999999"/>
  </r>
  <r>
    <x v="87"/>
    <s v="nitrous oxide"/>
    <s v="kg/2018 USD, purchaser price"/>
    <n v="0"/>
    <n v="0"/>
    <n v="0"/>
    <n v="0"/>
    <n v="0"/>
    <n v="0"/>
  </r>
  <r>
    <x v="87"/>
    <s v="other GHGs"/>
    <s v="kg CO2e/2018 USD, purchaser price"/>
    <n v="4.0000000000000001E-3"/>
    <n v="4.0000000000000001E-3"/>
    <n v="0"/>
    <n v="0"/>
    <n v="4.0000000000000001E-3"/>
    <n v="4.0000000000000001E-3"/>
  </r>
  <r>
    <x v="88"/>
    <s v="carbon dioxide"/>
    <s v="kg/2018 USD, purchaser price"/>
    <n v="0.98399999999999999"/>
    <n v="0.98399999999999999"/>
    <n v="3.3000000000000002E-2"/>
    <n v="3.3000000000000002E-2"/>
    <n v="1.0169999999999999"/>
    <n v="1.0169999999999999"/>
  </r>
  <r>
    <x v="88"/>
    <s v="methane"/>
    <s v="kg/2018 USD, purchaser price"/>
    <n v="5.0000000000000001E-3"/>
    <n v="0.14000000000000001"/>
    <n v="0"/>
    <n v="0"/>
    <n v="5.0000000000000001E-3"/>
    <n v="0.14000000000000001"/>
  </r>
  <r>
    <x v="88"/>
    <s v="nitrous oxide"/>
    <s v="kg/2018 USD, purchaser price"/>
    <n v="0"/>
    <n v="0"/>
    <n v="0"/>
    <n v="0"/>
    <n v="0"/>
    <n v="0"/>
  </r>
  <r>
    <x v="88"/>
    <s v="other GHGs"/>
    <s v="kg CO2e/2018 USD, purchaser price"/>
    <n v="7.0000000000000001E-3"/>
    <n v="7.0000000000000001E-3"/>
    <n v="0"/>
    <n v="0"/>
    <n v="7.0000000000000001E-3"/>
    <n v="7.0000000000000001E-3"/>
  </r>
  <r>
    <x v="89"/>
    <s v="carbon dioxide"/>
    <s v="kg/2018 USD, purchaser price"/>
    <n v="0.68500000000000005"/>
    <n v="0.68500000000000005"/>
    <n v="0.03"/>
    <n v="0.03"/>
    <n v="0.71499999999999997"/>
    <n v="0.71499999999999997"/>
  </r>
  <r>
    <x v="89"/>
    <s v="methane"/>
    <s v="kg/2018 USD, purchaser price"/>
    <n v="4.0000000000000001E-3"/>
    <n v="0.112"/>
    <n v="0"/>
    <n v="0"/>
    <n v="4.0000000000000001E-3"/>
    <n v="0.112"/>
  </r>
  <r>
    <x v="89"/>
    <s v="nitrous oxide"/>
    <s v="kg/2018 USD, purchaser price"/>
    <n v="0"/>
    <n v="0"/>
    <n v="0"/>
    <n v="0"/>
    <n v="0"/>
    <n v="0"/>
  </r>
  <r>
    <x v="89"/>
    <s v="other GHGs"/>
    <s v="kg CO2e/2018 USD, purchaser price"/>
    <n v="4.0000000000000001E-3"/>
    <n v="4.0000000000000001E-3"/>
    <n v="0"/>
    <n v="0"/>
    <n v="4.0000000000000001E-3"/>
    <n v="4.0000000000000001E-3"/>
  </r>
  <r>
    <x v="90"/>
    <s v="carbon dioxide"/>
    <s v="kg/2018 USD, purchaser price"/>
    <n v="0.66100000000000003"/>
    <n v="0.66100000000000003"/>
    <n v="6.7000000000000004E-2"/>
    <n v="6.7000000000000004E-2"/>
    <n v="0.72799999999999998"/>
    <n v="0.72799999999999998"/>
  </r>
  <r>
    <x v="90"/>
    <s v="methane"/>
    <s v="kg/2018 USD, purchaser price"/>
    <n v="8.0000000000000002E-3"/>
    <n v="0.224"/>
    <n v="1E-3"/>
    <n v="2.8000000000000001E-2"/>
    <n v="8.9999999999999993E-3"/>
    <n v="0.252"/>
  </r>
  <r>
    <x v="90"/>
    <s v="nitrous oxide"/>
    <s v="kg/2018 USD, purchaser price"/>
    <n v="0"/>
    <n v="0"/>
    <n v="0"/>
    <n v="0"/>
    <n v="0"/>
    <n v="0"/>
  </r>
  <r>
    <x v="90"/>
    <s v="other GHGs"/>
    <s v="kg CO2e/2018 USD, purchaser price"/>
    <n v="5.0000000000000001E-3"/>
    <n v="5.0000000000000001E-3"/>
    <n v="0"/>
    <n v="0"/>
    <n v="5.0000000000000001E-3"/>
    <n v="5.0000000000000001E-3"/>
  </r>
  <r>
    <x v="91"/>
    <s v="carbon dioxide"/>
    <s v="kg/2018 USD, purchaser price"/>
    <n v="0.63400000000000001"/>
    <n v="0.63400000000000001"/>
    <n v="2.5999999999999999E-2"/>
    <n v="2.5999999999999999E-2"/>
    <n v="0.66100000000000003"/>
    <n v="0.66100000000000003"/>
  </r>
  <r>
    <x v="91"/>
    <s v="methane"/>
    <s v="kg/2018 USD, purchaser price"/>
    <n v="7.0000000000000001E-3"/>
    <n v="0.19600000000000001"/>
    <n v="0"/>
    <n v="0"/>
    <n v="7.0000000000000001E-3"/>
    <n v="0.19600000000000001"/>
  </r>
  <r>
    <x v="91"/>
    <s v="nitrous oxide"/>
    <s v="kg/2018 USD, purchaser price"/>
    <n v="0"/>
    <n v="0"/>
    <n v="0"/>
    <n v="0"/>
    <n v="0"/>
    <n v="0"/>
  </r>
  <r>
    <x v="91"/>
    <s v="other GHGs"/>
    <s v="kg CO2e/2018 USD, purchaser price"/>
    <n v="4.0000000000000001E-3"/>
    <n v="4.0000000000000001E-3"/>
    <n v="0"/>
    <n v="0"/>
    <n v="4.0000000000000001E-3"/>
    <n v="4.0000000000000001E-3"/>
  </r>
  <r>
    <x v="92"/>
    <s v="carbon dioxide"/>
    <s v="kg/2018 USD, purchaser price"/>
    <n v="1.2889999999999999"/>
    <n v="1.2889999999999999"/>
    <n v="0.115"/>
    <n v="0.115"/>
    <n v="1.403"/>
    <n v="1.403"/>
  </r>
  <r>
    <x v="92"/>
    <s v="methane"/>
    <s v="kg/2018 USD, purchaser price"/>
    <n v="4.0000000000000001E-3"/>
    <n v="0.112"/>
    <n v="1E-3"/>
    <n v="2.8000000000000001E-2"/>
    <n v="5.0000000000000001E-3"/>
    <n v="0.14000000000000001"/>
  </r>
  <r>
    <x v="92"/>
    <s v="nitrous oxide"/>
    <s v="kg/2018 USD, purchaser price"/>
    <n v="0"/>
    <n v="0"/>
    <n v="0"/>
    <n v="0"/>
    <n v="0"/>
    <n v="0"/>
  </r>
  <r>
    <x v="92"/>
    <s v="other GHGs"/>
    <s v="kg CO2e/2018 USD, purchaser price"/>
    <n v="0.29899999999999999"/>
    <n v="0.29899999999999999"/>
    <n v="0"/>
    <n v="0"/>
    <n v="0.29899999999999999"/>
    <n v="0.29899999999999999"/>
  </r>
  <r>
    <x v="93"/>
    <s v="carbon dioxide"/>
    <s v="kg/2018 USD, purchaser price"/>
    <n v="1.494"/>
    <n v="1.494"/>
    <n v="6.2E-2"/>
    <n v="6.2E-2"/>
    <n v="1.5569999999999999"/>
    <n v="1.5569999999999999"/>
  </r>
  <r>
    <x v="93"/>
    <s v="methane"/>
    <s v="kg/2018 USD, purchaser price"/>
    <n v="3.0000000000000001E-3"/>
    <n v="8.4000000000000005E-2"/>
    <n v="1E-3"/>
    <n v="2.8000000000000001E-2"/>
    <n v="3.0000000000000001E-3"/>
    <n v="8.4000000000000005E-2"/>
  </r>
  <r>
    <x v="93"/>
    <s v="nitrous oxide"/>
    <s v="kg/2018 USD, purchaser price"/>
    <n v="0"/>
    <n v="0"/>
    <n v="0"/>
    <n v="0"/>
    <n v="0"/>
    <n v="0"/>
  </r>
  <r>
    <x v="93"/>
    <s v="other GHGs"/>
    <s v="kg CO2e/2018 USD, purchaser price"/>
    <n v="6.0000000000000001E-3"/>
    <n v="6.0000000000000001E-3"/>
    <n v="0"/>
    <n v="0"/>
    <n v="6.0000000000000001E-3"/>
    <n v="6.0000000000000001E-3"/>
  </r>
  <r>
    <x v="94"/>
    <s v="carbon dioxide"/>
    <s v="kg/2018 USD, purchaser price"/>
    <n v="0.67100000000000004"/>
    <n v="0.67100000000000004"/>
    <n v="7.5999999999999998E-2"/>
    <n v="7.5999999999999998E-2"/>
    <n v="0.748"/>
    <n v="0.748"/>
  </r>
  <r>
    <x v="94"/>
    <s v="methane"/>
    <s v="kg/2018 USD, purchaser price"/>
    <n v="3.0000000000000001E-3"/>
    <n v="8.4000000000000005E-2"/>
    <n v="1E-3"/>
    <n v="2.8000000000000001E-2"/>
    <n v="3.0000000000000001E-3"/>
    <n v="8.4000000000000005E-2"/>
  </r>
  <r>
    <x v="94"/>
    <s v="nitrous oxide"/>
    <s v="kg/2018 USD, purchaser price"/>
    <n v="0"/>
    <n v="0"/>
    <n v="0"/>
    <n v="0"/>
    <n v="0"/>
    <n v="0"/>
  </r>
  <r>
    <x v="94"/>
    <s v="other GHGs"/>
    <s v="kg CO2e/2018 USD, purchaser price"/>
    <n v="7.0000000000000001E-3"/>
    <n v="7.0000000000000001E-3"/>
    <n v="0"/>
    <n v="0"/>
    <n v="7.0000000000000001E-3"/>
    <n v="7.0000000000000001E-3"/>
  </r>
  <r>
    <x v="95"/>
    <s v="carbon dioxide"/>
    <s v="kg/2018 USD, purchaser price"/>
    <n v="1.0760000000000001"/>
    <n v="1.0760000000000001"/>
    <n v="3.1E-2"/>
    <n v="3.1E-2"/>
    <n v="1.107"/>
    <n v="1.107"/>
  </r>
  <r>
    <x v="95"/>
    <s v="methane"/>
    <s v="kg/2018 USD, purchaser price"/>
    <n v="5.0000000000000001E-3"/>
    <n v="0.14000000000000001"/>
    <n v="0"/>
    <n v="0"/>
    <n v="5.0000000000000001E-3"/>
    <n v="0.14000000000000001"/>
  </r>
  <r>
    <x v="95"/>
    <s v="nitrous oxide"/>
    <s v="kg/2018 USD, purchaser price"/>
    <n v="1E-3"/>
    <n v="0.26500000000000001"/>
    <n v="0"/>
    <n v="0"/>
    <n v="1E-3"/>
    <n v="0.26500000000000001"/>
  </r>
  <r>
    <x v="95"/>
    <s v="other GHGs"/>
    <s v="kg CO2e/2018 USD, purchaser price"/>
    <n v="6.0000000000000001E-3"/>
    <n v="6.0000000000000001E-3"/>
    <n v="0"/>
    <n v="0"/>
    <n v="6.0000000000000001E-3"/>
    <n v="6.0000000000000001E-3"/>
  </r>
  <r>
    <x v="96"/>
    <s v="carbon dioxide"/>
    <s v="kg/2018 USD, purchaser price"/>
    <n v="1.45"/>
    <n v="1.45"/>
    <n v="3.6999999999999998E-2"/>
    <n v="3.6999999999999998E-2"/>
    <n v="1.4870000000000001"/>
    <n v="1.4870000000000001"/>
  </r>
  <r>
    <x v="96"/>
    <s v="methane"/>
    <s v="kg/2018 USD, purchaser price"/>
    <n v="4.0000000000000001E-3"/>
    <n v="0.112"/>
    <n v="0"/>
    <n v="0"/>
    <n v="5.0000000000000001E-3"/>
    <n v="0.14000000000000001"/>
  </r>
  <r>
    <x v="96"/>
    <s v="nitrous oxide"/>
    <s v="kg/2018 USD, purchaser price"/>
    <n v="0"/>
    <n v="0"/>
    <n v="0"/>
    <n v="0"/>
    <n v="0"/>
    <n v="0"/>
  </r>
  <r>
    <x v="96"/>
    <s v="other GHGs"/>
    <s v="kg CO2e/2018 USD, purchaser price"/>
    <n v="6.0000000000000001E-3"/>
    <n v="6.0000000000000001E-3"/>
    <n v="0"/>
    <n v="0"/>
    <n v="6.0000000000000001E-3"/>
    <n v="6.0000000000000001E-3"/>
  </r>
  <r>
    <x v="97"/>
    <s v="carbon dioxide"/>
    <s v="kg/2018 USD, purchaser price"/>
    <n v="0.63800000000000001"/>
    <n v="0.63800000000000001"/>
    <n v="1.4999999999999999E-2"/>
    <n v="1.4999999999999999E-2"/>
    <n v="0.65300000000000002"/>
    <n v="0.65300000000000002"/>
  </r>
  <r>
    <x v="97"/>
    <s v="methane"/>
    <s v="kg/2018 USD, purchaser price"/>
    <n v="3.0000000000000001E-3"/>
    <n v="8.4000000000000005E-2"/>
    <n v="0"/>
    <n v="0"/>
    <n v="3.0000000000000001E-3"/>
    <n v="8.4000000000000005E-2"/>
  </r>
  <r>
    <x v="97"/>
    <s v="nitrous oxide"/>
    <s v="kg/2018 USD, purchaser price"/>
    <n v="0"/>
    <n v="0"/>
    <n v="0"/>
    <n v="0"/>
    <n v="0"/>
    <n v="0"/>
  </r>
  <r>
    <x v="97"/>
    <s v="other GHGs"/>
    <s v="kg CO2e/2018 USD, purchaser price"/>
    <n v="5.0000000000000001E-3"/>
    <n v="5.0000000000000001E-3"/>
    <n v="0"/>
    <n v="0"/>
    <n v="5.0000000000000001E-3"/>
    <n v="5.0000000000000001E-3"/>
  </r>
  <r>
    <x v="98"/>
    <s v="carbon dioxide"/>
    <s v="kg/2018 USD, purchaser price"/>
    <n v="0.71899999999999997"/>
    <n v="0.71899999999999997"/>
    <n v="5.0999999999999997E-2"/>
    <n v="5.0999999999999997E-2"/>
    <n v="0.77"/>
    <n v="0.77"/>
  </r>
  <r>
    <x v="98"/>
    <s v="methane"/>
    <s v="kg/2018 USD, purchaser price"/>
    <n v="1E-3"/>
    <n v="2.8000000000000001E-2"/>
    <n v="0"/>
    <n v="0"/>
    <n v="1E-3"/>
    <n v="2.8000000000000001E-2"/>
  </r>
  <r>
    <x v="98"/>
    <s v="nitrous oxide"/>
    <s v="kg/2018 USD, purchaser price"/>
    <n v="1E-3"/>
    <n v="0.26500000000000001"/>
    <n v="0"/>
    <n v="0"/>
    <n v="1E-3"/>
    <n v="0.26500000000000001"/>
  </r>
  <r>
    <x v="98"/>
    <s v="other GHGs"/>
    <s v="kg CO2e/2018 USD, purchaser price"/>
    <n v="4.0000000000000001E-3"/>
    <n v="4.0000000000000001E-3"/>
    <n v="0"/>
    <n v="0"/>
    <n v="4.0000000000000001E-3"/>
    <n v="4.0000000000000001E-3"/>
  </r>
  <r>
    <x v="99"/>
    <s v="carbon dioxide"/>
    <s v="kg/2018 USD, purchaser price"/>
    <n v="0.14099999999999999"/>
    <n v="0.14099999999999999"/>
    <n v="1.6E-2"/>
    <n v="1.6E-2"/>
    <n v="0.157"/>
    <n v="0.157"/>
  </r>
  <r>
    <x v="99"/>
    <s v="methane"/>
    <s v="kg/2018 USD, purchaser price"/>
    <n v="1E-3"/>
    <n v="2.8000000000000001E-2"/>
    <n v="0"/>
    <n v="0"/>
    <n v="1E-3"/>
    <n v="2.8000000000000001E-2"/>
  </r>
  <r>
    <x v="99"/>
    <s v="nitrous oxide"/>
    <s v="kg/2018 USD, purchaser price"/>
    <n v="0"/>
    <n v="0"/>
    <n v="0"/>
    <n v="0"/>
    <n v="0"/>
    <n v="0"/>
  </r>
  <r>
    <x v="99"/>
    <s v="other GHGs"/>
    <s v="kg CO2e/2018 USD, purchaser price"/>
    <n v="7.0000000000000001E-3"/>
    <n v="7.0000000000000001E-3"/>
    <n v="0"/>
    <n v="0"/>
    <n v="7.0000000000000001E-3"/>
    <n v="7.0000000000000001E-3"/>
  </r>
  <r>
    <x v="100"/>
    <s v="carbon dioxide"/>
    <s v="kg/2018 USD, purchaser price"/>
    <n v="0.28199999999999997"/>
    <n v="0.28199999999999997"/>
    <n v="2.8000000000000001E-2"/>
    <n v="2.8000000000000001E-2"/>
    <n v="0.31"/>
    <n v="0.31"/>
  </r>
  <r>
    <x v="100"/>
    <s v="methane"/>
    <s v="kg/2018 USD, purchaser price"/>
    <n v="0"/>
    <n v="0"/>
    <n v="0"/>
    <n v="0"/>
    <n v="1E-3"/>
    <n v="2.8000000000000001E-2"/>
  </r>
  <r>
    <x v="100"/>
    <s v="nitrous oxide"/>
    <s v="kg/2018 USD, purchaser price"/>
    <n v="0"/>
    <n v="0"/>
    <n v="0"/>
    <n v="0"/>
    <n v="0"/>
    <n v="0"/>
  </r>
  <r>
    <x v="100"/>
    <s v="other GHGs"/>
    <s v="kg CO2e/2018 USD, purchaser price"/>
    <n v="3.0000000000000001E-3"/>
    <n v="3.0000000000000001E-3"/>
    <n v="0"/>
    <n v="0"/>
    <n v="3.0000000000000001E-3"/>
    <n v="3.0000000000000001E-3"/>
  </r>
  <r>
    <x v="101"/>
    <s v="carbon dioxide"/>
    <s v="kg/2018 USD, purchaser price"/>
    <n v="0.159"/>
    <n v="0.159"/>
    <n v="0.248"/>
    <n v="0.248"/>
    <n v="0.40699999999999997"/>
    <n v="0.40699999999999997"/>
  </r>
  <r>
    <x v="101"/>
    <s v="methane"/>
    <s v="kg/2018 USD, purchaser price"/>
    <n v="1E-3"/>
    <n v="2.8000000000000001E-2"/>
    <n v="1E-3"/>
    <n v="2.8000000000000001E-2"/>
    <n v="2E-3"/>
    <n v="5.6000000000000001E-2"/>
  </r>
  <r>
    <x v="101"/>
    <s v="nitrous oxide"/>
    <s v="kg/2018 USD, purchaser price"/>
    <n v="0"/>
    <n v="0"/>
    <n v="0"/>
    <n v="0"/>
    <n v="0"/>
    <n v="0"/>
  </r>
  <r>
    <x v="101"/>
    <s v="other GHGs"/>
    <s v="kg CO2e/2018 USD, purchaser price"/>
    <n v="3.0000000000000001E-3"/>
    <n v="3.0000000000000001E-3"/>
    <n v="0"/>
    <n v="0"/>
    <n v="3.0000000000000001E-3"/>
    <n v="3.0000000000000001E-3"/>
  </r>
  <r>
    <x v="102"/>
    <s v="carbon dioxide"/>
    <s v="kg/2018 USD, purchaser price"/>
    <n v="9.4E-2"/>
    <n v="9.4E-2"/>
    <n v="0.04"/>
    <n v="0.04"/>
    <n v="0.13400000000000001"/>
    <n v="0.13400000000000001"/>
  </r>
  <r>
    <x v="102"/>
    <s v="methane"/>
    <s v="kg/2018 USD, purchaser price"/>
    <n v="0"/>
    <n v="0"/>
    <n v="0"/>
    <n v="0"/>
    <n v="1E-3"/>
    <n v="2.8000000000000001E-2"/>
  </r>
  <r>
    <x v="102"/>
    <s v="nitrous oxide"/>
    <s v="kg/2018 USD, purchaser price"/>
    <n v="0"/>
    <n v="0"/>
    <n v="0"/>
    <n v="0"/>
    <n v="0"/>
    <n v="0"/>
  </r>
  <r>
    <x v="102"/>
    <s v="other GHGs"/>
    <s v="kg CO2e/2018 USD, purchaser price"/>
    <n v="5.0000000000000001E-3"/>
    <n v="5.0000000000000001E-3"/>
    <n v="0"/>
    <n v="0"/>
    <n v="5.0000000000000001E-3"/>
    <n v="5.0000000000000001E-3"/>
  </r>
  <r>
    <x v="103"/>
    <s v="carbon dioxide"/>
    <s v="kg/2018 USD, purchaser price"/>
    <n v="4.2000000000000003E-2"/>
    <n v="4.2000000000000003E-2"/>
    <n v="4.9000000000000002E-2"/>
    <n v="4.9000000000000002E-2"/>
    <n v="9.0999999999999998E-2"/>
    <n v="9.0999999999999998E-2"/>
  </r>
  <r>
    <x v="103"/>
    <s v="methane"/>
    <s v="kg/2018 USD, purchaser price"/>
    <n v="0"/>
    <n v="0"/>
    <n v="0"/>
    <n v="0"/>
    <n v="0"/>
    <n v="0"/>
  </r>
  <r>
    <x v="103"/>
    <s v="nitrous oxide"/>
    <s v="kg/2018 USD, purchaser price"/>
    <n v="0"/>
    <n v="0"/>
    <n v="0"/>
    <n v="0"/>
    <n v="0"/>
    <n v="0"/>
  </r>
  <r>
    <x v="103"/>
    <s v="other GHGs"/>
    <s v="kg CO2e/2018 USD, purchaser price"/>
    <n v="1E-3"/>
    <n v="1E-3"/>
    <n v="0"/>
    <n v="0"/>
    <n v="1E-3"/>
    <n v="1E-3"/>
  </r>
  <r>
    <x v="104"/>
    <s v="carbon dioxide"/>
    <s v="kg/2018 USD, purchaser price"/>
    <n v="0.34899999999999998"/>
    <n v="0.34899999999999998"/>
    <n v="0.03"/>
    <n v="0.03"/>
    <n v="0.379"/>
    <n v="0.379"/>
  </r>
  <r>
    <x v="104"/>
    <s v="methane"/>
    <s v="kg/2018 USD, purchaser price"/>
    <n v="1E-3"/>
    <n v="2.8000000000000001E-2"/>
    <n v="0"/>
    <n v="0"/>
    <n v="1E-3"/>
    <n v="2.8000000000000001E-2"/>
  </r>
  <r>
    <x v="104"/>
    <s v="nitrous oxide"/>
    <s v="kg/2018 USD, purchaser price"/>
    <n v="0"/>
    <n v="0"/>
    <n v="0"/>
    <n v="0"/>
    <n v="0"/>
    <n v="0"/>
  </r>
  <r>
    <x v="104"/>
    <s v="other GHGs"/>
    <s v="kg CO2e/2018 USD, purchaser price"/>
    <n v="6.0000000000000001E-3"/>
    <n v="6.0000000000000001E-3"/>
    <n v="0"/>
    <n v="0"/>
    <n v="6.0000000000000001E-3"/>
    <n v="6.0000000000000001E-3"/>
  </r>
  <r>
    <x v="105"/>
    <s v="carbon dioxide"/>
    <s v="kg/2018 USD, purchaser price"/>
    <n v="0.19900000000000001"/>
    <n v="0.19900000000000001"/>
    <n v="8.9999999999999993E-3"/>
    <n v="8.9999999999999993E-3"/>
    <n v="0.20799999999999999"/>
    <n v="0.20799999999999999"/>
  </r>
  <r>
    <x v="105"/>
    <s v="methane"/>
    <s v="kg/2018 USD, purchaser price"/>
    <n v="1E-3"/>
    <n v="2.8000000000000001E-2"/>
    <n v="0"/>
    <n v="0"/>
    <n v="1E-3"/>
    <n v="2.8000000000000001E-2"/>
  </r>
  <r>
    <x v="105"/>
    <s v="nitrous oxide"/>
    <s v="kg/2018 USD, purchaser price"/>
    <n v="0"/>
    <n v="0"/>
    <n v="0"/>
    <n v="0"/>
    <n v="0"/>
    <n v="0"/>
  </r>
  <r>
    <x v="105"/>
    <s v="other GHGs"/>
    <s v="kg CO2e/2018 USD, purchaser price"/>
    <n v="1.0999999999999999E-2"/>
    <n v="1.0999999999999999E-2"/>
    <n v="0"/>
    <n v="0"/>
    <n v="1.0999999999999999E-2"/>
    <n v="1.0999999999999999E-2"/>
  </r>
  <r>
    <x v="106"/>
    <s v="carbon dioxide"/>
    <s v="kg/2018 USD, purchaser price"/>
    <n v="0.33"/>
    <n v="0.33"/>
    <n v="4.2000000000000003E-2"/>
    <n v="4.2000000000000003E-2"/>
    <n v="0.372"/>
    <n v="0.372"/>
  </r>
  <r>
    <x v="106"/>
    <s v="methane"/>
    <s v="kg/2018 USD, purchaser price"/>
    <n v="1E-3"/>
    <n v="2.8000000000000001E-2"/>
    <n v="0"/>
    <n v="0"/>
    <n v="1E-3"/>
    <n v="2.8000000000000001E-2"/>
  </r>
  <r>
    <x v="106"/>
    <s v="nitrous oxide"/>
    <s v="kg/2018 USD, purchaser price"/>
    <n v="0"/>
    <n v="0"/>
    <n v="0"/>
    <n v="0"/>
    <n v="0"/>
    <n v="0"/>
  </r>
  <r>
    <x v="106"/>
    <s v="other GHGs"/>
    <s v="kg CO2e/2018 USD, purchaser price"/>
    <n v="1.4E-2"/>
    <n v="1.4E-2"/>
    <n v="0"/>
    <n v="0"/>
    <n v="1.4E-2"/>
    <n v="1.4E-2"/>
  </r>
  <r>
    <x v="107"/>
    <s v="carbon dioxide"/>
    <s v="kg/2018 USD, purchaser price"/>
    <n v="0.20499999999999999"/>
    <n v="0.20499999999999999"/>
    <n v="0.159"/>
    <n v="0.159"/>
    <n v="0.36399999999999999"/>
    <n v="0.36399999999999999"/>
  </r>
  <r>
    <x v="107"/>
    <s v="methane"/>
    <s v="kg/2018 USD, purchaser price"/>
    <n v="1E-3"/>
    <n v="2.8000000000000001E-2"/>
    <n v="1E-3"/>
    <n v="2.8000000000000001E-2"/>
    <n v="2E-3"/>
    <n v="5.6000000000000001E-2"/>
  </r>
  <r>
    <x v="107"/>
    <s v="nitrous oxide"/>
    <s v="kg/2018 USD, purchaser price"/>
    <n v="0"/>
    <n v="0"/>
    <n v="0"/>
    <n v="0"/>
    <n v="0"/>
    <n v="0"/>
  </r>
  <r>
    <x v="107"/>
    <s v="other GHGs"/>
    <s v="kg CO2e/2018 USD, purchaser price"/>
    <n v="7.0000000000000001E-3"/>
    <n v="7.0000000000000001E-3"/>
    <n v="0"/>
    <n v="0"/>
    <n v="7.0000000000000001E-3"/>
    <n v="7.0000000000000001E-3"/>
  </r>
  <r>
    <x v="108"/>
    <s v="carbon dioxide"/>
    <s v="kg/2018 USD, purchaser price"/>
    <n v="0.32300000000000001"/>
    <n v="0.32300000000000001"/>
    <n v="1.4E-2"/>
    <n v="1.4E-2"/>
    <n v="0.33700000000000002"/>
    <n v="0.33700000000000002"/>
  </r>
  <r>
    <x v="108"/>
    <s v="methane"/>
    <s v="kg/2018 USD, purchaser price"/>
    <n v="1E-3"/>
    <n v="2.8000000000000001E-2"/>
    <n v="0"/>
    <n v="0"/>
    <n v="1E-3"/>
    <n v="2.8000000000000001E-2"/>
  </r>
  <r>
    <x v="108"/>
    <s v="nitrous oxide"/>
    <s v="kg/2018 USD, purchaser price"/>
    <n v="0"/>
    <n v="0"/>
    <n v="0"/>
    <n v="0"/>
    <n v="0"/>
    <n v="0"/>
  </r>
  <r>
    <x v="108"/>
    <s v="other GHGs"/>
    <s v="kg CO2e/2018 USD, purchaser price"/>
    <n v="7.0000000000000001E-3"/>
    <n v="7.0000000000000001E-3"/>
    <n v="0"/>
    <n v="0"/>
    <n v="7.0000000000000001E-3"/>
    <n v="7.0000000000000001E-3"/>
  </r>
  <r>
    <x v="109"/>
    <s v="carbon dioxide"/>
    <s v="kg/2018 USD, purchaser price"/>
    <n v="0.432"/>
    <n v="0.432"/>
    <n v="4.5999999999999999E-2"/>
    <n v="4.5999999999999999E-2"/>
    <n v="0.47799999999999998"/>
    <n v="0.47799999999999998"/>
  </r>
  <r>
    <x v="109"/>
    <s v="methane"/>
    <s v="kg/2018 USD, purchaser price"/>
    <n v="2E-3"/>
    <n v="5.6000000000000001E-2"/>
    <n v="0"/>
    <n v="0"/>
    <n v="2E-3"/>
    <n v="5.6000000000000001E-2"/>
  </r>
  <r>
    <x v="109"/>
    <s v="nitrous oxide"/>
    <s v="kg/2018 USD, purchaser price"/>
    <n v="0"/>
    <n v="0"/>
    <n v="0"/>
    <n v="0"/>
    <n v="0"/>
    <n v="0"/>
  </r>
  <r>
    <x v="109"/>
    <s v="other GHGs"/>
    <s v="kg CO2e/2018 USD, purchaser price"/>
    <n v="2.7E-2"/>
    <n v="2.7E-2"/>
    <n v="0"/>
    <n v="0"/>
    <n v="2.7E-2"/>
    <n v="2.7E-2"/>
  </r>
  <r>
    <x v="110"/>
    <s v="carbon dioxide"/>
    <s v="kg/2018 USD, purchaser price"/>
    <n v="0.46400000000000002"/>
    <n v="0.46400000000000002"/>
    <n v="2.1000000000000001E-2"/>
    <n v="2.1000000000000001E-2"/>
    <n v="0.48499999999999999"/>
    <n v="0.48499999999999999"/>
  </r>
  <r>
    <x v="110"/>
    <s v="methane"/>
    <s v="kg/2018 USD, purchaser price"/>
    <n v="1E-3"/>
    <n v="2.8000000000000001E-2"/>
    <n v="0"/>
    <n v="0"/>
    <n v="2E-3"/>
    <n v="5.6000000000000001E-2"/>
  </r>
  <r>
    <x v="110"/>
    <s v="nitrous oxide"/>
    <s v="kg/2018 USD, purchaser price"/>
    <n v="0"/>
    <n v="0"/>
    <n v="0"/>
    <n v="0"/>
    <n v="0"/>
    <n v="0"/>
  </r>
  <r>
    <x v="110"/>
    <s v="other GHGs"/>
    <s v="kg CO2e/2018 USD, purchaser price"/>
    <n v="7.0000000000000001E-3"/>
    <n v="7.0000000000000001E-3"/>
    <n v="0"/>
    <n v="0"/>
    <n v="7.0000000000000001E-3"/>
    <n v="7.0000000000000001E-3"/>
  </r>
  <r>
    <x v="111"/>
    <s v="carbon dioxide"/>
    <s v="kg/2018 USD, purchaser price"/>
    <n v="0.55300000000000005"/>
    <n v="0.55300000000000005"/>
    <n v="0.04"/>
    <n v="0.04"/>
    <n v="0.59299999999999997"/>
    <n v="0.59299999999999997"/>
  </r>
  <r>
    <x v="111"/>
    <s v="methane"/>
    <s v="kg/2018 USD, purchaser price"/>
    <n v="2E-3"/>
    <n v="5.6000000000000001E-2"/>
    <n v="0"/>
    <n v="0"/>
    <n v="2E-3"/>
    <n v="5.6000000000000001E-2"/>
  </r>
  <r>
    <x v="111"/>
    <s v="nitrous oxide"/>
    <s v="kg/2018 USD, purchaser price"/>
    <n v="0"/>
    <n v="0"/>
    <n v="0"/>
    <n v="0"/>
    <n v="0"/>
    <n v="0"/>
  </r>
  <r>
    <x v="111"/>
    <s v="other GHGs"/>
    <s v="kg CO2e/2018 USD, purchaser price"/>
    <n v="5.0000000000000001E-3"/>
    <n v="5.0000000000000001E-3"/>
    <n v="0"/>
    <n v="0"/>
    <n v="5.0000000000000001E-3"/>
    <n v="5.0000000000000001E-3"/>
  </r>
  <r>
    <x v="112"/>
    <s v="carbon dioxide"/>
    <s v="kg/2018 USD, purchaser price"/>
    <n v="0.251"/>
    <n v="0.251"/>
    <n v="1.0999999999999999E-2"/>
    <n v="1.0999999999999999E-2"/>
    <n v="0.26200000000000001"/>
    <n v="0.26200000000000001"/>
  </r>
  <r>
    <x v="112"/>
    <s v="methane"/>
    <s v="kg/2018 USD, purchaser price"/>
    <n v="1E-3"/>
    <n v="2.8000000000000001E-2"/>
    <n v="0"/>
    <n v="0"/>
    <n v="1E-3"/>
    <n v="2.8000000000000001E-2"/>
  </r>
  <r>
    <x v="112"/>
    <s v="nitrous oxide"/>
    <s v="kg/2018 USD, purchaser price"/>
    <n v="0"/>
    <n v="0"/>
    <n v="0"/>
    <n v="0"/>
    <n v="0"/>
    <n v="0"/>
  </r>
  <r>
    <x v="112"/>
    <s v="other GHGs"/>
    <s v="kg CO2e/2018 USD, purchaser price"/>
    <n v="6.0000000000000001E-3"/>
    <n v="6.0000000000000001E-3"/>
    <n v="0"/>
    <n v="0"/>
    <n v="6.0000000000000001E-3"/>
    <n v="6.0000000000000001E-3"/>
  </r>
  <r>
    <x v="113"/>
    <s v="carbon dioxide"/>
    <s v="kg/2018 USD, purchaser price"/>
    <n v="0.59399999999999997"/>
    <n v="0.59399999999999997"/>
    <n v="0.06"/>
    <n v="0.06"/>
    <n v="0.65400000000000003"/>
    <n v="0.65400000000000003"/>
  </r>
  <r>
    <x v="113"/>
    <s v="methane"/>
    <s v="kg/2018 USD, purchaser price"/>
    <n v="2E-3"/>
    <n v="5.6000000000000001E-2"/>
    <n v="0"/>
    <n v="0"/>
    <n v="2E-3"/>
    <n v="5.6000000000000001E-2"/>
  </r>
  <r>
    <x v="113"/>
    <s v="nitrous oxide"/>
    <s v="kg/2018 USD, purchaser price"/>
    <n v="0"/>
    <n v="0"/>
    <n v="0"/>
    <n v="0"/>
    <n v="0"/>
    <n v="0"/>
  </r>
  <r>
    <x v="113"/>
    <s v="other GHGs"/>
    <s v="kg CO2e/2018 USD, purchaser price"/>
    <n v="8.9999999999999993E-3"/>
    <n v="8.9999999999999993E-3"/>
    <n v="0"/>
    <n v="0"/>
    <n v="8.9999999999999993E-3"/>
    <n v="8.9999999999999993E-3"/>
  </r>
  <r>
    <x v="114"/>
    <s v="carbon dioxide"/>
    <s v="kg/2018 USD, purchaser price"/>
    <n v="0.16600000000000001"/>
    <n v="0.16600000000000001"/>
    <n v="2.5999999999999999E-2"/>
    <n v="2.5999999999999999E-2"/>
    <n v="0.192"/>
    <n v="0.192"/>
  </r>
  <r>
    <x v="114"/>
    <s v="methane"/>
    <s v="kg/2018 USD, purchaser price"/>
    <n v="1E-3"/>
    <n v="2.8000000000000001E-2"/>
    <n v="0"/>
    <n v="0"/>
    <n v="1E-3"/>
    <n v="2.8000000000000001E-2"/>
  </r>
  <r>
    <x v="114"/>
    <s v="nitrous oxide"/>
    <s v="kg/2018 USD, purchaser price"/>
    <n v="0"/>
    <n v="0"/>
    <n v="0"/>
    <n v="0"/>
    <n v="0"/>
    <n v="0"/>
  </r>
  <r>
    <x v="114"/>
    <s v="other GHGs"/>
    <s v="kg CO2e/2018 USD, purchaser price"/>
    <n v="9.0999999999999998E-2"/>
    <n v="9.0999999999999998E-2"/>
    <n v="0"/>
    <n v="0"/>
    <n v="9.0999999999999998E-2"/>
    <n v="9.0999999999999998E-2"/>
  </r>
  <r>
    <x v="115"/>
    <s v="carbon dioxide"/>
    <s v="kg/2018 USD, purchaser price"/>
    <n v="0.30199999999999999"/>
    <n v="0.30199999999999999"/>
    <n v="1.2E-2"/>
    <n v="1.2E-2"/>
    <n v="0.314"/>
    <n v="0.314"/>
  </r>
  <r>
    <x v="115"/>
    <s v="methane"/>
    <s v="kg/2018 USD, purchaser price"/>
    <n v="1E-3"/>
    <n v="2.8000000000000001E-2"/>
    <n v="0"/>
    <n v="0"/>
    <n v="1E-3"/>
    <n v="2.8000000000000001E-2"/>
  </r>
  <r>
    <x v="115"/>
    <s v="nitrous oxide"/>
    <s v="kg/2018 USD, purchaser price"/>
    <n v="0"/>
    <n v="0"/>
    <n v="0"/>
    <n v="0"/>
    <n v="0"/>
    <n v="0"/>
  </r>
  <r>
    <x v="115"/>
    <s v="other GHGs"/>
    <s v="kg CO2e/2018 USD, purchaser price"/>
    <n v="7.0000000000000001E-3"/>
    <n v="7.0000000000000001E-3"/>
    <n v="0"/>
    <n v="0"/>
    <n v="7.0000000000000001E-3"/>
    <n v="7.0000000000000001E-3"/>
  </r>
  <r>
    <x v="116"/>
    <s v="carbon dioxide"/>
    <s v="kg/2018 USD, purchaser price"/>
    <n v="3.5000000000000003E-2"/>
    <n v="3.5000000000000003E-2"/>
    <n v="4.0000000000000001E-3"/>
    <n v="4.0000000000000001E-3"/>
    <n v="3.9E-2"/>
    <n v="3.9E-2"/>
  </r>
  <r>
    <x v="116"/>
    <s v="methane"/>
    <s v="kg/2018 USD, purchaser price"/>
    <n v="0"/>
    <n v="0"/>
    <n v="0"/>
    <n v="0"/>
    <n v="0"/>
    <n v="0"/>
  </r>
  <r>
    <x v="116"/>
    <s v="nitrous oxide"/>
    <s v="kg/2018 USD, purchaser price"/>
    <n v="0"/>
    <n v="0"/>
    <n v="0"/>
    <n v="0"/>
    <n v="0"/>
    <n v="0"/>
  </r>
  <r>
    <x v="116"/>
    <s v="other GHGs"/>
    <s v="kg CO2e/2018 USD, purchaser price"/>
    <n v="8.0000000000000002E-3"/>
    <n v="8.0000000000000002E-3"/>
    <n v="0"/>
    <n v="0"/>
    <n v="8.0000000000000002E-3"/>
    <n v="8.0000000000000002E-3"/>
  </r>
  <r>
    <x v="117"/>
    <s v="carbon dioxide"/>
    <s v="kg/2018 USD, purchaser price"/>
    <n v="0.28599999999999998"/>
    <n v="0.28599999999999998"/>
    <n v="0.107"/>
    <n v="0.107"/>
    <n v="0.39300000000000002"/>
    <n v="0.39300000000000002"/>
  </r>
  <r>
    <x v="117"/>
    <s v="methane"/>
    <s v="kg/2018 USD, purchaser price"/>
    <n v="1E-3"/>
    <n v="2.8000000000000001E-2"/>
    <n v="1E-3"/>
    <n v="2.8000000000000001E-2"/>
    <n v="2E-3"/>
    <n v="5.6000000000000001E-2"/>
  </r>
  <r>
    <x v="117"/>
    <s v="nitrous oxide"/>
    <s v="kg/2018 USD, purchaser price"/>
    <n v="0"/>
    <n v="0"/>
    <n v="0"/>
    <n v="0"/>
    <n v="0"/>
    <n v="0"/>
  </r>
  <r>
    <x v="117"/>
    <s v="other GHGs"/>
    <s v="kg CO2e/2018 USD, purchaser price"/>
    <n v="6.0000000000000001E-3"/>
    <n v="6.0000000000000001E-3"/>
    <n v="0"/>
    <n v="0"/>
    <n v="6.0000000000000001E-3"/>
    <n v="6.0000000000000001E-3"/>
  </r>
  <r>
    <x v="118"/>
    <s v="carbon dioxide"/>
    <s v="kg/2018 USD, purchaser price"/>
    <n v="0.30299999999999999"/>
    <n v="0.30299999999999999"/>
    <n v="6.0999999999999999E-2"/>
    <n v="6.0999999999999999E-2"/>
    <n v="0.36299999999999999"/>
    <n v="0.36299999999999999"/>
  </r>
  <r>
    <x v="118"/>
    <s v="methane"/>
    <s v="kg/2018 USD, purchaser price"/>
    <n v="1E-3"/>
    <n v="2.8000000000000001E-2"/>
    <n v="0"/>
    <n v="0"/>
    <n v="2E-3"/>
    <n v="5.6000000000000001E-2"/>
  </r>
  <r>
    <x v="118"/>
    <s v="nitrous oxide"/>
    <s v="kg/2018 USD, purchaser price"/>
    <n v="0"/>
    <n v="0"/>
    <n v="0"/>
    <n v="0"/>
    <n v="0"/>
    <n v="0"/>
  </r>
  <r>
    <x v="118"/>
    <s v="other GHGs"/>
    <s v="kg CO2e/2018 USD, purchaser price"/>
    <n v="6.0000000000000001E-3"/>
    <n v="6.0000000000000001E-3"/>
    <n v="0"/>
    <n v="0"/>
    <n v="6.0000000000000001E-3"/>
    <n v="6.0000000000000001E-3"/>
  </r>
  <r>
    <x v="119"/>
    <s v="carbon dioxide"/>
    <s v="kg/2018 USD, purchaser price"/>
    <n v="0.16400000000000001"/>
    <n v="0.16400000000000001"/>
    <n v="1.7999999999999999E-2"/>
    <n v="1.7999999999999999E-2"/>
    <n v="0.183"/>
    <n v="0.183"/>
  </r>
  <r>
    <x v="119"/>
    <s v="methane"/>
    <s v="kg/2018 USD, purchaser price"/>
    <n v="1E-3"/>
    <n v="2.8000000000000001E-2"/>
    <n v="0"/>
    <n v="0"/>
    <n v="1E-3"/>
    <n v="2.8000000000000001E-2"/>
  </r>
  <r>
    <x v="119"/>
    <s v="nitrous oxide"/>
    <s v="kg/2018 USD, purchaser price"/>
    <n v="0"/>
    <n v="0"/>
    <n v="0"/>
    <n v="0"/>
    <n v="0"/>
    <n v="0"/>
  </r>
  <r>
    <x v="119"/>
    <s v="other GHGs"/>
    <s v="kg CO2e/2018 USD, purchaser price"/>
    <n v="6.0000000000000001E-3"/>
    <n v="6.0000000000000001E-3"/>
    <n v="0"/>
    <n v="0"/>
    <n v="6.0000000000000001E-3"/>
    <n v="6.0000000000000001E-3"/>
  </r>
  <r>
    <x v="120"/>
    <s v="carbon dioxide"/>
    <s v="kg/2018 USD, purchaser price"/>
    <n v="0.441"/>
    <n v="0.441"/>
    <n v="0.19900000000000001"/>
    <n v="0.19900000000000001"/>
    <n v="0.64"/>
    <n v="0.64"/>
  </r>
  <r>
    <x v="120"/>
    <s v="methane"/>
    <s v="kg/2018 USD, purchaser price"/>
    <n v="2E-3"/>
    <n v="5.6000000000000001E-2"/>
    <n v="2E-3"/>
    <n v="5.6000000000000001E-2"/>
    <n v="3.0000000000000001E-3"/>
    <n v="8.4000000000000005E-2"/>
  </r>
  <r>
    <x v="120"/>
    <s v="nitrous oxide"/>
    <s v="kg/2018 USD, purchaser price"/>
    <n v="0"/>
    <n v="0"/>
    <n v="0"/>
    <n v="0"/>
    <n v="0"/>
    <n v="0"/>
  </r>
  <r>
    <x v="120"/>
    <s v="other GHGs"/>
    <s v="kg CO2e/2018 USD, purchaser price"/>
    <n v="4.0000000000000001E-3"/>
    <n v="4.0000000000000001E-3"/>
    <n v="0"/>
    <n v="0"/>
    <n v="4.0000000000000001E-3"/>
    <n v="4.0000000000000001E-3"/>
  </r>
  <r>
    <x v="121"/>
    <s v="carbon dioxide"/>
    <s v="kg/2018 USD, purchaser price"/>
    <n v="0.59"/>
    <n v="0.59"/>
    <n v="0.11600000000000001"/>
    <n v="0.11600000000000001"/>
    <n v="0.70499999999999996"/>
    <n v="0.70499999999999996"/>
  </r>
  <r>
    <x v="121"/>
    <s v="methane"/>
    <s v="kg/2018 USD, purchaser price"/>
    <n v="2E-3"/>
    <n v="5.6000000000000001E-2"/>
    <n v="1E-3"/>
    <n v="2.8000000000000001E-2"/>
    <n v="3.0000000000000001E-3"/>
    <n v="8.4000000000000005E-2"/>
  </r>
  <r>
    <x v="121"/>
    <s v="nitrous oxide"/>
    <s v="kg/2018 USD, purchaser price"/>
    <n v="0"/>
    <n v="0"/>
    <n v="0"/>
    <n v="0"/>
    <n v="0"/>
    <n v="0"/>
  </r>
  <r>
    <x v="121"/>
    <s v="other GHGs"/>
    <s v="kg CO2e/2018 USD, purchaser price"/>
    <n v="6.0000000000000001E-3"/>
    <n v="6.0000000000000001E-3"/>
    <n v="0"/>
    <n v="0"/>
    <n v="6.0000000000000001E-3"/>
    <n v="6.0000000000000001E-3"/>
  </r>
  <r>
    <x v="122"/>
    <s v="carbon dioxide"/>
    <s v="kg/2018 USD, purchaser price"/>
    <n v="4.984"/>
    <n v="4.984"/>
    <n v="0.09"/>
    <n v="0.09"/>
    <n v="5.0730000000000004"/>
    <n v="5.0730000000000004"/>
  </r>
  <r>
    <x v="122"/>
    <s v="methane"/>
    <s v="kg/2018 USD, purchaser price"/>
    <n v="4.0000000000000001E-3"/>
    <n v="0.112"/>
    <n v="1E-3"/>
    <n v="2.8000000000000001E-2"/>
    <n v="5.0000000000000001E-3"/>
    <n v="0.14000000000000001"/>
  </r>
  <r>
    <x v="122"/>
    <s v="nitrous oxide"/>
    <s v="kg/2018 USD, purchaser price"/>
    <n v="0"/>
    <n v="0"/>
    <n v="0"/>
    <n v="0"/>
    <n v="0"/>
    <n v="0"/>
  </r>
  <r>
    <x v="122"/>
    <s v="other GHGs"/>
    <s v="kg CO2e/2018 USD, purchaser price"/>
    <n v="5.0000000000000001E-3"/>
    <n v="5.0000000000000001E-3"/>
    <n v="0"/>
    <n v="0"/>
    <n v="5.0000000000000001E-3"/>
    <n v="5.0000000000000001E-3"/>
  </r>
  <r>
    <x v="123"/>
    <s v="carbon dioxide"/>
    <s v="kg/2018 USD, purchaser price"/>
    <n v="1.081"/>
    <n v="1.081"/>
    <n v="9.6000000000000002E-2"/>
    <n v="9.6000000000000002E-2"/>
    <n v="1.1779999999999999"/>
    <n v="1.1779999999999999"/>
  </r>
  <r>
    <x v="123"/>
    <s v="methane"/>
    <s v="kg/2018 USD, purchaser price"/>
    <n v="2E-3"/>
    <n v="5.6000000000000001E-2"/>
    <n v="1E-3"/>
    <n v="2.8000000000000001E-2"/>
    <n v="3.0000000000000001E-3"/>
    <n v="8.4000000000000005E-2"/>
  </r>
  <r>
    <x v="123"/>
    <s v="nitrous oxide"/>
    <s v="kg/2018 USD, purchaser price"/>
    <n v="0"/>
    <n v="0"/>
    <n v="0"/>
    <n v="0"/>
    <n v="0"/>
    <n v="0"/>
  </r>
  <r>
    <x v="123"/>
    <s v="other GHGs"/>
    <s v="kg CO2e/2018 USD, purchaser price"/>
    <n v="5.0000000000000001E-3"/>
    <n v="5.0000000000000001E-3"/>
    <n v="0"/>
    <n v="0"/>
    <n v="5.0000000000000001E-3"/>
    <n v="5.0000000000000001E-3"/>
  </r>
  <r>
    <x v="124"/>
    <s v="carbon dioxide"/>
    <s v="kg/2018 USD, purchaser price"/>
    <n v="0.45200000000000001"/>
    <n v="0.45200000000000001"/>
    <n v="9.5000000000000001E-2"/>
    <n v="9.5000000000000001E-2"/>
    <n v="0.54700000000000004"/>
    <n v="0.54700000000000004"/>
  </r>
  <r>
    <x v="124"/>
    <s v="methane"/>
    <s v="kg/2018 USD, purchaser price"/>
    <n v="1E-3"/>
    <n v="2.8000000000000001E-2"/>
    <n v="1E-3"/>
    <n v="2.8000000000000001E-2"/>
    <n v="2E-3"/>
    <n v="5.6000000000000001E-2"/>
  </r>
  <r>
    <x v="124"/>
    <s v="nitrous oxide"/>
    <s v="kg/2018 USD, purchaser price"/>
    <n v="0"/>
    <n v="0"/>
    <n v="0"/>
    <n v="0"/>
    <n v="0"/>
    <n v="0"/>
  </r>
  <r>
    <x v="124"/>
    <s v="other GHGs"/>
    <s v="kg CO2e/2018 USD, purchaser price"/>
    <n v="4.0000000000000001E-3"/>
    <n v="4.0000000000000001E-3"/>
    <n v="0"/>
    <n v="0"/>
    <n v="4.0000000000000001E-3"/>
    <n v="4.0000000000000001E-3"/>
  </r>
  <r>
    <x v="125"/>
    <s v="carbon dioxide"/>
    <s v="kg/2018 USD, purchaser price"/>
    <n v="0.36499999999999999"/>
    <n v="0.36499999999999999"/>
    <n v="5.7000000000000002E-2"/>
    <n v="5.7000000000000002E-2"/>
    <n v="0.42199999999999999"/>
    <n v="0.42199999999999999"/>
  </r>
  <r>
    <x v="125"/>
    <s v="methane"/>
    <s v="kg/2018 USD, purchaser price"/>
    <n v="1E-3"/>
    <n v="2.8000000000000001E-2"/>
    <n v="1E-3"/>
    <n v="2.8000000000000001E-2"/>
    <n v="2E-3"/>
    <n v="5.6000000000000001E-2"/>
  </r>
  <r>
    <x v="125"/>
    <s v="nitrous oxide"/>
    <s v="kg/2018 USD, purchaser price"/>
    <n v="0"/>
    <n v="0"/>
    <n v="0"/>
    <n v="0"/>
    <n v="0"/>
    <n v="0"/>
  </r>
  <r>
    <x v="125"/>
    <s v="other GHGs"/>
    <s v="kg CO2e/2018 USD, purchaser price"/>
    <n v="4.0000000000000001E-3"/>
    <n v="4.0000000000000001E-3"/>
    <n v="0"/>
    <n v="0"/>
    <n v="4.0000000000000001E-3"/>
    <n v="4.0000000000000001E-3"/>
  </r>
  <r>
    <x v="126"/>
    <s v="carbon dioxide"/>
    <s v="kg/2018 USD, purchaser price"/>
    <n v="2.8969999999999998"/>
    <n v="2.8969999999999998"/>
    <n v="0.107"/>
    <n v="0.107"/>
    <n v="3.004"/>
    <n v="3.004"/>
  </r>
  <r>
    <x v="126"/>
    <s v="methane"/>
    <s v="kg/2018 USD, purchaser price"/>
    <n v="4.0000000000000001E-3"/>
    <n v="0.112"/>
    <n v="1E-3"/>
    <n v="2.8000000000000001E-2"/>
    <n v="5.0000000000000001E-3"/>
    <n v="0.14000000000000001"/>
  </r>
  <r>
    <x v="126"/>
    <s v="nitrous oxide"/>
    <s v="kg/2018 USD, purchaser price"/>
    <n v="0"/>
    <n v="0"/>
    <n v="0"/>
    <n v="0"/>
    <n v="0"/>
    <n v="0"/>
  </r>
  <r>
    <x v="126"/>
    <s v="other GHGs"/>
    <s v="kg CO2e/2018 USD, purchaser price"/>
    <n v="4.0000000000000001E-3"/>
    <n v="4.0000000000000001E-3"/>
    <n v="0"/>
    <n v="0"/>
    <n v="4.0000000000000001E-3"/>
    <n v="4.0000000000000001E-3"/>
  </r>
  <r>
    <x v="127"/>
    <s v="carbon dioxide"/>
    <s v="kg/2018 USD, purchaser price"/>
    <n v="0.20499999999999999"/>
    <n v="0.20499999999999999"/>
    <n v="0.108"/>
    <n v="0.108"/>
    <n v="0.313"/>
    <n v="0.313"/>
  </r>
  <r>
    <x v="127"/>
    <s v="methane"/>
    <s v="kg/2018 USD, purchaser price"/>
    <n v="1E-3"/>
    <n v="2.8000000000000001E-2"/>
    <n v="1E-3"/>
    <n v="2.8000000000000001E-2"/>
    <n v="2E-3"/>
    <n v="5.6000000000000001E-2"/>
  </r>
  <r>
    <x v="127"/>
    <s v="nitrous oxide"/>
    <s v="kg/2018 USD, purchaser price"/>
    <n v="0"/>
    <n v="0"/>
    <n v="0"/>
    <n v="0"/>
    <n v="0"/>
    <n v="0"/>
  </r>
  <r>
    <x v="127"/>
    <s v="other GHGs"/>
    <s v="kg CO2e/2018 USD, purchaser price"/>
    <n v="3.0000000000000001E-3"/>
    <n v="3.0000000000000001E-3"/>
    <n v="0"/>
    <n v="0"/>
    <n v="3.0000000000000001E-3"/>
    <n v="3.0000000000000001E-3"/>
  </r>
  <r>
    <x v="128"/>
    <s v="carbon dioxide"/>
    <s v="kg/2018 USD, purchaser price"/>
    <n v="0.246"/>
    <n v="0.246"/>
    <n v="0.14199999999999999"/>
    <n v="0.14199999999999999"/>
    <n v="0.38800000000000001"/>
    <n v="0.38800000000000001"/>
  </r>
  <r>
    <x v="128"/>
    <s v="methane"/>
    <s v="kg/2018 USD, purchaser price"/>
    <n v="1E-3"/>
    <n v="2.8000000000000001E-2"/>
    <n v="1E-3"/>
    <n v="2.8000000000000001E-2"/>
    <n v="2E-3"/>
    <n v="5.6000000000000001E-2"/>
  </r>
  <r>
    <x v="128"/>
    <s v="nitrous oxide"/>
    <s v="kg/2018 USD, purchaser price"/>
    <n v="0"/>
    <n v="0"/>
    <n v="0"/>
    <n v="0"/>
    <n v="0"/>
    <n v="0"/>
  </r>
  <r>
    <x v="128"/>
    <s v="other GHGs"/>
    <s v="kg CO2e/2018 USD, purchaser price"/>
    <n v="4.0000000000000001E-3"/>
    <n v="4.0000000000000001E-3"/>
    <n v="0"/>
    <n v="0"/>
    <n v="4.0000000000000001E-3"/>
    <n v="4.0000000000000001E-3"/>
  </r>
  <r>
    <x v="129"/>
    <s v="carbon dioxide"/>
    <s v="kg/2018 USD, purchaser price"/>
    <n v="0.55400000000000005"/>
    <n v="0.55400000000000005"/>
    <n v="0.23100000000000001"/>
    <n v="0.23100000000000001"/>
    <n v="0.78600000000000003"/>
    <n v="0.78600000000000003"/>
  </r>
  <r>
    <x v="129"/>
    <s v="methane"/>
    <s v="kg/2018 USD, purchaser price"/>
    <n v="2E-3"/>
    <n v="5.6000000000000001E-2"/>
    <n v="3.0000000000000001E-3"/>
    <n v="8.4000000000000005E-2"/>
    <n v="5.0000000000000001E-3"/>
    <n v="0.14000000000000001"/>
  </r>
  <r>
    <x v="129"/>
    <s v="nitrous oxide"/>
    <s v="kg/2018 USD, purchaser price"/>
    <n v="0"/>
    <n v="0"/>
    <n v="0"/>
    <n v="0"/>
    <n v="0"/>
    <n v="0"/>
  </r>
  <r>
    <x v="129"/>
    <s v="other GHGs"/>
    <s v="kg CO2e/2018 USD, purchaser price"/>
    <n v="5.0000000000000001E-3"/>
    <n v="5.0000000000000001E-3"/>
    <n v="0"/>
    <n v="0"/>
    <n v="5.0000000000000001E-3"/>
    <n v="5.0000000000000001E-3"/>
  </r>
  <r>
    <x v="130"/>
    <s v="carbon dioxide"/>
    <s v="kg/2018 USD, purchaser price"/>
    <n v="0.50600000000000001"/>
    <n v="0.50600000000000001"/>
    <n v="7.9000000000000001E-2"/>
    <n v="7.9000000000000001E-2"/>
    <n v="0.58499999999999996"/>
    <n v="0.58499999999999996"/>
  </r>
  <r>
    <x v="130"/>
    <s v="methane"/>
    <s v="kg/2018 USD, purchaser price"/>
    <n v="2E-3"/>
    <n v="5.6000000000000001E-2"/>
    <n v="1E-3"/>
    <n v="2.8000000000000001E-2"/>
    <n v="3.0000000000000001E-3"/>
    <n v="8.4000000000000005E-2"/>
  </r>
  <r>
    <x v="130"/>
    <s v="nitrous oxide"/>
    <s v="kg/2018 USD, purchaser price"/>
    <n v="0"/>
    <n v="0"/>
    <n v="0"/>
    <n v="0"/>
    <n v="0"/>
    <n v="0"/>
  </r>
  <r>
    <x v="130"/>
    <s v="other GHGs"/>
    <s v="kg CO2e/2018 USD, purchaser price"/>
    <n v="5.0000000000000001E-3"/>
    <n v="5.0000000000000001E-3"/>
    <n v="0"/>
    <n v="0"/>
    <n v="5.0000000000000001E-3"/>
    <n v="5.0000000000000001E-3"/>
  </r>
  <r>
    <x v="131"/>
    <s v="carbon dioxide"/>
    <s v="kg/2018 USD, purchaser price"/>
    <n v="0.71799999999999997"/>
    <n v="0.71799999999999997"/>
    <n v="7.5999999999999998E-2"/>
    <n v="7.5999999999999998E-2"/>
    <n v="0.79500000000000004"/>
    <n v="0.79500000000000004"/>
  </r>
  <r>
    <x v="131"/>
    <s v="methane"/>
    <s v="kg/2018 USD, purchaser price"/>
    <n v="1E-3"/>
    <n v="2.8000000000000001E-2"/>
    <n v="1E-3"/>
    <n v="2.8000000000000001E-2"/>
    <n v="2E-3"/>
    <n v="5.6000000000000001E-2"/>
  </r>
  <r>
    <x v="131"/>
    <s v="nitrous oxide"/>
    <s v="kg/2018 USD, purchaser price"/>
    <n v="0"/>
    <n v="0"/>
    <n v="0"/>
    <n v="0"/>
    <n v="0"/>
    <n v="0"/>
  </r>
  <r>
    <x v="131"/>
    <s v="other GHGs"/>
    <s v="kg CO2e/2018 USD, purchaser price"/>
    <n v="4.0000000000000001E-3"/>
    <n v="4.0000000000000001E-3"/>
    <n v="0"/>
    <n v="0"/>
    <n v="4.0000000000000001E-3"/>
    <n v="4.0000000000000001E-3"/>
  </r>
  <r>
    <x v="132"/>
    <s v="carbon dioxide"/>
    <s v="kg/2018 USD, purchaser price"/>
    <n v="0.623"/>
    <n v="0.623"/>
    <n v="3.2000000000000001E-2"/>
    <n v="3.2000000000000001E-2"/>
    <n v="0.65500000000000003"/>
    <n v="0.65500000000000003"/>
  </r>
  <r>
    <x v="132"/>
    <s v="methane"/>
    <s v="kg/2018 USD, purchaser price"/>
    <n v="3.0000000000000001E-3"/>
    <n v="8.4000000000000005E-2"/>
    <n v="0"/>
    <n v="0"/>
    <n v="4.0000000000000001E-3"/>
    <n v="0.112"/>
  </r>
  <r>
    <x v="132"/>
    <s v="nitrous oxide"/>
    <s v="kg/2018 USD, purchaser price"/>
    <n v="0"/>
    <n v="0"/>
    <n v="0"/>
    <n v="0"/>
    <n v="0"/>
    <n v="0"/>
  </r>
  <r>
    <x v="132"/>
    <s v="other GHGs"/>
    <s v="kg CO2e/2018 USD, purchaser price"/>
    <n v="1.0999999999999999E-2"/>
    <n v="1.0999999999999999E-2"/>
    <n v="0"/>
    <n v="0"/>
    <n v="1.0999999999999999E-2"/>
    <n v="1.0999999999999999E-2"/>
  </r>
  <r>
    <x v="133"/>
    <s v="carbon dioxide"/>
    <s v="kg/2018 USD, purchaser price"/>
    <n v="0.40400000000000003"/>
    <n v="0.40400000000000003"/>
    <n v="3.9E-2"/>
    <n v="3.9E-2"/>
    <n v="0.442"/>
    <n v="0.442"/>
  </r>
  <r>
    <x v="133"/>
    <s v="methane"/>
    <s v="kg/2018 USD, purchaser price"/>
    <n v="2E-3"/>
    <n v="5.6000000000000001E-2"/>
    <n v="0"/>
    <n v="0"/>
    <n v="2E-3"/>
    <n v="5.6000000000000001E-2"/>
  </r>
  <r>
    <x v="133"/>
    <s v="nitrous oxide"/>
    <s v="kg/2018 USD, purchaser price"/>
    <n v="0"/>
    <n v="0"/>
    <n v="0"/>
    <n v="0"/>
    <n v="0"/>
    <n v="0"/>
  </r>
  <r>
    <x v="133"/>
    <s v="other GHGs"/>
    <s v="kg CO2e/2018 USD, purchaser price"/>
    <n v="8.9999999999999993E-3"/>
    <n v="8.9999999999999993E-3"/>
    <n v="0"/>
    <n v="0"/>
    <n v="8.9999999999999993E-3"/>
    <n v="8.9999999999999993E-3"/>
  </r>
  <r>
    <x v="134"/>
    <s v="carbon dioxide"/>
    <s v="kg/2018 USD, purchaser price"/>
    <n v="0.625"/>
    <n v="0.625"/>
    <n v="2.7E-2"/>
    <n v="2.7E-2"/>
    <n v="0.65200000000000002"/>
    <n v="0.65200000000000002"/>
  </r>
  <r>
    <x v="134"/>
    <s v="methane"/>
    <s v="kg/2018 USD, purchaser price"/>
    <n v="2E-3"/>
    <n v="5.6000000000000001E-2"/>
    <n v="0"/>
    <n v="0"/>
    <n v="2E-3"/>
    <n v="5.6000000000000001E-2"/>
  </r>
  <r>
    <x v="134"/>
    <s v="nitrous oxide"/>
    <s v="kg/2018 USD, purchaser price"/>
    <n v="0"/>
    <n v="0"/>
    <n v="0"/>
    <n v="0"/>
    <n v="0"/>
    <n v="0"/>
  </r>
  <r>
    <x v="134"/>
    <s v="other GHGs"/>
    <s v="kg CO2e/2018 USD, purchaser price"/>
    <n v="0.14499999999999999"/>
    <n v="0.14499999999999999"/>
    <n v="0"/>
    <n v="0"/>
    <n v="0.14499999999999999"/>
    <n v="0.14499999999999999"/>
  </r>
  <r>
    <x v="135"/>
    <s v="carbon dioxide"/>
    <s v="kg/2018 USD, purchaser price"/>
    <n v="0.41899999999999998"/>
    <n v="0.41899999999999998"/>
    <n v="2.1999999999999999E-2"/>
    <n v="2.1999999999999999E-2"/>
    <n v="0.441"/>
    <n v="0.441"/>
  </r>
  <r>
    <x v="135"/>
    <s v="methane"/>
    <s v="kg/2018 USD, purchaser price"/>
    <n v="1E-3"/>
    <n v="2.8000000000000001E-2"/>
    <n v="0"/>
    <n v="0"/>
    <n v="2E-3"/>
    <n v="5.6000000000000001E-2"/>
  </r>
  <r>
    <x v="135"/>
    <s v="nitrous oxide"/>
    <s v="kg/2018 USD, purchaser price"/>
    <n v="0"/>
    <n v="0"/>
    <n v="0"/>
    <n v="0"/>
    <n v="0"/>
    <n v="0"/>
  </r>
  <r>
    <x v="135"/>
    <s v="other GHGs"/>
    <s v="kg CO2e/2018 USD, purchaser price"/>
    <n v="5.8000000000000003E-2"/>
    <n v="5.8000000000000003E-2"/>
    <n v="0"/>
    <n v="0"/>
    <n v="5.8000000000000003E-2"/>
    <n v="5.8000000000000003E-2"/>
  </r>
  <r>
    <x v="136"/>
    <s v="carbon dioxide"/>
    <s v="kg/2018 USD, purchaser price"/>
    <n v="0.46300000000000002"/>
    <n v="0.46300000000000002"/>
    <n v="3.6999999999999998E-2"/>
    <n v="3.6999999999999998E-2"/>
    <n v="0.5"/>
    <n v="0.5"/>
  </r>
  <r>
    <x v="136"/>
    <s v="methane"/>
    <s v="kg/2018 USD, purchaser price"/>
    <n v="1E-3"/>
    <n v="2.8000000000000001E-2"/>
    <n v="0"/>
    <n v="0"/>
    <n v="2E-3"/>
    <n v="5.6000000000000001E-2"/>
  </r>
  <r>
    <x v="136"/>
    <s v="nitrous oxide"/>
    <s v="kg/2018 USD, purchaser price"/>
    <n v="0"/>
    <n v="0"/>
    <n v="0"/>
    <n v="0"/>
    <n v="0"/>
    <n v="0"/>
  </r>
  <r>
    <x v="136"/>
    <s v="other GHGs"/>
    <s v="kg CO2e/2018 USD, purchaser price"/>
    <n v="0.04"/>
    <n v="0.04"/>
    <n v="0"/>
    <n v="0"/>
    <n v="0.04"/>
    <n v="0.04"/>
  </r>
  <r>
    <x v="137"/>
    <s v="carbon dioxide"/>
    <s v="kg/2018 USD, purchaser price"/>
    <n v="0.45800000000000002"/>
    <n v="0.45800000000000002"/>
    <n v="2.5000000000000001E-2"/>
    <n v="2.5000000000000001E-2"/>
    <n v="0.48299999999999998"/>
    <n v="0.48299999999999998"/>
  </r>
  <r>
    <x v="137"/>
    <s v="methane"/>
    <s v="kg/2018 USD, purchaser price"/>
    <n v="1E-3"/>
    <n v="2.8000000000000001E-2"/>
    <n v="0"/>
    <n v="0"/>
    <n v="2E-3"/>
    <n v="5.6000000000000001E-2"/>
  </r>
  <r>
    <x v="137"/>
    <s v="nitrous oxide"/>
    <s v="kg/2018 USD, purchaser price"/>
    <n v="0"/>
    <n v="0"/>
    <n v="0"/>
    <n v="0"/>
    <n v="0"/>
    <n v="0"/>
  </r>
  <r>
    <x v="137"/>
    <s v="other GHGs"/>
    <s v="kg CO2e/2018 USD, purchaser price"/>
    <n v="2.3E-2"/>
    <n v="2.3E-2"/>
    <n v="0"/>
    <n v="0"/>
    <n v="2.3E-2"/>
    <n v="2.3E-2"/>
  </r>
  <r>
    <x v="138"/>
    <s v="carbon dioxide"/>
    <s v="kg/2018 USD, purchaser price"/>
    <n v="0.38"/>
    <n v="0.38"/>
    <n v="2.1000000000000001E-2"/>
    <n v="2.1000000000000001E-2"/>
    <n v="0.40200000000000002"/>
    <n v="0.40200000000000002"/>
  </r>
  <r>
    <x v="138"/>
    <s v="methane"/>
    <s v="kg/2018 USD, purchaser price"/>
    <n v="1E-3"/>
    <n v="2.8000000000000001E-2"/>
    <n v="0"/>
    <n v="0"/>
    <n v="1E-3"/>
    <n v="2.8000000000000001E-2"/>
  </r>
  <r>
    <x v="138"/>
    <s v="nitrous oxide"/>
    <s v="kg/2018 USD, purchaser price"/>
    <n v="0"/>
    <n v="0"/>
    <n v="0"/>
    <n v="0"/>
    <n v="0"/>
    <n v="0"/>
  </r>
  <r>
    <x v="138"/>
    <s v="other GHGs"/>
    <s v="kg CO2e/2018 USD, purchaser price"/>
    <n v="0.04"/>
    <n v="0.04"/>
    <n v="0"/>
    <n v="0"/>
    <n v="0.04"/>
    <n v="0.04"/>
  </r>
  <r>
    <x v="139"/>
    <s v="carbon dioxide"/>
    <s v="kg/2018 USD, purchaser price"/>
    <n v="0.255"/>
    <n v="0.255"/>
    <n v="1.7999999999999999E-2"/>
    <n v="1.7999999999999999E-2"/>
    <n v="0.27300000000000002"/>
    <n v="0.27300000000000002"/>
  </r>
  <r>
    <x v="139"/>
    <s v="methane"/>
    <s v="kg/2018 USD, purchaser price"/>
    <n v="1E-3"/>
    <n v="2.8000000000000001E-2"/>
    <n v="0"/>
    <n v="0"/>
    <n v="1E-3"/>
    <n v="2.8000000000000001E-2"/>
  </r>
  <r>
    <x v="139"/>
    <s v="nitrous oxide"/>
    <s v="kg/2018 USD, purchaser price"/>
    <n v="0"/>
    <n v="0"/>
    <n v="0"/>
    <n v="0"/>
    <n v="0"/>
    <n v="0"/>
  </r>
  <r>
    <x v="139"/>
    <s v="other GHGs"/>
    <s v="kg CO2e/2018 USD, purchaser price"/>
    <n v="7.0000000000000001E-3"/>
    <n v="7.0000000000000001E-3"/>
    <n v="0"/>
    <n v="0"/>
    <n v="7.0000000000000001E-3"/>
    <n v="7.0000000000000001E-3"/>
  </r>
  <r>
    <x v="140"/>
    <s v="carbon dioxide"/>
    <s v="kg/2018 USD, purchaser price"/>
    <n v="0.25900000000000001"/>
    <n v="0.25900000000000001"/>
    <n v="1.7000000000000001E-2"/>
    <n v="1.7000000000000001E-2"/>
    <n v="0.27600000000000002"/>
    <n v="0.27600000000000002"/>
  </r>
  <r>
    <x v="140"/>
    <s v="methane"/>
    <s v="kg/2018 USD, purchaser price"/>
    <n v="1E-3"/>
    <n v="2.8000000000000001E-2"/>
    <n v="0"/>
    <n v="0"/>
    <n v="1E-3"/>
    <n v="2.8000000000000001E-2"/>
  </r>
  <r>
    <x v="140"/>
    <s v="nitrous oxide"/>
    <s v="kg/2018 USD, purchaser price"/>
    <n v="0"/>
    <n v="0"/>
    <n v="0"/>
    <n v="0"/>
    <n v="0"/>
    <n v="0"/>
  </r>
  <r>
    <x v="140"/>
    <s v="other GHGs"/>
    <s v="kg CO2e/2018 USD, purchaser price"/>
    <n v="4.3999999999999997E-2"/>
    <n v="4.3999999999999997E-2"/>
    <n v="0"/>
    <n v="0"/>
    <n v="4.3999999999999997E-2"/>
    <n v="4.3999999999999997E-2"/>
  </r>
  <r>
    <x v="141"/>
    <s v="carbon dioxide"/>
    <s v="kg/2018 USD, purchaser price"/>
    <n v="0.33900000000000002"/>
    <n v="0.33900000000000002"/>
    <n v="1.4E-2"/>
    <n v="1.4E-2"/>
    <n v="0.35399999999999998"/>
    <n v="0.35399999999999998"/>
  </r>
  <r>
    <x v="141"/>
    <s v="methane"/>
    <s v="kg/2018 USD, purchaser price"/>
    <n v="2E-3"/>
    <n v="5.6000000000000001E-2"/>
    <n v="0"/>
    <n v="0"/>
    <n v="2E-3"/>
    <n v="5.6000000000000001E-2"/>
  </r>
  <r>
    <x v="141"/>
    <s v="nitrous oxide"/>
    <s v="kg/2018 USD, purchaser price"/>
    <n v="0"/>
    <n v="0"/>
    <n v="0"/>
    <n v="0"/>
    <n v="0"/>
    <n v="0"/>
  </r>
  <r>
    <x v="141"/>
    <s v="other GHGs"/>
    <s v="kg CO2e/2018 USD, purchaser price"/>
    <n v="1.0999999999999999E-2"/>
    <n v="1.0999999999999999E-2"/>
    <n v="0"/>
    <n v="0"/>
    <n v="1.0999999999999999E-2"/>
    <n v="1.0999999999999999E-2"/>
  </r>
  <r>
    <x v="142"/>
    <s v="carbon dioxide"/>
    <s v="kg/2018 USD, purchaser price"/>
    <n v="0.246"/>
    <n v="0.246"/>
    <n v="2.4E-2"/>
    <n v="2.4E-2"/>
    <n v="0.27"/>
    <n v="0.27"/>
  </r>
  <r>
    <x v="142"/>
    <s v="methane"/>
    <s v="kg/2018 USD, purchaser price"/>
    <n v="1E-3"/>
    <n v="2.8000000000000001E-2"/>
    <n v="0"/>
    <n v="0"/>
    <n v="1E-3"/>
    <n v="2.8000000000000001E-2"/>
  </r>
  <r>
    <x v="142"/>
    <s v="nitrous oxide"/>
    <s v="kg/2018 USD, purchaser price"/>
    <n v="0"/>
    <n v="0"/>
    <n v="0"/>
    <n v="0"/>
    <n v="0"/>
    <n v="0"/>
  </r>
  <r>
    <x v="142"/>
    <s v="other GHGs"/>
    <s v="kg CO2e/2018 USD, purchaser price"/>
    <n v="1.0999999999999999E-2"/>
    <n v="1.0999999999999999E-2"/>
    <n v="0"/>
    <n v="0"/>
    <n v="1.0999999999999999E-2"/>
    <n v="1.0999999999999999E-2"/>
  </r>
  <r>
    <x v="143"/>
    <s v="carbon dioxide"/>
    <s v="kg/2018 USD, purchaser price"/>
    <n v="0.22600000000000001"/>
    <n v="0.22600000000000001"/>
    <n v="1.0999999999999999E-2"/>
    <n v="1.0999999999999999E-2"/>
    <n v="0.23799999999999999"/>
    <n v="0.23799999999999999"/>
  </r>
  <r>
    <x v="143"/>
    <s v="methane"/>
    <s v="kg/2018 USD, purchaser price"/>
    <n v="1E-3"/>
    <n v="2.8000000000000001E-2"/>
    <n v="0"/>
    <n v="0"/>
    <n v="1E-3"/>
    <n v="2.8000000000000001E-2"/>
  </r>
  <r>
    <x v="143"/>
    <s v="nitrous oxide"/>
    <s v="kg/2018 USD, purchaser price"/>
    <n v="0"/>
    <n v="0"/>
    <n v="0"/>
    <n v="0"/>
    <n v="0"/>
    <n v="0"/>
  </r>
  <r>
    <x v="143"/>
    <s v="other GHGs"/>
    <s v="kg CO2e/2018 USD, purchaser price"/>
    <n v="1.2999999999999999E-2"/>
    <n v="1.2999999999999999E-2"/>
    <n v="0"/>
    <n v="0"/>
    <n v="1.2999999999999999E-2"/>
    <n v="1.2999999999999999E-2"/>
  </r>
  <r>
    <x v="144"/>
    <s v="carbon dioxide"/>
    <s v="kg/2018 USD, purchaser price"/>
    <n v="0.185"/>
    <n v="0.185"/>
    <n v="0.13200000000000001"/>
    <n v="0.13200000000000001"/>
    <n v="0.317"/>
    <n v="0.317"/>
  </r>
  <r>
    <x v="144"/>
    <s v="methane"/>
    <s v="kg/2018 USD, purchaser price"/>
    <n v="1E-3"/>
    <n v="2.8000000000000001E-2"/>
    <n v="1E-3"/>
    <n v="2.8000000000000001E-2"/>
    <n v="1E-3"/>
    <n v="2.8000000000000001E-2"/>
  </r>
  <r>
    <x v="144"/>
    <s v="nitrous oxide"/>
    <s v="kg/2018 USD, purchaser price"/>
    <n v="0"/>
    <n v="0"/>
    <n v="0"/>
    <n v="0"/>
    <n v="0"/>
    <n v="0"/>
  </r>
  <r>
    <x v="144"/>
    <s v="other GHGs"/>
    <s v="kg CO2e/2018 USD, purchaser price"/>
    <n v="7.0000000000000001E-3"/>
    <n v="7.0000000000000001E-3"/>
    <n v="0"/>
    <n v="0"/>
    <n v="7.0000000000000001E-3"/>
    <n v="7.0000000000000001E-3"/>
  </r>
  <r>
    <x v="145"/>
    <s v="carbon dioxide"/>
    <s v="kg/2018 USD, purchaser price"/>
    <n v="0.32500000000000001"/>
    <n v="0.32500000000000001"/>
    <n v="2.9000000000000001E-2"/>
    <n v="2.9000000000000001E-2"/>
    <n v="0.35399999999999998"/>
    <n v="0.35399999999999998"/>
  </r>
  <r>
    <x v="145"/>
    <s v="methane"/>
    <s v="kg/2018 USD, purchaser price"/>
    <n v="1E-3"/>
    <n v="2.8000000000000001E-2"/>
    <n v="0"/>
    <n v="0"/>
    <n v="2E-3"/>
    <n v="5.6000000000000001E-2"/>
  </r>
  <r>
    <x v="145"/>
    <s v="nitrous oxide"/>
    <s v="kg/2018 USD, purchaser price"/>
    <n v="0"/>
    <n v="0"/>
    <n v="0"/>
    <n v="0"/>
    <n v="0"/>
    <n v="0"/>
  </r>
  <r>
    <x v="145"/>
    <s v="other GHGs"/>
    <s v="kg CO2e/2018 USD, purchaser price"/>
    <n v="8.0000000000000002E-3"/>
    <n v="8.0000000000000002E-3"/>
    <n v="0"/>
    <n v="0"/>
    <n v="8.0000000000000002E-3"/>
    <n v="8.0000000000000002E-3"/>
  </r>
  <r>
    <x v="146"/>
    <s v="carbon dioxide"/>
    <s v="kg/2018 USD, purchaser price"/>
    <n v="0.25800000000000001"/>
    <n v="0.25800000000000001"/>
    <n v="5.0999999999999997E-2"/>
    <n v="5.0999999999999997E-2"/>
    <n v="0.309"/>
    <n v="0.309"/>
  </r>
  <r>
    <x v="146"/>
    <s v="methane"/>
    <s v="kg/2018 USD, purchaser price"/>
    <n v="1E-3"/>
    <n v="2.8000000000000001E-2"/>
    <n v="0"/>
    <n v="0"/>
    <n v="1E-3"/>
    <n v="2.8000000000000001E-2"/>
  </r>
  <r>
    <x v="146"/>
    <s v="nitrous oxide"/>
    <s v="kg/2018 USD, purchaser price"/>
    <n v="0"/>
    <n v="0"/>
    <n v="0"/>
    <n v="0"/>
    <n v="0"/>
    <n v="0"/>
  </r>
  <r>
    <x v="146"/>
    <s v="other GHGs"/>
    <s v="kg CO2e/2018 USD, purchaser price"/>
    <n v="1.2E-2"/>
    <n v="1.2E-2"/>
    <n v="0"/>
    <n v="0"/>
    <n v="1.2E-2"/>
    <n v="1.2E-2"/>
  </r>
  <r>
    <x v="147"/>
    <s v="carbon dioxide"/>
    <s v="kg/2018 USD, purchaser price"/>
    <n v="0.23899999999999999"/>
    <n v="0.23899999999999999"/>
    <n v="4.4999999999999998E-2"/>
    <n v="4.4999999999999998E-2"/>
    <n v="0.28499999999999998"/>
    <n v="0.28499999999999998"/>
  </r>
  <r>
    <x v="147"/>
    <s v="methane"/>
    <s v="kg/2018 USD, purchaser price"/>
    <n v="1E-3"/>
    <n v="2.8000000000000001E-2"/>
    <n v="0"/>
    <n v="0"/>
    <n v="1E-3"/>
    <n v="2.8000000000000001E-2"/>
  </r>
  <r>
    <x v="147"/>
    <s v="nitrous oxide"/>
    <s v="kg/2018 USD, purchaser price"/>
    <n v="0"/>
    <n v="0"/>
    <n v="0"/>
    <n v="0"/>
    <n v="0"/>
    <n v="0"/>
  </r>
  <r>
    <x v="147"/>
    <s v="other GHGs"/>
    <s v="kg CO2e/2018 USD, purchaser price"/>
    <n v="1.4E-2"/>
    <n v="1.4E-2"/>
    <n v="0"/>
    <n v="0"/>
    <n v="1.4E-2"/>
    <n v="1.4E-2"/>
  </r>
  <r>
    <x v="148"/>
    <s v="carbon dioxide"/>
    <s v="kg/2018 USD, purchaser price"/>
    <n v="0.14399999999999999"/>
    <n v="0.14399999999999999"/>
    <n v="8.9999999999999993E-3"/>
    <n v="8.9999999999999993E-3"/>
    <n v="0.153"/>
    <n v="0.153"/>
  </r>
  <r>
    <x v="148"/>
    <s v="methane"/>
    <s v="kg/2018 USD, purchaser price"/>
    <n v="1E-3"/>
    <n v="2.8000000000000001E-2"/>
    <n v="0"/>
    <n v="0"/>
    <n v="1E-3"/>
    <n v="2.8000000000000001E-2"/>
  </r>
  <r>
    <x v="148"/>
    <s v="nitrous oxide"/>
    <s v="kg/2018 USD, purchaser price"/>
    <n v="0"/>
    <n v="0"/>
    <n v="0"/>
    <n v="0"/>
    <n v="0"/>
    <n v="0"/>
  </r>
  <r>
    <x v="148"/>
    <s v="other GHGs"/>
    <s v="kg CO2e/2018 USD, purchaser price"/>
    <n v="8.9999999999999993E-3"/>
    <n v="8.9999999999999993E-3"/>
    <n v="0"/>
    <n v="0"/>
    <n v="8.9999999999999993E-3"/>
    <n v="8.9999999999999993E-3"/>
  </r>
  <r>
    <x v="149"/>
    <s v="carbon dioxide"/>
    <s v="kg/2018 USD, purchaser price"/>
    <n v="7.2999999999999995E-2"/>
    <n v="7.2999999999999995E-2"/>
    <n v="4.0000000000000001E-3"/>
    <n v="4.0000000000000001E-3"/>
    <n v="7.6999999999999999E-2"/>
    <n v="7.6999999999999999E-2"/>
  </r>
  <r>
    <x v="149"/>
    <s v="methane"/>
    <s v="kg/2018 USD, purchaser price"/>
    <n v="0"/>
    <n v="0"/>
    <n v="0"/>
    <n v="0"/>
    <n v="0"/>
    <n v="0"/>
  </r>
  <r>
    <x v="149"/>
    <s v="nitrous oxide"/>
    <s v="kg/2018 USD, purchaser price"/>
    <n v="0"/>
    <n v="0"/>
    <n v="0"/>
    <n v="0"/>
    <n v="0"/>
    <n v="0"/>
  </r>
  <r>
    <x v="149"/>
    <s v="other GHGs"/>
    <s v="kg CO2e/2018 USD, purchaser price"/>
    <n v="3.1E-2"/>
    <n v="3.1E-2"/>
    <n v="0"/>
    <n v="0"/>
    <n v="3.1E-2"/>
    <n v="3.1E-2"/>
  </r>
  <r>
    <x v="150"/>
    <s v="carbon dioxide"/>
    <s v="kg/2018 USD, purchaser price"/>
    <n v="0.14899999999999999"/>
    <n v="0.14899999999999999"/>
    <n v="7.8E-2"/>
    <n v="7.8E-2"/>
    <n v="0.22700000000000001"/>
    <n v="0.22700000000000001"/>
  </r>
  <r>
    <x v="150"/>
    <s v="methane"/>
    <s v="kg/2018 USD, purchaser price"/>
    <n v="1E-3"/>
    <n v="2.8000000000000001E-2"/>
    <n v="0"/>
    <n v="0"/>
    <n v="1E-3"/>
    <n v="2.8000000000000001E-2"/>
  </r>
  <r>
    <x v="150"/>
    <s v="nitrous oxide"/>
    <s v="kg/2018 USD, purchaser price"/>
    <n v="0"/>
    <n v="0"/>
    <n v="0"/>
    <n v="0"/>
    <n v="0"/>
    <n v="0"/>
  </r>
  <r>
    <x v="150"/>
    <s v="other GHGs"/>
    <s v="kg CO2e/2018 USD, purchaser price"/>
    <n v="8.0000000000000002E-3"/>
    <n v="8.0000000000000002E-3"/>
    <n v="0"/>
    <n v="0"/>
    <n v="8.0000000000000002E-3"/>
    <n v="8.0000000000000002E-3"/>
  </r>
  <r>
    <x v="151"/>
    <s v="carbon dioxide"/>
    <s v="kg/2018 USD, purchaser price"/>
    <n v="2.9000000000000001E-2"/>
    <n v="2.9000000000000001E-2"/>
    <n v="3.0000000000000001E-3"/>
    <n v="3.0000000000000001E-3"/>
    <n v="3.2000000000000001E-2"/>
    <n v="3.2000000000000001E-2"/>
  </r>
  <r>
    <x v="151"/>
    <s v="methane"/>
    <s v="kg/2018 USD, purchaser price"/>
    <n v="0"/>
    <n v="0"/>
    <n v="0"/>
    <n v="0"/>
    <n v="0"/>
    <n v="0"/>
  </r>
  <r>
    <x v="151"/>
    <s v="nitrous oxide"/>
    <s v="kg/2018 USD, purchaser price"/>
    <n v="0"/>
    <n v="0"/>
    <n v="0"/>
    <n v="0"/>
    <n v="0"/>
    <n v="0"/>
  </r>
  <r>
    <x v="151"/>
    <s v="other GHGs"/>
    <s v="kg CO2e/2018 USD, purchaser price"/>
    <n v="8.9999999999999993E-3"/>
    <n v="8.9999999999999993E-3"/>
    <n v="0"/>
    <n v="0"/>
    <n v="8.9999999999999993E-3"/>
    <n v="8.9999999999999993E-3"/>
  </r>
  <r>
    <x v="152"/>
    <s v="carbon dioxide"/>
    <s v="kg/2018 USD, purchaser price"/>
    <n v="2.7E-2"/>
    <n v="2.7E-2"/>
    <n v="2E-3"/>
    <n v="2E-3"/>
    <n v="2.9000000000000001E-2"/>
    <n v="2.9000000000000001E-2"/>
  </r>
  <r>
    <x v="152"/>
    <s v="methane"/>
    <s v="kg/2018 USD, purchaser price"/>
    <n v="0"/>
    <n v="0"/>
    <n v="0"/>
    <n v="0"/>
    <n v="0"/>
    <n v="0"/>
  </r>
  <r>
    <x v="152"/>
    <s v="nitrous oxide"/>
    <s v="kg/2018 USD, purchaser price"/>
    <n v="0"/>
    <n v="0"/>
    <n v="0"/>
    <n v="0"/>
    <n v="0"/>
    <n v="0"/>
  </r>
  <r>
    <x v="152"/>
    <s v="other GHGs"/>
    <s v="kg CO2e/2018 USD, purchaser price"/>
    <n v="7.0000000000000001E-3"/>
    <n v="7.0000000000000001E-3"/>
    <n v="0"/>
    <n v="0"/>
    <n v="7.0000000000000001E-3"/>
    <n v="7.0000000000000001E-3"/>
  </r>
  <r>
    <x v="153"/>
    <s v="carbon dioxide"/>
    <s v="kg/2018 USD, purchaser price"/>
    <n v="0.27400000000000002"/>
    <n v="0.27400000000000002"/>
    <n v="3.5000000000000003E-2"/>
    <n v="3.5000000000000003E-2"/>
    <n v="0.31"/>
    <n v="0.31"/>
  </r>
  <r>
    <x v="153"/>
    <s v="methane"/>
    <s v="kg/2018 USD, purchaser price"/>
    <n v="1E-3"/>
    <n v="2.8000000000000001E-2"/>
    <n v="0"/>
    <n v="0"/>
    <n v="1E-3"/>
    <n v="2.8000000000000001E-2"/>
  </r>
  <r>
    <x v="153"/>
    <s v="nitrous oxide"/>
    <s v="kg/2018 USD, purchaser price"/>
    <n v="0"/>
    <n v="0"/>
    <n v="0"/>
    <n v="0"/>
    <n v="0"/>
    <n v="0"/>
  </r>
  <r>
    <x v="153"/>
    <s v="other GHGs"/>
    <s v="kg CO2e/2018 USD, purchaser price"/>
    <n v="8.0000000000000002E-3"/>
    <n v="8.0000000000000002E-3"/>
    <n v="0"/>
    <n v="0"/>
    <n v="8.0000000000000002E-3"/>
    <n v="8.0000000000000002E-3"/>
  </r>
  <r>
    <x v="154"/>
    <s v="carbon dioxide"/>
    <s v="kg/2018 USD, purchaser price"/>
    <n v="0.35799999999999998"/>
    <n v="0.35799999999999998"/>
    <n v="1.0999999999999999E-2"/>
    <n v="1.0999999999999999E-2"/>
    <n v="0.36899999999999999"/>
    <n v="0.36899999999999999"/>
  </r>
  <r>
    <x v="154"/>
    <s v="methane"/>
    <s v="kg/2018 USD, purchaser price"/>
    <n v="1E-3"/>
    <n v="2.8000000000000001E-2"/>
    <n v="0"/>
    <n v="0"/>
    <n v="1E-3"/>
    <n v="2.8000000000000001E-2"/>
  </r>
  <r>
    <x v="154"/>
    <s v="nitrous oxide"/>
    <s v="kg/2018 USD, purchaser price"/>
    <n v="0"/>
    <n v="0"/>
    <n v="0"/>
    <n v="0"/>
    <n v="0"/>
    <n v="0"/>
  </r>
  <r>
    <x v="154"/>
    <s v="other GHGs"/>
    <s v="kg CO2e/2018 USD, purchaser price"/>
    <n v="7.0000000000000001E-3"/>
    <n v="7.0000000000000001E-3"/>
    <n v="0"/>
    <n v="0"/>
    <n v="7.0000000000000001E-3"/>
    <n v="7.0000000000000001E-3"/>
  </r>
  <r>
    <x v="155"/>
    <s v="carbon dioxide"/>
    <s v="kg/2018 USD, purchaser price"/>
    <n v="0.19500000000000001"/>
    <n v="0.19500000000000001"/>
    <n v="0.112"/>
    <n v="0.112"/>
    <n v="0.307"/>
    <n v="0.307"/>
  </r>
  <r>
    <x v="155"/>
    <s v="methane"/>
    <s v="kg/2018 USD, purchaser price"/>
    <n v="1E-3"/>
    <n v="2.8000000000000001E-2"/>
    <n v="1E-3"/>
    <n v="2.8000000000000001E-2"/>
    <n v="1E-3"/>
    <n v="2.8000000000000001E-2"/>
  </r>
  <r>
    <x v="155"/>
    <s v="nitrous oxide"/>
    <s v="kg/2018 USD, purchaser price"/>
    <n v="0"/>
    <n v="0"/>
    <n v="0"/>
    <n v="0"/>
    <n v="0"/>
    <n v="0"/>
  </r>
  <r>
    <x v="155"/>
    <s v="other GHGs"/>
    <s v="kg CO2e/2018 USD, purchaser price"/>
    <n v="8.9999999999999993E-3"/>
    <n v="8.9999999999999993E-3"/>
    <n v="0"/>
    <n v="0"/>
    <n v="8.9999999999999993E-3"/>
    <n v="8.9999999999999993E-3"/>
  </r>
  <r>
    <x v="156"/>
    <s v="carbon dioxide"/>
    <s v="kg/2018 USD, purchaser price"/>
    <n v="0.16900000000000001"/>
    <n v="0.16900000000000001"/>
    <n v="4.8000000000000001E-2"/>
    <n v="4.8000000000000001E-2"/>
    <n v="0.217"/>
    <n v="0.217"/>
  </r>
  <r>
    <x v="156"/>
    <s v="methane"/>
    <s v="kg/2018 USD, purchaser price"/>
    <n v="1E-3"/>
    <n v="2.8000000000000001E-2"/>
    <n v="0"/>
    <n v="0"/>
    <n v="1E-3"/>
    <n v="2.8000000000000001E-2"/>
  </r>
  <r>
    <x v="156"/>
    <s v="nitrous oxide"/>
    <s v="kg/2018 USD, purchaser price"/>
    <n v="0"/>
    <n v="0"/>
    <n v="0"/>
    <n v="0"/>
    <n v="0"/>
    <n v="0"/>
  </r>
  <r>
    <x v="156"/>
    <s v="other GHGs"/>
    <s v="kg CO2e/2018 USD, purchaser price"/>
    <n v="8.0000000000000002E-3"/>
    <n v="8.0000000000000002E-3"/>
    <n v="0"/>
    <n v="0"/>
    <n v="8.0000000000000002E-3"/>
    <n v="8.0000000000000002E-3"/>
  </r>
  <r>
    <x v="157"/>
    <s v="carbon dioxide"/>
    <s v="kg/2018 USD, purchaser price"/>
    <n v="0.27"/>
    <n v="0.27"/>
    <n v="5.3999999999999999E-2"/>
    <n v="5.3999999999999999E-2"/>
    <n v="0.32400000000000001"/>
    <n v="0.32400000000000001"/>
  </r>
  <r>
    <x v="157"/>
    <s v="methane"/>
    <s v="kg/2018 USD, purchaser price"/>
    <n v="1E-3"/>
    <n v="2.8000000000000001E-2"/>
    <n v="0"/>
    <n v="0"/>
    <n v="1E-3"/>
    <n v="2.8000000000000001E-2"/>
  </r>
  <r>
    <x v="157"/>
    <s v="nitrous oxide"/>
    <s v="kg/2018 USD, purchaser price"/>
    <n v="0"/>
    <n v="0"/>
    <n v="0"/>
    <n v="0"/>
    <n v="0"/>
    <n v="0"/>
  </r>
  <r>
    <x v="157"/>
    <s v="other GHGs"/>
    <s v="kg CO2e/2018 USD, purchaser price"/>
    <n v="5.0000000000000001E-3"/>
    <n v="5.0000000000000001E-3"/>
    <n v="0"/>
    <n v="0"/>
    <n v="5.0000000000000001E-3"/>
    <n v="5.0000000000000001E-3"/>
  </r>
  <r>
    <x v="158"/>
    <s v="carbon dioxide"/>
    <s v="kg/2018 USD, purchaser price"/>
    <n v="0.29599999999999999"/>
    <n v="0.29599999999999999"/>
    <n v="3.2000000000000001E-2"/>
    <n v="3.2000000000000001E-2"/>
    <n v="0.32800000000000001"/>
    <n v="0.32800000000000001"/>
  </r>
  <r>
    <x v="158"/>
    <s v="methane"/>
    <s v="kg/2018 USD, purchaser price"/>
    <n v="1E-3"/>
    <n v="2.8000000000000001E-2"/>
    <n v="0"/>
    <n v="0"/>
    <n v="2E-3"/>
    <n v="5.6000000000000001E-2"/>
  </r>
  <r>
    <x v="158"/>
    <s v="nitrous oxide"/>
    <s v="kg/2018 USD, purchaser price"/>
    <n v="0"/>
    <n v="0"/>
    <n v="0"/>
    <n v="0"/>
    <n v="0"/>
    <n v="0"/>
  </r>
  <r>
    <x v="158"/>
    <s v="other GHGs"/>
    <s v="kg CO2e/2018 USD, purchaser price"/>
    <n v="7.0000000000000001E-3"/>
    <n v="7.0000000000000001E-3"/>
    <n v="0"/>
    <n v="0"/>
    <n v="7.0000000000000001E-3"/>
    <n v="7.0000000000000001E-3"/>
  </r>
  <r>
    <x v="159"/>
    <s v="carbon dioxide"/>
    <s v="kg/2018 USD, purchaser price"/>
    <n v="0.33"/>
    <n v="0.33"/>
    <n v="7.0000000000000007E-2"/>
    <n v="7.0000000000000007E-2"/>
    <n v="0.40100000000000002"/>
    <n v="0.40100000000000002"/>
  </r>
  <r>
    <x v="159"/>
    <s v="methane"/>
    <s v="kg/2018 USD, purchaser price"/>
    <n v="1E-3"/>
    <n v="2.8000000000000001E-2"/>
    <n v="0"/>
    <n v="0"/>
    <n v="2E-3"/>
    <n v="5.6000000000000001E-2"/>
  </r>
  <r>
    <x v="159"/>
    <s v="nitrous oxide"/>
    <s v="kg/2018 USD, purchaser price"/>
    <n v="0"/>
    <n v="0"/>
    <n v="0"/>
    <n v="0"/>
    <n v="0"/>
    <n v="0"/>
  </r>
  <r>
    <x v="159"/>
    <s v="other GHGs"/>
    <s v="kg CO2e/2018 USD, purchaser price"/>
    <n v="1.2E-2"/>
    <n v="1.2E-2"/>
    <n v="0"/>
    <n v="0"/>
    <n v="1.2E-2"/>
    <n v="1.2E-2"/>
  </r>
  <r>
    <x v="160"/>
    <s v="carbon dioxide"/>
    <s v="kg/2018 USD, purchaser price"/>
    <n v="0.2"/>
    <n v="0.2"/>
    <n v="0.111"/>
    <n v="0.111"/>
    <n v="0.31"/>
    <n v="0.31"/>
  </r>
  <r>
    <x v="160"/>
    <s v="methane"/>
    <s v="kg/2018 USD, purchaser price"/>
    <n v="1E-3"/>
    <n v="2.8000000000000001E-2"/>
    <n v="1E-3"/>
    <n v="2.8000000000000001E-2"/>
    <n v="1E-3"/>
    <n v="2.8000000000000001E-2"/>
  </r>
  <r>
    <x v="160"/>
    <s v="nitrous oxide"/>
    <s v="kg/2018 USD, purchaser price"/>
    <n v="0"/>
    <n v="0"/>
    <n v="0"/>
    <n v="0"/>
    <n v="0"/>
    <n v="0"/>
  </r>
  <r>
    <x v="160"/>
    <s v="other GHGs"/>
    <s v="kg CO2e/2018 USD, purchaser price"/>
    <n v="6.0000000000000001E-3"/>
    <n v="6.0000000000000001E-3"/>
    <n v="0"/>
    <n v="0"/>
    <n v="6.0000000000000001E-3"/>
    <n v="6.0000000000000001E-3"/>
  </r>
  <r>
    <x v="161"/>
    <s v="carbon dioxide"/>
    <s v="kg/2018 USD, purchaser price"/>
    <n v="0.245"/>
    <n v="0.245"/>
    <n v="5.8999999999999997E-2"/>
    <n v="5.8999999999999997E-2"/>
    <n v="0.30399999999999999"/>
    <n v="0.30399999999999999"/>
  </r>
  <r>
    <x v="161"/>
    <s v="methane"/>
    <s v="kg/2018 USD, purchaser price"/>
    <n v="1E-3"/>
    <n v="2.8000000000000001E-2"/>
    <n v="0"/>
    <n v="0"/>
    <n v="1E-3"/>
    <n v="2.8000000000000001E-2"/>
  </r>
  <r>
    <x v="161"/>
    <s v="nitrous oxide"/>
    <s v="kg/2018 USD, purchaser price"/>
    <n v="0"/>
    <n v="0"/>
    <n v="0"/>
    <n v="0"/>
    <n v="0"/>
    <n v="0"/>
  </r>
  <r>
    <x v="161"/>
    <s v="other GHGs"/>
    <s v="kg CO2e/2018 USD, purchaser price"/>
    <n v="8.0000000000000002E-3"/>
    <n v="8.0000000000000002E-3"/>
    <n v="0"/>
    <n v="0"/>
    <n v="8.0000000000000002E-3"/>
    <n v="8.0000000000000002E-3"/>
  </r>
  <r>
    <x v="162"/>
    <s v="carbon dioxide"/>
    <s v="kg/2018 USD, purchaser price"/>
    <n v="0.23699999999999999"/>
    <n v="0.23699999999999999"/>
    <n v="0.28000000000000003"/>
    <n v="0.28000000000000003"/>
    <n v="0.51700000000000002"/>
    <n v="0.51700000000000002"/>
  </r>
  <r>
    <x v="162"/>
    <s v="methane"/>
    <s v="kg/2018 USD, purchaser price"/>
    <n v="1E-3"/>
    <n v="2.8000000000000001E-2"/>
    <n v="1E-3"/>
    <n v="2.8000000000000001E-2"/>
    <n v="2E-3"/>
    <n v="5.6000000000000001E-2"/>
  </r>
  <r>
    <x v="162"/>
    <s v="nitrous oxide"/>
    <s v="kg/2018 USD, purchaser price"/>
    <n v="0"/>
    <n v="0"/>
    <n v="0"/>
    <n v="0"/>
    <n v="0"/>
    <n v="0"/>
  </r>
  <r>
    <x v="162"/>
    <s v="other GHGs"/>
    <s v="kg CO2e/2018 USD, purchaser price"/>
    <n v="8.9999999999999993E-3"/>
    <n v="8.9999999999999993E-3"/>
    <n v="0"/>
    <n v="0"/>
    <n v="8.9999999999999993E-3"/>
    <n v="8.9999999999999993E-3"/>
  </r>
  <r>
    <x v="163"/>
    <s v="carbon dioxide"/>
    <s v="kg/2018 USD, purchaser price"/>
    <n v="0.13800000000000001"/>
    <n v="0.13800000000000001"/>
    <n v="3.5000000000000003E-2"/>
    <n v="3.5000000000000003E-2"/>
    <n v="0.17199999999999999"/>
    <n v="0.17199999999999999"/>
  </r>
  <r>
    <x v="163"/>
    <s v="methane"/>
    <s v="kg/2018 USD, purchaser price"/>
    <n v="1E-3"/>
    <n v="2.8000000000000001E-2"/>
    <n v="0"/>
    <n v="0"/>
    <n v="1E-3"/>
    <n v="2.8000000000000001E-2"/>
  </r>
  <r>
    <x v="163"/>
    <s v="nitrous oxide"/>
    <s v="kg/2018 USD, purchaser price"/>
    <n v="0"/>
    <n v="0"/>
    <n v="0"/>
    <n v="0"/>
    <n v="0"/>
    <n v="0"/>
  </r>
  <r>
    <x v="163"/>
    <s v="other GHGs"/>
    <s v="kg CO2e/2018 USD, purchaser price"/>
    <n v="7.0000000000000001E-3"/>
    <n v="7.0000000000000001E-3"/>
    <n v="0"/>
    <n v="0"/>
    <n v="7.0000000000000001E-3"/>
    <n v="7.0000000000000001E-3"/>
  </r>
  <r>
    <x v="164"/>
    <s v="carbon dioxide"/>
    <s v="kg/2018 USD, purchaser price"/>
    <n v="0.24099999999999999"/>
    <n v="0.24099999999999999"/>
    <n v="4.2999999999999997E-2"/>
    <n v="4.2999999999999997E-2"/>
    <n v="0.28399999999999997"/>
    <n v="0.28399999999999997"/>
  </r>
  <r>
    <x v="164"/>
    <s v="methane"/>
    <s v="kg/2018 USD, purchaser price"/>
    <n v="1E-3"/>
    <n v="2.8000000000000001E-2"/>
    <n v="0"/>
    <n v="0"/>
    <n v="1E-3"/>
    <n v="2.8000000000000001E-2"/>
  </r>
  <r>
    <x v="164"/>
    <s v="nitrous oxide"/>
    <s v="kg/2018 USD, purchaser price"/>
    <n v="0"/>
    <n v="0"/>
    <n v="0"/>
    <n v="0"/>
    <n v="0"/>
    <n v="0"/>
  </r>
  <r>
    <x v="164"/>
    <s v="other GHGs"/>
    <s v="kg CO2e/2018 USD, purchaser price"/>
    <n v="8.0000000000000002E-3"/>
    <n v="8.0000000000000002E-3"/>
    <n v="0"/>
    <n v="0"/>
    <n v="8.0000000000000002E-3"/>
    <n v="8.0000000000000002E-3"/>
  </r>
  <r>
    <x v="165"/>
    <s v="carbon dioxide"/>
    <s v="kg/2018 USD, purchaser price"/>
    <n v="0.14499999999999999"/>
    <n v="0.14499999999999999"/>
    <n v="4.2999999999999997E-2"/>
    <n v="4.2999999999999997E-2"/>
    <n v="0.189"/>
    <n v="0.189"/>
  </r>
  <r>
    <x v="165"/>
    <s v="methane"/>
    <s v="kg/2018 USD, purchaser price"/>
    <n v="1E-3"/>
    <n v="2.8000000000000001E-2"/>
    <n v="0"/>
    <n v="0"/>
    <n v="1E-3"/>
    <n v="2.8000000000000001E-2"/>
  </r>
  <r>
    <x v="165"/>
    <s v="nitrous oxide"/>
    <s v="kg/2018 USD, purchaser price"/>
    <n v="0"/>
    <n v="0"/>
    <n v="0"/>
    <n v="0"/>
    <n v="0"/>
    <n v="0"/>
  </r>
  <r>
    <x v="165"/>
    <s v="other GHGs"/>
    <s v="kg CO2e/2018 USD, purchaser price"/>
    <n v="6.0000000000000001E-3"/>
    <n v="6.0000000000000001E-3"/>
    <n v="0"/>
    <n v="0"/>
    <n v="6.0000000000000001E-3"/>
    <n v="6.0000000000000001E-3"/>
  </r>
  <r>
    <x v="166"/>
    <s v="carbon dioxide"/>
    <s v="kg/2018 USD, purchaser price"/>
    <n v="0.219"/>
    <n v="0.219"/>
    <n v="5.6000000000000001E-2"/>
    <n v="5.6000000000000001E-2"/>
    <n v="0.27500000000000002"/>
    <n v="0.27500000000000002"/>
  </r>
  <r>
    <x v="166"/>
    <s v="methane"/>
    <s v="kg/2018 USD, purchaser price"/>
    <n v="1E-3"/>
    <n v="2.8000000000000001E-2"/>
    <n v="0"/>
    <n v="0"/>
    <n v="1E-3"/>
    <n v="2.8000000000000001E-2"/>
  </r>
  <r>
    <x v="166"/>
    <s v="nitrous oxide"/>
    <s v="kg/2018 USD, purchaser price"/>
    <n v="0"/>
    <n v="0"/>
    <n v="0"/>
    <n v="0"/>
    <n v="0"/>
    <n v="0"/>
  </r>
  <r>
    <x v="166"/>
    <s v="other GHGs"/>
    <s v="kg CO2e/2018 USD, purchaser price"/>
    <n v="6.0000000000000001E-3"/>
    <n v="6.0000000000000001E-3"/>
    <n v="0"/>
    <n v="0"/>
    <n v="6.0000000000000001E-3"/>
    <n v="6.0000000000000001E-3"/>
  </r>
  <r>
    <x v="167"/>
    <s v="carbon dioxide"/>
    <s v="kg/2018 USD, purchaser price"/>
    <n v="0.11899999999999999"/>
    <n v="0.11899999999999999"/>
    <n v="6.4000000000000001E-2"/>
    <n v="6.4000000000000001E-2"/>
    <n v="0.182"/>
    <n v="0.182"/>
  </r>
  <r>
    <x v="167"/>
    <s v="methane"/>
    <s v="kg/2018 USD, purchaser price"/>
    <n v="0"/>
    <n v="0"/>
    <n v="1E-3"/>
    <n v="2.8000000000000001E-2"/>
    <n v="1E-3"/>
    <n v="2.8000000000000001E-2"/>
  </r>
  <r>
    <x v="167"/>
    <s v="nitrous oxide"/>
    <s v="kg/2018 USD, purchaser price"/>
    <n v="0"/>
    <n v="0"/>
    <n v="0"/>
    <n v="0"/>
    <n v="0"/>
    <n v="0"/>
  </r>
  <r>
    <x v="167"/>
    <s v="other GHGs"/>
    <s v="kg CO2e/2018 USD, purchaser price"/>
    <n v="4.0000000000000001E-3"/>
    <n v="4.0000000000000001E-3"/>
    <n v="0"/>
    <n v="0"/>
    <n v="4.0000000000000001E-3"/>
    <n v="4.0000000000000001E-3"/>
  </r>
  <r>
    <x v="168"/>
    <s v="carbon dioxide"/>
    <s v="kg/2018 USD, purchaser price"/>
    <n v="0.19600000000000001"/>
    <n v="0.19600000000000001"/>
    <n v="0.252"/>
    <n v="0.252"/>
    <n v="0.44800000000000001"/>
    <n v="0.44800000000000001"/>
  </r>
  <r>
    <x v="168"/>
    <s v="methane"/>
    <s v="kg/2018 USD, purchaser price"/>
    <n v="1E-3"/>
    <n v="2.8000000000000001E-2"/>
    <n v="1E-3"/>
    <n v="2.8000000000000001E-2"/>
    <n v="2E-3"/>
    <n v="5.6000000000000001E-2"/>
  </r>
  <r>
    <x v="168"/>
    <s v="nitrous oxide"/>
    <s v="kg/2018 USD, purchaser price"/>
    <n v="0"/>
    <n v="0"/>
    <n v="0"/>
    <n v="0"/>
    <n v="0"/>
    <n v="0"/>
  </r>
  <r>
    <x v="168"/>
    <s v="other GHGs"/>
    <s v="kg CO2e/2018 USD, purchaser price"/>
    <n v="1.2E-2"/>
    <n v="1.2E-2"/>
    <n v="0"/>
    <n v="0"/>
    <n v="1.2E-2"/>
    <n v="1.2E-2"/>
  </r>
  <r>
    <x v="169"/>
    <s v="carbon dioxide"/>
    <s v="kg/2018 USD, purchaser price"/>
    <n v="0.30599999999999999"/>
    <n v="0.30599999999999999"/>
    <n v="0.1"/>
    <n v="0.1"/>
    <n v="0.40600000000000003"/>
    <n v="0.40600000000000003"/>
  </r>
  <r>
    <x v="169"/>
    <s v="methane"/>
    <s v="kg/2018 USD, purchaser price"/>
    <n v="1E-3"/>
    <n v="2.8000000000000001E-2"/>
    <n v="1E-3"/>
    <n v="2.8000000000000001E-2"/>
    <n v="2E-3"/>
    <n v="5.6000000000000001E-2"/>
  </r>
  <r>
    <x v="169"/>
    <s v="nitrous oxide"/>
    <s v="kg/2018 USD, purchaser price"/>
    <n v="0"/>
    <n v="0"/>
    <n v="0"/>
    <n v="0"/>
    <n v="0"/>
    <n v="0"/>
  </r>
  <r>
    <x v="169"/>
    <s v="other GHGs"/>
    <s v="kg CO2e/2018 USD, purchaser price"/>
    <n v="3.4000000000000002E-2"/>
    <n v="3.4000000000000002E-2"/>
    <n v="0"/>
    <n v="0"/>
    <n v="3.4000000000000002E-2"/>
    <n v="3.4000000000000002E-2"/>
  </r>
  <r>
    <x v="170"/>
    <s v="carbon dioxide"/>
    <s v="kg/2018 USD, purchaser price"/>
    <n v="0.22700000000000001"/>
    <n v="0.22700000000000001"/>
    <n v="4.8000000000000001E-2"/>
    <n v="4.8000000000000001E-2"/>
    <n v="0.27500000000000002"/>
    <n v="0.27500000000000002"/>
  </r>
  <r>
    <x v="170"/>
    <s v="methane"/>
    <s v="kg/2018 USD, purchaser price"/>
    <n v="1E-3"/>
    <n v="2.8000000000000001E-2"/>
    <n v="0"/>
    <n v="0"/>
    <n v="1E-3"/>
    <n v="2.8000000000000001E-2"/>
  </r>
  <r>
    <x v="170"/>
    <s v="nitrous oxide"/>
    <s v="kg/2018 USD, purchaser price"/>
    <n v="0"/>
    <n v="0"/>
    <n v="0"/>
    <n v="0"/>
    <n v="0"/>
    <n v="0"/>
  </r>
  <r>
    <x v="170"/>
    <s v="other GHGs"/>
    <s v="kg CO2e/2018 USD, purchaser price"/>
    <n v="2.7E-2"/>
    <n v="2.7E-2"/>
    <n v="0"/>
    <n v="0"/>
    <n v="2.7E-2"/>
    <n v="2.7E-2"/>
  </r>
  <r>
    <x v="171"/>
    <s v="carbon dioxide"/>
    <s v="kg/2018 USD, purchaser price"/>
    <n v="0.248"/>
    <n v="0.248"/>
    <n v="9.6000000000000002E-2"/>
    <n v="9.6000000000000002E-2"/>
    <n v="0.34399999999999997"/>
    <n v="0.34399999999999997"/>
  </r>
  <r>
    <x v="171"/>
    <s v="methane"/>
    <s v="kg/2018 USD, purchaser price"/>
    <n v="1E-3"/>
    <n v="2.8000000000000001E-2"/>
    <n v="1E-3"/>
    <n v="2.8000000000000001E-2"/>
    <n v="2E-3"/>
    <n v="5.6000000000000001E-2"/>
  </r>
  <r>
    <x v="171"/>
    <s v="nitrous oxide"/>
    <s v="kg/2018 USD, purchaser price"/>
    <n v="0"/>
    <n v="0"/>
    <n v="0"/>
    <n v="0"/>
    <n v="0"/>
    <n v="0"/>
  </r>
  <r>
    <x v="171"/>
    <s v="other GHGs"/>
    <s v="kg CO2e/2018 USD, purchaser price"/>
    <n v="8.0000000000000002E-3"/>
    <n v="8.0000000000000002E-3"/>
    <n v="0"/>
    <n v="0"/>
    <n v="8.0000000000000002E-3"/>
    <n v="8.0000000000000002E-3"/>
  </r>
  <r>
    <x v="172"/>
    <s v="carbon dioxide"/>
    <s v="kg/2018 USD, purchaser price"/>
    <n v="0.22"/>
    <n v="0.22"/>
    <n v="8.8999999999999996E-2"/>
    <n v="8.8999999999999996E-2"/>
    <n v="0.309"/>
    <n v="0.309"/>
  </r>
  <r>
    <x v="172"/>
    <s v="methane"/>
    <s v="kg/2018 USD, purchaser price"/>
    <n v="1E-3"/>
    <n v="2.8000000000000001E-2"/>
    <n v="1E-3"/>
    <n v="2.8000000000000001E-2"/>
    <n v="1E-3"/>
    <n v="2.8000000000000001E-2"/>
  </r>
  <r>
    <x v="172"/>
    <s v="nitrous oxide"/>
    <s v="kg/2018 USD, purchaser price"/>
    <n v="0"/>
    <n v="0"/>
    <n v="0"/>
    <n v="0"/>
    <n v="0"/>
    <n v="0"/>
  </r>
  <r>
    <x v="172"/>
    <s v="other GHGs"/>
    <s v="kg CO2e/2018 USD, purchaser price"/>
    <n v="0.433"/>
    <n v="0.433"/>
    <n v="0"/>
    <n v="0"/>
    <n v="0.433"/>
    <n v="0.433"/>
  </r>
  <r>
    <x v="173"/>
    <s v="carbon dioxide"/>
    <s v="kg/2018 USD, purchaser price"/>
    <n v="0.29799999999999999"/>
    <n v="0.29799999999999999"/>
    <n v="3.7999999999999999E-2"/>
    <n v="3.7999999999999999E-2"/>
    <n v="0.33600000000000002"/>
    <n v="0.33600000000000002"/>
  </r>
  <r>
    <x v="173"/>
    <s v="methane"/>
    <s v="kg/2018 USD, purchaser price"/>
    <n v="1E-3"/>
    <n v="2.8000000000000001E-2"/>
    <n v="0"/>
    <n v="0"/>
    <n v="1E-3"/>
    <n v="2.8000000000000001E-2"/>
  </r>
  <r>
    <x v="173"/>
    <s v="nitrous oxide"/>
    <s v="kg/2018 USD, purchaser price"/>
    <n v="0"/>
    <n v="0"/>
    <n v="0"/>
    <n v="0"/>
    <n v="0"/>
    <n v="0"/>
  </r>
  <r>
    <x v="173"/>
    <s v="other GHGs"/>
    <s v="kg CO2e/2018 USD, purchaser price"/>
    <n v="7.0000000000000001E-3"/>
    <n v="7.0000000000000001E-3"/>
    <n v="0"/>
    <n v="0"/>
    <n v="7.0000000000000001E-3"/>
    <n v="7.0000000000000001E-3"/>
  </r>
  <r>
    <x v="174"/>
    <s v="carbon dioxide"/>
    <s v="kg/2018 USD, purchaser price"/>
    <n v="0.20300000000000001"/>
    <n v="0.20300000000000001"/>
    <n v="3.4000000000000002E-2"/>
    <n v="3.4000000000000002E-2"/>
    <n v="0.23699999999999999"/>
    <n v="0.23699999999999999"/>
  </r>
  <r>
    <x v="174"/>
    <s v="methane"/>
    <s v="kg/2018 USD, purchaser price"/>
    <n v="1E-3"/>
    <n v="2.8000000000000001E-2"/>
    <n v="0"/>
    <n v="0"/>
    <n v="1E-3"/>
    <n v="2.8000000000000001E-2"/>
  </r>
  <r>
    <x v="174"/>
    <s v="nitrous oxide"/>
    <s v="kg/2018 USD, purchaser price"/>
    <n v="0"/>
    <n v="0"/>
    <n v="0"/>
    <n v="0"/>
    <n v="0"/>
    <n v="0"/>
  </r>
  <r>
    <x v="174"/>
    <s v="other GHGs"/>
    <s v="kg CO2e/2018 USD, purchaser price"/>
    <n v="6.0000000000000001E-3"/>
    <n v="6.0000000000000001E-3"/>
    <n v="0"/>
    <n v="0"/>
    <n v="6.0000000000000001E-3"/>
    <n v="6.0000000000000001E-3"/>
  </r>
  <r>
    <x v="175"/>
    <s v="carbon dioxide"/>
    <s v="kg/2018 USD, purchaser price"/>
    <n v="0.23"/>
    <n v="0.23"/>
    <n v="6.3E-2"/>
    <n v="6.3E-2"/>
    <n v="0.29299999999999998"/>
    <n v="0.29299999999999998"/>
  </r>
  <r>
    <x v="175"/>
    <s v="methane"/>
    <s v="kg/2018 USD, purchaser price"/>
    <n v="1E-3"/>
    <n v="2.8000000000000001E-2"/>
    <n v="1E-3"/>
    <n v="2.8000000000000001E-2"/>
    <n v="1E-3"/>
    <n v="2.8000000000000001E-2"/>
  </r>
  <r>
    <x v="175"/>
    <s v="nitrous oxide"/>
    <s v="kg/2018 USD, purchaser price"/>
    <n v="0"/>
    <n v="0"/>
    <n v="0"/>
    <n v="0"/>
    <n v="0"/>
    <n v="0"/>
  </r>
  <r>
    <x v="175"/>
    <s v="other GHGs"/>
    <s v="kg CO2e/2018 USD, purchaser price"/>
    <n v="7.0000000000000001E-3"/>
    <n v="7.0000000000000001E-3"/>
    <n v="0"/>
    <n v="0"/>
    <n v="7.0000000000000001E-3"/>
    <n v="7.0000000000000001E-3"/>
  </r>
  <r>
    <x v="176"/>
    <s v="carbon dioxide"/>
    <s v="kg/2018 USD, purchaser price"/>
    <n v="0.22900000000000001"/>
    <n v="0.22900000000000001"/>
    <n v="3.7999999999999999E-2"/>
    <n v="3.7999999999999999E-2"/>
    <n v="0.26700000000000002"/>
    <n v="0.26700000000000002"/>
  </r>
  <r>
    <x v="176"/>
    <s v="methane"/>
    <s v="kg/2018 USD, purchaser price"/>
    <n v="1E-3"/>
    <n v="2.8000000000000001E-2"/>
    <n v="0"/>
    <n v="0"/>
    <n v="1E-3"/>
    <n v="2.8000000000000001E-2"/>
  </r>
  <r>
    <x v="176"/>
    <s v="nitrous oxide"/>
    <s v="kg/2018 USD, purchaser price"/>
    <n v="0"/>
    <n v="0"/>
    <n v="0"/>
    <n v="0"/>
    <n v="0"/>
    <n v="0"/>
  </r>
  <r>
    <x v="176"/>
    <s v="other GHGs"/>
    <s v="kg CO2e/2018 USD, purchaser price"/>
    <n v="7.0000000000000001E-3"/>
    <n v="7.0000000000000001E-3"/>
    <n v="0"/>
    <n v="0"/>
    <n v="7.0000000000000001E-3"/>
    <n v="7.0000000000000001E-3"/>
  </r>
  <r>
    <x v="177"/>
    <s v="carbon dioxide"/>
    <s v="kg/2018 USD, purchaser price"/>
    <n v="0.22500000000000001"/>
    <n v="0.22500000000000001"/>
    <n v="4.4999999999999998E-2"/>
    <n v="4.4999999999999998E-2"/>
    <n v="0.27"/>
    <n v="0.27"/>
  </r>
  <r>
    <x v="177"/>
    <s v="methane"/>
    <s v="kg/2018 USD, purchaser price"/>
    <n v="1E-3"/>
    <n v="2.8000000000000001E-2"/>
    <n v="0"/>
    <n v="0"/>
    <n v="1E-3"/>
    <n v="2.8000000000000001E-2"/>
  </r>
  <r>
    <x v="177"/>
    <s v="nitrous oxide"/>
    <s v="kg/2018 USD, purchaser price"/>
    <n v="0"/>
    <n v="0"/>
    <n v="0"/>
    <n v="0"/>
    <n v="0"/>
    <n v="0"/>
  </r>
  <r>
    <x v="177"/>
    <s v="other GHGs"/>
    <s v="kg CO2e/2018 USD, purchaser price"/>
    <n v="7.0000000000000001E-3"/>
    <n v="7.0000000000000001E-3"/>
    <n v="0"/>
    <n v="0"/>
    <n v="7.0000000000000001E-3"/>
    <n v="7.0000000000000001E-3"/>
  </r>
  <r>
    <x v="178"/>
    <s v="carbon dioxide"/>
    <s v="kg/2018 USD, purchaser price"/>
    <n v="0.14399999999999999"/>
    <n v="0.14399999999999999"/>
    <n v="4.1000000000000002E-2"/>
    <n v="4.1000000000000002E-2"/>
    <n v="0.186"/>
    <n v="0.186"/>
  </r>
  <r>
    <x v="178"/>
    <s v="methane"/>
    <s v="kg/2018 USD, purchaser price"/>
    <n v="0"/>
    <n v="0"/>
    <n v="0"/>
    <n v="0"/>
    <n v="1E-3"/>
    <n v="2.8000000000000001E-2"/>
  </r>
  <r>
    <x v="178"/>
    <s v="nitrous oxide"/>
    <s v="kg/2018 USD, purchaser price"/>
    <n v="0"/>
    <n v="0"/>
    <n v="0"/>
    <n v="0"/>
    <n v="0"/>
    <n v="0"/>
  </r>
  <r>
    <x v="178"/>
    <s v="other GHGs"/>
    <s v="kg CO2e/2018 USD, purchaser price"/>
    <n v="6.0000000000000001E-3"/>
    <n v="6.0000000000000001E-3"/>
    <n v="0"/>
    <n v="0"/>
    <n v="6.0000000000000001E-3"/>
    <n v="6.0000000000000001E-3"/>
  </r>
  <r>
    <x v="179"/>
    <s v="carbon dioxide"/>
    <s v="kg/2018 USD, purchaser price"/>
    <n v="0.17100000000000001"/>
    <n v="0.17100000000000001"/>
    <n v="0.04"/>
    <n v="0.04"/>
    <n v="0.21099999999999999"/>
    <n v="0.21099999999999999"/>
  </r>
  <r>
    <x v="179"/>
    <s v="methane"/>
    <s v="kg/2018 USD, purchaser price"/>
    <n v="1E-3"/>
    <n v="2.8000000000000001E-2"/>
    <n v="0"/>
    <n v="0"/>
    <n v="1E-3"/>
    <n v="2.8000000000000001E-2"/>
  </r>
  <r>
    <x v="179"/>
    <s v="nitrous oxide"/>
    <s v="kg/2018 USD, purchaser price"/>
    <n v="0"/>
    <n v="0"/>
    <n v="0"/>
    <n v="0"/>
    <n v="0"/>
    <n v="0"/>
  </r>
  <r>
    <x v="179"/>
    <s v="other GHGs"/>
    <s v="kg CO2e/2018 USD, purchaser price"/>
    <n v="6.0000000000000001E-3"/>
    <n v="6.0000000000000001E-3"/>
    <n v="0"/>
    <n v="0"/>
    <n v="6.0000000000000001E-3"/>
    <n v="6.0000000000000001E-3"/>
  </r>
  <r>
    <x v="180"/>
    <s v="carbon dioxide"/>
    <s v="kg/2018 USD, purchaser price"/>
    <n v="0.20799999999999999"/>
    <n v="0.20799999999999999"/>
    <n v="3.9E-2"/>
    <n v="3.9E-2"/>
    <n v="0.247"/>
    <n v="0.247"/>
  </r>
  <r>
    <x v="180"/>
    <s v="methane"/>
    <s v="kg/2018 USD, purchaser price"/>
    <n v="1E-3"/>
    <n v="2.8000000000000001E-2"/>
    <n v="0"/>
    <n v="0"/>
    <n v="1E-3"/>
    <n v="2.8000000000000001E-2"/>
  </r>
  <r>
    <x v="180"/>
    <s v="nitrous oxide"/>
    <s v="kg/2018 USD, purchaser price"/>
    <n v="0"/>
    <n v="0"/>
    <n v="0"/>
    <n v="0"/>
    <n v="0"/>
    <n v="0"/>
  </r>
  <r>
    <x v="180"/>
    <s v="other GHGs"/>
    <s v="kg CO2e/2018 USD, purchaser price"/>
    <n v="1.6E-2"/>
    <n v="1.6E-2"/>
    <n v="0"/>
    <n v="0"/>
    <n v="1.6E-2"/>
    <n v="1.6E-2"/>
  </r>
  <r>
    <x v="181"/>
    <s v="carbon dioxide"/>
    <s v="kg/2018 USD, purchaser price"/>
    <n v="9.1999999999999998E-2"/>
    <n v="9.1999999999999998E-2"/>
    <n v="1.7999999999999999E-2"/>
    <n v="1.7999999999999999E-2"/>
    <n v="0.11"/>
    <n v="0.11"/>
  </r>
  <r>
    <x v="181"/>
    <s v="methane"/>
    <s v="kg/2018 USD, purchaser price"/>
    <n v="0"/>
    <n v="0"/>
    <n v="0"/>
    <n v="0"/>
    <n v="1E-3"/>
    <n v="2.8000000000000001E-2"/>
  </r>
  <r>
    <x v="181"/>
    <s v="nitrous oxide"/>
    <s v="kg/2018 USD, purchaser price"/>
    <n v="0"/>
    <n v="0"/>
    <n v="0"/>
    <n v="0"/>
    <n v="0"/>
    <n v="0"/>
  </r>
  <r>
    <x v="181"/>
    <s v="other GHGs"/>
    <s v="kg CO2e/2018 USD, purchaser price"/>
    <n v="8.0000000000000002E-3"/>
    <n v="8.0000000000000002E-3"/>
    <n v="0"/>
    <n v="0"/>
    <n v="8.0000000000000002E-3"/>
    <n v="8.0000000000000002E-3"/>
  </r>
  <r>
    <x v="182"/>
    <s v="carbon dioxide"/>
    <s v="kg/2018 USD, purchaser price"/>
    <n v="0.158"/>
    <n v="0.158"/>
    <n v="3.4000000000000002E-2"/>
    <n v="3.4000000000000002E-2"/>
    <n v="0.192"/>
    <n v="0.192"/>
  </r>
  <r>
    <x v="182"/>
    <s v="methane"/>
    <s v="kg/2018 USD, purchaser price"/>
    <n v="1E-3"/>
    <n v="2.8000000000000001E-2"/>
    <n v="0"/>
    <n v="0"/>
    <n v="1E-3"/>
    <n v="2.8000000000000001E-2"/>
  </r>
  <r>
    <x v="182"/>
    <s v="nitrous oxide"/>
    <s v="kg/2018 USD, purchaser price"/>
    <n v="0"/>
    <n v="0"/>
    <n v="0"/>
    <n v="0"/>
    <n v="0"/>
    <n v="0"/>
  </r>
  <r>
    <x v="182"/>
    <s v="other GHGs"/>
    <s v="kg CO2e/2018 USD, purchaser price"/>
    <n v="8.0000000000000002E-3"/>
    <n v="8.0000000000000002E-3"/>
    <n v="0"/>
    <n v="0"/>
    <n v="8.0000000000000002E-3"/>
    <n v="8.0000000000000002E-3"/>
  </r>
  <r>
    <x v="183"/>
    <s v="carbon dioxide"/>
    <s v="kg/2018 USD, purchaser price"/>
    <n v="0.192"/>
    <n v="0.192"/>
    <n v="2.5999999999999999E-2"/>
    <n v="2.5999999999999999E-2"/>
    <n v="0.218"/>
    <n v="0.218"/>
  </r>
  <r>
    <x v="183"/>
    <s v="methane"/>
    <s v="kg/2018 USD, purchaser price"/>
    <n v="1E-3"/>
    <n v="2.8000000000000001E-2"/>
    <n v="0"/>
    <n v="0"/>
    <n v="1E-3"/>
    <n v="2.8000000000000001E-2"/>
  </r>
  <r>
    <x v="183"/>
    <s v="nitrous oxide"/>
    <s v="kg/2018 USD, purchaser price"/>
    <n v="0"/>
    <n v="0"/>
    <n v="0"/>
    <n v="0"/>
    <n v="0"/>
    <n v="0"/>
  </r>
  <r>
    <x v="183"/>
    <s v="other GHGs"/>
    <s v="kg CO2e/2018 USD, purchaser price"/>
    <n v="7.0000000000000001E-3"/>
    <n v="7.0000000000000001E-3"/>
    <n v="0"/>
    <n v="0"/>
    <n v="7.0000000000000001E-3"/>
    <n v="7.0000000000000001E-3"/>
  </r>
  <r>
    <x v="184"/>
    <s v="carbon dioxide"/>
    <s v="kg/2018 USD, purchaser price"/>
    <n v="0.19600000000000001"/>
    <n v="0.19600000000000001"/>
    <n v="0.28599999999999998"/>
    <n v="0.28599999999999998"/>
    <n v="0.48299999999999998"/>
    <n v="0.48299999999999998"/>
  </r>
  <r>
    <x v="184"/>
    <s v="methane"/>
    <s v="kg/2018 USD, purchaser price"/>
    <n v="1E-3"/>
    <n v="2.8000000000000001E-2"/>
    <n v="1E-3"/>
    <n v="2.8000000000000001E-2"/>
    <n v="2E-3"/>
    <n v="5.6000000000000001E-2"/>
  </r>
  <r>
    <x v="184"/>
    <s v="nitrous oxide"/>
    <s v="kg/2018 USD, purchaser price"/>
    <n v="0"/>
    <n v="0"/>
    <n v="0"/>
    <n v="0"/>
    <n v="0"/>
    <n v="0"/>
  </r>
  <r>
    <x v="184"/>
    <s v="other GHGs"/>
    <s v="kg CO2e/2018 USD, purchaser price"/>
    <n v="6.0000000000000001E-3"/>
    <n v="6.0000000000000001E-3"/>
    <n v="0"/>
    <n v="0"/>
    <n v="6.0000000000000001E-3"/>
    <n v="6.0000000000000001E-3"/>
  </r>
  <r>
    <x v="185"/>
    <s v="carbon dioxide"/>
    <s v="kg/2018 USD, purchaser price"/>
    <n v="0.16400000000000001"/>
    <n v="0.16400000000000001"/>
    <n v="4.3999999999999997E-2"/>
    <n v="4.3999999999999997E-2"/>
    <n v="0.20799999999999999"/>
    <n v="0.20799999999999999"/>
  </r>
  <r>
    <x v="185"/>
    <s v="methane"/>
    <s v="kg/2018 USD, purchaser price"/>
    <n v="1E-3"/>
    <n v="2.8000000000000001E-2"/>
    <n v="0"/>
    <n v="0"/>
    <n v="1E-3"/>
    <n v="2.8000000000000001E-2"/>
  </r>
  <r>
    <x v="185"/>
    <s v="nitrous oxide"/>
    <s v="kg/2018 USD, purchaser price"/>
    <n v="0"/>
    <n v="0"/>
    <n v="0"/>
    <n v="0"/>
    <n v="0"/>
    <n v="0"/>
  </r>
  <r>
    <x v="185"/>
    <s v="other GHGs"/>
    <s v="kg CO2e/2018 USD, purchaser price"/>
    <n v="6.0000000000000001E-3"/>
    <n v="6.0000000000000001E-3"/>
    <n v="0"/>
    <n v="0"/>
    <n v="6.0000000000000001E-3"/>
    <n v="6.0000000000000001E-3"/>
  </r>
  <r>
    <x v="186"/>
    <s v="carbon dioxide"/>
    <s v="kg/2018 USD, purchaser price"/>
    <n v="0.16200000000000001"/>
    <n v="0.16200000000000001"/>
    <n v="3.2000000000000001E-2"/>
    <n v="3.2000000000000001E-2"/>
    <n v="0.19400000000000001"/>
    <n v="0.19400000000000001"/>
  </r>
  <r>
    <x v="186"/>
    <s v="methane"/>
    <s v="kg/2018 USD, purchaser price"/>
    <n v="1E-3"/>
    <n v="2.8000000000000001E-2"/>
    <n v="0"/>
    <n v="0"/>
    <n v="1E-3"/>
    <n v="2.8000000000000001E-2"/>
  </r>
  <r>
    <x v="186"/>
    <s v="nitrous oxide"/>
    <s v="kg/2018 USD, purchaser price"/>
    <n v="0"/>
    <n v="0"/>
    <n v="0"/>
    <n v="0"/>
    <n v="0"/>
    <n v="0"/>
  </r>
  <r>
    <x v="186"/>
    <s v="other GHGs"/>
    <s v="kg CO2e/2018 USD, purchaser price"/>
    <n v="6.0000000000000001E-3"/>
    <n v="6.0000000000000001E-3"/>
    <n v="0"/>
    <n v="0"/>
    <n v="6.0000000000000001E-3"/>
    <n v="6.0000000000000001E-3"/>
  </r>
  <r>
    <x v="187"/>
    <s v="carbon dioxide"/>
    <s v="kg/2018 USD, purchaser price"/>
    <n v="0.122"/>
    <n v="0.122"/>
    <n v="2.5999999999999999E-2"/>
    <n v="2.5999999999999999E-2"/>
    <n v="0.14799999999999999"/>
    <n v="0.14799999999999999"/>
  </r>
  <r>
    <x v="187"/>
    <s v="methane"/>
    <s v="kg/2018 USD, purchaser price"/>
    <n v="0"/>
    <n v="0"/>
    <n v="0"/>
    <n v="0"/>
    <n v="1E-3"/>
    <n v="2.8000000000000001E-2"/>
  </r>
  <r>
    <x v="187"/>
    <s v="nitrous oxide"/>
    <s v="kg/2018 USD, purchaser price"/>
    <n v="0"/>
    <n v="0"/>
    <n v="0"/>
    <n v="0"/>
    <n v="0"/>
    <n v="0"/>
  </r>
  <r>
    <x v="187"/>
    <s v="other GHGs"/>
    <s v="kg CO2e/2018 USD, purchaser price"/>
    <n v="6.0000000000000001E-3"/>
    <n v="6.0000000000000001E-3"/>
    <n v="0"/>
    <n v="0"/>
    <n v="6.0000000000000001E-3"/>
    <n v="6.0000000000000001E-3"/>
  </r>
  <r>
    <x v="188"/>
    <s v="carbon dioxide"/>
    <s v="kg/2018 USD, purchaser price"/>
    <n v="0.22700000000000001"/>
    <n v="0.22700000000000001"/>
    <n v="4.5999999999999999E-2"/>
    <n v="4.5999999999999999E-2"/>
    <n v="0.27200000000000002"/>
    <n v="0.27200000000000002"/>
  </r>
  <r>
    <x v="188"/>
    <s v="methane"/>
    <s v="kg/2018 USD, purchaser price"/>
    <n v="1E-3"/>
    <n v="2.8000000000000001E-2"/>
    <n v="0"/>
    <n v="0"/>
    <n v="1E-3"/>
    <n v="2.8000000000000001E-2"/>
  </r>
  <r>
    <x v="188"/>
    <s v="nitrous oxide"/>
    <s v="kg/2018 USD, purchaser price"/>
    <n v="0"/>
    <n v="0"/>
    <n v="0"/>
    <n v="0"/>
    <n v="0"/>
    <n v="0"/>
  </r>
  <r>
    <x v="188"/>
    <s v="other GHGs"/>
    <s v="kg CO2e/2018 USD, purchaser price"/>
    <n v="7.0000000000000001E-3"/>
    <n v="7.0000000000000001E-3"/>
    <n v="0"/>
    <n v="0"/>
    <n v="7.0000000000000001E-3"/>
    <n v="7.0000000000000001E-3"/>
  </r>
  <r>
    <x v="189"/>
    <s v="carbon dioxide"/>
    <s v="kg/2018 USD, purchaser price"/>
    <n v="0.03"/>
    <n v="0.03"/>
    <n v="0.40200000000000002"/>
    <n v="0.40200000000000002"/>
    <n v="0.43099999999999999"/>
    <n v="0.43099999999999999"/>
  </r>
  <r>
    <x v="189"/>
    <s v="methane"/>
    <s v="kg/2018 USD, purchaser price"/>
    <n v="0"/>
    <n v="0"/>
    <n v="2E-3"/>
    <n v="5.6000000000000001E-2"/>
    <n v="2E-3"/>
    <n v="5.6000000000000001E-2"/>
  </r>
  <r>
    <x v="189"/>
    <s v="nitrous oxide"/>
    <s v="kg/2018 USD, purchaser price"/>
    <n v="0"/>
    <n v="0"/>
    <n v="0"/>
    <n v="0"/>
    <n v="0"/>
    <n v="0"/>
  </r>
  <r>
    <x v="189"/>
    <s v="other GHGs"/>
    <s v="kg CO2e/2018 USD, purchaser price"/>
    <n v="7.0000000000000001E-3"/>
    <n v="7.0000000000000001E-3"/>
    <n v="0"/>
    <n v="0"/>
    <n v="7.0000000000000001E-3"/>
    <n v="7.0000000000000001E-3"/>
  </r>
  <r>
    <x v="190"/>
    <s v="carbon dioxide"/>
    <s v="kg/2018 USD, purchaser price"/>
    <n v="7.3999999999999996E-2"/>
    <n v="7.3999999999999996E-2"/>
    <n v="0.10199999999999999"/>
    <n v="0.10199999999999999"/>
    <n v="0.17599999999999999"/>
    <n v="0.17599999999999999"/>
  </r>
  <r>
    <x v="190"/>
    <s v="methane"/>
    <s v="kg/2018 USD, purchaser price"/>
    <n v="0"/>
    <n v="0"/>
    <n v="1E-3"/>
    <n v="2.8000000000000001E-2"/>
    <n v="1E-3"/>
    <n v="2.8000000000000001E-2"/>
  </r>
  <r>
    <x v="190"/>
    <s v="nitrous oxide"/>
    <s v="kg/2018 USD, purchaser price"/>
    <n v="0"/>
    <n v="0"/>
    <n v="0"/>
    <n v="0"/>
    <n v="0"/>
    <n v="0"/>
  </r>
  <r>
    <x v="190"/>
    <s v="other GHGs"/>
    <s v="kg CO2e/2018 USD, purchaser price"/>
    <n v="7.0000000000000001E-3"/>
    <n v="7.0000000000000001E-3"/>
    <n v="0"/>
    <n v="0"/>
    <n v="7.0000000000000001E-3"/>
    <n v="7.0000000000000001E-3"/>
  </r>
  <r>
    <x v="191"/>
    <s v="carbon dioxide"/>
    <s v="kg/2018 USD, purchaser price"/>
    <n v="0.114"/>
    <n v="0.114"/>
    <n v="0.16500000000000001"/>
    <n v="0.16500000000000001"/>
    <n v="0.27900000000000003"/>
    <n v="0.27900000000000003"/>
  </r>
  <r>
    <x v="191"/>
    <s v="methane"/>
    <s v="kg/2018 USD, purchaser price"/>
    <n v="0"/>
    <n v="0"/>
    <n v="1E-3"/>
    <n v="2.8000000000000001E-2"/>
    <n v="1E-3"/>
    <n v="2.8000000000000001E-2"/>
  </r>
  <r>
    <x v="191"/>
    <s v="nitrous oxide"/>
    <s v="kg/2018 USD, purchaser price"/>
    <n v="0"/>
    <n v="0"/>
    <n v="0"/>
    <n v="0"/>
    <n v="0"/>
    <n v="0"/>
  </r>
  <r>
    <x v="191"/>
    <s v="other GHGs"/>
    <s v="kg CO2e/2018 USD, purchaser price"/>
    <n v="4.0000000000000001E-3"/>
    <n v="4.0000000000000001E-3"/>
    <n v="0"/>
    <n v="0"/>
    <n v="4.0000000000000001E-3"/>
    <n v="4.0000000000000001E-3"/>
  </r>
  <r>
    <x v="192"/>
    <s v="carbon dioxide"/>
    <s v="kg/2018 USD, purchaser price"/>
    <n v="4.7E-2"/>
    <n v="4.7E-2"/>
    <n v="0.161"/>
    <n v="0.161"/>
    <n v="0.20799999999999999"/>
    <n v="0.20799999999999999"/>
  </r>
  <r>
    <x v="192"/>
    <s v="methane"/>
    <s v="kg/2018 USD, purchaser price"/>
    <n v="0"/>
    <n v="0"/>
    <n v="1E-3"/>
    <n v="2.8000000000000001E-2"/>
    <n v="1E-3"/>
    <n v="2.8000000000000001E-2"/>
  </r>
  <r>
    <x v="192"/>
    <s v="nitrous oxide"/>
    <s v="kg/2018 USD, purchaser price"/>
    <n v="0"/>
    <n v="0"/>
    <n v="0"/>
    <n v="0"/>
    <n v="0"/>
    <n v="0"/>
  </r>
  <r>
    <x v="192"/>
    <s v="other GHGs"/>
    <s v="kg CO2e/2018 USD, purchaser price"/>
    <n v="3.0000000000000001E-3"/>
    <n v="3.0000000000000001E-3"/>
    <n v="0"/>
    <n v="0"/>
    <n v="3.0000000000000001E-3"/>
    <n v="3.0000000000000001E-3"/>
  </r>
  <r>
    <x v="193"/>
    <s v="carbon dioxide"/>
    <s v="kg/2018 USD, purchaser price"/>
    <n v="0.04"/>
    <n v="0.04"/>
    <n v="0.14399999999999999"/>
    <n v="0.14399999999999999"/>
    <n v="0.184"/>
    <n v="0.184"/>
  </r>
  <r>
    <x v="193"/>
    <s v="methane"/>
    <s v="kg/2018 USD, purchaser price"/>
    <n v="0"/>
    <n v="0"/>
    <n v="1E-3"/>
    <n v="2.8000000000000001E-2"/>
    <n v="1E-3"/>
    <n v="2.8000000000000001E-2"/>
  </r>
  <r>
    <x v="193"/>
    <s v="nitrous oxide"/>
    <s v="kg/2018 USD, purchaser price"/>
    <n v="0"/>
    <n v="0"/>
    <n v="0"/>
    <n v="0"/>
    <n v="0"/>
    <n v="0"/>
  </r>
  <r>
    <x v="193"/>
    <s v="other GHGs"/>
    <s v="kg CO2e/2018 USD, purchaser price"/>
    <n v="2E-3"/>
    <n v="2E-3"/>
    <n v="0"/>
    <n v="0"/>
    <n v="2E-3"/>
    <n v="2E-3"/>
  </r>
  <r>
    <x v="194"/>
    <s v="carbon dioxide"/>
    <s v="kg/2018 USD, purchaser price"/>
    <n v="5.6000000000000001E-2"/>
    <n v="5.6000000000000001E-2"/>
    <n v="4.4999999999999998E-2"/>
    <n v="4.4999999999999998E-2"/>
    <n v="0.10100000000000001"/>
    <n v="0.10100000000000001"/>
  </r>
  <r>
    <x v="194"/>
    <s v="methane"/>
    <s v="kg/2018 USD, purchaser price"/>
    <n v="0"/>
    <n v="0"/>
    <n v="0"/>
    <n v="0"/>
    <n v="0"/>
    <n v="0"/>
  </r>
  <r>
    <x v="194"/>
    <s v="nitrous oxide"/>
    <s v="kg/2018 USD, purchaser price"/>
    <n v="0"/>
    <n v="0"/>
    <n v="0"/>
    <n v="0"/>
    <n v="0"/>
    <n v="0"/>
  </r>
  <r>
    <x v="194"/>
    <s v="other GHGs"/>
    <s v="kg CO2e/2018 USD, purchaser price"/>
    <n v="3.0000000000000001E-3"/>
    <n v="3.0000000000000001E-3"/>
    <n v="0"/>
    <n v="0"/>
    <n v="3.0000000000000001E-3"/>
    <n v="3.0000000000000001E-3"/>
  </r>
  <r>
    <x v="195"/>
    <s v="carbon dioxide"/>
    <s v="kg/2018 USD, purchaser price"/>
    <n v="6.5000000000000002E-2"/>
    <n v="6.5000000000000002E-2"/>
    <n v="1.036"/>
    <n v="1.036"/>
    <n v="1.101"/>
    <n v="1.101"/>
  </r>
  <r>
    <x v="195"/>
    <s v="methane"/>
    <s v="kg/2018 USD, purchaser price"/>
    <n v="0"/>
    <n v="0"/>
    <n v="5.0000000000000001E-3"/>
    <n v="0.14000000000000001"/>
    <n v="5.0000000000000001E-3"/>
    <n v="0.14000000000000001"/>
  </r>
  <r>
    <x v="195"/>
    <s v="nitrous oxide"/>
    <s v="kg/2018 USD, purchaser price"/>
    <n v="0"/>
    <n v="0"/>
    <n v="0"/>
    <n v="0"/>
    <n v="0"/>
    <n v="0"/>
  </r>
  <r>
    <x v="195"/>
    <s v="other GHGs"/>
    <s v="kg CO2e/2018 USD, purchaser price"/>
    <n v="3.0000000000000001E-3"/>
    <n v="3.0000000000000001E-3"/>
    <n v="0"/>
    <n v="0"/>
    <n v="3.0000000000000001E-3"/>
    <n v="3.0000000000000001E-3"/>
  </r>
  <r>
    <x v="196"/>
    <s v="carbon dioxide"/>
    <s v="kg/2018 USD, purchaser price"/>
    <n v="0.107"/>
    <n v="0.107"/>
    <n v="4.2999999999999997E-2"/>
    <n v="4.2999999999999997E-2"/>
    <n v="0.15"/>
    <n v="0.15"/>
  </r>
  <r>
    <x v="196"/>
    <s v="methane"/>
    <s v="kg/2018 USD, purchaser price"/>
    <n v="0"/>
    <n v="0"/>
    <n v="0"/>
    <n v="0"/>
    <n v="1E-3"/>
    <n v="2.8000000000000001E-2"/>
  </r>
  <r>
    <x v="196"/>
    <s v="nitrous oxide"/>
    <s v="kg/2018 USD, purchaser price"/>
    <n v="0"/>
    <n v="0"/>
    <n v="0"/>
    <n v="0"/>
    <n v="0"/>
    <n v="0"/>
  </r>
  <r>
    <x v="196"/>
    <s v="other GHGs"/>
    <s v="kg CO2e/2018 USD, purchaser price"/>
    <n v="7.9000000000000001E-2"/>
    <n v="7.9000000000000001E-2"/>
    <n v="0"/>
    <n v="0"/>
    <n v="7.9000000000000001E-2"/>
    <n v="7.9000000000000001E-2"/>
  </r>
  <r>
    <x v="197"/>
    <s v="carbon dioxide"/>
    <s v="kg/2018 USD, purchaser price"/>
    <n v="8.7999999999999995E-2"/>
    <n v="8.7999999999999995E-2"/>
    <n v="2.4E-2"/>
    <n v="2.4E-2"/>
    <n v="0.112"/>
    <n v="0.112"/>
  </r>
  <r>
    <x v="197"/>
    <s v="methane"/>
    <s v="kg/2018 USD, purchaser price"/>
    <n v="0"/>
    <n v="0"/>
    <n v="0"/>
    <n v="0"/>
    <n v="0"/>
    <n v="0"/>
  </r>
  <r>
    <x v="197"/>
    <s v="nitrous oxide"/>
    <s v="kg/2018 USD, purchaser price"/>
    <n v="0"/>
    <n v="0"/>
    <n v="0"/>
    <n v="0"/>
    <n v="0"/>
    <n v="0"/>
  </r>
  <r>
    <x v="197"/>
    <s v="other GHGs"/>
    <s v="kg CO2e/2018 USD, purchaser price"/>
    <n v="1.2E-2"/>
    <n v="1.2E-2"/>
    <n v="0"/>
    <n v="0"/>
    <n v="1.2E-2"/>
    <n v="1.2E-2"/>
  </r>
  <r>
    <x v="198"/>
    <s v="carbon dioxide"/>
    <s v="kg/2018 USD, purchaser price"/>
    <n v="8.1000000000000003E-2"/>
    <n v="8.1000000000000003E-2"/>
    <n v="2.5999999999999999E-2"/>
    <n v="2.5999999999999999E-2"/>
    <n v="0.106"/>
    <n v="0.106"/>
  </r>
  <r>
    <x v="198"/>
    <s v="methane"/>
    <s v="kg/2018 USD, purchaser price"/>
    <n v="0"/>
    <n v="0"/>
    <n v="0"/>
    <n v="0"/>
    <n v="0"/>
    <n v="0"/>
  </r>
  <r>
    <x v="198"/>
    <s v="nitrous oxide"/>
    <s v="kg/2018 USD, purchaser price"/>
    <n v="0"/>
    <n v="0"/>
    <n v="0"/>
    <n v="0"/>
    <n v="0"/>
    <n v="0"/>
  </r>
  <r>
    <x v="198"/>
    <s v="other GHGs"/>
    <s v="kg CO2e/2018 USD, purchaser price"/>
    <n v="8.0000000000000002E-3"/>
    <n v="8.0000000000000002E-3"/>
    <n v="0"/>
    <n v="0"/>
    <n v="8.0000000000000002E-3"/>
    <n v="8.0000000000000002E-3"/>
  </r>
  <r>
    <x v="199"/>
    <s v="carbon dioxide"/>
    <s v="kg/2018 USD, purchaser price"/>
    <n v="4.3999999999999997E-2"/>
    <n v="4.3999999999999997E-2"/>
    <n v="0.05"/>
    <n v="0.05"/>
    <n v="9.5000000000000001E-2"/>
    <n v="9.5000000000000001E-2"/>
  </r>
  <r>
    <x v="199"/>
    <s v="methane"/>
    <s v="kg/2018 USD, purchaser price"/>
    <n v="0"/>
    <n v="0"/>
    <n v="0"/>
    <n v="0"/>
    <n v="0"/>
    <n v="0"/>
  </r>
  <r>
    <x v="199"/>
    <s v="nitrous oxide"/>
    <s v="kg/2018 USD, purchaser price"/>
    <n v="0"/>
    <n v="0"/>
    <n v="0"/>
    <n v="0"/>
    <n v="0"/>
    <n v="0"/>
  </r>
  <r>
    <x v="199"/>
    <s v="other GHGs"/>
    <s v="kg CO2e/2018 USD, purchaser price"/>
    <n v="2E-3"/>
    <n v="2E-3"/>
    <n v="0"/>
    <n v="0"/>
    <n v="2E-3"/>
    <n v="2E-3"/>
  </r>
  <r>
    <x v="200"/>
    <s v="carbon dioxide"/>
    <s v="kg/2018 USD, purchaser price"/>
    <n v="3.6999999999999998E-2"/>
    <n v="3.6999999999999998E-2"/>
    <n v="1.7999999999999999E-2"/>
    <n v="1.7999999999999999E-2"/>
    <n v="5.5E-2"/>
    <n v="5.5E-2"/>
  </r>
  <r>
    <x v="200"/>
    <s v="methane"/>
    <s v="kg/2018 USD, purchaser price"/>
    <n v="0"/>
    <n v="0"/>
    <n v="0"/>
    <n v="0"/>
    <n v="0"/>
    <n v="0"/>
  </r>
  <r>
    <x v="200"/>
    <s v="nitrous oxide"/>
    <s v="kg/2018 USD, purchaser price"/>
    <n v="0"/>
    <n v="0"/>
    <n v="0"/>
    <n v="0"/>
    <n v="0"/>
    <n v="0"/>
  </r>
  <r>
    <x v="200"/>
    <s v="other GHGs"/>
    <s v="kg CO2e/2018 USD, purchaser price"/>
    <n v="2E-3"/>
    <n v="2E-3"/>
    <n v="0"/>
    <n v="0"/>
    <n v="2E-3"/>
    <n v="2E-3"/>
  </r>
  <r>
    <x v="201"/>
    <s v="carbon dioxide"/>
    <s v="kg/2018 USD, purchaser price"/>
    <n v="5.2999999999999999E-2"/>
    <n v="5.2999999999999999E-2"/>
    <n v="1.6E-2"/>
    <n v="1.6E-2"/>
    <n v="6.9000000000000006E-2"/>
    <n v="6.9000000000000006E-2"/>
  </r>
  <r>
    <x v="201"/>
    <s v="methane"/>
    <s v="kg/2018 USD, purchaser price"/>
    <n v="0"/>
    <n v="0"/>
    <n v="0"/>
    <n v="0"/>
    <n v="0"/>
    <n v="0"/>
  </r>
  <r>
    <x v="201"/>
    <s v="nitrous oxide"/>
    <s v="kg/2018 USD, purchaser price"/>
    <n v="0"/>
    <n v="0"/>
    <n v="0"/>
    <n v="0"/>
    <n v="0"/>
    <n v="0"/>
  </r>
  <r>
    <x v="201"/>
    <s v="other GHGs"/>
    <s v="kg CO2e/2018 USD, purchaser price"/>
    <n v="8.9999999999999993E-3"/>
    <n v="8.9999999999999993E-3"/>
    <n v="0"/>
    <n v="0"/>
    <n v="8.9999999999999993E-3"/>
    <n v="8.9999999999999993E-3"/>
  </r>
  <r>
    <x v="202"/>
    <s v="carbon dioxide"/>
    <s v="kg/2018 USD, purchaser price"/>
    <n v="6.4000000000000001E-2"/>
    <n v="6.4000000000000001E-2"/>
    <n v="1.9E-2"/>
    <n v="1.9E-2"/>
    <n v="8.3000000000000004E-2"/>
    <n v="8.3000000000000004E-2"/>
  </r>
  <r>
    <x v="202"/>
    <s v="methane"/>
    <s v="kg/2018 USD, purchaser price"/>
    <n v="0"/>
    <n v="0"/>
    <n v="0"/>
    <n v="0"/>
    <n v="0"/>
    <n v="0"/>
  </r>
  <r>
    <x v="202"/>
    <s v="nitrous oxide"/>
    <s v="kg/2018 USD, purchaser price"/>
    <n v="0"/>
    <n v="0"/>
    <n v="0"/>
    <n v="0"/>
    <n v="0"/>
    <n v="0"/>
  </r>
  <r>
    <x v="202"/>
    <s v="other GHGs"/>
    <s v="kg CO2e/2018 USD, purchaser price"/>
    <n v="3.0000000000000001E-3"/>
    <n v="3.0000000000000001E-3"/>
    <n v="0"/>
    <n v="0"/>
    <n v="3.0000000000000001E-3"/>
    <n v="3.0000000000000001E-3"/>
  </r>
  <r>
    <x v="203"/>
    <s v="carbon dioxide"/>
    <s v="kg/2018 USD, purchaser price"/>
    <n v="0.04"/>
    <n v="0.04"/>
    <n v="2.9000000000000001E-2"/>
    <n v="2.9000000000000001E-2"/>
    <n v="6.9000000000000006E-2"/>
    <n v="6.9000000000000006E-2"/>
  </r>
  <r>
    <x v="203"/>
    <s v="methane"/>
    <s v="kg/2018 USD, purchaser price"/>
    <n v="0"/>
    <n v="0"/>
    <n v="0"/>
    <n v="0"/>
    <n v="0"/>
    <n v="0"/>
  </r>
  <r>
    <x v="203"/>
    <s v="nitrous oxide"/>
    <s v="kg/2018 USD, purchaser price"/>
    <n v="0"/>
    <n v="0"/>
    <n v="0"/>
    <n v="0"/>
    <n v="0"/>
    <n v="0"/>
  </r>
  <r>
    <x v="203"/>
    <s v="other GHGs"/>
    <s v="kg CO2e/2018 USD, purchaser price"/>
    <n v="2E-3"/>
    <n v="2E-3"/>
    <n v="0"/>
    <n v="0"/>
    <n v="2E-3"/>
    <n v="2E-3"/>
  </r>
  <r>
    <x v="204"/>
    <s v="carbon dioxide"/>
    <s v="kg/2018 USD, purchaser price"/>
    <n v="5.5E-2"/>
    <n v="5.5E-2"/>
    <n v="0.03"/>
    <n v="0.03"/>
    <n v="8.5000000000000006E-2"/>
    <n v="8.5000000000000006E-2"/>
  </r>
  <r>
    <x v="204"/>
    <s v="methane"/>
    <s v="kg/2018 USD, purchaser price"/>
    <n v="0"/>
    <n v="0"/>
    <n v="0"/>
    <n v="0"/>
    <n v="0"/>
    <n v="0"/>
  </r>
  <r>
    <x v="204"/>
    <s v="nitrous oxide"/>
    <s v="kg/2018 USD, purchaser price"/>
    <n v="0"/>
    <n v="0"/>
    <n v="0"/>
    <n v="0"/>
    <n v="0"/>
    <n v="0"/>
  </r>
  <r>
    <x v="204"/>
    <s v="other GHGs"/>
    <s v="kg CO2e/2018 USD, purchaser price"/>
    <n v="2E-3"/>
    <n v="2E-3"/>
    <n v="0"/>
    <n v="0"/>
    <n v="2E-3"/>
    <n v="2E-3"/>
  </r>
  <r>
    <x v="205"/>
    <s v="carbon dioxide"/>
    <s v="kg/2018 USD, purchaser price"/>
    <n v="4.5999999999999999E-2"/>
    <n v="4.5999999999999999E-2"/>
    <n v="2.8000000000000001E-2"/>
    <n v="2.8000000000000001E-2"/>
    <n v="7.4999999999999997E-2"/>
    <n v="7.4999999999999997E-2"/>
  </r>
  <r>
    <x v="205"/>
    <s v="methane"/>
    <s v="kg/2018 USD, purchaser price"/>
    <n v="0"/>
    <n v="0"/>
    <n v="0"/>
    <n v="0"/>
    <n v="0"/>
    <n v="0"/>
  </r>
  <r>
    <x v="205"/>
    <s v="nitrous oxide"/>
    <s v="kg/2018 USD, purchaser price"/>
    <n v="0"/>
    <n v="0"/>
    <n v="0"/>
    <n v="0"/>
    <n v="0"/>
    <n v="0"/>
  </r>
  <r>
    <x v="205"/>
    <s v="other GHGs"/>
    <s v="kg CO2e/2018 USD, purchaser price"/>
    <n v="2E-3"/>
    <n v="2E-3"/>
    <n v="0"/>
    <n v="0"/>
    <n v="2E-3"/>
    <n v="2E-3"/>
  </r>
  <r>
    <x v="206"/>
    <s v="carbon dioxide"/>
    <s v="kg/2018 USD, purchaser price"/>
    <n v="0.08"/>
    <n v="0.08"/>
    <n v="4.2000000000000003E-2"/>
    <n v="4.2000000000000003E-2"/>
    <n v="0.123"/>
    <n v="0.123"/>
  </r>
  <r>
    <x v="206"/>
    <s v="methane"/>
    <s v="kg/2018 USD, purchaser price"/>
    <n v="0"/>
    <n v="0"/>
    <n v="0"/>
    <n v="0"/>
    <n v="1E-3"/>
    <n v="2.8000000000000001E-2"/>
  </r>
  <r>
    <x v="206"/>
    <s v="nitrous oxide"/>
    <s v="kg/2018 USD, purchaser price"/>
    <n v="0"/>
    <n v="0"/>
    <n v="0"/>
    <n v="0"/>
    <n v="0"/>
    <n v="0"/>
  </r>
  <r>
    <x v="206"/>
    <s v="other GHGs"/>
    <s v="kg CO2e/2018 USD, purchaser price"/>
    <n v="3.0000000000000001E-3"/>
    <n v="3.0000000000000001E-3"/>
    <n v="0"/>
    <n v="0"/>
    <n v="3.0000000000000001E-3"/>
    <n v="3.0000000000000001E-3"/>
  </r>
  <r>
    <x v="207"/>
    <s v="carbon dioxide"/>
    <s v="kg/2018 USD, purchaser price"/>
    <n v="4.5999999999999999E-2"/>
    <n v="4.5999999999999999E-2"/>
    <n v="0.121"/>
    <n v="0.121"/>
    <n v="0.16600000000000001"/>
    <n v="0.16600000000000001"/>
  </r>
  <r>
    <x v="207"/>
    <s v="methane"/>
    <s v="kg/2018 USD, purchaser price"/>
    <n v="0"/>
    <n v="0"/>
    <n v="1E-3"/>
    <n v="2.8000000000000001E-2"/>
    <n v="1E-3"/>
    <n v="2.8000000000000001E-2"/>
  </r>
  <r>
    <x v="207"/>
    <s v="nitrous oxide"/>
    <s v="kg/2018 USD, purchaser price"/>
    <n v="0"/>
    <n v="0"/>
    <n v="0"/>
    <n v="0"/>
    <n v="0"/>
    <n v="0"/>
  </r>
  <r>
    <x v="207"/>
    <s v="other GHGs"/>
    <s v="kg CO2e/2018 USD, purchaser price"/>
    <n v="2E-3"/>
    <n v="2E-3"/>
    <n v="0"/>
    <n v="0"/>
    <n v="2E-3"/>
    <n v="2E-3"/>
  </r>
  <r>
    <x v="208"/>
    <s v="carbon dioxide"/>
    <s v="kg/2018 USD, purchaser price"/>
    <n v="6.6000000000000003E-2"/>
    <n v="6.6000000000000003E-2"/>
    <n v="1.7000000000000001E-2"/>
    <n v="1.7000000000000001E-2"/>
    <n v="8.3000000000000004E-2"/>
    <n v="8.3000000000000004E-2"/>
  </r>
  <r>
    <x v="208"/>
    <s v="methane"/>
    <s v="kg/2018 USD, purchaser price"/>
    <n v="0"/>
    <n v="0"/>
    <n v="0"/>
    <n v="0"/>
    <n v="0"/>
    <n v="0"/>
  </r>
  <r>
    <x v="208"/>
    <s v="nitrous oxide"/>
    <s v="kg/2018 USD, purchaser price"/>
    <n v="0"/>
    <n v="0"/>
    <n v="0"/>
    <n v="0"/>
    <n v="0"/>
    <n v="0"/>
  </r>
  <r>
    <x v="208"/>
    <s v="other GHGs"/>
    <s v="kg CO2e/2018 USD, purchaser price"/>
    <n v="3.0000000000000001E-3"/>
    <n v="3.0000000000000001E-3"/>
    <n v="0"/>
    <n v="0"/>
    <n v="3.0000000000000001E-3"/>
    <n v="3.0000000000000001E-3"/>
  </r>
  <r>
    <x v="209"/>
    <s v="carbon dioxide"/>
    <s v="kg/2018 USD, purchaser price"/>
    <n v="0.20899999999999999"/>
    <n v="0.20899999999999999"/>
    <n v="0.17599999999999999"/>
    <n v="0.17599999999999999"/>
    <n v="0.38500000000000001"/>
    <n v="0.38500000000000001"/>
  </r>
  <r>
    <x v="209"/>
    <s v="methane"/>
    <s v="kg/2018 USD, purchaser price"/>
    <n v="1E-3"/>
    <n v="2.8000000000000001E-2"/>
    <n v="1E-3"/>
    <n v="2.8000000000000001E-2"/>
    <n v="1E-3"/>
    <n v="2.8000000000000001E-2"/>
  </r>
  <r>
    <x v="209"/>
    <s v="nitrous oxide"/>
    <s v="kg/2018 USD, purchaser price"/>
    <n v="0"/>
    <n v="0"/>
    <n v="0"/>
    <n v="0"/>
    <n v="0"/>
    <n v="0"/>
  </r>
  <r>
    <x v="209"/>
    <s v="other GHGs"/>
    <s v="kg CO2e/2018 USD, purchaser price"/>
    <n v="0.01"/>
    <n v="0.01"/>
    <n v="0"/>
    <n v="0"/>
    <n v="0.01"/>
    <n v="0.01"/>
  </r>
  <r>
    <x v="210"/>
    <s v="carbon dioxide"/>
    <s v="kg/2018 USD, purchaser price"/>
    <n v="0.2"/>
    <n v="0.2"/>
    <n v="0.20200000000000001"/>
    <n v="0.20200000000000001"/>
    <n v="0.40200000000000002"/>
    <n v="0.40200000000000002"/>
  </r>
  <r>
    <x v="210"/>
    <s v="methane"/>
    <s v="kg/2018 USD, purchaser price"/>
    <n v="1E-3"/>
    <n v="2.8000000000000001E-2"/>
    <n v="2E-3"/>
    <n v="5.6000000000000001E-2"/>
    <n v="3.0000000000000001E-3"/>
    <n v="8.4000000000000005E-2"/>
  </r>
  <r>
    <x v="210"/>
    <s v="nitrous oxide"/>
    <s v="kg/2018 USD, purchaser price"/>
    <n v="0"/>
    <n v="0"/>
    <n v="0"/>
    <n v="0"/>
    <n v="0"/>
    <n v="0"/>
  </r>
  <r>
    <x v="210"/>
    <s v="other GHGs"/>
    <s v="kg CO2e/2018 USD, purchaser price"/>
    <n v="1.6E-2"/>
    <n v="1.6E-2"/>
    <n v="0"/>
    <n v="0"/>
    <n v="1.6E-2"/>
    <n v="1.6E-2"/>
  </r>
  <r>
    <x v="211"/>
    <s v="carbon dioxide"/>
    <s v="kg/2018 USD, purchaser price"/>
    <n v="0.23499999999999999"/>
    <n v="0.23499999999999999"/>
    <n v="0.69199999999999995"/>
    <n v="0.69199999999999995"/>
    <n v="0.92700000000000005"/>
    <n v="0.92700000000000005"/>
  </r>
  <r>
    <x v="211"/>
    <s v="methane"/>
    <s v="kg/2018 USD, purchaser price"/>
    <n v="1E-3"/>
    <n v="2.8000000000000001E-2"/>
    <n v="5.0000000000000001E-3"/>
    <n v="0.14000000000000001"/>
    <n v="6.0000000000000001E-3"/>
    <n v="0.16800000000000001"/>
  </r>
  <r>
    <x v="211"/>
    <s v="nitrous oxide"/>
    <s v="kg/2018 USD, purchaser price"/>
    <n v="0"/>
    <n v="0"/>
    <n v="0"/>
    <n v="0"/>
    <n v="0"/>
    <n v="0"/>
  </r>
  <r>
    <x v="211"/>
    <s v="other GHGs"/>
    <s v="kg CO2e/2018 USD, purchaser price"/>
    <n v="6.0000000000000001E-3"/>
    <n v="6.0000000000000001E-3"/>
    <n v="0"/>
    <n v="0"/>
    <n v="6.0000000000000001E-3"/>
    <n v="6.0000000000000001E-3"/>
  </r>
  <r>
    <x v="212"/>
    <s v="carbon dioxide"/>
    <s v="kg/2018 USD, purchaser price"/>
    <n v="0.249"/>
    <n v="0.249"/>
    <n v="0.21199999999999999"/>
    <n v="0.21199999999999999"/>
    <n v="0.46"/>
    <n v="0.46"/>
  </r>
  <r>
    <x v="212"/>
    <s v="methane"/>
    <s v="kg/2018 USD, purchaser price"/>
    <n v="1E-3"/>
    <n v="2.8000000000000001E-2"/>
    <n v="1E-3"/>
    <n v="2.8000000000000001E-2"/>
    <n v="2E-3"/>
    <n v="5.6000000000000001E-2"/>
  </r>
  <r>
    <x v="212"/>
    <s v="nitrous oxide"/>
    <s v="kg/2018 USD, purchaser price"/>
    <n v="0"/>
    <n v="0"/>
    <n v="0"/>
    <n v="0"/>
    <n v="0"/>
    <n v="0"/>
  </r>
  <r>
    <x v="212"/>
    <s v="other GHGs"/>
    <s v="kg CO2e/2018 USD, purchaser price"/>
    <n v="1.4E-2"/>
    <n v="1.4E-2"/>
    <n v="0"/>
    <n v="0"/>
    <n v="1.4E-2"/>
    <n v="1.4E-2"/>
  </r>
  <r>
    <x v="213"/>
    <s v="carbon dioxide"/>
    <s v="kg/2018 USD, purchaser price"/>
    <n v="0.214"/>
    <n v="0.214"/>
    <n v="0.22700000000000001"/>
    <n v="0.22700000000000001"/>
    <n v="0.441"/>
    <n v="0.441"/>
  </r>
  <r>
    <x v="213"/>
    <s v="methane"/>
    <s v="kg/2018 USD, purchaser price"/>
    <n v="1E-3"/>
    <n v="2.8000000000000001E-2"/>
    <n v="1E-3"/>
    <n v="2.8000000000000001E-2"/>
    <n v="2E-3"/>
    <n v="5.6000000000000001E-2"/>
  </r>
  <r>
    <x v="213"/>
    <s v="nitrous oxide"/>
    <s v="kg/2018 USD, purchaser price"/>
    <n v="0"/>
    <n v="0"/>
    <n v="0"/>
    <n v="0"/>
    <n v="0"/>
    <n v="0"/>
  </r>
  <r>
    <x v="213"/>
    <s v="other GHGs"/>
    <s v="kg CO2e/2018 USD, purchaser price"/>
    <n v="0.111"/>
    <n v="0.111"/>
    <n v="0"/>
    <n v="0"/>
    <n v="0.111"/>
    <n v="0.111"/>
  </r>
  <r>
    <x v="214"/>
    <s v="carbon dioxide"/>
    <s v="kg/2018 USD, purchaser price"/>
    <n v="0.27600000000000002"/>
    <n v="0.27600000000000002"/>
    <n v="0.183"/>
    <n v="0.183"/>
    <n v="0.45900000000000002"/>
    <n v="0.45900000000000002"/>
  </r>
  <r>
    <x v="214"/>
    <s v="methane"/>
    <s v="kg/2018 USD, purchaser price"/>
    <n v="1E-3"/>
    <n v="2.8000000000000001E-2"/>
    <n v="1E-3"/>
    <n v="2.8000000000000001E-2"/>
    <n v="2E-3"/>
    <n v="5.6000000000000001E-2"/>
  </r>
  <r>
    <x v="214"/>
    <s v="nitrous oxide"/>
    <s v="kg/2018 USD, purchaser price"/>
    <n v="0"/>
    <n v="0"/>
    <n v="0"/>
    <n v="0"/>
    <n v="0"/>
    <n v="0"/>
  </r>
  <r>
    <x v="214"/>
    <s v="other GHGs"/>
    <s v="kg CO2e/2018 USD, purchaser price"/>
    <n v="8.0000000000000002E-3"/>
    <n v="8.0000000000000002E-3"/>
    <n v="0"/>
    <n v="0"/>
    <n v="8.0000000000000002E-3"/>
    <n v="8.0000000000000002E-3"/>
  </r>
  <r>
    <x v="215"/>
    <s v="carbon dioxide"/>
    <s v="kg/2018 USD, purchaser price"/>
    <n v="0.23699999999999999"/>
    <n v="0.23699999999999999"/>
    <n v="8.8999999999999996E-2"/>
    <n v="8.8999999999999996E-2"/>
    <n v="0.32700000000000001"/>
    <n v="0.32700000000000001"/>
  </r>
  <r>
    <x v="215"/>
    <s v="methane"/>
    <s v="kg/2018 USD, purchaser price"/>
    <n v="1E-3"/>
    <n v="2.8000000000000001E-2"/>
    <n v="0"/>
    <n v="0"/>
    <n v="1E-3"/>
    <n v="2.8000000000000001E-2"/>
  </r>
  <r>
    <x v="215"/>
    <s v="nitrous oxide"/>
    <s v="kg/2018 USD, purchaser price"/>
    <n v="0"/>
    <n v="0"/>
    <n v="0"/>
    <n v="0"/>
    <n v="0"/>
    <n v="0"/>
  </r>
  <r>
    <x v="215"/>
    <s v="other GHGs"/>
    <s v="kg CO2e/2018 USD, purchaser price"/>
    <n v="7.0000000000000001E-3"/>
    <n v="7.0000000000000001E-3"/>
    <n v="0"/>
    <n v="0"/>
    <n v="7.0000000000000001E-3"/>
    <n v="7.0000000000000001E-3"/>
  </r>
  <r>
    <x v="216"/>
    <s v="carbon dioxide"/>
    <s v="kg/2018 USD, purchaser price"/>
    <n v="0.26200000000000001"/>
    <n v="0.26200000000000001"/>
    <n v="4.7E-2"/>
    <n v="4.7E-2"/>
    <n v="0.309"/>
    <n v="0.309"/>
  </r>
  <r>
    <x v="216"/>
    <s v="methane"/>
    <s v="kg/2018 USD, purchaser price"/>
    <n v="1E-3"/>
    <n v="2.8000000000000001E-2"/>
    <n v="0"/>
    <n v="0"/>
    <n v="2E-3"/>
    <n v="5.6000000000000001E-2"/>
  </r>
  <r>
    <x v="216"/>
    <s v="nitrous oxide"/>
    <s v="kg/2018 USD, purchaser price"/>
    <n v="0"/>
    <n v="0"/>
    <n v="0"/>
    <n v="0"/>
    <n v="0"/>
    <n v="0"/>
  </r>
  <r>
    <x v="216"/>
    <s v="other GHGs"/>
    <s v="kg CO2e/2018 USD, purchaser price"/>
    <n v="6.0000000000000001E-3"/>
    <n v="6.0000000000000001E-3"/>
    <n v="0"/>
    <n v="0"/>
    <n v="6.0000000000000001E-3"/>
    <n v="6.0000000000000001E-3"/>
  </r>
  <r>
    <x v="217"/>
    <s v="carbon dioxide"/>
    <s v="kg/2018 USD, purchaser price"/>
    <n v="0.217"/>
    <n v="0.217"/>
    <n v="7.3999999999999996E-2"/>
    <n v="7.3999999999999996E-2"/>
    <n v="0.28999999999999998"/>
    <n v="0.28999999999999998"/>
  </r>
  <r>
    <x v="217"/>
    <s v="methane"/>
    <s v="kg/2018 USD, purchaser price"/>
    <n v="1E-3"/>
    <n v="2.8000000000000001E-2"/>
    <n v="0"/>
    <n v="0"/>
    <n v="1E-3"/>
    <n v="2.8000000000000001E-2"/>
  </r>
  <r>
    <x v="217"/>
    <s v="nitrous oxide"/>
    <s v="kg/2018 USD, purchaser price"/>
    <n v="0"/>
    <n v="0"/>
    <n v="0"/>
    <n v="0"/>
    <n v="0"/>
    <n v="0"/>
  </r>
  <r>
    <x v="217"/>
    <s v="other GHGs"/>
    <s v="kg CO2e/2018 USD, purchaser price"/>
    <n v="1.2999999999999999E-2"/>
    <n v="1.2999999999999999E-2"/>
    <n v="0"/>
    <n v="0"/>
    <n v="1.2999999999999999E-2"/>
    <n v="1.2999999999999999E-2"/>
  </r>
  <r>
    <x v="218"/>
    <s v="carbon dioxide"/>
    <s v="kg/2018 USD, purchaser price"/>
    <n v="0.23400000000000001"/>
    <n v="0.23400000000000001"/>
    <n v="4.8000000000000001E-2"/>
    <n v="4.8000000000000001E-2"/>
    <n v="0.28199999999999997"/>
    <n v="0.28199999999999997"/>
  </r>
  <r>
    <x v="218"/>
    <s v="methane"/>
    <s v="kg/2018 USD, purchaser price"/>
    <n v="1E-3"/>
    <n v="2.8000000000000001E-2"/>
    <n v="0"/>
    <n v="0"/>
    <n v="1E-3"/>
    <n v="2.8000000000000001E-2"/>
  </r>
  <r>
    <x v="218"/>
    <s v="nitrous oxide"/>
    <s v="kg/2018 USD, purchaser price"/>
    <n v="0"/>
    <n v="0"/>
    <n v="0"/>
    <n v="0"/>
    <n v="0"/>
    <n v="0"/>
  </r>
  <r>
    <x v="218"/>
    <s v="other GHGs"/>
    <s v="kg CO2e/2018 USD, purchaser price"/>
    <n v="8.0000000000000002E-3"/>
    <n v="8.0000000000000002E-3"/>
    <n v="0"/>
    <n v="0"/>
    <n v="8.0000000000000002E-3"/>
    <n v="8.0000000000000002E-3"/>
  </r>
  <r>
    <x v="219"/>
    <s v="carbon dioxide"/>
    <s v="kg/2018 USD, purchaser price"/>
    <n v="0.158"/>
    <n v="0.158"/>
    <n v="5.8999999999999997E-2"/>
    <n v="5.8999999999999997E-2"/>
    <n v="0.217"/>
    <n v="0.217"/>
  </r>
  <r>
    <x v="219"/>
    <s v="methane"/>
    <s v="kg/2018 USD, purchaser price"/>
    <n v="1E-3"/>
    <n v="2.8000000000000001E-2"/>
    <n v="0"/>
    <n v="0"/>
    <n v="1E-3"/>
    <n v="2.8000000000000001E-2"/>
  </r>
  <r>
    <x v="219"/>
    <s v="nitrous oxide"/>
    <s v="kg/2018 USD, purchaser price"/>
    <n v="0"/>
    <n v="0"/>
    <n v="0"/>
    <n v="0"/>
    <n v="0"/>
    <n v="0"/>
  </r>
  <r>
    <x v="219"/>
    <s v="other GHGs"/>
    <s v="kg CO2e/2018 USD, purchaser price"/>
    <n v="5.0000000000000001E-3"/>
    <n v="5.0000000000000001E-3"/>
    <n v="0"/>
    <n v="0"/>
    <n v="5.0000000000000001E-3"/>
    <n v="5.0000000000000001E-3"/>
  </r>
  <r>
    <x v="220"/>
    <s v="carbon dioxide"/>
    <s v="kg/2018 USD, purchaser price"/>
    <n v="0.38100000000000001"/>
    <n v="0.38100000000000001"/>
    <n v="0.106"/>
    <n v="0.106"/>
    <n v="0.48799999999999999"/>
    <n v="0.48799999999999999"/>
  </r>
  <r>
    <x v="220"/>
    <s v="methane"/>
    <s v="kg/2018 USD, purchaser price"/>
    <n v="1E-3"/>
    <n v="2.8000000000000001E-2"/>
    <n v="1E-3"/>
    <n v="2.8000000000000001E-2"/>
    <n v="2E-3"/>
    <n v="5.6000000000000001E-2"/>
  </r>
  <r>
    <x v="220"/>
    <s v="nitrous oxide"/>
    <s v="kg/2018 USD, purchaser price"/>
    <n v="0"/>
    <n v="0"/>
    <n v="0"/>
    <n v="0"/>
    <n v="0"/>
    <n v="0"/>
  </r>
  <r>
    <x v="220"/>
    <s v="other GHGs"/>
    <s v="kg CO2e/2018 USD, purchaser price"/>
    <n v="1.6E-2"/>
    <n v="1.6E-2"/>
    <n v="0"/>
    <n v="0"/>
    <n v="1.6E-2"/>
    <n v="1.6E-2"/>
  </r>
  <r>
    <x v="221"/>
    <s v="carbon dioxide"/>
    <s v="kg/2018 USD, purchaser price"/>
    <n v="0.27200000000000002"/>
    <n v="0.27200000000000002"/>
    <n v="0.183"/>
    <n v="0.183"/>
    <n v="0.45500000000000002"/>
    <n v="0.45500000000000002"/>
  </r>
  <r>
    <x v="221"/>
    <s v="methane"/>
    <s v="kg/2018 USD, purchaser price"/>
    <n v="1E-3"/>
    <n v="2.8000000000000001E-2"/>
    <n v="1E-3"/>
    <n v="2.8000000000000001E-2"/>
    <n v="2E-3"/>
    <n v="5.6000000000000001E-2"/>
  </r>
  <r>
    <x v="221"/>
    <s v="nitrous oxide"/>
    <s v="kg/2018 USD, purchaser price"/>
    <n v="0"/>
    <n v="0"/>
    <n v="0"/>
    <n v="0"/>
    <n v="0"/>
    <n v="0"/>
  </r>
  <r>
    <x v="221"/>
    <s v="other GHGs"/>
    <s v="kg CO2e/2018 USD, purchaser price"/>
    <n v="1.0999999999999999E-2"/>
    <n v="1.0999999999999999E-2"/>
    <n v="0"/>
    <n v="0"/>
    <n v="1.0999999999999999E-2"/>
    <n v="1.0999999999999999E-2"/>
  </r>
  <r>
    <x v="222"/>
    <s v="carbon dioxide"/>
    <s v="kg/2018 USD, purchaser price"/>
    <n v="0.36399999999999999"/>
    <n v="0.36399999999999999"/>
    <n v="4.2999999999999997E-2"/>
    <n v="4.2999999999999997E-2"/>
    <n v="0.40699999999999997"/>
    <n v="0.40699999999999997"/>
  </r>
  <r>
    <x v="222"/>
    <s v="methane"/>
    <s v="kg/2018 USD, purchaser price"/>
    <n v="1E-3"/>
    <n v="2.8000000000000001E-2"/>
    <n v="0"/>
    <n v="0"/>
    <n v="1E-3"/>
    <n v="2.8000000000000001E-2"/>
  </r>
  <r>
    <x v="222"/>
    <s v="nitrous oxide"/>
    <s v="kg/2018 USD, purchaser price"/>
    <n v="0"/>
    <n v="0"/>
    <n v="0"/>
    <n v="0"/>
    <n v="0"/>
    <n v="0"/>
  </r>
  <r>
    <x v="222"/>
    <s v="other GHGs"/>
    <s v="kg CO2e/2018 USD, purchaser price"/>
    <n v="1.2999999999999999E-2"/>
    <n v="1.2999999999999999E-2"/>
    <n v="0"/>
    <n v="0"/>
    <n v="1.2999999999999999E-2"/>
    <n v="1.2999999999999999E-2"/>
  </r>
  <r>
    <x v="223"/>
    <s v="carbon dioxide"/>
    <s v="kg/2018 USD, purchaser price"/>
    <n v="0.29099999999999998"/>
    <n v="0.29099999999999998"/>
    <n v="7.5999999999999998E-2"/>
    <n v="7.5999999999999998E-2"/>
    <n v="0.36699999999999999"/>
    <n v="0.36699999999999999"/>
  </r>
  <r>
    <x v="223"/>
    <s v="methane"/>
    <s v="kg/2018 USD, purchaser price"/>
    <n v="1E-3"/>
    <n v="2.8000000000000001E-2"/>
    <n v="0"/>
    <n v="0"/>
    <n v="2E-3"/>
    <n v="5.6000000000000001E-2"/>
  </r>
  <r>
    <x v="223"/>
    <s v="nitrous oxide"/>
    <s v="kg/2018 USD, purchaser price"/>
    <n v="0"/>
    <n v="0"/>
    <n v="0"/>
    <n v="0"/>
    <n v="0"/>
    <n v="0"/>
  </r>
  <r>
    <x v="223"/>
    <s v="other GHGs"/>
    <s v="kg CO2e/2018 USD, purchaser price"/>
    <n v="8.0000000000000002E-3"/>
    <n v="8.0000000000000002E-3"/>
    <n v="0"/>
    <n v="0"/>
    <n v="8.0000000000000002E-3"/>
    <n v="8.0000000000000002E-3"/>
  </r>
  <r>
    <x v="224"/>
    <s v="carbon dioxide"/>
    <s v="kg/2018 USD, purchaser price"/>
    <n v="0.193"/>
    <n v="0.193"/>
    <n v="8.0000000000000002E-3"/>
    <n v="8.0000000000000002E-3"/>
    <n v="0.20100000000000001"/>
    <n v="0.20100000000000001"/>
  </r>
  <r>
    <x v="224"/>
    <s v="methane"/>
    <s v="kg/2018 USD, purchaser price"/>
    <n v="1E-3"/>
    <n v="2.8000000000000001E-2"/>
    <n v="0"/>
    <n v="0"/>
    <n v="1E-3"/>
    <n v="2.8000000000000001E-2"/>
  </r>
  <r>
    <x v="224"/>
    <s v="nitrous oxide"/>
    <s v="kg/2018 USD, purchaser price"/>
    <n v="0"/>
    <n v="0"/>
    <n v="0"/>
    <n v="0"/>
    <n v="0"/>
    <n v="0"/>
  </r>
  <r>
    <x v="224"/>
    <s v="other GHGs"/>
    <s v="kg CO2e/2018 USD, purchaser price"/>
    <n v="5.0000000000000001E-3"/>
    <n v="5.0000000000000001E-3"/>
    <n v="0"/>
    <n v="0"/>
    <n v="5.0000000000000001E-3"/>
    <n v="5.0000000000000001E-3"/>
  </r>
  <r>
    <x v="225"/>
    <s v="carbon dioxide"/>
    <s v="kg/2018 USD, purchaser price"/>
    <n v="0.154"/>
    <n v="0.154"/>
    <n v="5.5E-2"/>
    <n v="5.5E-2"/>
    <n v="0.20899999999999999"/>
    <n v="0.20899999999999999"/>
  </r>
  <r>
    <x v="225"/>
    <s v="methane"/>
    <s v="kg/2018 USD, purchaser price"/>
    <n v="1E-3"/>
    <n v="2.8000000000000001E-2"/>
    <n v="0"/>
    <n v="0"/>
    <n v="1E-3"/>
    <n v="2.8000000000000001E-2"/>
  </r>
  <r>
    <x v="225"/>
    <s v="nitrous oxide"/>
    <s v="kg/2018 USD, purchaser price"/>
    <n v="0"/>
    <n v="0"/>
    <n v="0"/>
    <n v="0"/>
    <n v="0"/>
    <n v="0"/>
  </r>
  <r>
    <x v="225"/>
    <s v="other GHGs"/>
    <s v="kg CO2e/2018 USD, purchaser price"/>
    <n v="8.0000000000000002E-3"/>
    <n v="8.0000000000000002E-3"/>
    <n v="0"/>
    <n v="0"/>
    <n v="8.0000000000000002E-3"/>
    <n v="8.0000000000000002E-3"/>
  </r>
  <r>
    <x v="226"/>
    <s v="carbon dioxide"/>
    <s v="kg/2018 USD, purchaser price"/>
    <n v="0.20899999999999999"/>
    <n v="0.20899999999999999"/>
    <n v="0.16200000000000001"/>
    <n v="0.16200000000000001"/>
    <n v="0.371"/>
    <n v="0.371"/>
  </r>
  <r>
    <x v="226"/>
    <s v="methane"/>
    <s v="kg/2018 USD, purchaser price"/>
    <n v="1E-3"/>
    <n v="2.8000000000000001E-2"/>
    <n v="1E-3"/>
    <n v="2.8000000000000001E-2"/>
    <n v="2E-3"/>
    <n v="5.6000000000000001E-2"/>
  </r>
  <r>
    <x v="226"/>
    <s v="nitrous oxide"/>
    <s v="kg/2018 USD, purchaser price"/>
    <n v="0"/>
    <n v="0"/>
    <n v="0"/>
    <n v="0"/>
    <n v="0"/>
    <n v="0"/>
  </r>
  <r>
    <x v="226"/>
    <s v="other GHGs"/>
    <s v="kg CO2e/2018 USD, purchaser price"/>
    <n v="2.1000000000000001E-2"/>
    <n v="2.1000000000000001E-2"/>
    <n v="0"/>
    <n v="0"/>
    <n v="2.1000000000000001E-2"/>
    <n v="2.1000000000000001E-2"/>
  </r>
  <r>
    <x v="227"/>
    <s v="carbon dioxide"/>
    <s v="kg/2018 USD, purchaser price"/>
    <n v="0.22600000000000001"/>
    <n v="0.22600000000000001"/>
    <n v="3.1E-2"/>
    <n v="3.1E-2"/>
    <n v="0.25600000000000001"/>
    <n v="0.25600000000000001"/>
  </r>
  <r>
    <x v="227"/>
    <s v="methane"/>
    <s v="kg/2018 USD, purchaser price"/>
    <n v="1E-3"/>
    <n v="2.8000000000000001E-2"/>
    <n v="0"/>
    <n v="0"/>
    <n v="1E-3"/>
    <n v="2.8000000000000001E-2"/>
  </r>
  <r>
    <x v="227"/>
    <s v="nitrous oxide"/>
    <s v="kg/2018 USD, purchaser price"/>
    <n v="0"/>
    <n v="0"/>
    <n v="0"/>
    <n v="0"/>
    <n v="0"/>
    <n v="0"/>
  </r>
  <r>
    <x v="227"/>
    <s v="other GHGs"/>
    <s v="kg CO2e/2018 USD, purchaser price"/>
    <n v="0.02"/>
    <n v="0.02"/>
    <n v="0"/>
    <n v="0"/>
    <n v="0.02"/>
    <n v="0.02"/>
  </r>
  <r>
    <x v="228"/>
    <s v="carbon dioxide"/>
    <s v="kg/2018 USD, purchaser price"/>
    <n v="0.26200000000000001"/>
    <n v="0.26200000000000001"/>
    <n v="1.6E-2"/>
    <n v="1.6E-2"/>
    <n v="0.27800000000000002"/>
    <n v="0.27800000000000002"/>
  </r>
  <r>
    <x v="228"/>
    <s v="methane"/>
    <s v="kg/2018 USD, purchaser price"/>
    <n v="1E-3"/>
    <n v="2.8000000000000001E-2"/>
    <n v="0"/>
    <n v="0"/>
    <n v="1E-3"/>
    <n v="2.8000000000000001E-2"/>
  </r>
  <r>
    <x v="228"/>
    <s v="nitrous oxide"/>
    <s v="kg/2018 USD, purchaser price"/>
    <n v="0"/>
    <n v="0"/>
    <n v="0"/>
    <n v="0"/>
    <n v="0"/>
    <n v="0"/>
  </r>
  <r>
    <x v="228"/>
    <s v="other GHGs"/>
    <s v="kg CO2e/2018 USD, purchaser price"/>
    <n v="4.2999999999999997E-2"/>
    <n v="4.2999999999999997E-2"/>
    <n v="0"/>
    <n v="0"/>
    <n v="4.2999999999999997E-2"/>
    <n v="4.2999999999999997E-2"/>
  </r>
  <r>
    <x v="229"/>
    <s v="carbon dioxide"/>
    <s v="kg/2018 USD, purchaser price"/>
    <n v="0.24299999999999999"/>
    <n v="0.24299999999999999"/>
    <n v="4.9000000000000002E-2"/>
    <n v="4.9000000000000002E-2"/>
    <n v="0.29199999999999998"/>
    <n v="0.29199999999999998"/>
  </r>
  <r>
    <x v="229"/>
    <s v="methane"/>
    <s v="kg/2018 USD, purchaser price"/>
    <n v="1E-3"/>
    <n v="2.8000000000000001E-2"/>
    <n v="0"/>
    <n v="0"/>
    <n v="1E-3"/>
    <n v="2.8000000000000001E-2"/>
  </r>
  <r>
    <x v="229"/>
    <s v="nitrous oxide"/>
    <s v="kg/2018 USD, purchaser price"/>
    <n v="0"/>
    <n v="0"/>
    <n v="0"/>
    <n v="0"/>
    <n v="0"/>
    <n v="0"/>
  </r>
  <r>
    <x v="229"/>
    <s v="other GHGs"/>
    <s v="kg CO2e/2018 USD, purchaser price"/>
    <n v="1.4999999999999999E-2"/>
    <n v="1.4999999999999999E-2"/>
    <n v="0"/>
    <n v="0"/>
    <n v="1.4999999999999999E-2"/>
    <n v="1.4999999999999999E-2"/>
  </r>
  <r>
    <x v="230"/>
    <s v="carbon dioxide"/>
    <s v="kg/2018 USD, purchaser price"/>
    <n v="0.16400000000000001"/>
    <n v="0.16400000000000001"/>
    <n v="2.7E-2"/>
    <n v="2.7E-2"/>
    <n v="0.19"/>
    <n v="0.19"/>
  </r>
  <r>
    <x v="230"/>
    <s v="methane"/>
    <s v="kg/2018 USD, purchaser price"/>
    <n v="1E-3"/>
    <n v="2.8000000000000001E-2"/>
    <n v="0"/>
    <n v="0"/>
    <n v="1E-3"/>
    <n v="2.8000000000000001E-2"/>
  </r>
  <r>
    <x v="230"/>
    <s v="nitrous oxide"/>
    <s v="kg/2018 USD, purchaser price"/>
    <n v="0"/>
    <n v="0"/>
    <n v="0"/>
    <n v="0"/>
    <n v="0"/>
    <n v="0"/>
  </r>
  <r>
    <x v="230"/>
    <s v="other GHGs"/>
    <s v="kg CO2e/2018 USD, purchaser price"/>
    <n v="4.7E-2"/>
    <n v="4.7E-2"/>
    <n v="0"/>
    <n v="0"/>
    <n v="4.7E-2"/>
    <n v="4.7E-2"/>
  </r>
  <r>
    <x v="231"/>
    <s v="carbon dioxide"/>
    <s v="kg/2018 USD, purchaser price"/>
    <n v="0.21299999999999999"/>
    <n v="0.21299999999999999"/>
    <n v="8.4000000000000005E-2"/>
    <n v="8.4000000000000005E-2"/>
    <n v="0.29699999999999999"/>
    <n v="0.29699999999999999"/>
  </r>
  <r>
    <x v="231"/>
    <s v="methane"/>
    <s v="kg/2018 USD, purchaser price"/>
    <n v="1E-3"/>
    <n v="2.8000000000000001E-2"/>
    <n v="0"/>
    <n v="0"/>
    <n v="1E-3"/>
    <n v="2.8000000000000001E-2"/>
  </r>
  <r>
    <x v="231"/>
    <s v="nitrous oxide"/>
    <s v="kg/2018 USD, purchaser price"/>
    <n v="0"/>
    <n v="0"/>
    <n v="0"/>
    <n v="0"/>
    <n v="0"/>
    <n v="0"/>
  </r>
  <r>
    <x v="231"/>
    <s v="other GHGs"/>
    <s v="kg CO2e/2018 USD, purchaser price"/>
    <n v="3.4000000000000002E-2"/>
    <n v="3.4000000000000002E-2"/>
    <n v="0"/>
    <n v="0"/>
    <n v="3.4000000000000002E-2"/>
    <n v="3.4000000000000002E-2"/>
  </r>
  <r>
    <x v="232"/>
    <s v="carbon dioxide"/>
    <s v="kg/2018 USD, purchaser price"/>
    <n v="0.35"/>
    <n v="0.35"/>
    <n v="6.3E-2"/>
    <n v="6.3E-2"/>
    <n v="0.41299999999999998"/>
    <n v="0.41299999999999998"/>
  </r>
  <r>
    <x v="232"/>
    <s v="methane"/>
    <s v="kg/2018 USD, purchaser price"/>
    <n v="2E-3"/>
    <n v="5.6000000000000001E-2"/>
    <n v="0"/>
    <n v="0"/>
    <n v="2E-3"/>
    <n v="5.6000000000000001E-2"/>
  </r>
  <r>
    <x v="232"/>
    <s v="nitrous oxide"/>
    <s v="kg/2018 USD, purchaser price"/>
    <n v="0"/>
    <n v="0"/>
    <n v="0"/>
    <n v="0"/>
    <n v="0"/>
    <n v="0"/>
  </r>
  <r>
    <x v="232"/>
    <s v="other GHGs"/>
    <s v="kg CO2e/2018 USD, purchaser price"/>
    <n v="3.7999999999999999E-2"/>
    <n v="3.7999999999999999E-2"/>
    <n v="0"/>
    <n v="0"/>
    <n v="3.7999999999999999E-2"/>
    <n v="3.7999999999999999E-2"/>
  </r>
  <r>
    <x v="233"/>
    <s v="carbon dioxide"/>
    <s v="kg/2018 USD, purchaser price"/>
    <n v="0.28199999999999997"/>
    <n v="0.28199999999999997"/>
    <n v="5.2999999999999999E-2"/>
    <n v="5.2999999999999999E-2"/>
    <n v="0.33600000000000002"/>
    <n v="0.33600000000000002"/>
  </r>
  <r>
    <x v="233"/>
    <s v="methane"/>
    <s v="kg/2018 USD, purchaser price"/>
    <n v="1E-3"/>
    <n v="2.8000000000000001E-2"/>
    <n v="0"/>
    <n v="0"/>
    <n v="1E-3"/>
    <n v="2.8000000000000001E-2"/>
  </r>
  <r>
    <x v="233"/>
    <s v="nitrous oxide"/>
    <s v="kg/2018 USD, purchaser price"/>
    <n v="0"/>
    <n v="0"/>
    <n v="0"/>
    <n v="0"/>
    <n v="0"/>
    <n v="0"/>
  </r>
  <r>
    <x v="233"/>
    <s v="other GHGs"/>
    <s v="kg CO2e/2018 USD, purchaser price"/>
    <n v="1.0999999999999999E-2"/>
    <n v="1.0999999999999999E-2"/>
    <n v="0"/>
    <n v="0"/>
    <n v="1.0999999999999999E-2"/>
    <n v="1.0999999999999999E-2"/>
  </r>
  <r>
    <x v="234"/>
    <s v="carbon dioxide"/>
    <s v="kg/2018 USD, purchaser price"/>
    <n v="0.28699999999999998"/>
    <n v="0.28699999999999998"/>
    <n v="8.8999999999999996E-2"/>
    <n v="8.8999999999999996E-2"/>
    <n v="0.376"/>
    <n v="0.376"/>
  </r>
  <r>
    <x v="234"/>
    <s v="methane"/>
    <s v="kg/2018 USD, purchaser price"/>
    <n v="1E-3"/>
    <n v="2.8000000000000001E-2"/>
    <n v="0"/>
    <n v="0"/>
    <n v="1E-3"/>
    <n v="2.8000000000000001E-2"/>
  </r>
  <r>
    <x v="234"/>
    <s v="nitrous oxide"/>
    <s v="kg/2018 USD, purchaser price"/>
    <n v="0"/>
    <n v="0"/>
    <n v="0"/>
    <n v="0"/>
    <n v="0"/>
    <n v="0"/>
  </r>
  <r>
    <x v="234"/>
    <s v="other GHGs"/>
    <s v="kg CO2e/2018 USD, purchaser price"/>
    <n v="1.2999999999999999E-2"/>
    <n v="1.2999999999999999E-2"/>
    <n v="0"/>
    <n v="0"/>
    <n v="1.2999999999999999E-2"/>
    <n v="1.2999999999999999E-2"/>
  </r>
  <r>
    <x v="235"/>
    <s v="carbon dioxide"/>
    <s v="kg/2018 USD, purchaser price"/>
    <n v="0.189"/>
    <n v="0.189"/>
    <n v="2.8000000000000001E-2"/>
    <n v="2.8000000000000001E-2"/>
    <n v="0.217"/>
    <n v="0.217"/>
  </r>
  <r>
    <x v="235"/>
    <s v="methane"/>
    <s v="kg/2018 USD, purchaser price"/>
    <n v="1E-3"/>
    <n v="2.8000000000000001E-2"/>
    <n v="0"/>
    <n v="0"/>
    <n v="1E-3"/>
    <n v="2.8000000000000001E-2"/>
  </r>
  <r>
    <x v="235"/>
    <s v="nitrous oxide"/>
    <s v="kg/2018 USD, purchaser price"/>
    <n v="0"/>
    <n v="0"/>
    <n v="0"/>
    <n v="0"/>
    <n v="0"/>
    <n v="0"/>
  </r>
  <r>
    <x v="235"/>
    <s v="other GHGs"/>
    <s v="kg CO2e/2018 USD, purchaser price"/>
    <n v="1.0999999999999999E-2"/>
    <n v="1.0999999999999999E-2"/>
    <n v="0"/>
    <n v="0"/>
    <n v="1.0999999999999999E-2"/>
    <n v="1.0999999999999999E-2"/>
  </r>
  <r>
    <x v="236"/>
    <s v="carbon dioxide"/>
    <s v="kg/2018 USD, purchaser price"/>
    <n v="0.251"/>
    <n v="0.251"/>
    <n v="0.02"/>
    <n v="0.02"/>
    <n v="0.27100000000000002"/>
    <n v="0.27100000000000002"/>
  </r>
  <r>
    <x v="236"/>
    <s v="methane"/>
    <s v="kg/2018 USD, purchaser price"/>
    <n v="1E-3"/>
    <n v="2.8000000000000001E-2"/>
    <n v="0"/>
    <n v="0"/>
    <n v="1E-3"/>
    <n v="2.8000000000000001E-2"/>
  </r>
  <r>
    <x v="236"/>
    <s v="nitrous oxide"/>
    <s v="kg/2018 USD, purchaser price"/>
    <n v="0"/>
    <n v="0"/>
    <n v="0"/>
    <n v="0"/>
    <n v="0"/>
    <n v="0"/>
  </r>
  <r>
    <x v="236"/>
    <s v="other GHGs"/>
    <s v="kg CO2e/2018 USD, purchaser price"/>
    <n v="2.1000000000000001E-2"/>
    <n v="2.1000000000000001E-2"/>
    <n v="0"/>
    <n v="0"/>
    <n v="2.1000000000000001E-2"/>
    <n v="2.1000000000000001E-2"/>
  </r>
  <r>
    <x v="237"/>
    <s v="carbon dioxide"/>
    <s v="kg/2018 USD, purchaser price"/>
    <n v="0.39100000000000001"/>
    <n v="0.39100000000000001"/>
    <n v="1.7000000000000001E-2"/>
    <n v="1.7000000000000001E-2"/>
    <n v="0.40799999999999997"/>
    <n v="0.40799999999999997"/>
  </r>
  <r>
    <x v="237"/>
    <s v="methane"/>
    <s v="kg/2018 USD, purchaser price"/>
    <n v="2E-3"/>
    <n v="5.6000000000000001E-2"/>
    <n v="0"/>
    <n v="0"/>
    <n v="2E-3"/>
    <n v="5.6000000000000001E-2"/>
  </r>
  <r>
    <x v="237"/>
    <s v="nitrous oxide"/>
    <s v="kg/2018 USD, purchaser price"/>
    <n v="0"/>
    <n v="0"/>
    <n v="0"/>
    <n v="0"/>
    <n v="0"/>
    <n v="0"/>
  </r>
  <r>
    <x v="237"/>
    <s v="other GHGs"/>
    <s v="kg CO2e/2018 USD, purchaser price"/>
    <n v="1.0999999999999999E-2"/>
    <n v="1.0999999999999999E-2"/>
    <n v="0"/>
    <n v="0"/>
    <n v="1.0999999999999999E-2"/>
    <n v="1.0999999999999999E-2"/>
  </r>
  <r>
    <x v="238"/>
    <s v="carbon dioxide"/>
    <s v="kg/2018 USD, purchaser price"/>
    <n v="0.31900000000000001"/>
    <n v="0.31900000000000001"/>
    <n v="5.3999999999999999E-2"/>
    <n v="5.3999999999999999E-2"/>
    <n v="0.373"/>
    <n v="0.373"/>
  </r>
  <r>
    <x v="238"/>
    <s v="methane"/>
    <s v="kg/2018 USD, purchaser price"/>
    <n v="1E-3"/>
    <n v="2.8000000000000001E-2"/>
    <n v="0"/>
    <n v="0"/>
    <n v="2E-3"/>
    <n v="5.6000000000000001E-2"/>
  </r>
  <r>
    <x v="238"/>
    <s v="nitrous oxide"/>
    <s v="kg/2018 USD, purchaser price"/>
    <n v="0"/>
    <n v="0"/>
    <n v="0"/>
    <n v="0"/>
    <n v="0"/>
    <n v="0"/>
  </r>
  <r>
    <x v="238"/>
    <s v="other GHGs"/>
    <s v="kg CO2e/2018 USD, purchaser price"/>
    <n v="1.4999999999999999E-2"/>
    <n v="1.4999999999999999E-2"/>
    <n v="0"/>
    <n v="0"/>
    <n v="1.4999999999999999E-2"/>
    <n v="1.4999999999999999E-2"/>
  </r>
  <r>
    <x v="239"/>
    <s v="carbon dioxide"/>
    <s v="kg/2018 USD, purchaser price"/>
    <n v="0.26200000000000001"/>
    <n v="0.26200000000000001"/>
    <n v="4.9000000000000002E-2"/>
    <n v="4.9000000000000002E-2"/>
    <n v="0.311"/>
    <n v="0.311"/>
  </r>
  <r>
    <x v="239"/>
    <s v="methane"/>
    <s v="kg/2018 USD, purchaser price"/>
    <n v="1E-3"/>
    <n v="2.8000000000000001E-2"/>
    <n v="0"/>
    <n v="0"/>
    <n v="1E-3"/>
    <n v="2.8000000000000001E-2"/>
  </r>
  <r>
    <x v="239"/>
    <s v="nitrous oxide"/>
    <s v="kg/2018 USD, purchaser price"/>
    <n v="0"/>
    <n v="0"/>
    <n v="0"/>
    <n v="0"/>
    <n v="0"/>
    <n v="0"/>
  </r>
  <r>
    <x v="239"/>
    <s v="other GHGs"/>
    <s v="kg CO2e/2018 USD, purchaser price"/>
    <n v="8.9999999999999993E-3"/>
    <n v="8.9999999999999993E-3"/>
    <n v="0"/>
    <n v="0"/>
    <n v="8.9999999999999993E-3"/>
    <n v="8.9999999999999993E-3"/>
  </r>
  <r>
    <x v="240"/>
    <s v="carbon dioxide"/>
    <s v="kg/2018 USD, purchaser price"/>
    <n v="7.8E-2"/>
    <n v="7.8E-2"/>
    <n v="7.0000000000000001E-3"/>
    <n v="7.0000000000000001E-3"/>
    <n v="8.5000000000000006E-2"/>
    <n v="8.5000000000000006E-2"/>
  </r>
  <r>
    <x v="240"/>
    <s v="methane"/>
    <s v="kg/2018 USD, purchaser price"/>
    <n v="0"/>
    <n v="0"/>
    <n v="0"/>
    <n v="0"/>
    <n v="0"/>
    <n v="0"/>
  </r>
  <r>
    <x v="240"/>
    <s v="nitrous oxide"/>
    <s v="kg/2018 USD, purchaser price"/>
    <n v="0"/>
    <n v="0"/>
    <n v="0"/>
    <n v="0"/>
    <n v="0"/>
    <n v="0"/>
  </r>
  <r>
    <x v="240"/>
    <s v="other GHGs"/>
    <s v="kg CO2e/2018 USD, purchaser price"/>
    <n v="5.0000000000000001E-3"/>
    <n v="5.0000000000000001E-3"/>
    <n v="0"/>
    <n v="0"/>
    <n v="5.0000000000000001E-3"/>
    <n v="5.0000000000000001E-3"/>
  </r>
  <r>
    <x v="241"/>
    <s v="carbon dioxide"/>
    <s v="kg/2018 USD, purchaser price"/>
    <n v="6.8000000000000005E-2"/>
    <n v="6.8000000000000005E-2"/>
    <n v="0.01"/>
    <n v="0.01"/>
    <n v="7.8E-2"/>
    <n v="7.8E-2"/>
  </r>
  <r>
    <x v="241"/>
    <s v="methane"/>
    <s v="kg/2018 USD, purchaser price"/>
    <n v="0"/>
    <n v="0"/>
    <n v="0"/>
    <n v="0"/>
    <n v="0"/>
    <n v="0"/>
  </r>
  <r>
    <x v="241"/>
    <s v="nitrous oxide"/>
    <s v="kg/2018 USD, purchaser price"/>
    <n v="0"/>
    <n v="0"/>
    <n v="0"/>
    <n v="0"/>
    <n v="0"/>
    <n v="0"/>
  </r>
  <r>
    <x v="241"/>
    <s v="other GHGs"/>
    <s v="kg CO2e/2018 USD, purchaser price"/>
    <n v="2E-3"/>
    <n v="2E-3"/>
    <n v="0"/>
    <n v="0"/>
    <n v="2E-3"/>
    <n v="2E-3"/>
  </r>
  <r>
    <x v="242"/>
    <s v="carbon dioxide"/>
    <s v="kg/2018 USD, purchaser price"/>
    <n v="6.0999999999999999E-2"/>
    <n v="6.0999999999999999E-2"/>
    <n v="5.0000000000000001E-3"/>
    <n v="5.0000000000000001E-3"/>
    <n v="6.6000000000000003E-2"/>
    <n v="6.6000000000000003E-2"/>
  </r>
  <r>
    <x v="242"/>
    <s v="methane"/>
    <s v="kg/2018 USD, purchaser price"/>
    <n v="0"/>
    <n v="0"/>
    <n v="0"/>
    <n v="0"/>
    <n v="0"/>
    <n v="0"/>
  </r>
  <r>
    <x v="242"/>
    <s v="nitrous oxide"/>
    <s v="kg/2018 USD, purchaser price"/>
    <n v="0"/>
    <n v="0"/>
    <n v="0"/>
    <n v="0"/>
    <n v="0"/>
    <n v="0"/>
  </r>
  <r>
    <x v="242"/>
    <s v="other GHGs"/>
    <s v="kg CO2e/2018 USD, purchaser price"/>
    <n v="5.0000000000000001E-3"/>
    <n v="5.0000000000000001E-3"/>
    <n v="0"/>
    <n v="0"/>
    <n v="5.0000000000000001E-3"/>
    <n v="5.0000000000000001E-3"/>
  </r>
  <r>
    <x v="243"/>
    <s v="carbon dioxide"/>
    <s v="kg/2018 USD, purchaser price"/>
    <n v="9.0999999999999998E-2"/>
    <n v="9.0999999999999998E-2"/>
    <n v="7.0000000000000001E-3"/>
    <n v="7.0000000000000001E-3"/>
    <n v="9.8000000000000004E-2"/>
    <n v="9.8000000000000004E-2"/>
  </r>
  <r>
    <x v="243"/>
    <s v="methane"/>
    <s v="kg/2018 USD, purchaser price"/>
    <n v="0"/>
    <n v="0"/>
    <n v="0"/>
    <n v="0"/>
    <n v="0"/>
    <n v="0"/>
  </r>
  <r>
    <x v="243"/>
    <s v="nitrous oxide"/>
    <s v="kg/2018 USD, purchaser price"/>
    <n v="0"/>
    <n v="0"/>
    <n v="0"/>
    <n v="0"/>
    <n v="0"/>
    <n v="0"/>
  </r>
  <r>
    <x v="243"/>
    <s v="other GHGs"/>
    <s v="kg CO2e/2018 USD, purchaser price"/>
    <n v="4.0000000000000001E-3"/>
    <n v="4.0000000000000001E-3"/>
    <n v="0"/>
    <n v="0"/>
    <n v="4.0000000000000001E-3"/>
    <n v="4.0000000000000001E-3"/>
  </r>
  <r>
    <x v="244"/>
    <s v="carbon dioxide"/>
    <s v="kg/2018 USD, purchaser price"/>
    <n v="0.10199999999999999"/>
    <n v="0.10199999999999999"/>
    <n v="8.0000000000000002E-3"/>
    <n v="8.0000000000000002E-3"/>
    <n v="0.11"/>
    <n v="0.11"/>
  </r>
  <r>
    <x v="244"/>
    <s v="methane"/>
    <s v="kg/2018 USD, purchaser price"/>
    <n v="0"/>
    <n v="0"/>
    <n v="0"/>
    <n v="0"/>
    <n v="0"/>
    <n v="0"/>
  </r>
  <r>
    <x v="244"/>
    <s v="nitrous oxide"/>
    <s v="kg/2018 USD, purchaser price"/>
    <n v="0"/>
    <n v="0"/>
    <n v="0"/>
    <n v="0"/>
    <n v="0"/>
    <n v="0"/>
  </r>
  <r>
    <x v="244"/>
    <s v="other GHGs"/>
    <s v="kg CO2e/2018 USD, purchaser price"/>
    <n v="3.0000000000000001E-3"/>
    <n v="3.0000000000000001E-3"/>
    <n v="0"/>
    <n v="0"/>
    <n v="3.0000000000000001E-3"/>
    <n v="3.0000000000000001E-3"/>
  </r>
  <r>
    <x v="245"/>
    <s v="carbon dioxide"/>
    <s v="kg/2018 USD, purchaser price"/>
    <n v="0.255"/>
    <n v="0.255"/>
    <n v="2.4E-2"/>
    <n v="2.4E-2"/>
    <n v="0.27900000000000003"/>
    <n v="0.27900000000000003"/>
  </r>
  <r>
    <x v="245"/>
    <s v="methane"/>
    <s v="kg/2018 USD, purchaser price"/>
    <n v="1E-3"/>
    <n v="2.8000000000000001E-2"/>
    <n v="0"/>
    <n v="0"/>
    <n v="1E-3"/>
    <n v="2.8000000000000001E-2"/>
  </r>
  <r>
    <x v="245"/>
    <s v="nitrous oxide"/>
    <s v="kg/2018 USD, purchaser price"/>
    <n v="0"/>
    <n v="0"/>
    <n v="0"/>
    <n v="0"/>
    <n v="0"/>
    <n v="0"/>
  </r>
  <r>
    <x v="245"/>
    <s v="other GHGs"/>
    <s v="kg CO2e/2018 USD, purchaser price"/>
    <n v="7.0000000000000001E-3"/>
    <n v="7.0000000000000001E-3"/>
    <n v="0"/>
    <n v="0"/>
    <n v="7.0000000000000001E-3"/>
    <n v="7.0000000000000001E-3"/>
  </r>
  <r>
    <x v="246"/>
    <s v="carbon dioxide"/>
    <s v="kg/2018 USD, purchaser price"/>
    <n v="0.13800000000000001"/>
    <n v="0.13800000000000001"/>
    <n v="8.0000000000000002E-3"/>
    <n v="8.0000000000000002E-3"/>
    <n v="0.14599999999999999"/>
    <n v="0.14599999999999999"/>
  </r>
  <r>
    <x v="246"/>
    <s v="methane"/>
    <s v="kg/2018 USD, purchaser price"/>
    <n v="1E-3"/>
    <n v="2.8000000000000001E-2"/>
    <n v="0"/>
    <n v="0"/>
    <n v="1E-3"/>
    <n v="2.8000000000000001E-2"/>
  </r>
  <r>
    <x v="246"/>
    <s v="nitrous oxide"/>
    <s v="kg/2018 USD, purchaser price"/>
    <n v="0"/>
    <n v="0"/>
    <n v="0"/>
    <n v="0"/>
    <n v="0"/>
    <n v="0"/>
  </r>
  <r>
    <x v="246"/>
    <s v="other GHGs"/>
    <s v="kg CO2e/2018 USD, purchaser price"/>
    <n v="6.0000000000000001E-3"/>
    <n v="6.0000000000000001E-3"/>
    <n v="0"/>
    <n v="0"/>
    <n v="6.0000000000000001E-3"/>
    <n v="6.0000000000000001E-3"/>
  </r>
  <r>
    <x v="247"/>
    <s v="carbon dioxide"/>
    <s v="kg/2018 USD, purchaser price"/>
    <n v="0.17399999999999999"/>
    <n v="0.17399999999999999"/>
    <n v="6.5000000000000002E-2"/>
    <n v="6.5000000000000002E-2"/>
    <n v="0.23899999999999999"/>
    <n v="0.23899999999999999"/>
  </r>
  <r>
    <x v="247"/>
    <s v="methane"/>
    <s v="kg/2018 USD, purchaser price"/>
    <n v="1E-3"/>
    <n v="2.8000000000000001E-2"/>
    <n v="0"/>
    <n v="0"/>
    <n v="1E-3"/>
    <n v="2.8000000000000001E-2"/>
  </r>
  <r>
    <x v="247"/>
    <s v="nitrous oxide"/>
    <s v="kg/2018 USD, purchaser price"/>
    <n v="0"/>
    <n v="0"/>
    <n v="0"/>
    <n v="0"/>
    <n v="0"/>
    <n v="0"/>
  </r>
  <r>
    <x v="247"/>
    <s v="other GHGs"/>
    <s v="kg CO2e/2018 USD, purchaser price"/>
    <n v="7.0000000000000001E-3"/>
    <n v="7.0000000000000001E-3"/>
    <n v="0"/>
    <n v="0"/>
    <n v="7.0000000000000001E-3"/>
    <n v="7.0000000000000001E-3"/>
  </r>
  <r>
    <x v="248"/>
    <s v="carbon dioxide"/>
    <s v="kg/2018 USD, purchaser price"/>
    <n v="7.3999999999999996E-2"/>
    <n v="7.3999999999999996E-2"/>
    <n v="5.3999999999999999E-2"/>
    <n v="5.3999999999999999E-2"/>
    <n v="0.128"/>
    <n v="0.128"/>
  </r>
  <r>
    <x v="248"/>
    <s v="methane"/>
    <s v="kg/2018 USD, purchaser price"/>
    <n v="0"/>
    <n v="0"/>
    <n v="0"/>
    <n v="0"/>
    <n v="1E-3"/>
    <n v="2.8000000000000001E-2"/>
  </r>
  <r>
    <x v="248"/>
    <s v="nitrous oxide"/>
    <s v="kg/2018 USD, purchaser price"/>
    <n v="0"/>
    <n v="0"/>
    <n v="0"/>
    <n v="0"/>
    <n v="0"/>
    <n v="0"/>
  </r>
  <r>
    <x v="248"/>
    <s v="other GHGs"/>
    <s v="kg CO2e/2018 USD, purchaser price"/>
    <n v="8.9999999999999993E-3"/>
    <n v="8.9999999999999993E-3"/>
    <n v="0"/>
    <n v="0"/>
    <n v="8.9999999999999993E-3"/>
    <n v="8.9999999999999993E-3"/>
  </r>
  <r>
    <x v="249"/>
    <s v="carbon dioxide"/>
    <s v="kg/2018 USD, purchaser price"/>
    <n v="0.17"/>
    <n v="0.17"/>
    <n v="8.0000000000000002E-3"/>
    <n v="8.0000000000000002E-3"/>
    <n v="0.17699999999999999"/>
    <n v="0.17699999999999999"/>
  </r>
  <r>
    <x v="249"/>
    <s v="methane"/>
    <s v="kg/2018 USD, purchaser price"/>
    <n v="1E-3"/>
    <n v="2.8000000000000001E-2"/>
    <n v="0"/>
    <n v="0"/>
    <n v="1E-3"/>
    <n v="2.8000000000000001E-2"/>
  </r>
  <r>
    <x v="249"/>
    <s v="nitrous oxide"/>
    <s v="kg/2018 USD, purchaser price"/>
    <n v="0"/>
    <n v="0"/>
    <n v="0"/>
    <n v="0"/>
    <n v="0"/>
    <n v="0"/>
  </r>
  <r>
    <x v="249"/>
    <s v="other GHGs"/>
    <s v="kg CO2e/2018 USD, purchaser price"/>
    <n v="0.01"/>
    <n v="0.01"/>
    <n v="0"/>
    <n v="0"/>
    <n v="0.01"/>
    <n v="0.01"/>
  </r>
  <r>
    <x v="250"/>
    <s v="carbon dioxide"/>
    <s v="kg/2018 USD, purchaser price"/>
    <n v="0.23300000000000001"/>
    <n v="0.23300000000000001"/>
    <n v="5.7000000000000002E-2"/>
    <n v="5.7000000000000002E-2"/>
    <n v="0.28999999999999998"/>
    <n v="0.28999999999999998"/>
  </r>
  <r>
    <x v="250"/>
    <s v="methane"/>
    <s v="kg/2018 USD, purchaser price"/>
    <n v="1E-3"/>
    <n v="2.8000000000000001E-2"/>
    <n v="0"/>
    <n v="0"/>
    <n v="1E-3"/>
    <n v="2.8000000000000001E-2"/>
  </r>
  <r>
    <x v="250"/>
    <s v="nitrous oxide"/>
    <s v="kg/2018 USD, purchaser price"/>
    <n v="0"/>
    <n v="0"/>
    <n v="0"/>
    <n v="0"/>
    <n v="0"/>
    <n v="0"/>
  </r>
  <r>
    <x v="250"/>
    <s v="other GHGs"/>
    <s v="kg CO2e/2018 USD, purchaser price"/>
    <n v="8.9999999999999993E-3"/>
    <n v="8.9999999999999993E-3"/>
    <n v="0"/>
    <n v="0"/>
    <n v="8.9999999999999993E-3"/>
    <n v="8.9999999999999993E-3"/>
  </r>
  <r>
    <x v="251"/>
    <s v="carbon dioxide"/>
    <s v="kg/2018 USD, purchaser price"/>
    <n v="0.14799999999999999"/>
    <n v="0.14799999999999999"/>
    <n v="9.2999999999999999E-2"/>
    <n v="9.2999999999999999E-2"/>
    <n v="0.24099999999999999"/>
    <n v="0.24099999999999999"/>
  </r>
  <r>
    <x v="251"/>
    <s v="methane"/>
    <s v="kg/2018 USD, purchaser price"/>
    <n v="1E-3"/>
    <n v="2.8000000000000001E-2"/>
    <n v="1E-3"/>
    <n v="2.8000000000000001E-2"/>
    <n v="1E-3"/>
    <n v="2.8000000000000001E-2"/>
  </r>
  <r>
    <x v="251"/>
    <s v="nitrous oxide"/>
    <s v="kg/2018 USD, purchaser price"/>
    <n v="0"/>
    <n v="0"/>
    <n v="0"/>
    <n v="0"/>
    <n v="0"/>
    <n v="0"/>
  </r>
  <r>
    <x v="251"/>
    <s v="other GHGs"/>
    <s v="kg CO2e/2018 USD, purchaser price"/>
    <n v="6.0000000000000001E-3"/>
    <n v="6.0000000000000001E-3"/>
    <n v="0"/>
    <n v="0"/>
    <n v="6.0000000000000001E-3"/>
    <n v="6.0000000000000001E-3"/>
  </r>
  <r>
    <x v="252"/>
    <s v="carbon dioxide"/>
    <s v="kg/2018 USD, purchaser price"/>
    <n v="0.23499999999999999"/>
    <n v="0.23499999999999999"/>
    <n v="0.22900000000000001"/>
    <n v="0.22900000000000001"/>
    <n v="0.46400000000000002"/>
    <n v="0.46400000000000002"/>
  </r>
  <r>
    <x v="252"/>
    <s v="methane"/>
    <s v="kg/2018 USD, purchaser price"/>
    <n v="1E-3"/>
    <n v="2.8000000000000001E-2"/>
    <n v="2E-3"/>
    <n v="5.6000000000000001E-2"/>
    <n v="3.0000000000000001E-3"/>
    <n v="8.4000000000000005E-2"/>
  </r>
  <r>
    <x v="252"/>
    <s v="nitrous oxide"/>
    <s v="kg/2018 USD, purchaser price"/>
    <n v="0"/>
    <n v="0"/>
    <n v="0"/>
    <n v="0"/>
    <n v="0"/>
    <n v="0"/>
  </r>
  <r>
    <x v="252"/>
    <s v="other GHGs"/>
    <s v="kg CO2e/2018 USD, purchaser price"/>
    <n v="4.3999999999999997E-2"/>
    <n v="4.3999999999999997E-2"/>
    <n v="0"/>
    <n v="0"/>
    <n v="4.3999999999999997E-2"/>
    <n v="4.3999999999999997E-2"/>
  </r>
  <r>
    <x v="253"/>
    <s v="carbon dioxide"/>
    <s v="kg/2018 USD, purchaser price"/>
    <n v="0.26900000000000002"/>
    <n v="0.26900000000000002"/>
    <n v="0.748"/>
    <n v="0.748"/>
    <n v="1.0169999999999999"/>
    <n v="1.0169999999999999"/>
  </r>
  <r>
    <x v="253"/>
    <s v="methane"/>
    <s v="kg/2018 USD, purchaser price"/>
    <n v="1E-3"/>
    <n v="2.8000000000000001E-2"/>
    <n v="5.0000000000000001E-3"/>
    <n v="0.14000000000000001"/>
    <n v="6.0000000000000001E-3"/>
    <n v="0.16800000000000001"/>
  </r>
  <r>
    <x v="253"/>
    <s v="nitrous oxide"/>
    <s v="kg/2018 USD, purchaser price"/>
    <n v="0"/>
    <n v="0"/>
    <n v="0"/>
    <n v="0"/>
    <n v="0"/>
    <n v="0"/>
  </r>
  <r>
    <x v="253"/>
    <s v="other GHGs"/>
    <s v="kg CO2e/2018 USD, purchaser price"/>
    <n v="1.4E-2"/>
    <n v="1.4E-2"/>
    <n v="0"/>
    <n v="0"/>
    <n v="1.4E-2"/>
    <n v="1.4E-2"/>
  </r>
  <r>
    <x v="254"/>
    <s v="carbon dioxide"/>
    <s v="kg/2018 USD, purchaser price"/>
    <n v="0.28000000000000003"/>
    <n v="0.28000000000000003"/>
    <n v="0.22900000000000001"/>
    <n v="0.22900000000000001"/>
    <n v="0.50900000000000001"/>
    <n v="0.50900000000000001"/>
  </r>
  <r>
    <x v="254"/>
    <s v="methane"/>
    <s v="kg/2018 USD, purchaser price"/>
    <n v="1E-3"/>
    <n v="2.8000000000000001E-2"/>
    <n v="2E-3"/>
    <n v="5.6000000000000001E-2"/>
    <n v="3.0000000000000001E-3"/>
    <n v="8.4000000000000005E-2"/>
  </r>
  <r>
    <x v="254"/>
    <s v="nitrous oxide"/>
    <s v="kg/2018 USD, purchaser price"/>
    <n v="0"/>
    <n v="0"/>
    <n v="0"/>
    <n v="0"/>
    <n v="0"/>
    <n v="0"/>
  </r>
  <r>
    <x v="254"/>
    <s v="other GHGs"/>
    <s v="kg CO2e/2018 USD, purchaser price"/>
    <n v="1.4999999999999999E-2"/>
    <n v="1.4999999999999999E-2"/>
    <n v="0"/>
    <n v="0"/>
    <n v="1.4999999999999999E-2"/>
    <n v="1.4999999999999999E-2"/>
  </r>
  <r>
    <x v="255"/>
    <s v="carbon dioxide"/>
    <s v="kg/2018 USD, purchaser price"/>
    <n v="0.30599999999999999"/>
    <n v="0.30599999999999999"/>
    <n v="0.46200000000000002"/>
    <n v="0.46200000000000002"/>
    <n v="0.76900000000000002"/>
    <n v="0.76900000000000002"/>
  </r>
  <r>
    <x v="255"/>
    <s v="methane"/>
    <s v="kg/2018 USD, purchaser price"/>
    <n v="1E-3"/>
    <n v="2.8000000000000001E-2"/>
    <n v="3.0000000000000001E-3"/>
    <n v="8.4000000000000005E-2"/>
    <n v="4.0000000000000001E-3"/>
    <n v="0.112"/>
  </r>
  <r>
    <x v="255"/>
    <s v="nitrous oxide"/>
    <s v="kg/2018 USD, purchaser price"/>
    <n v="0"/>
    <n v="0"/>
    <n v="0"/>
    <n v="0"/>
    <n v="0"/>
    <n v="0"/>
  </r>
  <r>
    <x v="255"/>
    <s v="other GHGs"/>
    <s v="kg CO2e/2018 USD, purchaser price"/>
    <n v="2.7E-2"/>
    <n v="2.7E-2"/>
    <n v="0"/>
    <n v="0"/>
    <n v="2.7E-2"/>
    <n v="2.7E-2"/>
  </r>
  <r>
    <x v="256"/>
    <s v="carbon dioxide"/>
    <s v="kg/2018 USD, purchaser price"/>
    <n v="0.32800000000000001"/>
    <n v="0.32800000000000001"/>
    <n v="0.182"/>
    <n v="0.182"/>
    <n v="0.51"/>
    <n v="0.51"/>
  </r>
  <r>
    <x v="256"/>
    <s v="methane"/>
    <s v="kg/2018 USD, purchaser price"/>
    <n v="1E-3"/>
    <n v="2.8000000000000001E-2"/>
    <n v="2E-3"/>
    <n v="5.6000000000000001E-2"/>
    <n v="3.0000000000000001E-3"/>
    <n v="8.4000000000000005E-2"/>
  </r>
  <r>
    <x v="256"/>
    <s v="nitrous oxide"/>
    <s v="kg/2018 USD, purchaser price"/>
    <n v="0"/>
    <n v="0"/>
    <n v="0"/>
    <n v="0"/>
    <n v="0"/>
    <n v="0"/>
  </r>
  <r>
    <x v="256"/>
    <s v="other GHGs"/>
    <s v="kg CO2e/2018 USD, purchaser price"/>
    <n v="1.2E-2"/>
    <n v="1.2E-2"/>
    <n v="0"/>
    <n v="0"/>
    <n v="1.2E-2"/>
    <n v="1.2E-2"/>
  </r>
  <r>
    <x v="257"/>
    <s v="carbon dioxide"/>
    <s v="kg/2018 USD, purchaser price"/>
    <n v="0.24399999999999999"/>
    <n v="0.24399999999999999"/>
    <n v="9.1999999999999998E-2"/>
    <n v="9.1999999999999998E-2"/>
    <n v="0.33600000000000002"/>
    <n v="0.33600000000000002"/>
  </r>
  <r>
    <x v="257"/>
    <s v="methane"/>
    <s v="kg/2018 USD, purchaser price"/>
    <n v="1E-3"/>
    <n v="2.8000000000000001E-2"/>
    <n v="1E-3"/>
    <n v="2.8000000000000001E-2"/>
    <n v="2E-3"/>
    <n v="5.6000000000000001E-2"/>
  </r>
  <r>
    <x v="257"/>
    <s v="nitrous oxide"/>
    <s v="kg/2018 USD, purchaser price"/>
    <n v="0"/>
    <n v="0"/>
    <n v="0"/>
    <n v="0"/>
    <n v="0"/>
    <n v="0"/>
  </r>
  <r>
    <x v="257"/>
    <s v="other GHGs"/>
    <s v="kg CO2e/2018 USD, purchaser price"/>
    <n v="1.2E-2"/>
    <n v="1.2E-2"/>
    <n v="0"/>
    <n v="0"/>
    <n v="1.2E-2"/>
    <n v="1.2E-2"/>
  </r>
  <r>
    <x v="258"/>
    <s v="carbon dioxide"/>
    <s v="kg/2018 USD, purchaser price"/>
    <n v="0.22600000000000001"/>
    <n v="0.22600000000000001"/>
    <n v="0.27400000000000002"/>
    <n v="0.27400000000000002"/>
    <n v="0.5"/>
    <n v="0.5"/>
  </r>
  <r>
    <x v="258"/>
    <s v="methane"/>
    <s v="kg/2018 USD, purchaser price"/>
    <n v="1E-3"/>
    <n v="2.8000000000000001E-2"/>
    <n v="2E-3"/>
    <n v="5.6000000000000001E-2"/>
    <n v="3.0000000000000001E-3"/>
    <n v="8.4000000000000005E-2"/>
  </r>
  <r>
    <x v="258"/>
    <s v="nitrous oxide"/>
    <s v="kg/2018 USD, purchaser price"/>
    <n v="0"/>
    <n v="0"/>
    <n v="0"/>
    <n v="0"/>
    <n v="0"/>
    <n v="0"/>
  </r>
  <r>
    <x v="258"/>
    <s v="other GHGs"/>
    <s v="kg CO2e/2018 USD, purchaser price"/>
    <n v="7.4999999999999997E-2"/>
    <n v="7.4999999999999997E-2"/>
    <n v="0"/>
    <n v="0"/>
    <n v="7.4999999999999997E-2"/>
    <n v="7.4999999999999997E-2"/>
  </r>
  <r>
    <x v="259"/>
    <s v="carbon dioxide"/>
    <s v="kg/2018 USD, purchaser price"/>
    <n v="0.13800000000000001"/>
    <n v="0.13800000000000001"/>
    <n v="4.3999999999999997E-2"/>
    <n v="4.3999999999999997E-2"/>
    <n v="0.182"/>
    <n v="0.182"/>
  </r>
  <r>
    <x v="259"/>
    <s v="methane"/>
    <s v="kg/2018 USD, purchaser price"/>
    <n v="1E-3"/>
    <n v="2.8000000000000001E-2"/>
    <n v="0"/>
    <n v="0"/>
    <n v="1E-3"/>
    <n v="2.8000000000000001E-2"/>
  </r>
  <r>
    <x v="259"/>
    <s v="nitrous oxide"/>
    <s v="kg/2018 USD, purchaser price"/>
    <n v="0"/>
    <n v="0"/>
    <n v="0"/>
    <n v="0"/>
    <n v="0"/>
    <n v="0"/>
  </r>
  <r>
    <x v="259"/>
    <s v="other GHGs"/>
    <s v="kg CO2e/2018 USD, purchaser price"/>
    <n v="4.0000000000000001E-3"/>
    <n v="4.0000000000000001E-3"/>
    <n v="0"/>
    <n v="0"/>
    <n v="4.0000000000000001E-3"/>
    <n v="4.0000000000000001E-3"/>
  </r>
  <r>
    <x v="260"/>
    <s v="carbon dioxide"/>
    <s v="kg/2018 USD, purchaser price"/>
    <n v="0.151"/>
    <n v="0.151"/>
    <n v="0.1"/>
    <n v="0.1"/>
    <n v="0.251"/>
    <n v="0.251"/>
  </r>
  <r>
    <x v="260"/>
    <s v="methane"/>
    <s v="kg/2018 USD, purchaser price"/>
    <n v="1E-3"/>
    <n v="2.8000000000000001E-2"/>
    <n v="1E-3"/>
    <n v="2.8000000000000001E-2"/>
    <n v="1E-3"/>
    <n v="2.8000000000000001E-2"/>
  </r>
  <r>
    <x v="260"/>
    <s v="nitrous oxide"/>
    <s v="kg/2018 USD, purchaser price"/>
    <n v="0"/>
    <n v="0"/>
    <n v="0"/>
    <n v="0"/>
    <n v="0"/>
    <n v="0"/>
  </r>
  <r>
    <x v="260"/>
    <s v="other GHGs"/>
    <s v="kg CO2e/2018 USD, purchaser price"/>
    <n v="5.0000000000000001E-3"/>
    <n v="5.0000000000000001E-3"/>
    <n v="0"/>
    <n v="0"/>
    <n v="5.0000000000000001E-3"/>
    <n v="5.0000000000000001E-3"/>
  </r>
  <r>
    <x v="261"/>
    <s v="carbon dioxide"/>
    <s v="kg/2018 USD, purchaser price"/>
    <n v="0.193"/>
    <n v="0.193"/>
    <n v="0.05"/>
    <n v="0.05"/>
    <n v="0.24299999999999999"/>
    <n v="0.24299999999999999"/>
  </r>
  <r>
    <x v="261"/>
    <s v="methane"/>
    <s v="kg/2018 USD, purchaser price"/>
    <n v="1E-3"/>
    <n v="2.8000000000000001E-2"/>
    <n v="0"/>
    <n v="0"/>
    <n v="1E-3"/>
    <n v="2.8000000000000001E-2"/>
  </r>
  <r>
    <x v="261"/>
    <s v="nitrous oxide"/>
    <s v="kg/2018 USD, purchaser price"/>
    <n v="0"/>
    <n v="0"/>
    <n v="0"/>
    <n v="0"/>
    <n v="0"/>
    <n v="0"/>
  </r>
  <r>
    <x v="261"/>
    <s v="other GHGs"/>
    <s v="kg CO2e/2018 USD, purchaser price"/>
    <n v="8.9999999999999993E-3"/>
    <n v="8.9999999999999993E-3"/>
    <n v="0"/>
    <n v="0"/>
    <n v="8.9999999999999993E-3"/>
    <n v="8.9999999999999993E-3"/>
  </r>
  <r>
    <x v="262"/>
    <s v="carbon dioxide"/>
    <s v="kg/2018 USD, purchaser price"/>
    <n v="0.11799999999999999"/>
    <n v="0.11799999999999999"/>
    <n v="0.23300000000000001"/>
    <n v="0.23300000000000001"/>
    <n v="0.35099999999999998"/>
    <n v="0.35099999999999998"/>
  </r>
  <r>
    <x v="262"/>
    <s v="methane"/>
    <s v="kg/2018 USD, purchaser price"/>
    <n v="0"/>
    <n v="0"/>
    <n v="1E-3"/>
    <n v="2.8000000000000001E-2"/>
    <n v="1E-3"/>
    <n v="2.8000000000000001E-2"/>
  </r>
  <r>
    <x v="262"/>
    <s v="nitrous oxide"/>
    <s v="kg/2018 USD, purchaser price"/>
    <n v="0"/>
    <n v="0"/>
    <n v="0"/>
    <n v="0"/>
    <n v="0"/>
    <n v="0"/>
  </r>
  <r>
    <x v="262"/>
    <s v="other GHGs"/>
    <s v="kg CO2e/2018 USD, purchaser price"/>
    <n v="2E-3"/>
    <n v="2E-3"/>
    <n v="0"/>
    <n v="0"/>
    <n v="2E-3"/>
    <n v="2E-3"/>
  </r>
  <r>
    <x v="263"/>
    <s v="carbon dioxide"/>
    <s v="kg/2018 USD, purchaser price"/>
    <n v="0.12"/>
    <n v="0.12"/>
    <n v="3.7999999999999999E-2"/>
    <n v="3.7999999999999999E-2"/>
    <n v="0.157"/>
    <n v="0.157"/>
  </r>
  <r>
    <x v="263"/>
    <s v="methane"/>
    <s v="kg/2018 USD, purchaser price"/>
    <n v="0"/>
    <n v="0"/>
    <n v="0"/>
    <n v="0"/>
    <n v="1E-3"/>
    <n v="2.8000000000000001E-2"/>
  </r>
  <r>
    <x v="263"/>
    <s v="nitrous oxide"/>
    <s v="kg/2018 USD, purchaser price"/>
    <n v="0"/>
    <n v="0"/>
    <n v="0"/>
    <n v="0"/>
    <n v="0"/>
    <n v="0"/>
  </r>
  <r>
    <x v="263"/>
    <s v="other GHGs"/>
    <s v="kg CO2e/2018 USD, purchaser price"/>
    <n v="5.0000000000000001E-3"/>
    <n v="5.0000000000000001E-3"/>
    <n v="0"/>
    <n v="0"/>
    <n v="5.0000000000000001E-3"/>
    <n v="5.0000000000000001E-3"/>
  </r>
  <r>
    <x v="264"/>
    <s v="carbon dioxide"/>
    <s v="kg/2018 USD, purchaser price"/>
    <n v="7.5999999999999998E-2"/>
    <n v="7.5999999999999998E-2"/>
    <n v="0.158"/>
    <n v="0.158"/>
    <n v="0.23400000000000001"/>
    <n v="0.23400000000000001"/>
  </r>
  <r>
    <x v="264"/>
    <s v="methane"/>
    <s v="kg/2018 USD, purchaser price"/>
    <n v="0"/>
    <n v="0"/>
    <n v="1E-3"/>
    <n v="2.8000000000000001E-2"/>
    <n v="1E-3"/>
    <n v="2.8000000000000001E-2"/>
  </r>
  <r>
    <x v="264"/>
    <s v="nitrous oxide"/>
    <s v="kg/2018 USD, purchaser price"/>
    <n v="0"/>
    <n v="0"/>
    <n v="0"/>
    <n v="0"/>
    <n v="0"/>
    <n v="0"/>
  </r>
  <r>
    <x v="264"/>
    <s v="other GHGs"/>
    <s v="kg CO2e/2018 USD, purchaser price"/>
    <n v="8.9999999999999993E-3"/>
    <n v="8.9999999999999993E-3"/>
    <n v="0"/>
    <n v="0"/>
    <n v="8.9999999999999993E-3"/>
    <n v="8.9999999999999993E-3"/>
  </r>
  <r>
    <x v="265"/>
    <s v="carbon dioxide"/>
    <s v="kg/2018 USD, purchaser price"/>
    <n v="0.245"/>
    <n v="0.245"/>
    <n v="0.35699999999999998"/>
    <n v="0.35699999999999998"/>
    <n v="0.60199999999999998"/>
    <n v="0.60199999999999998"/>
  </r>
  <r>
    <x v="265"/>
    <s v="methane"/>
    <s v="kg/2018 USD, purchaser price"/>
    <n v="1E-3"/>
    <n v="2.8000000000000001E-2"/>
    <n v="3.0000000000000001E-3"/>
    <n v="8.4000000000000005E-2"/>
    <n v="4.0000000000000001E-3"/>
    <n v="0.112"/>
  </r>
  <r>
    <x v="265"/>
    <s v="nitrous oxide"/>
    <s v="kg/2018 USD, purchaser price"/>
    <n v="0"/>
    <n v="0"/>
    <n v="0"/>
    <n v="0"/>
    <n v="0"/>
    <n v="0"/>
  </r>
  <r>
    <x v="265"/>
    <s v="other GHGs"/>
    <s v="kg CO2e/2018 USD, purchaser price"/>
    <n v="7.0000000000000001E-3"/>
    <n v="7.0000000000000001E-3"/>
    <n v="0"/>
    <n v="0"/>
    <n v="7.0000000000000001E-3"/>
    <n v="7.0000000000000001E-3"/>
  </r>
  <r>
    <x v="266"/>
    <s v="carbon dioxide"/>
    <s v="kg/2018 USD, purchaser price"/>
    <n v="0.222"/>
    <n v="0.222"/>
    <n v="2.8650000000000002"/>
    <n v="2.8650000000000002"/>
    <n v="3.0870000000000002"/>
    <n v="3.0870000000000002"/>
  </r>
  <r>
    <x v="266"/>
    <s v="methane"/>
    <s v="kg/2018 USD, purchaser price"/>
    <n v="1E-3"/>
    <n v="2.8000000000000001E-2"/>
    <n v="1.7999999999999999E-2"/>
    <n v="0.504"/>
    <n v="1.9E-2"/>
    <n v="0.53200000000000003"/>
  </r>
  <r>
    <x v="266"/>
    <s v="nitrous oxide"/>
    <s v="kg/2018 USD, purchaser price"/>
    <n v="0"/>
    <n v="0"/>
    <n v="0"/>
    <n v="0"/>
    <n v="0"/>
    <n v="0"/>
  </r>
  <r>
    <x v="266"/>
    <s v="other GHGs"/>
    <s v="kg CO2e/2018 USD, purchaser price"/>
    <n v="8.9999999999999993E-3"/>
    <n v="8.9999999999999993E-3"/>
    <n v="0"/>
    <n v="0"/>
    <n v="8.9999999999999993E-3"/>
    <n v="8.9999999999999993E-3"/>
  </r>
  <r>
    <x v="267"/>
    <s v="carbon dioxide"/>
    <s v="kg/2018 USD, purchaser price"/>
    <n v="0.251"/>
    <n v="0.251"/>
    <n v="0.184"/>
    <n v="0.184"/>
    <n v="0.435"/>
    <n v="0.435"/>
  </r>
  <r>
    <x v="267"/>
    <s v="methane"/>
    <s v="kg/2018 USD, purchaser price"/>
    <n v="1E-3"/>
    <n v="2.8000000000000001E-2"/>
    <n v="2E-3"/>
    <n v="5.6000000000000001E-2"/>
    <n v="3.0000000000000001E-3"/>
    <n v="8.4000000000000005E-2"/>
  </r>
  <r>
    <x v="267"/>
    <s v="nitrous oxide"/>
    <s v="kg/2018 USD, purchaser price"/>
    <n v="0"/>
    <n v="0"/>
    <n v="0"/>
    <n v="0"/>
    <n v="0"/>
    <n v="0"/>
  </r>
  <r>
    <x v="267"/>
    <s v="other GHGs"/>
    <s v="kg CO2e/2018 USD, purchaser price"/>
    <n v="5.0000000000000001E-3"/>
    <n v="5.0000000000000001E-3"/>
    <n v="0"/>
    <n v="0"/>
    <n v="5.0000000000000001E-3"/>
    <n v="5.0000000000000001E-3"/>
  </r>
  <r>
    <x v="268"/>
    <s v="carbon dioxide"/>
    <s v="kg/2018 USD, purchaser price"/>
    <n v="0.252"/>
    <n v="0.252"/>
    <n v="9.5000000000000001E-2"/>
    <n v="9.5000000000000001E-2"/>
    <n v="0.34799999999999998"/>
    <n v="0.34799999999999998"/>
  </r>
  <r>
    <x v="268"/>
    <s v="methane"/>
    <s v="kg/2018 USD, purchaser price"/>
    <n v="1E-3"/>
    <n v="2.8000000000000001E-2"/>
    <n v="1E-3"/>
    <n v="2.8000000000000001E-2"/>
    <n v="2E-3"/>
    <n v="5.6000000000000001E-2"/>
  </r>
  <r>
    <x v="268"/>
    <s v="nitrous oxide"/>
    <s v="kg/2018 USD, purchaser price"/>
    <n v="0"/>
    <n v="0"/>
    <n v="0"/>
    <n v="0"/>
    <n v="0"/>
    <n v="0"/>
  </r>
  <r>
    <x v="268"/>
    <s v="other GHGs"/>
    <s v="kg CO2e/2018 USD, purchaser price"/>
    <n v="1.0999999999999999E-2"/>
    <n v="1.0999999999999999E-2"/>
    <n v="0"/>
    <n v="0"/>
    <n v="1.0999999999999999E-2"/>
    <n v="1.0999999999999999E-2"/>
  </r>
  <r>
    <x v="269"/>
    <s v="carbon dioxide"/>
    <s v="kg/2018 USD, purchaser price"/>
    <n v="6.2E-2"/>
    <n v="6.2E-2"/>
    <n v="7.0999999999999994E-2"/>
    <n v="7.0999999999999994E-2"/>
    <n v="0.13300000000000001"/>
    <n v="0.13300000000000001"/>
  </r>
  <r>
    <x v="269"/>
    <s v="methane"/>
    <s v="kg/2018 USD, purchaser price"/>
    <n v="0"/>
    <n v="0"/>
    <n v="1E-3"/>
    <n v="2.8000000000000001E-2"/>
    <n v="1E-3"/>
    <n v="2.8000000000000001E-2"/>
  </r>
  <r>
    <x v="269"/>
    <s v="nitrous oxide"/>
    <s v="kg/2018 USD, purchaser price"/>
    <n v="0"/>
    <n v="0"/>
    <n v="0"/>
    <n v="0"/>
    <n v="0"/>
    <n v="0"/>
  </r>
  <r>
    <x v="269"/>
    <s v="other GHGs"/>
    <s v="kg CO2e/2018 USD, purchaser price"/>
    <n v="6.0000000000000001E-3"/>
    <n v="6.0000000000000001E-3"/>
    <n v="0"/>
    <n v="0"/>
    <n v="6.0000000000000001E-3"/>
    <n v="6.0000000000000001E-3"/>
  </r>
  <r>
    <x v="270"/>
    <s v="carbon dioxide"/>
    <s v="kg/2018 USD, purchaser price"/>
    <n v="0"/>
    <n v="0"/>
    <n v="0"/>
    <n v="0"/>
    <n v="0"/>
    <n v="0"/>
  </r>
  <r>
    <x v="270"/>
    <s v="methane"/>
    <s v="kg/2018 USD, purchaser price"/>
    <n v="0"/>
    <n v="0"/>
    <n v="0"/>
    <n v="0"/>
    <n v="0"/>
    <n v="0"/>
  </r>
  <r>
    <x v="270"/>
    <s v="nitrous oxide"/>
    <s v="kg/2018 USD, purchaser price"/>
    <n v="0"/>
    <n v="0"/>
    <n v="0"/>
    <n v="0"/>
    <n v="0"/>
    <n v="0"/>
  </r>
  <r>
    <x v="270"/>
    <s v="other GHGs"/>
    <s v="kg CO2e/2018 USD, purchaser price"/>
    <n v="0"/>
    <n v="0"/>
    <n v="0"/>
    <n v="0"/>
    <n v="0"/>
    <n v="0"/>
  </r>
  <r>
    <x v="271"/>
    <s v="carbon dioxide"/>
    <s v="kg/2018 USD, purchaser price"/>
    <n v="0.14799999999999999"/>
    <n v="0.14799999999999999"/>
    <n v="0"/>
    <n v="0"/>
    <n v="0.14799999999999999"/>
    <n v="0.14799999999999999"/>
  </r>
  <r>
    <x v="271"/>
    <s v="methane"/>
    <s v="kg/2018 USD, purchaser price"/>
    <n v="1E-3"/>
    <n v="2.8000000000000001E-2"/>
    <n v="0"/>
    <n v="0"/>
    <n v="1E-3"/>
    <n v="2.8000000000000001E-2"/>
  </r>
  <r>
    <x v="271"/>
    <s v="nitrous oxide"/>
    <s v="kg/2018 USD, purchaser price"/>
    <n v="0"/>
    <n v="0"/>
    <n v="0"/>
    <n v="0"/>
    <n v="0"/>
    <n v="0"/>
  </r>
  <r>
    <x v="271"/>
    <s v="other GHGs"/>
    <s v="kg CO2e/2018 USD, purchaser price"/>
    <n v="5.0000000000000001E-3"/>
    <n v="5.0000000000000001E-3"/>
    <n v="0"/>
    <n v="0"/>
    <n v="5.0000000000000001E-3"/>
    <n v="5.0000000000000001E-3"/>
  </r>
  <r>
    <x v="272"/>
    <s v="carbon dioxide"/>
    <s v="kg/2018 USD, purchaser price"/>
    <n v="9.2999999999999999E-2"/>
    <n v="9.2999999999999999E-2"/>
    <n v="0"/>
    <n v="0"/>
    <n v="9.2999999999999999E-2"/>
    <n v="9.2999999999999999E-2"/>
  </r>
  <r>
    <x v="272"/>
    <s v="methane"/>
    <s v="kg/2018 USD, purchaser price"/>
    <n v="0"/>
    <n v="0"/>
    <n v="0"/>
    <n v="0"/>
    <n v="0"/>
    <n v="0"/>
  </r>
  <r>
    <x v="272"/>
    <s v="nitrous oxide"/>
    <s v="kg/2018 USD, purchaser price"/>
    <n v="0"/>
    <n v="0"/>
    <n v="0"/>
    <n v="0"/>
    <n v="0"/>
    <n v="0"/>
  </r>
  <r>
    <x v="272"/>
    <s v="other GHGs"/>
    <s v="kg CO2e/2018 USD, purchaser price"/>
    <n v="3.0000000000000001E-3"/>
    <n v="3.0000000000000001E-3"/>
    <n v="0"/>
    <n v="0"/>
    <n v="3.0000000000000001E-3"/>
    <n v="3.0000000000000001E-3"/>
  </r>
  <r>
    <x v="273"/>
    <s v="carbon dioxide"/>
    <s v="kg/2018 USD, purchaser price"/>
    <n v="0.11899999999999999"/>
    <n v="0.11899999999999999"/>
    <n v="0"/>
    <n v="0"/>
    <n v="0.11899999999999999"/>
    <n v="0.11899999999999999"/>
  </r>
  <r>
    <x v="273"/>
    <s v="methane"/>
    <s v="kg/2018 USD, purchaser price"/>
    <n v="0"/>
    <n v="0"/>
    <n v="0"/>
    <n v="0"/>
    <n v="0"/>
    <n v="0"/>
  </r>
  <r>
    <x v="273"/>
    <s v="nitrous oxide"/>
    <s v="kg/2018 USD, purchaser price"/>
    <n v="0"/>
    <n v="0"/>
    <n v="0"/>
    <n v="0"/>
    <n v="0"/>
    <n v="0"/>
  </r>
  <r>
    <x v="273"/>
    <s v="other GHGs"/>
    <s v="kg CO2e/2018 USD, purchaser price"/>
    <n v="4.0000000000000001E-3"/>
    <n v="4.0000000000000001E-3"/>
    <n v="0"/>
    <n v="0"/>
    <n v="4.0000000000000001E-3"/>
    <n v="4.0000000000000001E-3"/>
  </r>
  <r>
    <x v="274"/>
    <s v="carbon dioxide"/>
    <s v="kg/2018 USD, purchaser price"/>
    <n v="0.13200000000000001"/>
    <n v="0.13200000000000001"/>
    <n v="0"/>
    <n v="0"/>
    <n v="0.13200000000000001"/>
    <n v="0.13200000000000001"/>
  </r>
  <r>
    <x v="274"/>
    <s v="methane"/>
    <s v="kg/2018 USD, purchaser price"/>
    <n v="1E-3"/>
    <n v="2.8000000000000001E-2"/>
    <n v="0"/>
    <n v="0"/>
    <n v="1E-3"/>
    <n v="2.8000000000000001E-2"/>
  </r>
  <r>
    <x v="274"/>
    <s v="nitrous oxide"/>
    <s v="kg/2018 USD, purchaser price"/>
    <n v="0"/>
    <n v="0"/>
    <n v="0"/>
    <n v="0"/>
    <n v="0"/>
    <n v="0"/>
  </r>
  <r>
    <x v="274"/>
    <s v="other GHGs"/>
    <s v="kg CO2e/2018 USD, purchaser price"/>
    <n v="6.0000000000000001E-3"/>
    <n v="6.0000000000000001E-3"/>
    <n v="0"/>
    <n v="0"/>
    <n v="6.0000000000000001E-3"/>
    <n v="6.0000000000000001E-3"/>
  </r>
  <r>
    <x v="275"/>
    <s v="carbon dioxide"/>
    <s v="kg/2018 USD, purchaser price"/>
    <n v="0.17199999999999999"/>
    <n v="0.17199999999999999"/>
    <n v="0"/>
    <n v="0"/>
    <n v="0.17199999999999999"/>
    <n v="0.17199999999999999"/>
  </r>
  <r>
    <x v="275"/>
    <s v="methane"/>
    <s v="kg/2018 USD, purchaser price"/>
    <n v="1E-3"/>
    <n v="2.8000000000000001E-2"/>
    <n v="0"/>
    <n v="0"/>
    <n v="1E-3"/>
    <n v="2.8000000000000001E-2"/>
  </r>
  <r>
    <x v="275"/>
    <s v="nitrous oxide"/>
    <s v="kg/2018 USD, purchaser price"/>
    <n v="0"/>
    <n v="0"/>
    <n v="0"/>
    <n v="0"/>
    <n v="0"/>
    <n v="0"/>
  </r>
  <r>
    <x v="275"/>
    <s v="other GHGs"/>
    <s v="kg CO2e/2018 USD, purchaser price"/>
    <n v="6.0000000000000001E-3"/>
    <n v="6.0000000000000001E-3"/>
    <n v="0"/>
    <n v="0"/>
    <n v="6.0000000000000001E-3"/>
    <n v="6.0000000000000001E-3"/>
  </r>
  <r>
    <x v="276"/>
    <s v="carbon dioxide"/>
    <s v="kg/2018 USD, purchaser price"/>
    <n v="0.13100000000000001"/>
    <n v="0.13100000000000001"/>
    <n v="0"/>
    <n v="0"/>
    <n v="0.13100000000000001"/>
    <n v="0.13100000000000001"/>
  </r>
  <r>
    <x v="276"/>
    <s v="methane"/>
    <s v="kg/2018 USD, purchaser price"/>
    <n v="1E-3"/>
    <n v="2.8000000000000001E-2"/>
    <n v="0"/>
    <n v="0"/>
    <n v="1E-3"/>
    <n v="2.8000000000000001E-2"/>
  </r>
  <r>
    <x v="276"/>
    <s v="nitrous oxide"/>
    <s v="kg/2018 USD, purchaser price"/>
    <n v="0"/>
    <n v="0"/>
    <n v="0"/>
    <n v="0"/>
    <n v="0"/>
    <n v="0"/>
  </r>
  <r>
    <x v="276"/>
    <s v="other GHGs"/>
    <s v="kg CO2e/2018 USD, purchaser price"/>
    <n v="3.0000000000000001E-3"/>
    <n v="3.0000000000000001E-3"/>
    <n v="0"/>
    <n v="0"/>
    <n v="3.0000000000000001E-3"/>
    <n v="3.0000000000000001E-3"/>
  </r>
  <r>
    <x v="277"/>
    <s v="carbon dioxide"/>
    <s v="kg/2018 USD, purchaser price"/>
    <n v="0.185"/>
    <n v="0.185"/>
    <n v="0"/>
    <n v="0"/>
    <n v="0.185"/>
    <n v="0.185"/>
  </r>
  <r>
    <x v="277"/>
    <s v="methane"/>
    <s v="kg/2018 USD, purchaser price"/>
    <n v="2E-3"/>
    <n v="5.6000000000000001E-2"/>
    <n v="0"/>
    <n v="0"/>
    <n v="2E-3"/>
    <n v="5.6000000000000001E-2"/>
  </r>
  <r>
    <x v="277"/>
    <s v="nitrous oxide"/>
    <s v="kg/2018 USD, purchaser price"/>
    <n v="0"/>
    <n v="0"/>
    <n v="0"/>
    <n v="0"/>
    <n v="0"/>
    <n v="0"/>
  </r>
  <r>
    <x v="277"/>
    <s v="other GHGs"/>
    <s v="kg CO2e/2018 USD, purchaser price"/>
    <n v="6.0000000000000001E-3"/>
    <n v="6.0000000000000001E-3"/>
    <n v="0"/>
    <n v="0"/>
    <n v="6.0000000000000001E-3"/>
    <n v="6.0000000000000001E-3"/>
  </r>
  <r>
    <x v="278"/>
    <s v="carbon dioxide"/>
    <s v="kg/2018 USD, purchaser price"/>
    <n v="7.6999999999999999E-2"/>
    <n v="7.6999999999999999E-2"/>
    <n v="0"/>
    <n v="0"/>
    <n v="7.6999999999999999E-2"/>
    <n v="7.6999999999999999E-2"/>
  </r>
  <r>
    <x v="278"/>
    <s v="methane"/>
    <s v="kg/2018 USD, purchaser price"/>
    <n v="1E-3"/>
    <n v="2.8000000000000001E-2"/>
    <n v="0"/>
    <n v="0"/>
    <n v="1E-3"/>
    <n v="2.8000000000000001E-2"/>
  </r>
  <r>
    <x v="278"/>
    <s v="nitrous oxide"/>
    <s v="kg/2018 USD, purchaser price"/>
    <n v="0"/>
    <n v="0"/>
    <n v="0"/>
    <n v="0"/>
    <n v="0"/>
    <n v="0"/>
  </r>
  <r>
    <x v="278"/>
    <s v="other GHGs"/>
    <s v="kg CO2e/2018 USD, purchaser price"/>
    <n v="2E-3"/>
    <n v="2E-3"/>
    <n v="0"/>
    <n v="0"/>
    <n v="2E-3"/>
    <n v="2E-3"/>
  </r>
  <r>
    <x v="279"/>
    <s v="carbon dioxide"/>
    <s v="kg/2018 USD, purchaser price"/>
    <n v="0.16800000000000001"/>
    <n v="0.16800000000000001"/>
    <n v="0"/>
    <n v="0"/>
    <n v="0.16800000000000001"/>
    <n v="0.16800000000000001"/>
  </r>
  <r>
    <x v="279"/>
    <s v="methane"/>
    <s v="kg/2018 USD, purchaser price"/>
    <n v="1E-3"/>
    <n v="2.8000000000000001E-2"/>
    <n v="0"/>
    <n v="0"/>
    <n v="1E-3"/>
    <n v="2.8000000000000001E-2"/>
  </r>
  <r>
    <x v="279"/>
    <s v="nitrous oxide"/>
    <s v="kg/2018 USD, purchaser price"/>
    <n v="0"/>
    <n v="0"/>
    <n v="0"/>
    <n v="0"/>
    <n v="0"/>
    <n v="0"/>
  </r>
  <r>
    <x v="279"/>
    <s v="other GHGs"/>
    <s v="kg CO2e/2018 USD, purchaser price"/>
    <n v="5.0000000000000001E-3"/>
    <n v="5.0000000000000001E-3"/>
    <n v="0"/>
    <n v="0"/>
    <n v="5.0000000000000001E-3"/>
    <n v="5.0000000000000001E-3"/>
  </r>
  <r>
    <x v="280"/>
    <s v="carbon dioxide"/>
    <s v="kg/2018 USD, purchaser price"/>
    <n v="5.1999999999999998E-2"/>
    <n v="5.1999999999999998E-2"/>
    <n v="0"/>
    <n v="0"/>
    <n v="5.1999999999999998E-2"/>
    <n v="5.1999999999999998E-2"/>
  </r>
  <r>
    <x v="280"/>
    <s v="methane"/>
    <s v="kg/2018 USD, purchaser price"/>
    <n v="0"/>
    <n v="0"/>
    <n v="0"/>
    <n v="0"/>
    <n v="0"/>
    <n v="0"/>
  </r>
  <r>
    <x v="280"/>
    <s v="nitrous oxide"/>
    <s v="kg/2018 USD, purchaser price"/>
    <n v="0"/>
    <n v="0"/>
    <n v="0"/>
    <n v="0"/>
    <n v="0"/>
    <n v="0"/>
  </r>
  <r>
    <x v="280"/>
    <s v="other GHGs"/>
    <s v="kg CO2e/2018 USD, purchaser price"/>
    <n v="2E-3"/>
    <n v="2E-3"/>
    <n v="0"/>
    <n v="0"/>
    <n v="2E-3"/>
    <n v="2E-3"/>
  </r>
  <r>
    <x v="281"/>
    <s v="carbon dioxide"/>
    <s v="kg/2018 USD, purchaser price"/>
    <n v="0.11700000000000001"/>
    <n v="0.11700000000000001"/>
    <n v="0"/>
    <n v="0"/>
    <n v="0.11700000000000001"/>
    <n v="0.11700000000000001"/>
  </r>
  <r>
    <x v="281"/>
    <s v="methane"/>
    <s v="kg/2018 USD, purchaser price"/>
    <n v="1E-3"/>
    <n v="2.8000000000000001E-2"/>
    <n v="0"/>
    <n v="0"/>
    <n v="1E-3"/>
    <n v="2.8000000000000001E-2"/>
  </r>
  <r>
    <x v="281"/>
    <s v="nitrous oxide"/>
    <s v="kg/2018 USD, purchaser price"/>
    <n v="0"/>
    <n v="0"/>
    <n v="0"/>
    <n v="0"/>
    <n v="0"/>
    <n v="0"/>
  </r>
  <r>
    <x v="281"/>
    <s v="other GHGs"/>
    <s v="kg CO2e/2018 USD, purchaser price"/>
    <n v="2E-3"/>
    <n v="2E-3"/>
    <n v="0"/>
    <n v="0"/>
    <n v="2E-3"/>
    <n v="2E-3"/>
  </r>
  <r>
    <x v="282"/>
    <s v="carbon dioxide"/>
    <s v="kg/2018 USD, purchaser price"/>
    <n v="0.13600000000000001"/>
    <n v="0.13600000000000001"/>
    <n v="0"/>
    <n v="0"/>
    <n v="0.13600000000000001"/>
    <n v="0.13600000000000001"/>
  </r>
  <r>
    <x v="282"/>
    <s v="methane"/>
    <s v="kg/2018 USD, purchaser price"/>
    <n v="1E-3"/>
    <n v="2.8000000000000001E-2"/>
    <n v="0"/>
    <n v="0"/>
    <n v="1E-3"/>
    <n v="2.8000000000000001E-2"/>
  </r>
  <r>
    <x v="282"/>
    <s v="nitrous oxide"/>
    <s v="kg/2018 USD, purchaser price"/>
    <n v="0"/>
    <n v="0"/>
    <n v="0"/>
    <n v="0"/>
    <n v="0"/>
    <n v="0"/>
  </r>
  <r>
    <x v="282"/>
    <s v="other GHGs"/>
    <s v="kg CO2e/2018 USD, purchaser price"/>
    <n v="2E-3"/>
    <n v="2E-3"/>
    <n v="0"/>
    <n v="0"/>
    <n v="2E-3"/>
    <n v="2E-3"/>
  </r>
  <r>
    <x v="283"/>
    <s v="carbon dioxide"/>
    <s v="kg/2018 USD, purchaser price"/>
    <n v="0.25600000000000001"/>
    <n v="0.25600000000000001"/>
    <n v="0"/>
    <n v="0"/>
    <n v="0.25600000000000001"/>
    <n v="0.25600000000000001"/>
  </r>
  <r>
    <x v="283"/>
    <s v="methane"/>
    <s v="kg/2018 USD, purchaser price"/>
    <n v="1E-3"/>
    <n v="2.8000000000000001E-2"/>
    <n v="0"/>
    <n v="0"/>
    <n v="1E-3"/>
    <n v="2.8000000000000001E-2"/>
  </r>
  <r>
    <x v="283"/>
    <s v="nitrous oxide"/>
    <s v="kg/2018 USD, purchaser price"/>
    <n v="0"/>
    <n v="0"/>
    <n v="0"/>
    <n v="0"/>
    <n v="0"/>
    <n v="0"/>
  </r>
  <r>
    <x v="283"/>
    <s v="other GHGs"/>
    <s v="kg CO2e/2018 USD, purchaser price"/>
    <n v="5.0000000000000001E-3"/>
    <n v="5.0000000000000001E-3"/>
    <n v="0"/>
    <n v="0"/>
    <n v="5.0000000000000001E-3"/>
    <n v="5.0000000000000001E-3"/>
  </r>
  <r>
    <x v="284"/>
    <s v="carbon dioxide"/>
    <s v="kg/2018 USD, purchaser price"/>
    <n v="0.13700000000000001"/>
    <n v="0.13700000000000001"/>
    <n v="0"/>
    <n v="0"/>
    <n v="0.13700000000000001"/>
    <n v="0.13700000000000001"/>
  </r>
  <r>
    <x v="284"/>
    <s v="methane"/>
    <s v="kg/2018 USD, purchaser price"/>
    <n v="1E-3"/>
    <n v="2.8000000000000001E-2"/>
    <n v="0"/>
    <n v="0"/>
    <n v="1E-3"/>
    <n v="2.8000000000000001E-2"/>
  </r>
  <r>
    <x v="284"/>
    <s v="nitrous oxide"/>
    <s v="kg/2018 USD, purchaser price"/>
    <n v="0"/>
    <n v="0"/>
    <n v="0"/>
    <n v="0"/>
    <n v="0"/>
    <n v="0"/>
  </r>
  <r>
    <x v="284"/>
    <s v="other GHGs"/>
    <s v="kg CO2e/2018 USD, purchaser price"/>
    <n v="3.0000000000000001E-3"/>
    <n v="3.0000000000000001E-3"/>
    <n v="0"/>
    <n v="0"/>
    <n v="3.0000000000000001E-3"/>
    <n v="3.0000000000000001E-3"/>
  </r>
  <r>
    <x v="285"/>
    <s v="carbon dioxide"/>
    <s v="kg/2018 USD, purchaser price"/>
    <n v="0.26700000000000002"/>
    <n v="0.26700000000000002"/>
    <n v="0"/>
    <n v="0"/>
    <n v="0.26700000000000002"/>
    <n v="0.26700000000000002"/>
  </r>
  <r>
    <x v="285"/>
    <s v="methane"/>
    <s v="kg/2018 USD, purchaser price"/>
    <n v="1E-3"/>
    <n v="2.8000000000000001E-2"/>
    <n v="0"/>
    <n v="0"/>
    <n v="1E-3"/>
    <n v="2.8000000000000001E-2"/>
  </r>
  <r>
    <x v="285"/>
    <s v="nitrous oxide"/>
    <s v="kg/2018 USD, purchaser price"/>
    <n v="0"/>
    <n v="0"/>
    <n v="0"/>
    <n v="0"/>
    <n v="0"/>
    <n v="0"/>
  </r>
  <r>
    <x v="285"/>
    <s v="other GHGs"/>
    <s v="kg CO2e/2018 USD, purchaser price"/>
    <n v="6.0000000000000001E-3"/>
    <n v="6.0000000000000001E-3"/>
    <n v="0"/>
    <n v="0"/>
    <n v="6.0000000000000001E-3"/>
    <n v="6.0000000000000001E-3"/>
  </r>
  <r>
    <x v="286"/>
    <s v="carbon dioxide"/>
    <s v="kg/2018 USD, purchaser price"/>
    <n v="0.186"/>
    <n v="0.186"/>
    <n v="0"/>
    <n v="0"/>
    <n v="0.186"/>
    <n v="0.186"/>
  </r>
  <r>
    <x v="286"/>
    <s v="methane"/>
    <s v="kg/2018 USD, purchaser price"/>
    <n v="1E-3"/>
    <n v="2.8000000000000001E-2"/>
    <n v="0"/>
    <n v="0"/>
    <n v="1E-3"/>
    <n v="2.8000000000000001E-2"/>
  </r>
  <r>
    <x v="286"/>
    <s v="nitrous oxide"/>
    <s v="kg/2018 USD, purchaser price"/>
    <n v="0"/>
    <n v="0"/>
    <n v="0"/>
    <n v="0"/>
    <n v="0"/>
    <n v="0"/>
  </r>
  <r>
    <x v="286"/>
    <s v="other GHGs"/>
    <s v="kg CO2e/2018 USD, purchaser price"/>
    <n v="4.0000000000000001E-3"/>
    <n v="4.0000000000000001E-3"/>
    <n v="0"/>
    <n v="0"/>
    <n v="4.0000000000000001E-3"/>
    <n v="4.0000000000000001E-3"/>
  </r>
  <r>
    <x v="287"/>
    <s v="carbon dioxide"/>
    <s v="kg/2018 USD, purchaser price"/>
    <n v="0.17699999999999999"/>
    <n v="0.17699999999999999"/>
    <n v="0"/>
    <n v="0"/>
    <n v="0.17699999999999999"/>
    <n v="0.17699999999999999"/>
  </r>
  <r>
    <x v="287"/>
    <s v="methane"/>
    <s v="kg/2018 USD, purchaser price"/>
    <n v="1E-3"/>
    <n v="2.8000000000000001E-2"/>
    <n v="0"/>
    <n v="0"/>
    <n v="1E-3"/>
    <n v="2.8000000000000001E-2"/>
  </r>
  <r>
    <x v="287"/>
    <s v="nitrous oxide"/>
    <s v="kg/2018 USD, purchaser price"/>
    <n v="0"/>
    <n v="0"/>
    <n v="0"/>
    <n v="0"/>
    <n v="0"/>
    <n v="0"/>
  </r>
  <r>
    <x v="287"/>
    <s v="other GHGs"/>
    <s v="kg CO2e/2018 USD, purchaser price"/>
    <n v="3.0000000000000001E-3"/>
    <n v="3.0000000000000001E-3"/>
    <n v="0"/>
    <n v="0"/>
    <n v="3.0000000000000001E-3"/>
    <n v="3.0000000000000001E-3"/>
  </r>
  <r>
    <x v="288"/>
    <s v="carbon dioxide"/>
    <s v="kg/2018 USD, purchaser price"/>
    <n v="9.5000000000000001E-2"/>
    <n v="9.5000000000000001E-2"/>
    <n v="0"/>
    <n v="0"/>
    <n v="9.5000000000000001E-2"/>
    <n v="9.5000000000000001E-2"/>
  </r>
  <r>
    <x v="288"/>
    <s v="methane"/>
    <s v="kg/2018 USD, purchaser price"/>
    <n v="0"/>
    <n v="0"/>
    <n v="0"/>
    <n v="0"/>
    <n v="0"/>
    <n v="0"/>
  </r>
  <r>
    <x v="288"/>
    <s v="nitrous oxide"/>
    <s v="kg/2018 USD, purchaser price"/>
    <n v="0"/>
    <n v="0"/>
    <n v="0"/>
    <n v="0"/>
    <n v="0"/>
    <n v="0"/>
  </r>
  <r>
    <x v="288"/>
    <s v="other GHGs"/>
    <s v="kg CO2e/2018 USD, purchaser price"/>
    <n v="3.0000000000000001E-3"/>
    <n v="3.0000000000000001E-3"/>
    <n v="0"/>
    <n v="0"/>
    <n v="3.0000000000000001E-3"/>
    <n v="3.0000000000000001E-3"/>
  </r>
  <r>
    <x v="289"/>
    <s v="carbon dioxide"/>
    <s v="kg/2018 USD, purchaser price"/>
    <n v="0.879"/>
    <n v="0.879"/>
    <n v="0"/>
    <n v="0"/>
    <n v="0.879"/>
    <n v="0.879"/>
  </r>
  <r>
    <x v="289"/>
    <s v="methane"/>
    <s v="kg/2018 USD, purchaser price"/>
    <n v="3.0000000000000001E-3"/>
    <n v="8.4000000000000005E-2"/>
    <n v="0"/>
    <n v="0"/>
    <n v="3.0000000000000001E-3"/>
    <n v="8.4000000000000005E-2"/>
  </r>
  <r>
    <x v="289"/>
    <s v="nitrous oxide"/>
    <s v="kg/2018 USD, purchaser price"/>
    <n v="0"/>
    <n v="0"/>
    <n v="0"/>
    <n v="0"/>
    <n v="0"/>
    <n v="0"/>
  </r>
  <r>
    <x v="289"/>
    <s v="other GHGs"/>
    <s v="kg CO2e/2018 USD, purchaser price"/>
    <n v="2E-3"/>
    <n v="2E-3"/>
    <n v="0"/>
    <n v="0"/>
    <n v="2E-3"/>
    <n v="2E-3"/>
  </r>
  <r>
    <x v="290"/>
    <s v="carbon dioxide"/>
    <s v="kg/2018 USD, purchaser price"/>
    <n v="0.70199999999999996"/>
    <n v="0.70199999999999996"/>
    <n v="0"/>
    <n v="0"/>
    <n v="0.70199999999999996"/>
    <n v="0.70199999999999996"/>
  </r>
  <r>
    <x v="290"/>
    <s v="methane"/>
    <s v="kg/2018 USD, purchaser price"/>
    <n v="2E-3"/>
    <n v="5.6000000000000001E-2"/>
    <n v="0"/>
    <n v="0"/>
    <n v="2E-3"/>
    <n v="5.6000000000000001E-2"/>
  </r>
  <r>
    <x v="290"/>
    <s v="nitrous oxide"/>
    <s v="kg/2018 USD, purchaser price"/>
    <n v="0"/>
    <n v="0"/>
    <n v="0"/>
    <n v="0"/>
    <n v="0"/>
    <n v="0"/>
  </r>
  <r>
    <x v="290"/>
    <s v="other GHGs"/>
    <s v="kg CO2e/2018 USD, purchaser price"/>
    <n v="4.0000000000000001E-3"/>
    <n v="4.0000000000000001E-3"/>
    <n v="0"/>
    <n v="0"/>
    <n v="4.0000000000000001E-3"/>
    <n v="4.0000000000000001E-3"/>
  </r>
  <r>
    <x v="291"/>
    <s v="carbon dioxide"/>
    <s v="kg/2018 USD, purchaser price"/>
    <n v="0.63100000000000001"/>
    <n v="0.63100000000000001"/>
    <n v="0"/>
    <n v="0"/>
    <n v="0.63100000000000001"/>
    <n v="0.63100000000000001"/>
  </r>
  <r>
    <x v="291"/>
    <s v="methane"/>
    <s v="kg/2018 USD, purchaser price"/>
    <n v="3.0000000000000001E-3"/>
    <n v="8.4000000000000005E-2"/>
    <n v="0"/>
    <n v="0"/>
    <n v="3.0000000000000001E-3"/>
    <n v="8.4000000000000005E-2"/>
  </r>
  <r>
    <x v="291"/>
    <s v="nitrous oxide"/>
    <s v="kg/2018 USD, purchaser price"/>
    <n v="0"/>
    <n v="0"/>
    <n v="0"/>
    <n v="0"/>
    <n v="0"/>
    <n v="0"/>
  </r>
  <r>
    <x v="291"/>
    <s v="other GHGs"/>
    <s v="kg CO2e/2018 USD, purchaser price"/>
    <n v="5.8999999999999997E-2"/>
    <n v="5.8999999999999997E-2"/>
    <n v="0"/>
    <n v="0"/>
    <n v="5.8999999999999997E-2"/>
    <n v="5.8999999999999997E-2"/>
  </r>
  <r>
    <x v="292"/>
    <s v="carbon dioxide"/>
    <s v="kg/2018 USD, purchaser price"/>
    <n v="1.341"/>
    <n v="1.341"/>
    <n v="0"/>
    <n v="0"/>
    <n v="1.341"/>
    <n v="1.341"/>
  </r>
  <r>
    <x v="292"/>
    <s v="methane"/>
    <s v="kg/2018 USD, purchaser price"/>
    <n v="3.0000000000000001E-3"/>
    <n v="8.4000000000000005E-2"/>
    <n v="0"/>
    <n v="0"/>
    <n v="3.0000000000000001E-3"/>
    <n v="8.4000000000000005E-2"/>
  </r>
  <r>
    <x v="292"/>
    <s v="nitrous oxide"/>
    <s v="kg/2018 USD, purchaser price"/>
    <n v="0"/>
    <n v="0"/>
    <n v="0"/>
    <n v="0"/>
    <n v="0"/>
    <n v="0"/>
  </r>
  <r>
    <x v="292"/>
    <s v="other GHGs"/>
    <s v="kg CO2e/2018 USD, purchaser price"/>
    <n v="2.1000000000000001E-2"/>
    <n v="2.1000000000000001E-2"/>
    <n v="0"/>
    <n v="0"/>
    <n v="2.1000000000000001E-2"/>
    <n v="2.1000000000000001E-2"/>
  </r>
  <r>
    <x v="293"/>
    <s v="carbon dioxide"/>
    <s v="kg/2018 USD, purchaser price"/>
    <n v="0.27100000000000002"/>
    <n v="0.27100000000000002"/>
    <n v="0"/>
    <n v="0"/>
    <n v="0.27100000000000002"/>
    <n v="0.27100000000000002"/>
  </r>
  <r>
    <x v="293"/>
    <s v="methane"/>
    <s v="kg/2018 USD, purchaser price"/>
    <n v="5.0000000000000001E-3"/>
    <n v="0.14000000000000001"/>
    <n v="0"/>
    <n v="0"/>
    <n v="5.0000000000000001E-3"/>
    <n v="0.14000000000000001"/>
  </r>
  <r>
    <x v="293"/>
    <s v="nitrous oxide"/>
    <s v="kg/2018 USD, purchaser price"/>
    <n v="0"/>
    <n v="0"/>
    <n v="0"/>
    <n v="0"/>
    <n v="0"/>
    <n v="0"/>
  </r>
  <r>
    <x v="293"/>
    <s v="other GHGs"/>
    <s v="kg CO2e/2018 USD, purchaser price"/>
    <n v="7.0000000000000001E-3"/>
    <n v="7.0000000000000001E-3"/>
    <n v="0"/>
    <n v="0"/>
    <n v="7.0000000000000001E-3"/>
    <n v="7.0000000000000001E-3"/>
  </r>
  <r>
    <x v="294"/>
    <s v="carbon dioxide"/>
    <s v="kg/2018 USD, purchaser price"/>
    <n v="1.1319999999999999"/>
    <n v="1.1319999999999999"/>
    <n v="0"/>
    <n v="0"/>
    <n v="1.1319999999999999"/>
    <n v="1.1319999999999999"/>
  </r>
  <r>
    <x v="294"/>
    <s v="methane"/>
    <s v="kg/2018 USD, purchaser price"/>
    <n v="3.1E-2"/>
    <n v="0.86799999999999999"/>
    <n v="0"/>
    <n v="0"/>
    <n v="3.1E-2"/>
    <n v="0.86799999999999999"/>
  </r>
  <r>
    <x v="294"/>
    <s v="nitrous oxide"/>
    <s v="kg/2018 USD, purchaser price"/>
    <n v="0"/>
    <n v="0"/>
    <n v="0"/>
    <n v="0"/>
    <n v="0"/>
    <n v="0"/>
  </r>
  <r>
    <x v="294"/>
    <s v="other GHGs"/>
    <s v="kg CO2e/2018 USD, purchaser price"/>
    <n v="1.4999999999999999E-2"/>
    <n v="1.4999999999999999E-2"/>
    <n v="0"/>
    <n v="0"/>
    <n v="1.4999999999999999E-2"/>
    <n v="1.4999999999999999E-2"/>
  </r>
  <r>
    <x v="295"/>
    <s v="carbon dioxide"/>
    <s v="kg/2018 USD, purchaser price"/>
    <n v="0.23899999999999999"/>
    <n v="0.23899999999999999"/>
    <n v="0"/>
    <n v="0"/>
    <n v="0.23899999999999999"/>
    <n v="0.23899999999999999"/>
  </r>
  <r>
    <x v="295"/>
    <s v="methane"/>
    <s v="kg/2018 USD, purchaser price"/>
    <n v="2E-3"/>
    <n v="5.6000000000000001E-2"/>
    <n v="0"/>
    <n v="0"/>
    <n v="2E-3"/>
    <n v="5.6000000000000001E-2"/>
  </r>
  <r>
    <x v="295"/>
    <s v="nitrous oxide"/>
    <s v="kg/2018 USD, purchaser price"/>
    <n v="0"/>
    <n v="0"/>
    <n v="0"/>
    <n v="0"/>
    <n v="0"/>
    <n v="0"/>
  </r>
  <r>
    <x v="295"/>
    <s v="other GHGs"/>
    <s v="kg CO2e/2018 USD, purchaser price"/>
    <n v="6.0000000000000001E-3"/>
    <n v="6.0000000000000001E-3"/>
    <n v="0"/>
    <n v="0"/>
    <n v="6.0000000000000001E-3"/>
    <n v="6.0000000000000001E-3"/>
  </r>
  <r>
    <x v="296"/>
    <s v="carbon dioxide"/>
    <s v="kg/2018 USD, purchaser price"/>
    <n v="0.17799999999999999"/>
    <n v="0.17799999999999999"/>
    <n v="0"/>
    <n v="0"/>
    <n v="0.17799999999999999"/>
    <n v="0.17799999999999999"/>
  </r>
  <r>
    <x v="296"/>
    <s v="methane"/>
    <s v="kg/2018 USD, purchaser price"/>
    <n v="1E-3"/>
    <n v="2.8000000000000001E-2"/>
    <n v="0"/>
    <n v="0"/>
    <n v="1E-3"/>
    <n v="2.8000000000000001E-2"/>
  </r>
  <r>
    <x v="296"/>
    <s v="nitrous oxide"/>
    <s v="kg/2018 USD, purchaser price"/>
    <n v="0"/>
    <n v="0"/>
    <n v="0"/>
    <n v="0"/>
    <n v="0"/>
    <n v="0"/>
  </r>
  <r>
    <x v="296"/>
    <s v="other GHGs"/>
    <s v="kg CO2e/2018 USD, purchaser price"/>
    <n v="3.0000000000000001E-3"/>
    <n v="3.0000000000000001E-3"/>
    <n v="0"/>
    <n v="0"/>
    <n v="3.0000000000000001E-3"/>
    <n v="3.0000000000000001E-3"/>
  </r>
  <r>
    <x v="297"/>
    <s v="carbon dioxide"/>
    <s v="kg/2018 USD, purchaser price"/>
    <n v="0.52300000000000002"/>
    <n v="0.52300000000000002"/>
    <n v="0"/>
    <n v="0"/>
    <n v="0.52300000000000002"/>
    <n v="0.52300000000000002"/>
  </r>
  <r>
    <x v="297"/>
    <s v="methane"/>
    <s v="kg/2018 USD, purchaser price"/>
    <n v="2E-3"/>
    <n v="5.6000000000000001E-2"/>
    <n v="0"/>
    <n v="0"/>
    <n v="2E-3"/>
    <n v="5.6000000000000001E-2"/>
  </r>
  <r>
    <x v="297"/>
    <s v="nitrous oxide"/>
    <s v="kg/2018 USD, purchaser price"/>
    <n v="0"/>
    <n v="0"/>
    <n v="0"/>
    <n v="0"/>
    <n v="0"/>
    <n v="0"/>
  </r>
  <r>
    <x v="297"/>
    <s v="other GHGs"/>
    <s v="kg CO2e/2018 USD, purchaser price"/>
    <n v="3.0000000000000001E-3"/>
    <n v="3.0000000000000001E-3"/>
    <n v="0"/>
    <n v="0"/>
    <n v="3.0000000000000001E-3"/>
    <n v="3.0000000000000001E-3"/>
  </r>
  <r>
    <x v="298"/>
    <s v="carbon dioxide"/>
    <s v="kg/2018 USD, purchaser price"/>
    <n v="0.58199999999999996"/>
    <n v="0.58199999999999996"/>
    <n v="0"/>
    <n v="0"/>
    <n v="0.58199999999999996"/>
    <n v="0.58199999999999996"/>
  </r>
  <r>
    <x v="298"/>
    <s v="methane"/>
    <s v="kg/2018 USD, purchaser price"/>
    <n v="2E-3"/>
    <n v="5.6000000000000001E-2"/>
    <n v="0"/>
    <n v="0"/>
    <n v="2E-3"/>
    <n v="5.6000000000000001E-2"/>
  </r>
  <r>
    <x v="298"/>
    <s v="nitrous oxide"/>
    <s v="kg/2018 USD, purchaser price"/>
    <n v="0"/>
    <n v="0"/>
    <n v="0"/>
    <n v="0"/>
    <n v="0"/>
    <n v="0"/>
  </r>
  <r>
    <x v="298"/>
    <s v="other GHGs"/>
    <s v="kg CO2e/2018 USD, purchaser price"/>
    <n v="5.0000000000000001E-3"/>
    <n v="5.0000000000000001E-3"/>
    <n v="0"/>
    <n v="0"/>
    <n v="5.0000000000000001E-3"/>
    <n v="5.0000000000000001E-3"/>
  </r>
  <r>
    <x v="299"/>
    <s v="carbon dioxide"/>
    <s v="kg/2018 USD, purchaser price"/>
    <n v="0.16"/>
    <n v="0.16"/>
    <n v="0"/>
    <n v="0"/>
    <n v="0.16"/>
    <n v="0.16"/>
  </r>
  <r>
    <x v="299"/>
    <s v="methane"/>
    <s v="kg/2018 USD, purchaser price"/>
    <n v="1E-3"/>
    <n v="2.8000000000000001E-2"/>
    <n v="0"/>
    <n v="0"/>
    <n v="1E-3"/>
    <n v="2.8000000000000001E-2"/>
  </r>
  <r>
    <x v="299"/>
    <s v="nitrous oxide"/>
    <s v="kg/2018 USD, purchaser price"/>
    <n v="0"/>
    <n v="0"/>
    <n v="0"/>
    <n v="0"/>
    <n v="0"/>
    <n v="0"/>
  </r>
  <r>
    <x v="299"/>
    <s v="other GHGs"/>
    <s v="kg CO2e/2018 USD, purchaser price"/>
    <n v="4.0000000000000001E-3"/>
    <n v="4.0000000000000001E-3"/>
    <n v="0"/>
    <n v="0"/>
    <n v="4.0000000000000001E-3"/>
    <n v="4.0000000000000001E-3"/>
  </r>
  <r>
    <x v="300"/>
    <s v="carbon dioxide"/>
    <s v="kg/2018 USD, purchaser price"/>
    <n v="0.107"/>
    <n v="0.107"/>
    <n v="6.8000000000000005E-2"/>
    <n v="6.8000000000000005E-2"/>
    <n v="0.17399999999999999"/>
    <n v="0.17399999999999999"/>
  </r>
  <r>
    <x v="300"/>
    <s v="methane"/>
    <s v="kg/2018 USD, purchaser price"/>
    <n v="0"/>
    <n v="0"/>
    <n v="1E-3"/>
    <n v="2.8000000000000001E-2"/>
    <n v="1E-3"/>
    <n v="2.8000000000000001E-2"/>
  </r>
  <r>
    <x v="300"/>
    <s v="nitrous oxide"/>
    <s v="kg/2018 USD, purchaser price"/>
    <n v="0"/>
    <n v="0"/>
    <n v="0"/>
    <n v="0"/>
    <n v="0"/>
    <n v="0"/>
  </r>
  <r>
    <x v="300"/>
    <s v="other GHGs"/>
    <s v="kg CO2e/2018 USD, purchaser price"/>
    <n v="2E-3"/>
    <n v="2E-3"/>
    <n v="0"/>
    <n v="0"/>
    <n v="2E-3"/>
    <n v="2E-3"/>
  </r>
  <r>
    <x v="301"/>
    <s v="carbon dioxide"/>
    <s v="kg/2018 USD, purchaser price"/>
    <n v="7.9000000000000001E-2"/>
    <n v="7.9000000000000001E-2"/>
    <n v="4.5999999999999999E-2"/>
    <n v="4.5999999999999999E-2"/>
    <n v="0.125"/>
    <n v="0.125"/>
  </r>
  <r>
    <x v="301"/>
    <s v="methane"/>
    <s v="kg/2018 USD, purchaser price"/>
    <n v="0"/>
    <n v="0"/>
    <n v="0"/>
    <n v="0"/>
    <n v="1E-3"/>
    <n v="2.8000000000000001E-2"/>
  </r>
  <r>
    <x v="301"/>
    <s v="nitrous oxide"/>
    <s v="kg/2018 USD, purchaser price"/>
    <n v="0"/>
    <n v="0"/>
    <n v="0"/>
    <n v="0"/>
    <n v="0"/>
    <n v="0"/>
  </r>
  <r>
    <x v="301"/>
    <s v="other GHGs"/>
    <s v="kg CO2e/2018 USD, purchaser price"/>
    <n v="2E-3"/>
    <n v="2E-3"/>
    <n v="0"/>
    <n v="0"/>
    <n v="2E-3"/>
    <n v="2E-3"/>
  </r>
  <r>
    <x v="302"/>
    <s v="carbon dioxide"/>
    <s v="kg/2018 USD, purchaser price"/>
    <n v="9.1999999999999998E-2"/>
    <n v="9.1999999999999998E-2"/>
    <n v="7.0000000000000007E-2"/>
    <n v="7.0000000000000007E-2"/>
    <n v="0.16200000000000001"/>
    <n v="0.16200000000000001"/>
  </r>
  <r>
    <x v="302"/>
    <s v="methane"/>
    <s v="kg/2018 USD, purchaser price"/>
    <n v="0"/>
    <n v="0"/>
    <n v="0"/>
    <n v="0"/>
    <n v="1E-3"/>
    <n v="2.8000000000000001E-2"/>
  </r>
  <r>
    <x v="302"/>
    <s v="nitrous oxide"/>
    <s v="kg/2018 USD, purchaser price"/>
    <n v="0"/>
    <n v="0"/>
    <n v="0"/>
    <n v="0"/>
    <n v="0"/>
    <n v="0"/>
  </r>
  <r>
    <x v="302"/>
    <s v="other GHGs"/>
    <s v="kg CO2e/2018 USD, purchaser price"/>
    <n v="2E-3"/>
    <n v="2E-3"/>
    <n v="0"/>
    <n v="0"/>
    <n v="2E-3"/>
    <n v="2E-3"/>
  </r>
  <r>
    <x v="303"/>
    <s v="carbon dioxide"/>
    <s v="kg/2018 USD, purchaser price"/>
    <n v="8.5000000000000006E-2"/>
    <n v="8.5000000000000006E-2"/>
    <n v="6.5000000000000002E-2"/>
    <n v="6.5000000000000002E-2"/>
    <n v="0.15"/>
    <n v="0.15"/>
  </r>
  <r>
    <x v="303"/>
    <s v="methane"/>
    <s v="kg/2018 USD, purchaser price"/>
    <n v="0"/>
    <n v="0"/>
    <n v="0"/>
    <n v="0"/>
    <n v="1E-3"/>
    <n v="2.8000000000000001E-2"/>
  </r>
  <r>
    <x v="303"/>
    <s v="nitrous oxide"/>
    <s v="kg/2018 USD, purchaser price"/>
    <n v="0"/>
    <n v="0"/>
    <n v="0"/>
    <n v="0"/>
    <n v="0"/>
    <n v="0"/>
  </r>
  <r>
    <x v="303"/>
    <s v="other GHGs"/>
    <s v="kg CO2e/2018 USD, purchaser price"/>
    <n v="3.0000000000000001E-3"/>
    <n v="3.0000000000000001E-3"/>
    <n v="0"/>
    <n v="0"/>
    <n v="3.0000000000000001E-3"/>
    <n v="3.0000000000000001E-3"/>
  </r>
  <r>
    <x v="304"/>
    <s v="carbon dioxide"/>
    <s v="kg/2018 USD, purchaser price"/>
    <n v="3.5000000000000003E-2"/>
    <n v="3.5000000000000003E-2"/>
    <n v="3.5999999999999997E-2"/>
    <n v="3.5999999999999997E-2"/>
    <n v="7.0999999999999994E-2"/>
    <n v="7.0999999999999994E-2"/>
  </r>
  <r>
    <x v="304"/>
    <s v="methane"/>
    <s v="kg/2018 USD, purchaser price"/>
    <n v="0"/>
    <n v="0"/>
    <n v="0"/>
    <n v="0"/>
    <n v="0"/>
    <n v="0"/>
  </r>
  <r>
    <x v="304"/>
    <s v="nitrous oxide"/>
    <s v="kg/2018 USD, purchaser price"/>
    <n v="0"/>
    <n v="0"/>
    <n v="0"/>
    <n v="0"/>
    <n v="0"/>
    <n v="0"/>
  </r>
  <r>
    <x v="304"/>
    <s v="other GHGs"/>
    <s v="kg CO2e/2018 USD, purchaser price"/>
    <n v="2E-3"/>
    <n v="2E-3"/>
    <n v="0"/>
    <n v="0"/>
    <n v="2E-3"/>
    <n v="2E-3"/>
  </r>
  <r>
    <x v="305"/>
    <s v="carbon dioxide"/>
    <s v="kg/2018 USD, purchaser price"/>
    <n v="4.2999999999999997E-2"/>
    <n v="4.2999999999999997E-2"/>
    <n v="6.0000000000000001E-3"/>
    <n v="6.0000000000000001E-3"/>
    <n v="4.8000000000000001E-2"/>
    <n v="4.8000000000000001E-2"/>
  </r>
  <r>
    <x v="305"/>
    <s v="methane"/>
    <s v="kg/2018 USD, purchaser price"/>
    <n v="0"/>
    <n v="0"/>
    <n v="0"/>
    <n v="0"/>
    <n v="0"/>
    <n v="0"/>
  </r>
  <r>
    <x v="305"/>
    <s v="nitrous oxide"/>
    <s v="kg/2018 USD, purchaser price"/>
    <n v="0"/>
    <n v="0"/>
    <n v="0"/>
    <n v="0"/>
    <n v="0"/>
    <n v="0"/>
  </r>
  <r>
    <x v="305"/>
    <s v="other GHGs"/>
    <s v="kg CO2e/2018 USD, purchaser price"/>
    <n v="2E-3"/>
    <n v="2E-3"/>
    <n v="0"/>
    <n v="0"/>
    <n v="2E-3"/>
    <n v="2E-3"/>
  </r>
  <r>
    <x v="306"/>
    <s v="carbon dioxide"/>
    <s v="kg/2018 USD, purchaser price"/>
    <n v="2.5999999999999999E-2"/>
    <n v="2.5999999999999999E-2"/>
    <n v="4.1000000000000002E-2"/>
    <n v="4.1000000000000002E-2"/>
    <n v="6.7000000000000004E-2"/>
    <n v="6.7000000000000004E-2"/>
  </r>
  <r>
    <x v="306"/>
    <s v="methane"/>
    <s v="kg/2018 USD, purchaser price"/>
    <n v="0"/>
    <n v="0"/>
    <n v="0"/>
    <n v="0"/>
    <n v="0"/>
    <n v="0"/>
  </r>
  <r>
    <x v="306"/>
    <s v="nitrous oxide"/>
    <s v="kg/2018 USD, purchaser price"/>
    <n v="0"/>
    <n v="0"/>
    <n v="0"/>
    <n v="0"/>
    <n v="0"/>
    <n v="0"/>
  </r>
  <r>
    <x v="306"/>
    <s v="other GHGs"/>
    <s v="kg CO2e/2018 USD, purchaser price"/>
    <n v="1E-3"/>
    <n v="1E-3"/>
    <n v="0"/>
    <n v="0"/>
    <n v="1E-3"/>
    <n v="1E-3"/>
  </r>
  <r>
    <x v="307"/>
    <s v="carbon dioxide"/>
    <s v="kg/2018 USD, purchaser price"/>
    <n v="4.7E-2"/>
    <n v="4.7E-2"/>
    <n v="0"/>
    <n v="0"/>
    <n v="4.7E-2"/>
    <n v="4.7E-2"/>
  </r>
  <r>
    <x v="307"/>
    <s v="methane"/>
    <s v="kg/2018 USD, purchaser price"/>
    <n v="0"/>
    <n v="0"/>
    <n v="0"/>
    <n v="0"/>
    <n v="0"/>
    <n v="0"/>
  </r>
  <r>
    <x v="307"/>
    <s v="nitrous oxide"/>
    <s v="kg/2018 USD, purchaser price"/>
    <n v="0"/>
    <n v="0"/>
    <n v="0"/>
    <n v="0"/>
    <n v="0"/>
    <n v="0"/>
  </r>
  <r>
    <x v="307"/>
    <s v="other GHGs"/>
    <s v="kg CO2e/2018 USD, purchaser price"/>
    <n v="2.3E-2"/>
    <n v="2.3E-2"/>
    <n v="0"/>
    <n v="0"/>
    <n v="2.3E-2"/>
    <n v="2.3E-2"/>
  </r>
  <r>
    <x v="308"/>
    <s v="carbon dioxide"/>
    <s v="kg/2018 USD, purchaser price"/>
    <n v="7.3999999999999996E-2"/>
    <n v="7.3999999999999996E-2"/>
    <n v="0"/>
    <n v="0"/>
    <n v="7.3999999999999996E-2"/>
    <n v="7.3999999999999996E-2"/>
  </r>
  <r>
    <x v="308"/>
    <s v="methane"/>
    <s v="kg/2018 USD, purchaser price"/>
    <n v="0"/>
    <n v="0"/>
    <n v="0"/>
    <n v="0"/>
    <n v="0"/>
    <n v="0"/>
  </r>
  <r>
    <x v="308"/>
    <s v="nitrous oxide"/>
    <s v="kg/2018 USD, purchaser price"/>
    <n v="0"/>
    <n v="0"/>
    <n v="0"/>
    <n v="0"/>
    <n v="0"/>
    <n v="0"/>
  </r>
  <r>
    <x v="308"/>
    <s v="other GHGs"/>
    <s v="kg CO2e/2018 USD, purchaser price"/>
    <n v="3.5000000000000003E-2"/>
    <n v="3.5000000000000003E-2"/>
    <n v="0"/>
    <n v="0"/>
    <n v="3.5000000000000003E-2"/>
    <n v="3.5000000000000003E-2"/>
  </r>
  <r>
    <x v="309"/>
    <s v="carbon dioxide"/>
    <s v="kg/2018 USD, purchaser price"/>
    <n v="7.8E-2"/>
    <n v="7.8E-2"/>
    <n v="0"/>
    <n v="0"/>
    <n v="7.8E-2"/>
    <n v="7.8E-2"/>
  </r>
  <r>
    <x v="309"/>
    <s v="methane"/>
    <s v="kg/2018 USD, purchaser price"/>
    <n v="0"/>
    <n v="0"/>
    <n v="0"/>
    <n v="0"/>
    <n v="0"/>
    <n v="0"/>
  </r>
  <r>
    <x v="309"/>
    <s v="nitrous oxide"/>
    <s v="kg/2018 USD, purchaser price"/>
    <n v="0"/>
    <n v="0"/>
    <n v="0"/>
    <n v="0"/>
    <n v="0"/>
    <n v="0"/>
  </r>
  <r>
    <x v="309"/>
    <s v="other GHGs"/>
    <s v="kg CO2e/2018 USD, purchaser price"/>
    <n v="4.0000000000000001E-3"/>
    <n v="4.0000000000000001E-3"/>
    <n v="0"/>
    <n v="0"/>
    <n v="4.0000000000000001E-3"/>
    <n v="4.0000000000000001E-3"/>
  </r>
  <r>
    <x v="310"/>
    <s v="carbon dioxide"/>
    <s v="kg/2018 USD, purchaser price"/>
    <n v="0.107"/>
    <n v="0.107"/>
    <n v="0"/>
    <n v="0"/>
    <n v="0.107"/>
    <n v="0.107"/>
  </r>
  <r>
    <x v="310"/>
    <s v="methane"/>
    <s v="kg/2018 USD, purchaser price"/>
    <n v="0"/>
    <n v="0"/>
    <n v="0"/>
    <n v="0"/>
    <n v="0"/>
    <n v="0"/>
  </r>
  <r>
    <x v="310"/>
    <s v="nitrous oxide"/>
    <s v="kg/2018 USD, purchaser price"/>
    <n v="0"/>
    <n v="0"/>
    <n v="0"/>
    <n v="0"/>
    <n v="0"/>
    <n v="0"/>
  </r>
  <r>
    <x v="310"/>
    <s v="other GHGs"/>
    <s v="kg CO2e/2018 USD, purchaser price"/>
    <n v="4.0000000000000001E-3"/>
    <n v="4.0000000000000001E-3"/>
    <n v="0"/>
    <n v="0"/>
    <n v="4.0000000000000001E-3"/>
    <n v="4.0000000000000001E-3"/>
  </r>
  <r>
    <x v="311"/>
    <s v="carbon dioxide"/>
    <s v="kg/2018 USD, purchaser price"/>
    <n v="0.10299999999999999"/>
    <n v="0.10299999999999999"/>
    <n v="0"/>
    <n v="0"/>
    <n v="0.10299999999999999"/>
    <n v="0.10299999999999999"/>
  </r>
  <r>
    <x v="311"/>
    <s v="methane"/>
    <s v="kg/2018 USD, purchaser price"/>
    <n v="0"/>
    <n v="0"/>
    <n v="0"/>
    <n v="0"/>
    <n v="0"/>
    <n v="0"/>
  </r>
  <r>
    <x v="311"/>
    <s v="nitrous oxide"/>
    <s v="kg/2018 USD, purchaser price"/>
    <n v="0"/>
    <n v="0"/>
    <n v="0"/>
    <n v="0"/>
    <n v="0"/>
    <n v="0"/>
  </r>
  <r>
    <x v="311"/>
    <s v="other GHGs"/>
    <s v="kg CO2e/2018 USD, purchaser price"/>
    <n v="3.0000000000000001E-3"/>
    <n v="3.0000000000000001E-3"/>
    <n v="0"/>
    <n v="0"/>
    <n v="3.0000000000000001E-3"/>
    <n v="3.0000000000000001E-3"/>
  </r>
  <r>
    <x v="312"/>
    <s v="carbon dioxide"/>
    <s v="kg/2018 USD, purchaser price"/>
    <n v="0.126"/>
    <n v="0.126"/>
    <n v="0"/>
    <n v="0"/>
    <n v="0.126"/>
    <n v="0.126"/>
  </r>
  <r>
    <x v="312"/>
    <s v="methane"/>
    <s v="kg/2018 USD, purchaser price"/>
    <n v="1E-3"/>
    <n v="2.8000000000000001E-2"/>
    <n v="0"/>
    <n v="0"/>
    <n v="1E-3"/>
    <n v="2.8000000000000001E-2"/>
  </r>
  <r>
    <x v="312"/>
    <s v="nitrous oxide"/>
    <s v="kg/2018 USD, purchaser price"/>
    <n v="0"/>
    <n v="0"/>
    <n v="0"/>
    <n v="0"/>
    <n v="0"/>
    <n v="0"/>
  </r>
  <r>
    <x v="312"/>
    <s v="other GHGs"/>
    <s v="kg CO2e/2018 USD, purchaser price"/>
    <n v="8.0000000000000002E-3"/>
    <n v="8.0000000000000002E-3"/>
    <n v="0"/>
    <n v="0"/>
    <n v="8.0000000000000002E-3"/>
    <n v="8.0000000000000002E-3"/>
  </r>
  <r>
    <x v="313"/>
    <s v="carbon dioxide"/>
    <s v="kg/2018 USD, purchaser price"/>
    <n v="0.111"/>
    <n v="0.111"/>
    <n v="0"/>
    <n v="0"/>
    <n v="0.111"/>
    <n v="0.111"/>
  </r>
  <r>
    <x v="313"/>
    <s v="methane"/>
    <s v="kg/2018 USD, purchaser price"/>
    <n v="0"/>
    <n v="0"/>
    <n v="0"/>
    <n v="0"/>
    <n v="0"/>
    <n v="0"/>
  </r>
  <r>
    <x v="313"/>
    <s v="nitrous oxide"/>
    <s v="kg/2018 USD, purchaser price"/>
    <n v="0"/>
    <n v="0"/>
    <n v="0"/>
    <n v="0"/>
    <n v="0"/>
    <n v="0"/>
  </r>
  <r>
    <x v="313"/>
    <s v="other GHGs"/>
    <s v="kg CO2e/2018 USD, purchaser price"/>
    <n v="2E-3"/>
    <n v="2E-3"/>
    <n v="0"/>
    <n v="0"/>
    <n v="2E-3"/>
    <n v="2E-3"/>
  </r>
  <r>
    <x v="314"/>
    <s v="carbon dioxide"/>
    <s v="kg/2018 USD, purchaser price"/>
    <n v="0.11799999999999999"/>
    <n v="0.11799999999999999"/>
    <n v="0"/>
    <n v="0"/>
    <n v="0.11799999999999999"/>
    <n v="0.11799999999999999"/>
  </r>
  <r>
    <x v="314"/>
    <s v="methane"/>
    <s v="kg/2018 USD, purchaser price"/>
    <n v="1E-3"/>
    <n v="2.8000000000000001E-2"/>
    <n v="0"/>
    <n v="0"/>
    <n v="1E-3"/>
    <n v="2.8000000000000001E-2"/>
  </r>
  <r>
    <x v="314"/>
    <s v="nitrous oxide"/>
    <s v="kg/2018 USD, purchaser price"/>
    <n v="0"/>
    <n v="0"/>
    <n v="0"/>
    <n v="0"/>
    <n v="0"/>
    <n v="0"/>
  </r>
  <r>
    <x v="314"/>
    <s v="other GHGs"/>
    <s v="kg CO2e/2018 USD, purchaser price"/>
    <n v="2E-3"/>
    <n v="2E-3"/>
    <n v="0"/>
    <n v="0"/>
    <n v="2E-3"/>
    <n v="2E-3"/>
  </r>
  <r>
    <x v="315"/>
    <s v="carbon dioxide"/>
    <s v="kg/2018 USD, purchaser price"/>
    <n v="6.5000000000000002E-2"/>
    <n v="6.5000000000000002E-2"/>
    <n v="0"/>
    <n v="0"/>
    <n v="6.5000000000000002E-2"/>
    <n v="6.5000000000000002E-2"/>
  </r>
  <r>
    <x v="315"/>
    <s v="methane"/>
    <s v="kg/2018 USD, purchaser price"/>
    <n v="0"/>
    <n v="0"/>
    <n v="0"/>
    <n v="0"/>
    <n v="0"/>
    <n v="0"/>
  </r>
  <r>
    <x v="315"/>
    <s v="nitrous oxide"/>
    <s v="kg/2018 USD, purchaser price"/>
    <n v="0"/>
    <n v="0"/>
    <n v="0"/>
    <n v="0"/>
    <n v="0"/>
    <n v="0"/>
  </r>
  <r>
    <x v="315"/>
    <s v="other GHGs"/>
    <s v="kg CO2e/2018 USD, purchaser price"/>
    <n v="1E-3"/>
    <n v="1E-3"/>
    <n v="0"/>
    <n v="0"/>
    <n v="1E-3"/>
    <n v="1E-3"/>
  </r>
  <r>
    <x v="316"/>
    <s v="carbon dioxide"/>
    <s v="kg/2018 USD, purchaser price"/>
    <n v="8.6999999999999994E-2"/>
    <n v="8.6999999999999994E-2"/>
    <n v="0"/>
    <n v="0"/>
    <n v="8.6999999999999994E-2"/>
    <n v="8.6999999999999994E-2"/>
  </r>
  <r>
    <x v="316"/>
    <s v="methane"/>
    <s v="kg/2018 USD, purchaser price"/>
    <n v="0"/>
    <n v="0"/>
    <n v="0"/>
    <n v="0"/>
    <n v="0"/>
    <n v="0"/>
  </r>
  <r>
    <x v="316"/>
    <s v="nitrous oxide"/>
    <s v="kg/2018 USD, purchaser price"/>
    <n v="0"/>
    <n v="0"/>
    <n v="0"/>
    <n v="0"/>
    <n v="0"/>
    <n v="0"/>
  </r>
  <r>
    <x v="316"/>
    <s v="other GHGs"/>
    <s v="kg CO2e/2018 USD, purchaser price"/>
    <n v="2E-3"/>
    <n v="2E-3"/>
    <n v="0"/>
    <n v="0"/>
    <n v="2E-3"/>
    <n v="2E-3"/>
  </r>
  <r>
    <x v="317"/>
    <s v="carbon dioxide"/>
    <s v="kg/2018 USD, purchaser price"/>
    <n v="6.5000000000000002E-2"/>
    <n v="6.5000000000000002E-2"/>
    <n v="0"/>
    <n v="0"/>
    <n v="6.5000000000000002E-2"/>
    <n v="6.5000000000000002E-2"/>
  </r>
  <r>
    <x v="317"/>
    <s v="methane"/>
    <s v="kg/2018 USD, purchaser price"/>
    <n v="0"/>
    <n v="0"/>
    <n v="0"/>
    <n v="0"/>
    <n v="0"/>
    <n v="0"/>
  </r>
  <r>
    <x v="317"/>
    <s v="nitrous oxide"/>
    <s v="kg/2018 USD, purchaser price"/>
    <n v="0"/>
    <n v="0"/>
    <n v="0"/>
    <n v="0"/>
    <n v="0"/>
    <n v="0"/>
  </r>
  <r>
    <x v="317"/>
    <s v="other GHGs"/>
    <s v="kg CO2e/2018 USD, purchaser price"/>
    <n v="1E-3"/>
    <n v="1E-3"/>
    <n v="0"/>
    <n v="0"/>
    <n v="1E-3"/>
    <n v="1E-3"/>
  </r>
  <r>
    <x v="318"/>
    <s v="carbon dioxide"/>
    <s v="kg/2018 USD, purchaser price"/>
    <n v="2.3E-2"/>
    <n v="2.3E-2"/>
    <n v="0"/>
    <n v="0"/>
    <n v="2.3E-2"/>
    <n v="2.3E-2"/>
  </r>
  <r>
    <x v="318"/>
    <s v="methane"/>
    <s v="kg/2018 USD, purchaser price"/>
    <n v="0"/>
    <n v="0"/>
    <n v="0"/>
    <n v="0"/>
    <n v="0"/>
    <n v="0"/>
  </r>
  <r>
    <x v="318"/>
    <s v="nitrous oxide"/>
    <s v="kg/2018 USD, purchaser price"/>
    <n v="0"/>
    <n v="0"/>
    <n v="0"/>
    <n v="0"/>
    <n v="0"/>
    <n v="0"/>
  </r>
  <r>
    <x v="318"/>
    <s v="other GHGs"/>
    <s v="kg CO2e/2018 USD, purchaser price"/>
    <n v="1E-3"/>
    <n v="1E-3"/>
    <n v="0"/>
    <n v="0"/>
    <n v="1E-3"/>
    <n v="1E-3"/>
  </r>
  <r>
    <x v="319"/>
    <s v="carbon dioxide"/>
    <s v="kg/2018 USD, purchaser price"/>
    <n v="3.5000000000000003E-2"/>
    <n v="3.5000000000000003E-2"/>
    <n v="0"/>
    <n v="0"/>
    <n v="3.5000000000000003E-2"/>
    <n v="3.5000000000000003E-2"/>
  </r>
  <r>
    <x v="319"/>
    <s v="methane"/>
    <s v="kg/2018 USD, purchaser price"/>
    <n v="0"/>
    <n v="0"/>
    <n v="0"/>
    <n v="0"/>
    <n v="0"/>
    <n v="0"/>
  </r>
  <r>
    <x v="319"/>
    <s v="nitrous oxide"/>
    <s v="kg/2018 USD, purchaser price"/>
    <n v="0"/>
    <n v="0"/>
    <n v="0"/>
    <n v="0"/>
    <n v="0"/>
    <n v="0"/>
  </r>
  <r>
    <x v="319"/>
    <s v="other GHGs"/>
    <s v="kg CO2e/2018 USD, purchaser price"/>
    <n v="1E-3"/>
    <n v="1E-3"/>
    <n v="0"/>
    <n v="0"/>
    <n v="1E-3"/>
    <n v="1E-3"/>
  </r>
  <r>
    <x v="320"/>
    <s v="carbon dioxide"/>
    <s v="kg/2018 USD, purchaser price"/>
    <n v="3.2000000000000001E-2"/>
    <n v="3.2000000000000001E-2"/>
    <n v="0"/>
    <n v="0"/>
    <n v="3.2000000000000001E-2"/>
    <n v="3.2000000000000001E-2"/>
  </r>
  <r>
    <x v="320"/>
    <s v="methane"/>
    <s v="kg/2018 USD, purchaser price"/>
    <n v="0"/>
    <n v="0"/>
    <n v="0"/>
    <n v="0"/>
    <n v="0"/>
    <n v="0"/>
  </r>
  <r>
    <x v="320"/>
    <s v="nitrous oxide"/>
    <s v="kg/2018 USD, purchaser price"/>
    <n v="0"/>
    <n v="0"/>
    <n v="0"/>
    <n v="0"/>
    <n v="0"/>
    <n v="0"/>
  </r>
  <r>
    <x v="320"/>
    <s v="other GHGs"/>
    <s v="kg CO2e/2018 USD, purchaser price"/>
    <n v="1E-3"/>
    <n v="1E-3"/>
    <n v="0"/>
    <n v="0"/>
    <n v="1E-3"/>
    <n v="1E-3"/>
  </r>
  <r>
    <x v="321"/>
    <s v="carbon dioxide"/>
    <s v="kg/2018 USD, purchaser price"/>
    <n v="0.17399999999999999"/>
    <n v="0.17399999999999999"/>
    <n v="0"/>
    <n v="0"/>
    <n v="0.17399999999999999"/>
    <n v="0.17399999999999999"/>
  </r>
  <r>
    <x v="321"/>
    <s v="methane"/>
    <s v="kg/2018 USD, purchaser price"/>
    <n v="1E-3"/>
    <n v="2.8000000000000001E-2"/>
    <n v="0"/>
    <n v="0"/>
    <n v="1E-3"/>
    <n v="2.8000000000000001E-2"/>
  </r>
  <r>
    <x v="321"/>
    <s v="nitrous oxide"/>
    <s v="kg/2018 USD, purchaser price"/>
    <n v="0"/>
    <n v="0"/>
    <n v="0"/>
    <n v="0"/>
    <n v="0"/>
    <n v="0"/>
  </r>
  <r>
    <x v="321"/>
    <s v="other GHGs"/>
    <s v="kg CO2e/2018 USD, purchaser price"/>
    <n v="2E-3"/>
    <n v="2E-3"/>
    <n v="0"/>
    <n v="0"/>
    <n v="2E-3"/>
    <n v="2E-3"/>
  </r>
  <r>
    <x v="322"/>
    <s v="carbon dioxide"/>
    <s v="kg/2018 USD, purchaser price"/>
    <n v="6.8000000000000005E-2"/>
    <n v="6.8000000000000005E-2"/>
    <n v="0"/>
    <n v="0"/>
    <n v="6.8000000000000005E-2"/>
    <n v="6.8000000000000005E-2"/>
  </r>
  <r>
    <x v="322"/>
    <s v="methane"/>
    <s v="kg/2018 USD, purchaser price"/>
    <n v="0"/>
    <n v="0"/>
    <n v="0"/>
    <n v="0"/>
    <n v="0"/>
    <n v="0"/>
  </r>
  <r>
    <x v="322"/>
    <s v="nitrous oxide"/>
    <s v="kg/2018 USD, purchaser price"/>
    <n v="0"/>
    <n v="0"/>
    <n v="0"/>
    <n v="0"/>
    <n v="0"/>
    <n v="0"/>
  </r>
  <r>
    <x v="322"/>
    <s v="other GHGs"/>
    <s v="kg CO2e/2018 USD, purchaser price"/>
    <n v="1E-3"/>
    <n v="1E-3"/>
    <n v="0"/>
    <n v="0"/>
    <n v="1E-3"/>
    <n v="1E-3"/>
  </r>
  <r>
    <x v="323"/>
    <s v="carbon dioxide"/>
    <s v="kg/2018 USD, purchaser price"/>
    <n v="2.1000000000000001E-2"/>
    <n v="2.1000000000000001E-2"/>
    <n v="0"/>
    <n v="0"/>
    <n v="2.1000000000000001E-2"/>
    <n v="2.1000000000000001E-2"/>
  </r>
  <r>
    <x v="323"/>
    <s v="methane"/>
    <s v="kg/2018 USD, purchaser price"/>
    <n v="0"/>
    <n v="0"/>
    <n v="0"/>
    <n v="0"/>
    <n v="0"/>
    <n v="0"/>
  </r>
  <r>
    <x v="323"/>
    <s v="nitrous oxide"/>
    <s v="kg/2018 USD, purchaser price"/>
    <n v="0"/>
    <n v="0"/>
    <n v="0"/>
    <n v="0"/>
    <n v="0"/>
    <n v="0"/>
  </r>
  <r>
    <x v="323"/>
    <s v="other GHGs"/>
    <s v="kg CO2e/2018 USD, purchaser price"/>
    <n v="2E-3"/>
    <n v="2E-3"/>
    <n v="0"/>
    <n v="0"/>
    <n v="2E-3"/>
    <n v="2E-3"/>
  </r>
  <r>
    <x v="324"/>
    <s v="carbon dioxide"/>
    <s v="kg/2018 USD, purchaser price"/>
    <n v="0.01"/>
    <n v="0.01"/>
    <n v="0"/>
    <n v="0"/>
    <n v="0.01"/>
    <n v="0.01"/>
  </r>
  <r>
    <x v="324"/>
    <s v="methane"/>
    <s v="kg/2018 USD, purchaser price"/>
    <n v="0"/>
    <n v="0"/>
    <n v="0"/>
    <n v="0"/>
    <n v="0"/>
    <n v="0"/>
  </r>
  <r>
    <x v="324"/>
    <s v="nitrous oxide"/>
    <s v="kg/2018 USD, purchaser price"/>
    <n v="0"/>
    <n v="0"/>
    <n v="0"/>
    <n v="0"/>
    <n v="0"/>
    <n v="0"/>
  </r>
  <r>
    <x v="324"/>
    <s v="other GHGs"/>
    <s v="kg CO2e/2018 USD, purchaser price"/>
    <n v="1E-3"/>
    <n v="1E-3"/>
    <n v="0"/>
    <n v="0"/>
    <n v="1E-3"/>
    <n v="1E-3"/>
  </r>
  <r>
    <x v="325"/>
    <s v="carbon dioxide"/>
    <s v="kg/2018 USD, purchaser price"/>
    <n v="0.38400000000000001"/>
    <n v="0.38400000000000001"/>
    <n v="0"/>
    <n v="0"/>
    <n v="0.38400000000000001"/>
    <n v="0.38400000000000001"/>
  </r>
  <r>
    <x v="325"/>
    <s v="methane"/>
    <s v="kg/2018 USD, purchaser price"/>
    <n v="1E-3"/>
    <n v="2.8000000000000001E-2"/>
    <n v="0"/>
    <n v="0"/>
    <n v="1E-3"/>
    <n v="2.8000000000000001E-2"/>
  </r>
  <r>
    <x v="325"/>
    <s v="nitrous oxide"/>
    <s v="kg/2018 USD, purchaser price"/>
    <n v="0"/>
    <n v="0"/>
    <n v="0"/>
    <n v="0"/>
    <n v="0"/>
    <n v="0"/>
  </r>
  <r>
    <x v="325"/>
    <s v="other GHGs"/>
    <s v="kg CO2e/2018 USD, purchaser price"/>
    <n v="6.0000000000000001E-3"/>
    <n v="6.0000000000000001E-3"/>
    <n v="0"/>
    <n v="0"/>
    <n v="6.0000000000000001E-3"/>
    <n v="6.0000000000000001E-3"/>
  </r>
  <r>
    <x v="326"/>
    <s v="carbon dioxide"/>
    <s v="kg/2018 USD, purchaser price"/>
    <n v="0.14099999999999999"/>
    <n v="0.14099999999999999"/>
    <n v="0"/>
    <n v="0"/>
    <n v="0.14099999999999999"/>
    <n v="0.14099999999999999"/>
  </r>
  <r>
    <x v="326"/>
    <s v="methane"/>
    <s v="kg/2018 USD, purchaser price"/>
    <n v="1E-3"/>
    <n v="2.8000000000000001E-2"/>
    <n v="0"/>
    <n v="0"/>
    <n v="1E-3"/>
    <n v="2.8000000000000001E-2"/>
  </r>
  <r>
    <x v="326"/>
    <s v="nitrous oxide"/>
    <s v="kg/2018 USD, purchaser price"/>
    <n v="0"/>
    <n v="0"/>
    <n v="0"/>
    <n v="0"/>
    <n v="0"/>
    <n v="0"/>
  </r>
  <r>
    <x v="326"/>
    <s v="other GHGs"/>
    <s v="kg CO2e/2018 USD, purchaser price"/>
    <n v="2E-3"/>
    <n v="2E-3"/>
    <n v="0"/>
    <n v="0"/>
    <n v="2E-3"/>
    <n v="2E-3"/>
  </r>
  <r>
    <x v="327"/>
    <s v="carbon dioxide"/>
    <s v="kg/2018 USD, purchaser price"/>
    <n v="0.124"/>
    <n v="0.124"/>
    <n v="0"/>
    <n v="0"/>
    <n v="0.124"/>
    <n v="0.124"/>
  </r>
  <r>
    <x v="327"/>
    <s v="methane"/>
    <s v="kg/2018 USD, purchaser price"/>
    <n v="1E-3"/>
    <n v="2.8000000000000001E-2"/>
    <n v="0"/>
    <n v="0"/>
    <n v="1E-3"/>
    <n v="2.8000000000000001E-2"/>
  </r>
  <r>
    <x v="327"/>
    <s v="nitrous oxide"/>
    <s v="kg/2018 USD, purchaser price"/>
    <n v="0"/>
    <n v="0"/>
    <n v="0"/>
    <n v="0"/>
    <n v="0"/>
    <n v="0"/>
  </r>
  <r>
    <x v="327"/>
    <s v="other GHGs"/>
    <s v="kg CO2e/2018 USD, purchaser price"/>
    <n v="8.0000000000000002E-3"/>
    <n v="8.0000000000000002E-3"/>
    <n v="0"/>
    <n v="0"/>
    <n v="8.0000000000000002E-3"/>
    <n v="8.0000000000000002E-3"/>
  </r>
  <r>
    <x v="328"/>
    <s v="carbon dioxide"/>
    <s v="kg/2018 USD, purchaser price"/>
    <n v="0.129"/>
    <n v="0.129"/>
    <n v="0"/>
    <n v="0"/>
    <n v="0.129"/>
    <n v="0.129"/>
  </r>
  <r>
    <x v="328"/>
    <s v="methane"/>
    <s v="kg/2018 USD, purchaser price"/>
    <n v="1E-3"/>
    <n v="2.8000000000000001E-2"/>
    <n v="0"/>
    <n v="0"/>
    <n v="1E-3"/>
    <n v="2.8000000000000001E-2"/>
  </r>
  <r>
    <x v="328"/>
    <s v="nitrous oxide"/>
    <s v="kg/2018 USD, purchaser price"/>
    <n v="0"/>
    <n v="0"/>
    <n v="0"/>
    <n v="0"/>
    <n v="0"/>
    <n v="0"/>
  </r>
  <r>
    <x v="328"/>
    <s v="other GHGs"/>
    <s v="kg CO2e/2018 USD, purchaser price"/>
    <n v="2E-3"/>
    <n v="2E-3"/>
    <n v="0"/>
    <n v="0"/>
    <n v="2E-3"/>
    <n v="2E-3"/>
  </r>
  <r>
    <x v="329"/>
    <s v="carbon dioxide"/>
    <s v="kg/2018 USD, purchaser price"/>
    <n v="5.7000000000000002E-2"/>
    <n v="5.7000000000000002E-2"/>
    <n v="0"/>
    <n v="0"/>
    <n v="5.7000000000000002E-2"/>
    <n v="5.7000000000000002E-2"/>
  </r>
  <r>
    <x v="329"/>
    <s v="methane"/>
    <s v="kg/2018 USD, purchaser price"/>
    <n v="0"/>
    <n v="0"/>
    <n v="0"/>
    <n v="0"/>
    <n v="0"/>
    <n v="0"/>
  </r>
  <r>
    <x v="329"/>
    <s v="nitrous oxide"/>
    <s v="kg/2018 USD, purchaser price"/>
    <n v="0"/>
    <n v="0"/>
    <n v="0"/>
    <n v="0"/>
    <n v="0"/>
    <n v="0"/>
  </r>
  <r>
    <x v="329"/>
    <s v="other GHGs"/>
    <s v="kg CO2e/2018 USD, purchaser price"/>
    <n v="1E-3"/>
    <n v="1E-3"/>
    <n v="0"/>
    <n v="0"/>
    <n v="1E-3"/>
    <n v="1E-3"/>
  </r>
  <r>
    <x v="330"/>
    <s v="carbon dioxide"/>
    <s v="kg/2018 USD, purchaser price"/>
    <n v="6.3E-2"/>
    <n v="6.3E-2"/>
    <n v="0"/>
    <n v="0"/>
    <n v="6.3E-2"/>
    <n v="6.3E-2"/>
  </r>
  <r>
    <x v="330"/>
    <s v="methane"/>
    <s v="kg/2018 USD, purchaser price"/>
    <n v="0"/>
    <n v="0"/>
    <n v="0"/>
    <n v="0"/>
    <n v="0"/>
    <n v="0"/>
  </r>
  <r>
    <x v="330"/>
    <s v="nitrous oxide"/>
    <s v="kg/2018 USD, purchaser price"/>
    <n v="0"/>
    <n v="0"/>
    <n v="0"/>
    <n v="0"/>
    <n v="0"/>
    <n v="0"/>
  </r>
  <r>
    <x v="330"/>
    <s v="other GHGs"/>
    <s v="kg CO2e/2018 USD, purchaser price"/>
    <n v="2E-3"/>
    <n v="2E-3"/>
    <n v="0"/>
    <n v="0"/>
    <n v="2E-3"/>
    <n v="2E-3"/>
  </r>
  <r>
    <x v="331"/>
    <s v="carbon dioxide"/>
    <s v="kg/2018 USD, purchaser price"/>
    <n v="5.0999999999999997E-2"/>
    <n v="5.0999999999999997E-2"/>
    <n v="0"/>
    <n v="0"/>
    <n v="5.0999999999999997E-2"/>
    <n v="5.0999999999999997E-2"/>
  </r>
  <r>
    <x v="331"/>
    <s v="methane"/>
    <s v="kg/2018 USD, purchaser price"/>
    <n v="0"/>
    <n v="0"/>
    <n v="0"/>
    <n v="0"/>
    <n v="0"/>
    <n v="0"/>
  </r>
  <r>
    <x v="331"/>
    <s v="nitrous oxide"/>
    <s v="kg/2018 USD, purchaser price"/>
    <n v="0"/>
    <n v="0"/>
    <n v="0"/>
    <n v="0"/>
    <n v="0"/>
    <n v="0"/>
  </r>
  <r>
    <x v="331"/>
    <s v="other GHGs"/>
    <s v="kg CO2e/2018 USD, purchaser price"/>
    <n v="1E-3"/>
    <n v="1E-3"/>
    <n v="0"/>
    <n v="0"/>
    <n v="1E-3"/>
    <n v="1E-3"/>
  </r>
  <r>
    <x v="332"/>
    <s v="carbon dioxide"/>
    <s v="kg/2018 USD, purchaser price"/>
    <n v="0.11899999999999999"/>
    <n v="0.11899999999999999"/>
    <n v="0"/>
    <n v="0"/>
    <n v="0.11899999999999999"/>
    <n v="0.11899999999999999"/>
  </r>
  <r>
    <x v="332"/>
    <s v="methane"/>
    <s v="kg/2018 USD, purchaser price"/>
    <n v="1E-3"/>
    <n v="2.8000000000000001E-2"/>
    <n v="0"/>
    <n v="0"/>
    <n v="1E-3"/>
    <n v="2.8000000000000001E-2"/>
  </r>
  <r>
    <x v="332"/>
    <s v="nitrous oxide"/>
    <s v="kg/2018 USD, purchaser price"/>
    <n v="0"/>
    <n v="0"/>
    <n v="0"/>
    <n v="0"/>
    <n v="0"/>
    <n v="0"/>
  </r>
  <r>
    <x v="332"/>
    <s v="other GHGs"/>
    <s v="kg CO2e/2018 USD, purchaser price"/>
    <n v="3.0000000000000001E-3"/>
    <n v="3.0000000000000001E-3"/>
    <n v="0"/>
    <n v="0"/>
    <n v="3.0000000000000001E-3"/>
    <n v="3.0000000000000001E-3"/>
  </r>
  <r>
    <x v="333"/>
    <s v="carbon dioxide"/>
    <s v="kg/2018 USD, purchaser price"/>
    <n v="8.2000000000000003E-2"/>
    <n v="8.2000000000000003E-2"/>
    <n v="0"/>
    <n v="0"/>
    <n v="8.2000000000000003E-2"/>
    <n v="8.2000000000000003E-2"/>
  </r>
  <r>
    <x v="333"/>
    <s v="methane"/>
    <s v="kg/2018 USD, purchaser price"/>
    <n v="0"/>
    <n v="0"/>
    <n v="0"/>
    <n v="0"/>
    <n v="0"/>
    <n v="0"/>
  </r>
  <r>
    <x v="333"/>
    <s v="nitrous oxide"/>
    <s v="kg/2018 USD, purchaser price"/>
    <n v="0"/>
    <n v="0"/>
    <n v="0"/>
    <n v="0"/>
    <n v="0"/>
    <n v="0"/>
  </r>
  <r>
    <x v="333"/>
    <s v="other GHGs"/>
    <s v="kg CO2e/2018 USD, purchaser price"/>
    <n v="2E-3"/>
    <n v="2E-3"/>
    <n v="0"/>
    <n v="0"/>
    <n v="2E-3"/>
    <n v="2E-3"/>
  </r>
  <r>
    <x v="334"/>
    <s v="carbon dioxide"/>
    <s v="kg/2018 USD, purchaser price"/>
    <n v="7.6999999999999999E-2"/>
    <n v="7.6999999999999999E-2"/>
    <n v="0"/>
    <n v="0"/>
    <n v="7.6999999999999999E-2"/>
    <n v="7.6999999999999999E-2"/>
  </r>
  <r>
    <x v="334"/>
    <s v="methane"/>
    <s v="kg/2018 USD, purchaser price"/>
    <n v="0"/>
    <n v="0"/>
    <n v="0"/>
    <n v="0"/>
    <n v="0"/>
    <n v="0"/>
  </r>
  <r>
    <x v="334"/>
    <s v="nitrous oxide"/>
    <s v="kg/2018 USD, purchaser price"/>
    <n v="0"/>
    <n v="0"/>
    <n v="0"/>
    <n v="0"/>
    <n v="0"/>
    <n v="0"/>
  </r>
  <r>
    <x v="334"/>
    <s v="other GHGs"/>
    <s v="kg CO2e/2018 USD, purchaser price"/>
    <n v="3.0000000000000001E-3"/>
    <n v="3.0000000000000001E-3"/>
    <n v="0"/>
    <n v="0"/>
    <n v="3.0000000000000001E-3"/>
    <n v="3.0000000000000001E-3"/>
  </r>
  <r>
    <x v="335"/>
    <s v="carbon dioxide"/>
    <s v="kg/2018 USD, purchaser price"/>
    <n v="5.3999999999999999E-2"/>
    <n v="5.3999999999999999E-2"/>
    <n v="0"/>
    <n v="0"/>
    <n v="5.3999999999999999E-2"/>
    <n v="5.3999999999999999E-2"/>
  </r>
  <r>
    <x v="335"/>
    <s v="methane"/>
    <s v="kg/2018 USD, purchaser price"/>
    <n v="0"/>
    <n v="0"/>
    <n v="0"/>
    <n v="0"/>
    <n v="0"/>
    <n v="0"/>
  </r>
  <r>
    <x v="335"/>
    <s v="nitrous oxide"/>
    <s v="kg/2018 USD, purchaser price"/>
    <n v="0"/>
    <n v="0"/>
    <n v="0"/>
    <n v="0"/>
    <n v="0"/>
    <n v="0"/>
  </r>
  <r>
    <x v="335"/>
    <s v="other GHGs"/>
    <s v="kg CO2e/2018 USD, purchaser price"/>
    <n v="8.0000000000000002E-3"/>
    <n v="8.0000000000000002E-3"/>
    <n v="0"/>
    <n v="0"/>
    <n v="8.0000000000000002E-3"/>
    <n v="8.0000000000000002E-3"/>
  </r>
  <r>
    <x v="336"/>
    <s v="carbon dioxide"/>
    <s v="kg/2018 USD, purchaser price"/>
    <n v="6.6000000000000003E-2"/>
    <n v="6.6000000000000003E-2"/>
    <n v="0"/>
    <n v="0"/>
    <n v="6.6000000000000003E-2"/>
    <n v="6.6000000000000003E-2"/>
  </r>
  <r>
    <x v="336"/>
    <s v="methane"/>
    <s v="kg/2018 USD, purchaser price"/>
    <n v="0"/>
    <n v="0"/>
    <n v="0"/>
    <n v="0"/>
    <n v="0"/>
    <n v="0"/>
  </r>
  <r>
    <x v="336"/>
    <s v="nitrous oxide"/>
    <s v="kg/2018 USD, purchaser price"/>
    <n v="0"/>
    <n v="0"/>
    <n v="0"/>
    <n v="0"/>
    <n v="0"/>
    <n v="0"/>
  </r>
  <r>
    <x v="336"/>
    <s v="other GHGs"/>
    <s v="kg CO2e/2018 USD, purchaser price"/>
    <n v="4.0000000000000001E-3"/>
    <n v="4.0000000000000001E-3"/>
    <n v="0"/>
    <n v="0"/>
    <n v="4.0000000000000001E-3"/>
    <n v="4.0000000000000001E-3"/>
  </r>
  <r>
    <x v="337"/>
    <s v="carbon dioxide"/>
    <s v="kg/2018 USD, purchaser price"/>
    <n v="6.7000000000000004E-2"/>
    <n v="6.7000000000000004E-2"/>
    <n v="0"/>
    <n v="0"/>
    <n v="6.7000000000000004E-2"/>
    <n v="6.7000000000000004E-2"/>
  </r>
  <r>
    <x v="337"/>
    <s v="methane"/>
    <s v="kg/2018 USD, purchaser price"/>
    <n v="0"/>
    <n v="0"/>
    <n v="0"/>
    <n v="0"/>
    <n v="0"/>
    <n v="0"/>
  </r>
  <r>
    <x v="337"/>
    <s v="nitrous oxide"/>
    <s v="kg/2018 USD, purchaser price"/>
    <n v="0"/>
    <n v="0"/>
    <n v="0"/>
    <n v="0"/>
    <n v="0"/>
    <n v="0"/>
  </r>
  <r>
    <x v="337"/>
    <s v="other GHGs"/>
    <s v="kg CO2e/2018 USD, purchaser price"/>
    <n v="3.0000000000000001E-3"/>
    <n v="3.0000000000000001E-3"/>
    <n v="0"/>
    <n v="0"/>
    <n v="3.0000000000000001E-3"/>
    <n v="3.0000000000000001E-3"/>
  </r>
  <r>
    <x v="338"/>
    <s v="carbon dioxide"/>
    <s v="kg/2018 USD, purchaser price"/>
    <n v="6.5000000000000002E-2"/>
    <n v="6.5000000000000002E-2"/>
    <n v="0"/>
    <n v="0"/>
    <n v="6.5000000000000002E-2"/>
    <n v="6.5000000000000002E-2"/>
  </r>
  <r>
    <x v="338"/>
    <s v="methane"/>
    <s v="kg/2018 USD, purchaser price"/>
    <n v="0"/>
    <n v="0"/>
    <n v="0"/>
    <n v="0"/>
    <n v="0"/>
    <n v="0"/>
  </r>
  <r>
    <x v="338"/>
    <s v="nitrous oxide"/>
    <s v="kg/2018 USD, purchaser price"/>
    <n v="0"/>
    <n v="0"/>
    <n v="0"/>
    <n v="0"/>
    <n v="0"/>
    <n v="0"/>
  </r>
  <r>
    <x v="338"/>
    <s v="other GHGs"/>
    <s v="kg CO2e/2018 USD, purchaser price"/>
    <n v="2E-3"/>
    <n v="2E-3"/>
    <n v="0"/>
    <n v="0"/>
    <n v="2E-3"/>
    <n v="2E-3"/>
  </r>
  <r>
    <x v="339"/>
    <s v="carbon dioxide"/>
    <s v="kg/2018 USD, purchaser price"/>
    <n v="0.156"/>
    <n v="0.156"/>
    <n v="0"/>
    <n v="0"/>
    <n v="0.156"/>
    <n v="0.156"/>
  </r>
  <r>
    <x v="339"/>
    <s v="methane"/>
    <s v="kg/2018 USD, purchaser price"/>
    <n v="1E-3"/>
    <n v="2.8000000000000001E-2"/>
    <n v="0"/>
    <n v="0"/>
    <n v="1E-3"/>
    <n v="2.8000000000000001E-2"/>
  </r>
  <r>
    <x v="339"/>
    <s v="nitrous oxide"/>
    <s v="kg/2018 USD, purchaser price"/>
    <n v="0"/>
    <n v="0"/>
    <n v="0"/>
    <n v="0"/>
    <n v="0"/>
    <n v="0"/>
  </r>
  <r>
    <x v="339"/>
    <s v="other GHGs"/>
    <s v="kg CO2e/2018 USD, purchaser price"/>
    <n v="6.0000000000000001E-3"/>
    <n v="6.0000000000000001E-3"/>
    <n v="0"/>
    <n v="0"/>
    <n v="6.0000000000000001E-3"/>
    <n v="6.0000000000000001E-3"/>
  </r>
  <r>
    <x v="340"/>
    <s v="carbon dioxide"/>
    <s v="kg/2018 USD, purchaser price"/>
    <n v="0.107"/>
    <n v="0.107"/>
    <n v="0"/>
    <n v="0"/>
    <n v="0.107"/>
    <n v="0.107"/>
  </r>
  <r>
    <x v="340"/>
    <s v="methane"/>
    <s v="kg/2018 USD, purchaser price"/>
    <n v="0"/>
    <n v="0"/>
    <n v="0"/>
    <n v="0"/>
    <n v="0"/>
    <n v="0"/>
  </r>
  <r>
    <x v="340"/>
    <s v="nitrous oxide"/>
    <s v="kg/2018 USD, purchaser price"/>
    <n v="0"/>
    <n v="0"/>
    <n v="0"/>
    <n v="0"/>
    <n v="0"/>
    <n v="0"/>
  </r>
  <r>
    <x v="340"/>
    <s v="other GHGs"/>
    <s v="kg CO2e/2018 USD, purchaser price"/>
    <n v="7.0000000000000001E-3"/>
    <n v="7.0000000000000001E-3"/>
    <n v="0"/>
    <n v="0"/>
    <n v="7.0000000000000001E-3"/>
    <n v="7.0000000000000001E-3"/>
  </r>
  <r>
    <x v="341"/>
    <s v="carbon dioxide"/>
    <s v="kg/2018 USD, purchaser price"/>
    <n v="0.105"/>
    <n v="0.105"/>
    <n v="0"/>
    <n v="0"/>
    <n v="0.105"/>
    <n v="0.105"/>
  </r>
  <r>
    <x v="341"/>
    <s v="methane"/>
    <s v="kg/2018 USD, purchaser price"/>
    <n v="0"/>
    <n v="0"/>
    <n v="0"/>
    <n v="0"/>
    <n v="0"/>
    <n v="0"/>
  </r>
  <r>
    <x v="341"/>
    <s v="nitrous oxide"/>
    <s v="kg/2018 USD, purchaser price"/>
    <n v="0"/>
    <n v="0"/>
    <n v="0"/>
    <n v="0"/>
    <n v="0"/>
    <n v="0"/>
  </r>
  <r>
    <x v="341"/>
    <s v="other GHGs"/>
    <s v="kg CO2e/2018 USD, purchaser price"/>
    <n v="2E-3"/>
    <n v="2E-3"/>
    <n v="0"/>
    <n v="0"/>
    <n v="2E-3"/>
    <n v="2E-3"/>
  </r>
  <r>
    <x v="342"/>
    <s v="carbon dioxide"/>
    <s v="kg/2018 USD, purchaser price"/>
    <n v="9.8000000000000004E-2"/>
    <n v="9.8000000000000004E-2"/>
    <n v="0"/>
    <n v="0"/>
    <n v="9.8000000000000004E-2"/>
    <n v="9.8000000000000004E-2"/>
  </r>
  <r>
    <x v="342"/>
    <s v="methane"/>
    <s v="kg/2018 USD, purchaser price"/>
    <n v="1E-3"/>
    <n v="2.8000000000000001E-2"/>
    <n v="0"/>
    <n v="0"/>
    <n v="1E-3"/>
    <n v="2.8000000000000001E-2"/>
  </r>
  <r>
    <x v="342"/>
    <s v="nitrous oxide"/>
    <s v="kg/2018 USD, purchaser price"/>
    <n v="0"/>
    <n v="0"/>
    <n v="0"/>
    <n v="0"/>
    <n v="0"/>
    <n v="0"/>
  </r>
  <r>
    <x v="342"/>
    <s v="other GHGs"/>
    <s v="kg CO2e/2018 USD, purchaser price"/>
    <n v="2E-3"/>
    <n v="2E-3"/>
    <n v="0"/>
    <n v="0"/>
    <n v="2E-3"/>
    <n v="2E-3"/>
  </r>
  <r>
    <x v="343"/>
    <s v="carbon dioxide"/>
    <s v="kg/2018 USD, purchaser price"/>
    <n v="7.4999999999999997E-2"/>
    <n v="7.4999999999999997E-2"/>
    <n v="0"/>
    <n v="0"/>
    <n v="7.4999999999999997E-2"/>
    <n v="7.4999999999999997E-2"/>
  </r>
  <r>
    <x v="343"/>
    <s v="methane"/>
    <s v="kg/2018 USD, purchaser price"/>
    <n v="0"/>
    <n v="0"/>
    <n v="0"/>
    <n v="0"/>
    <n v="0"/>
    <n v="0"/>
  </r>
  <r>
    <x v="343"/>
    <s v="nitrous oxide"/>
    <s v="kg/2018 USD, purchaser price"/>
    <n v="0"/>
    <n v="0"/>
    <n v="0"/>
    <n v="0"/>
    <n v="0"/>
    <n v="0"/>
  </r>
  <r>
    <x v="343"/>
    <s v="other GHGs"/>
    <s v="kg CO2e/2018 USD, purchaser price"/>
    <n v="2E-3"/>
    <n v="2E-3"/>
    <n v="0"/>
    <n v="0"/>
    <n v="2E-3"/>
    <n v="2E-3"/>
  </r>
  <r>
    <x v="344"/>
    <s v="carbon dioxide"/>
    <s v="kg/2018 USD, purchaser price"/>
    <n v="0.113"/>
    <n v="0.113"/>
    <n v="0"/>
    <n v="0"/>
    <n v="0.113"/>
    <n v="0.113"/>
  </r>
  <r>
    <x v="344"/>
    <s v="methane"/>
    <s v="kg/2018 USD, purchaser price"/>
    <n v="0"/>
    <n v="0"/>
    <n v="0"/>
    <n v="0"/>
    <n v="0"/>
    <n v="0"/>
  </r>
  <r>
    <x v="344"/>
    <s v="nitrous oxide"/>
    <s v="kg/2018 USD, purchaser price"/>
    <n v="0"/>
    <n v="0"/>
    <n v="0"/>
    <n v="0"/>
    <n v="0"/>
    <n v="0"/>
  </r>
  <r>
    <x v="344"/>
    <s v="other GHGs"/>
    <s v="kg CO2e/2018 USD, purchaser price"/>
    <n v="2E-3"/>
    <n v="2E-3"/>
    <n v="0"/>
    <n v="0"/>
    <n v="2E-3"/>
    <n v="2E-3"/>
  </r>
  <r>
    <x v="345"/>
    <s v="carbon dioxide"/>
    <s v="kg/2018 USD, purchaser price"/>
    <n v="8.4000000000000005E-2"/>
    <n v="8.4000000000000005E-2"/>
    <n v="0"/>
    <n v="0"/>
    <n v="8.4000000000000005E-2"/>
    <n v="8.4000000000000005E-2"/>
  </r>
  <r>
    <x v="345"/>
    <s v="methane"/>
    <s v="kg/2018 USD, purchaser price"/>
    <n v="0"/>
    <n v="0"/>
    <n v="0"/>
    <n v="0"/>
    <n v="0"/>
    <n v="0"/>
  </r>
  <r>
    <x v="345"/>
    <s v="nitrous oxide"/>
    <s v="kg/2018 USD, purchaser price"/>
    <n v="0"/>
    <n v="0"/>
    <n v="0"/>
    <n v="0"/>
    <n v="0"/>
    <n v="0"/>
  </r>
  <r>
    <x v="345"/>
    <s v="other GHGs"/>
    <s v="kg CO2e/2018 USD, purchaser price"/>
    <n v="2E-3"/>
    <n v="2E-3"/>
    <n v="0"/>
    <n v="0"/>
    <n v="2E-3"/>
    <n v="2E-3"/>
  </r>
  <r>
    <x v="346"/>
    <s v="carbon dioxide"/>
    <s v="kg/2018 USD, purchaser price"/>
    <n v="0.20699999999999999"/>
    <n v="0.20699999999999999"/>
    <n v="0"/>
    <n v="0"/>
    <n v="0.20699999999999999"/>
    <n v="0.20699999999999999"/>
  </r>
  <r>
    <x v="346"/>
    <s v="methane"/>
    <s v="kg/2018 USD, purchaser price"/>
    <n v="1E-3"/>
    <n v="2.8000000000000001E-2"/>
    <n v="0"/>
    <n v="0"/>
    <n v="1E-3"/>
    <n v="2.8000000000000001E-2"/>
  </r>
  <r>
    <x v="346"/>
    <s v="nitrous oxide"/>
    <s v="kg/2018 USD, purchaser price"/>
    <n v="0"/>
    <n v="0"/>
    <n v="0"/>
    <n v="0"/>
    <n v="0"/>
    <n v="0"/>
  </r>
  <r>
    <x v="346"/>
    <s v="other GHGs"/>
    <s v="kg CO2e/2018 USD, purchaser price"/>
    <n v="4.0000000000000001E-3"/>
    <n v="4.0000000000000001E-3"/>
    <n v="0"/>
    <n v="0"/>
    <n v="4.0000000000000001E-3"/>
    <n v="4.0000000000000001E-3"/>
  </r>
  <r>
    <x v="347"/>
    <s v="carbon dioxide"/>
    <s v="kg/2018 USD, purchaser price"/>
    <n v="3.3000000000000002E-2"/>
    <n v="3.3000000000000002E-2"/>
    <n v="0"/>
    <n v="0"/>
    <n v="3.3000000000000002E-2"/>
    <n v="3.3000000000000002E-2"/>
  </r>
  <r>
    <x v="347"/>
    <s v="methane"/>
    <s v="kg/2018 USD, purchaser price"/>
    <n v="0"/>
    <n v="0"/>
    <n v="0"/>
    <n v="0"/>
    <n v="0"/>
    <n v="0"/>
  </r>
  <r>
    <x v="347"/>
    <s v="nitrous oxide"/>
    <s v="kg/2018 USD, purchaser price"/>
    <n v="0"/>
    <n v="0"/>
    <n v="0"/>
    <n v="0"/>
    <n v="0"/>
    <n v="0"/>
  </r>
  <r>
    <x v="347"/>
    <s v="other GHGs"/>
    <s v="kg CO2e/2018 USD, purchaser price"/>
    <n v="1E-3"/>
    <n v="1E-3"/>
    <n v="0"/>
    <n v="0"/>
    <n v="1E-3"/>
    <n v="1E-3"/>
  </r>
  <r>
    <x v="348"/>
    <s v="carbon dioxide"/>
    <s v="kg/2018 USD, purchaser price"/>
    <n v="0.112"/>
    <n v="0.112"/>
    <n v="0"/>
    <n v="0"/>
    <n v="0.112"/>
    <n v="0.112"/>
  </r>
  <r>
    <x v="348"/>
    <s v="methane"/>
    <s v="kg/2018 USD, purchaser price"/>
    <n v="1E-3"/>
    <n v="2.8000000000000001E-2"/>
    <n v="0"/>
    <n v="0"/>
    <n v="1E-3"/>
    <n v="2.8000000000000001E-2"/>
  </r>
  <r>
    <x v="348"/>
    <s v="nitrous oxide"/>
    <s v="kg/2018 USD, purchaser price"/>
    <n v="0"/>
    <n v="0"/>
    <n v="0"/>
    <n v="0"/>
    <n v="0"/>
    <n v="0"/>
  </r>
  <r>
    <x v="348"/>
    <s v="other GHGs"/>
    <s v="kg CO2e/2018 USD, purchaser price"/>
    <n v="2E-3"/>
    <n v="2E-3"/>
    <n v="0"/>
    <n v="0"/>
    <n v="2E-3"/>
    <n v="2E-3"/>
  </r>
  <r>
    <x v="349"/>
    <s v="carbon dioxide"/>
    <s v="kg/2018 USD, purchaser price"/>
    <n v="0.09"/>
    <n v="0.09"/>
    <n v="0"/>
    <n v="0"/>
    <n v="0.09"/>
    <n v="0.09"/>
  </r>
  <r>
    <x v="349"/>
    <s v="methane"/>
    <s v="kg/2018 USD, purchaser price"/>
    <n v="0"/>
    <n v="0"/>
    <n v="0"/>
    <n v="0"/>
    <n v="0"/>
    <n v="0"/>
  </r>
  <r>
    <x v="349"/>
    <s v="nitrous oxide"/>
    <s v="kg/2018 USD, purchaser price"/>
    <n v="0"/>
    <n v="0"/>
    <n v="0"/>
    <n v="0"/>
    <n v="0"/>
    <n v="0"/>
  </r>
  <r>
    <x v="349"/>
    <s v="other GHGs"/>
    <s v="kg CO2e/2018 USD, purchaser price"/>
    <n v="3.0000000000000001E-3"/>
    <n v="3.0000000000000001E-3"/>
    <n v="0"/>
    <n v="0"/>
    <n v="3.0000000000000001E-3"/>
    <n v="3.0000000000000001E-3"/>
  </r>
  <r>
    <x v="350"/>
    <s v="carbon dioxide"/>
    <s v="kg/2018 USD, purchaser price"/>
    <n v="0.09"/>
    <n v="0.09"/>
    <n v="0"/>
    <n v="0"/>
    <n v="0.09"/>
    <n v="0.09"/>
  </r>
  <r>
    <x v="350"/>
    <s v="methane"/>
    <s v="kg/2018 USD, purchaser price"/>
    <n v="0"/>
    <n v="0"/>
    <n v="0"/>
    <n v="0"/>
    <n v="0"/>
    <n v="0"/>
  </r>
  <r>
    <x v="350"/>
    <s v="nitrous oxide"/>
    <s v="kg/2018 USD, purchaser price"/>
    <n v="0"/>
    <n v="0"/>
    <n v="0"/>
    <n v="0"/>
    <n v="0"/>
    <n v="0"/>
  </r>
  <r>
    <x v="350"/>
    <s v="other GHGs"/>
    <s v="kg CO2e/2018 USD, purchaser price"/>
    <n v="2E-3"/>
    <n v="2E-3"/>
    <n v="0"/>
    <n v="0"/>
    <n v="2E-3"/>
    <n v="2E-3"/>
  </r>
  <r>
    <x v="351"/>
    <s v="carbon dioxide"/>
    <s v="kg/2018 USD, purchaser price"/>
    <n v="0.14699999999999999"/>
    <n v="0.14699999999999999"/>
    <n v="0"/>
    <n v="0"/>
    <n v="0.14699999999999999"/>
    <n v="0.14699999999999999"/>
  </r>
  <r>
    <x v="351"/>
    <s v="methane"/>
    <s v="kg/2018 USD, purchaser price"/>
    <n v="1E-3"/>
    <n v="2.8000000000000001E-2"/>
    <n v="0"/>
    <n v="0"/>
    <n v="1E-3"/>
    <n v="2.8000000000000001E-2"/>
  </r>
  <r>
    <x v="351"/>
    <s v="nitrous oxide"/>
    <s v="kg/2018 USD, purchaser price"/>
    <n v="0"/>
    <n v="0"/>
    <n v="0"/>
    <n v="0"/>
    <n v="0"/>
    <n v="0"/>
  </r>
  <r>
    <x v="351"/>
    <s v="other GHGs"/>
    <s v="kg CO2e/2018 USD, purchaser price"/>
    <n v="1.6E-2"/>
    <n v="1.6E-2"/>
    <n v="0"/>
    <n v="0"/>
    <n v="1.6E-2"/>
    <n v="1.6E-2"/>
  </r>
  <r>
    <x v="352"/>
    <s v="carbon dioxide"/>
    <s v="kg/2018 USD, purchaser price"/>
    <n v="0.13300000000000001"/>
    <n v="0.13300000000000001"/>
    <n v="0"/>
    <n v="0"/>
    <n v="0.13300000000000001"/>
    <n v="0.13300000000000001"/>
  </r>
  <r>
    <x v="352"/>
    <s v="methane"/>
    <s v="kg/2018 USD, purchaser price"/>
    <n v="1E-3"/>
    <n v="2.8000000000000001E-2"/>
    <n v="0"/>
    <n v="0"/>
    <n v="1E-3"/>
    <n v="2.8000000000000001E-2"/>
  </r>
  <r>
    <x v="352"/>
    <s v="nitrous oxide"/>
    <s v="kg/2018 USD, purchaser price"/>
    <n v="0"/>
    <n v="0"/>
    <n v="0"/>
    <n v="0"/>
    <n v="0"/>
    <n v="0"/>
  </r>
  <r>
    <x v="352"/>
    <s v="other GHGs"/>
    <s v="kg CO2e/2018 USD, purchaser price"/>
    <n v="5.0000000000000001E-3"/>
    <n v="5.0000000000000001E-3"/>
    <n v="0"/>
    <n v="0"/>
    <n v="5.0000000000000001E-3"/>
    <n v="5.0000000000000001E-3"/>
  </r>
  <r>
    <x v="353"/>
    <s v="carbon dioxide"/>
    <s v="kg/2018 USD, purchaser price"/>
    <n v="0.311"/>
    <n v="0.311"/>
    <n v="0"/>
    <n v="0"/>
    <n v="0.311"/>
    <n v="0.311"/>
  </r>
  <r>
    <x v="353"/>
    <s v="methane"/>
    <s v="kg/2018 USD, purchaser price"/>
    <n v="4.7E-2"/>
    <n v="1.3160000000000001"/>
    <n v="0"/>
    <n v="0"/>
    <n v="4.7E-2"/>
    <n v="1.3160000000000001"/>
  </r>
  <r>
    <x v="353"/>
    <s v="nitrous oxide"/>
    <s v="kg/2018 USD, purchaser price"/>
    <n v="0"/>
    <n v="0"/>
    <n v="0"/>
    <n v="0"/>
    <n v="0"/>
    <n v="0"/>
  </r>
  <r>
    <x v="353"/>
    <s v="other GHGs"/>
    <s v="kg CO2e/2018 USD, purchaser price"/>
    <n v="1.4999999999999999E-2"/>
    <n v="1.4999999999999999E-2"/>
    <n v="0"/>
    <n v="0"/>
    <n v="1.4999999999999999E-2"/>
    <n v="1.4999999999999999E-2"/>
  </r>
  <r>
    <x v="354"/>
    <s v="carbon dioxide"/>
    <s v="kg/2018 USD, purchaser price"/>
    <n v="0.13400000000000001"/>
    <n v="0.13400000000000001"/>
    <n v="0"/>
    <n v="0"/>
    <n v="0.13400000000000001"/>
    <n v="0.13400000000000001"/>
  </r>
  <r>
    <x v="354"/>
    <s v="methane"/>
    <s v="kg/2018 USD, purchaser price"/>
    <n v="1E-3"/>
    <n v="2.8000000000000001E-2"/>
    <n v="0"/>
    <n v="0"/>
    <n v="1E-3"/>
    <n v="2.8000000000000001E-2"/>
  </r>
  <r>
    <x v="354"/>
    <s v="nitrous oxide"/>
    <s v="kg/2018 USD, purchaser price"/>
    <n v="0"/>
    <n v="0"/>
    <n v="0"/>
    <n v="0"/>
    <n v="0"/>
    <n v="0"/>
  </r>
  <r>
    <x v="354"/>
    <s v="other GHGs"/>
    <s v="kg CO2e/2018 USD, purchaser price"/>
    <n v="3.0000000000000001E-3"/>
    <n v="3.0000000000000001E-3"/>
    <n v="0"/>
    <n v="0"/>
    <n v="3.0000000000000001E-3"/>
    <n v="3.0000000000000001E-3"/>
  </r>
  <r>
    <x v="355"/>
    <s v="carbon dioxide"/>
    <s v="kg/2018 USD, purchaser price"/>
    <n v="0.16800000000000001"/>
    <n v="0.16800000000000001"/>
    <n v="0"/>
    <n v="0"/>
    <n v="0.16800000000000001"/>
    <n v="0.16800000000000001"/>
  </r>
  <r>
    <x v="355"/>
    <s v="methane"/>
    <s v="kg/2018 USD, purchaser price"/>
    <n v="1E-3"/>
    <n v="2.8000000000000001E-2"/>
    <n v="0"/>
    <n v="0"/>
    <n v="1E-3"/>
    <n v="2.8000000000000001E-2"/>
  </r>
  <r>
    <x v="355"/>
    <s v="nitrous oxide"/>
    <s v="kg/2018 USD, purchaser price"/>
    <n v="0"/>
    <n v="0"/>
    <n v="0"/>
    <n v="0"/>
    <n v="0"/>
    <n v="0"/>
  </r>
  <r>
    <x v="355"/>
    <s v="other GHGs"/>
    <s v="kg CO2e/2018 USD, purchaser price"/>
    <n v="3.0000000000000001E-3"/>
    <n v="3.0000000000000001E-3"/>
    <n v="0"/>
    <n v="0"/>
    <n v="3.0000000000000001E-3"/>
    <n v="3.0000000000000001E-3"/>
  </r>
  <r>
    <x v="356"/>
    <s v="carbon dioxide"/>
    <s v="kg/2018 USD, purchaser price"/>
    <n v="0.121"/>
    <n v="0.121"/>
    <n v="0"/>
    <n v="0"/>
    <n v="0.121"/>
    <n v="0.121"/>
  </r>
  <r>
    <x v="356"/>
    <s v="methane"/>
    <s v="kg/2018 USD, purchaser price"/>
    <n v="1E-3"/>
    <n v="2.8000000000000001E-2"/>
    <n v="0"/>
    <n v="0"/>
    <n v="1E-3"/>
    <n v="2.8000000000000001E-2"/>
  </r>
  <r>
    <x v="356"/>
    <s v="nitrous oxide"/>
    <s v="kg/2018 USD, purchaser price"/>
    <n v="0"/>
    <n v="0"/>
    <n v="0"/>
    <n v="0"/>
    <n v="0"/>
    <n v="0"/>
  </r>
  <r>
    <x v="356"/>
    <s v="other GHGs"/>
    <s v="kg CO2e/2018 USD, purchaser price"/>
    <n v="3.0000000000000001E-3"/>
    <n v="3.0000000000000001E-3"/>
    <n v="0"/>
    <n v="0"/>
    <n v="3.0000000000000001E-3"/>
    <n v="3.0000000000000001E-3"/>
  </r>
  <r>
    <x v="357"/>
    <s v="carbon dioxide"/>
    <s v="kg/2018 USD, purchaser price"/>
    <n v="7.2999999999999995E-2"/>
    <n v="7.2999999999999995E-2"/>
    <n v="0"/>
    <n v="0"/>
    <n v="7.2999999999999995E-2"/>
    <n v="7.2999999999999995E-2"/>
  </r>
  <r>
    <x v="357"/>
    <s v="methane"/>
    <s v="kg/2018 USD, purchaser price"/>
    <n v="0"/>
    <n v="0"/>
    <n v="0"/>
    <n v="0"/>
    <n v="0"/>
    <n v="0"/>
  </r>
  <r>
    <x v="357"/>
    <s v="nitrous oxide"/>
    <s v="kg/2018 USD, purchaser price"/>
    <n v="0"/>
    <n v="0"/>
    <n v="0"/>
    <n v="0"/>
    <n v="0"/>
    <n v="0"/>
  </r>
  <r>
    <x v="357"/>
    <s v="other GHGs"/>
    <s v="kg CO2e/2018 USD, purchaser price"/>
    <n v="3.0000000000000001E-3"/>
    <n v="3.0000000000000001E-3"/>
    <n v="0"/>
    <n v="0"/>
    <n v="3.0000000000000001E-3"/>
    <n v="3.0000000000000001E-3"/>
  </r>
  <r>
    <x v="358"/>
    <s v="carbon dioxide"/>
    <s v="kg/2018 USD, purchaser price"/>
    <n v="9.4E-2"/>
    <n v="9.4E-2"/>
    <n v="0"/>
    <n v="0"/>
    <n v="9.4E-2"/>
    <n v="9.4E-2"/>
  </r>
  <r>
    <x v="358"/>
    <s v="methane"/>
    <s v="kg/2018 USD, purchaser price"/>
    <n v="0"/>
    <n v="0"/>
    <n v="0"/>
    <n v="0"/>
    <n v="0"/>
    <n v="0"/>
  </r>
  <r>
    <x v="358"/>
    <s v="nitrous oxide"/>
    <s v="kg/2018 USD, purchaser price"/>
    <n v="0"/>
    <n v="0"/>
    <n v="0"/>
    <n v="0"/>
    <n v="0"/>
    <n v="0"/>
  </r>
  <r>
    <x v="358"/>
    <s v="other GHGs"/>
    <s v="kg CO2e/2018 USD, purchaser price"/>
    <n v="3.0000000000000001E-3"/>
    <n v="3.0000000000000001E-3"/>
    <n v="0"/>
    <n v="0"/>
    <n v="3.0000000000000001E-3"/>
    <n v="3.0000000000000001E-3"/>
  </r>
  <r>
    <x v="359"/>
    <s v="carbon dioxide"/>
    <s v="kg/2018 USD, purchaser price"/>
    <n v="9.9000000000000005E-2"/>
    <n v="9.9000000000000005E-2"/>
    <n v="0"/>
    <n v="0"/>
    <n v="9.9000000000000005E-2"/>
    <n v="9.9000000000000005E-2"/>
  </r>
  <r>
    <x v="359"/>
    <s v="methane"/>
    <s v="kg/2018 USD, purchaser price"/>
    <n v="0"/>
    <n v="0"/>
    <n v="0"/>
    <n v="0"/>
    <n v="0"/>
    <n v="0"/>
  </r>
  <r>
    <x v="359"/>
    <s v="nitrous oxide"/>
    <s v="kg/2018 USD, purchaser price"/>
    <n v="0"/>
    <n v="0"/>
    <n v="0"/>
    <n v="0"/>
    <n v="0"/>
    <n v="0"/>
  </r>
  <r>
    <x v="359"/>
    <s v="other GHGs"/>
    <s v="kg CO2e/2018 USD, purchaser price"/>
    <n v="3.0000000000000001E-3"/>
    <n v="3.0000000000000001E-3"/>
    <n v="0"/>
    <n v="0"/>
    <n v="3.0000000000000001E-3"/>
    <n v="3.0000000000000001E-3"/>
  </r>
  <r>
    <x v="360"/>
    <s v="carbon dioxide"/>
    <s v="kg/2018 USD, purchaser price"/>
    <n v="0.114"/>
    <n v="0.114"/>
    <n v="0"/>
    <n v="0"/>
    <n v="0.114"/>
    <n v="0.114"/>
  </r>
  <r>
    <x v="360"/>
    <s v="methane"/>
    <s v="kg/2018 USD, purchaser price"/>
    <n v="1E-3"/>
    <n v="2.8000000000000001E-2"/>
    <n v="0"/>
    <n v="0"/>
    <n v="1E-3"/>
    <n v="2.8000000000000001E-2"/>
  </r>
  <r>
    <x v="360"/>
    <s v="nitrous oxide"/>
    <s v="kg/2018 USD, purchaser price"/>
    <n v="0"/>
    <n v="0"/>
    <n v="0"/>
    <n v="0"/>
    <n v="0"/>
    <n v="0"/>
  </r>
  <r>
    <x v="360"/>
    <s v="other GHGs"/>
    <s v="kg CO2e/2018 USD, purchaser price"/>
    <n v="3.0000000000000001E-3"/>
    <n v="3.0000000000000001E-3"/>
    <n v="0"/>
    <n v="0"/>
    <n v="3.0000000000000001E-3"/>
    <n v="3.0000000000000001E-3"/>
  </r>
  <r>
    <x v="361"/>
    <s v="carbon dioxide"/>
    <s v="kg/2018 USD, purchaser price"/>
    <n v="0.09"/>
    <n v="0.09"/>
    <n v="0"/>
    <n v="0"/>
    <n v="0.09"/>
    <n v="0.09"/>
  </r>
  <r>
    <x v="361"/>
    <s v="methane"/>
    <s v="kg/2018 USD, purchaser price"/>
    <n v="0"/>
    <n v="0"/>
    <n v="0"/>
    <n v="0"/>
    <n v="0"/>
    <n v="0"/>
  </r>
  <r>
    <x v="361"/>
    <s v="nitrous oxide"/>
    <s v="kg/2018 USD, purchaser price"/>
    <n v="0"/>
    <n v="0"/>
    <n v="0"/>
    <n v="0"/>
    <n v="0"/>
    <n v="0"/>
  </r>
  <r>
    <x v="361"/>
    <s v="other GHGs"/>
    <s v="kg CO2e/2018 USD, purchaser price"/>
    <n v="2E-3"/>
    <n v="2E-3"/>
    <n v="0"/>
    <n v="0"/>
    <n v="2E-3"/>
    <n v="2E-3"/>
  </r>
  <r>
    <x v="362"/>
    <s v="carbon dioxide"/>
    <s v="kg/2018 USD, purchaser price"/>
    <n v="0.10100000000000001"/>
    <n v="0.10100000000000001"/>
    <n v="0"/>
    <n v="0"/>
    <n v="0.10100000000000001"/>
    <n v="0.10100000000000001"/>
  </r>
  <r>
    <x v="362"/>
    <s v="methane"/>
    <s v="kg/2018 USD, purchaser price"/>
    <n v="1E-3"/>
    <n v="2.8000000000000001E-2"/>
    <n v="0"/>
    <n v="0"/>
    <n v="1E-3"/>
    <n v="2.8000000000000001E-2"/>
  </r>
  <r>
    <x v="362"/>
    <s v="nitrous oxide"/>
    <s v="kg/2018 USD, purchaser price"/>
    <n v="0"/>
    <n v="0"/>
    <n v="0"/>
    <n v="0"/>
    <n v="0"/>
    <n v="0"/>
  </r>
  <r>
    <x v="362"/>
    <s v="other GHGs"/>
    <s v="kg CO2e/2018 USD, purchaser price"/>
    <n v="4.0000000000000001E-3"/>
    <n v="4.0000000000000001E-3"/>
    <n v="0"/>
    <n v="0"/>
    <n v="4.0000000000000001E-3"/>
    <n v="4.0000000000000001E-3"/>
  </r>
  <r>
    <x v="363"/>
    <s v="carbon dioxide"/>
    <s v="kg/2018 USD, purchaser price"/>
    <n v="0.158"/>
    <n v="0.158"/>
    <n v="0"/>
    <n v="0"/>
    <n v="0.158"/>
    <n v="0.158"/>
  </r>
  <r>
    <x v="363"/>
    <s v="methane"/>
    <s v="kg/2018 USD, purchaser price"/>
    <n v="1E-3"/>
    <n v="2.8000000000000001E-2"/>
    <n v="0"/>
    <n v="0"/>
    <n v="1E-3"/>
    <n v="2.8000000000000001E-2"/>
  </r>
  <r>
    <x v="363"/>
    <s v="nitrous oxide"/>
    <s v="kg/2018 USD, purchaser price"/>
    <n v="0"/>
    <n v="0"/>
    <n v="0"/>
    <n v="0"/>
    <n v="0"/>
    <n v="0"/>
  </r>
  <r>
    <x v="363"/>
    <s v="other GHGs"/>
    <s v="kg CO2e/2018 USD, purchaser price"/>
    <n v="7.0000000000000001E-3"/>
    <n v="7.0000000000000001E-3"/>
    <n v="0"/>
    <n v="0"/>
    <n v="7.0000000000000001E-3"/>
    <n v="7.0000000000000001E-3"/>
  </r>
  <r>
    <x v="364"/>
    <s v="carbon dioxide"/>
    <s v="kg/2018 USD, purchaser price"/>
    <n v="0.14199999999999999"/>
    <n v="0.14199999999999999"/>
    <n v="0"/>
    <n v="0"/>
    <n v="0.14199999999999999"/>
    <n v="0.14199999999999999"/>
  </r>
  <r>
    <x v="364"/>
    <s v="methane"/>
    <s v="kg/2018 USD, purchaser price"/>
    <n v="1E-3"/>
    <n v="2.8000000000000001E-2"/>
    <n v="0"/>
    <n v="0"/>
    <n v="1E-3"/>
    <n v="2.8000000000000001E-2"/>
  </r>
  <r>
    <x v="364"/>
    <s v="nitrous oxide"/>
    <s v="kg/2018 USD, purchaser price"/>
    <n v="0"/>
    <n v="0"/>
    <n v="0"/>
    <n v="0"/>
    <n v="0"/>
    <n v="0"/>
  </r>
  <r>
    <x v="364"/>
    <s v="other GHGs"/>
    <s v="kg CO2e/2018 USD, purchaser price"/>
    <n v="5.0000000000000001E-3"/>
    <n v="5.0000000000000001E-3"/>
    <n v="0"/>
    <n v="0"/>
    <n v="5.0000000000000001E-3"/>
    <n v="5.0000000000000001E-3"/>
  </r>
  <r>
    <x v="365"/>
    <s v="carbon dioxide"/>
    <s v="kg/2018 USD, purchaser price"/>
    <n v="0.14099999999999999"/>
    <n v="0.14099999999999999"/>
    <n v="0"/>
    <n v="0"/>
    <n v="0.14099999999999999"/>
    <n v="0.14099999999999999"/>
  </r>
  <r>
    <x v="365"/>
    <s v="methane"/>
    <s v="kg/2018 USD, purchaser price"/>
    <n v="1E-3"/>
    <n v="2.8000000000000001E-2"/>
    <n v="0"/>
    <n v="0"/>
    <n v="1E-3"/>
    <n v="2.8000000000000001E-2"/>
  </r>
  <r>
    <x v="365"/>
    <s v="nitrous oxide"/>
    <s v="kg/2018 USD, purchaser price"/>
    <n v="0"/>
    <n v="0"/>
    <n v="0"/>
    <n v="0"/>
    <n v="0"/>
    <n v="0"/>
  </r>
  <r>
    <x v="365"/>
    <s v="other GHGs"/>
    <s v="kg CO2e/2018 USD, purchaser price"/>
    <n v="5.0000000000000001E-3"/>
    <n v="5.0000000000000001E-3"/>
    <n v="0"/>
    <n v="0"/>
    <n v="5.0000000000000001E-3"/>
    <n v="5.0000000000000001E-3"/>
  </r>
  <r>
    <x v="366"/>
    <s v="carbon dioxide"/>
    <s v="kg/2018 USD, purchaser price"/>
    <n v="0.13900000000000001"/>
    <n v="0.13900000000000001"/>
    <n v="0"/>
    <n v="0"/>
    <n v="0.13900000000000001"/>
    <n v="0.13900000000000001"/>
  </r>
  <r>
    <x v="366"/>
    <s v="methane"/>
    <s v="kg/2018 USD, purchaser price"/>
    <n v="2E-3"/>
    <n v="5.6000000000000001E-2"/>
    <n v="0"/>
    <n v="0"/>
    <n v="2E-3"/>
    <n v="5.6000000000000001E-2"/>
  </r>
  <r>
    <x v="366"/>
    <s v="nitrous oxide"/>
    <s v="kg/2018 USD, purchaser price"/>
    <n v="0"/>
    <n v="0"/>
    <n v="0"/>
    <n v="0"/>
    <n v="0"/>
    <n v="0"/>
  </r>
  <r>
    <x v="366"/>
    <s v="other GHGs"/>
    <s v="kg CO2e/2018 USD, purchaser price"/>
    <n v="8.9999999999999993E-3"/>
    <n v="8.9999999999999993E-3"/>
    <n v="0"/>
    <n v="0"/>
    <n v="8.9999999999999993E-3"/>
    <n v="8.9999999999999993E-3"/>
  </r>
  <r>
    <x v="367"/>
    <s v="carbon dioxide"/>
    <s v="kg/2018 USD, purchaser price"/>
    <n v="0.13700000000000001"/>
    <n v="0.13700000000000001"/>
    <n v="0"/>
    <n v="0"/>
    <n v="0.13700000000000001"/>
    <n v="0.13700000000000001"/>
  </r>
  <r>
    <x v="367"/>
    <s v="methane"/>
    <s v="kg/2018 USD, purchaser price"/>
    <n v="1E-3"/>
    <n v="2.8000000000000001E-2"/>
    <n v="0"/>
    <n v="0"/>
    <n v="1E-3"/>
    <n v="2.8000000000000001E-2"/>
  </r>
  <r>
    <x v="367"/>
    <s v="nitrous oxide"/>
    <s v="kg/2018 USD, purchaser price"/>
    <n v="0"/>
    <n v="0"/>
    <n v="0"/>
    <n v="0"/>
    <n v="0"/>
    <n v="0"/>
  </r>
  <r>
    <x v="367"/>
    <s v="other GHGs"/>
    <s v="kg CO2e/2018 USD, purchaser price"/>
    <n v="4.0000000000000001E-3"/>
    <n v="4.0000000000000001E-3"/>
    <n v="0"/>
    <n v="0"/>
    <n v="4.0000000000000001E-3"/>
    <n v="4.0000000000000001E-3"/>
  </r>
  <r>
    <x v="368"/>
    <s v="carbon dioxide"/>
    <s v="kg/2018 USD, purchaser price"/>
    <n v="0.155"/>
    <n v="0.155"/>
    <n v="0"/>
    <n v="0"/>
    <n v="0.155"/>
    <n v="0.155"/>
  </r>
  <r>
    <x v="368"/>
    <s v="methane"/>
    <s v="kg/2018 USD, purchaser price"/>
    <n v="2E-3"/>
    <n v="5.6000000000000001E-2"/>
    <n v="0"/>
    <n v="0"/>
    <n v="2E-3"/>
    <n v="5.6000000000000001E-2"/>
  </r>
  <r>
    <x v="368"/>
    <s v="nitrous oxide"/>
    <s v="kg/2018 USD, purchaser price"/>
    <n v="0"/>
    <n v="0"/>
    <n v="0"/>
    <n v="0"/>
    <n v="0"/>
    <n v="0"/>
  </r>
  <r>
    <x v="368"/>
    <s v="other GHGs"/>
    <s v="kg CO2e/2018 USD, purchaser price"/>
    <n v="4.0000000000000001E-3"/>
    <n v="4.0000000000000001E-3"/>
    <n v="0"/>
    <n v="0"/>
    <n v="4.0000000000000001E-3"/>
    <n v="4.0000000000000001E-3"/>
  </r>
  <r>
    <x v="369"/>
    <s v="carbon dioxide"/>
    <s v="kg/2018 USD, purchaser price"/>
    <n v="0.21099999999999999"/>
    <n v="0.21099999999999999"/>
    <n v="0"/>
    <n v="0"/>
    <n v="0.21099999999999999"/>
    <n v="0.21099999999999999"/>
  </r>
  <r>
    <x v="369"/>
    <s v="methane"/>
    <s v="kg/2018 USD, purchaser price"/>
    <n v="3.0000000000000001E-3"/>
    <n v="8.4000000000000005E-2"/>
    <n v="0"/>
    <n v="0"/>
    <n v="3.0000000000000001E-3"/>
    <n v="8.4000000000000005E-2"/>
  </r>
  <r>
    <x v="369"/>
    <s v="nitrous oxide"/>
    <s v="kg/2018 USD, purchaser price"/>
    <n v="0"/>
    <n v="0"/>
    <n v="0"/>
    <n v="0"/>
    <n v="0"/>
    <n v="0"/>
  </r>
  <r>
    <x v="369"/>
    <s v="other GHGs"/>
    <s v="kg CO2e/2018 USD, purchaser price"/>
    <n v="8.0000000000000002E-3"/>
    <n v="8.0000000000000002E-3"/>
    <n v="0"/>
    <n v="0"/>
    <n v="8.0000000000000002E-3"/>
    <n v="8.0000000000000002E-3"/>
  </r>
  <r>
    <x v="370"/>
    <s v="carbon dioxide"/>
    <s v="kg/2018 USD, purchaser price"/>
    <n v="8.5000000000000006E-2"/>
    <n v="8.5000000000000006E-2"/>
    <n v="0"/>
    <n v="0"/>
    <n v="8.5000000000000006E-2"/>
    <n v="8.5000000000000006E-2"/>
  </r>
  <r>
    <x v="370"/>
    <s v="methane"/>
    <s v="kg/2018 USD, purchaser price"/>
    <n v="0"/>
    <n v="0"/>
    <n v="0"/>
    <n v="0"/>
    <n v="0"/>
    <n v="0"/>
  </r>
  <r>
    <x v="370"/>
    <s v="nitrous oxide"/>
    <s v="kg/2018 USD, purchaser price"/>
    <n v="0"/>
    <n v="0"/>
    <n v="0"/>
    <n v="0"/>
    <n v="0"/>
    <n v="0"/>
  </r>
  <r>
    <x v="370"/>
    <s v="other GHGs"/>
    <s v="kg CO2e/2018 USD, purchaser price"/>
    <n v="2E-3"/>
    <n v="2E-3"/>
    <n v="0"/>
    <n v="0"/>
    <n v="2E-3"/>
    <n v="2E-3"/>
  </r>
  <r>
    <x v="371"/>
    <s v="carbon dioxide"/>
    <s v="kg/2018 USD, purchaser price"/>
    <n v="6.9000000000000006E-2"/>
    <n v="6.9000000000000006E-2"/>
    <n v="0"/>
    <n v="0"/>
    <n v="6.9000000000000006E-2"/>
    <n v="6.9000000000000006E-2"/>
  </r>
  <r>
    <x v="371"/>
    <s v="methane"/>
    <s v="kg/2018 USD, purchaser price"/>
    <n v="0"/>
    <n v="0"/>
    <n v="0"/>
    <n v="0"/>
    <n v="0"/>
    <n v="0"/>
  </r>
  <r>
    <x v="371"/>
    <s v="nitrous oxide"/>
    <s v="kg/2018 USD, purchaser price"/>
    <n v="0"/>
    <n v="0"/>
    <n v="0"/>
    <n v="0"/>
    <n v="0"/>
    <n v="0"/>
  </r>
  <r>
    <x v="371"/>
    <s v="other GHGs"/>
    <s v="kg CO2e/2018 USD, purchaser price"/>
    <n v="2E-3"/>
    <n v="2E-3"/>
    <n v="0"/>
    <n v="0"/>
    <n v="2E-3"/>
    <n v="2E-3"/>
  </r>
  <r>
    <x v="372"/>
    <s v="carbon dioxide"/>
    <s v="kg/2018 USD, purchaser price"/>
    <n v="1.4E-2"/>
    <n v="1.4E-2"/>
    <n v="0"/>
    <n v="0"/>
    <n v="1.4E-2"/>
    <n v="1.4E-2"/>
  </r>
  <r>
    <x v="372"/>
    <s v="methane"/>
    <s v="kg/2018 USD, purchaser price"/>
    <n v="0"/>
    <n v="0"/>
    <n v="0"/>
    <n v="0"/>
    <n v="0"/>
    <n v="0"/>
  </r>
  <r>
    <x v="372"/>
    <s v="nitrous oxide"/>
    <s v="kg/2018 USD, purchaser price"/>
    <n v="0"/>
    <n v="0"/>
    <n v="0"/>
    <n v="0"/>
    <n v="0"/>
    <n v="0"/>
  </r>
  <r>
    <x v="372"/>
    <s v="other GHGs"/>
    <s v="kg CO2e/2018 USD, purchaser price"/>
    <n v="0"/>
    <n v="0"/>
    <n v="0"/>
    <n v="0"/>
    <n v="0"/>
    <n v="0"/>
  </r>
  <r>
    <x v="373"/>
    <s v="carbon dioxide"/>
    <s v="kg/2018 USD, purchaser price"/>
    <n v="0.08"/>
    <n v="0.08"/>
    <n v="0"/>
    <n v="0"/>
    <n v="0.08"/>
    <n v="0.08"/>
  </r>
  <r>
    <x v="373"/>
    <s v="methane"/>
    <s v="kg/2018 USD, purchaser price"/>
    <n v="1E-3"/>
    <n v="2.8000000000000001E-2"/>
    <n v="0"/>
    <n v="0"/>
    <n v="1E-3"/>
    <n v="2.8000000000000001E-2"/>
  </r>
  <r>
    <x v="373"/>
    <s v="nitrous oxide"/>
    <s v="kg/2018 USD, purchaser price"/>
    <n v="0"/>
    <n v="0"/>
    <n v="0"/>
    <n v="0"/>
    <n v="0"/>
    <n v="0"/>
  </r>
  <r>
    <x v="373"/>
    <s v="other GHGs"/>
    <s v="kg CO2e/2018 USD, purchaser price"/>
    <n v="1E-3"/>
    <n v="1E-3"/>
    <n v="0"/>
    <n v="0"/>
    <n v="1E-3"/>
    <n v="1E-3"/>
  </r>
  <r>
    <x v="374"/>
    <s v="carbon dioxide"/>
    <s v="kg/2018 USD, purchaser price"/>
    <n v="0.17499999999999999"/>
    <n v="0.17499999999999999"/>
    <n v="0"/>
    <n v="0"/>
    <n v="0.17499999999999999"/>
    <n v="0.17499999999999999"/>
  </r>
  <r>
    <x v="374"/>
    <s v="methane"/>
    <s v="kg/2018 USD, purchaser price"/>
    <n v="1E-3"/>
    <n v="2.8000000000000001E-2"/>
    <n v="0"/>
    <n v="0"/>
    <n v="1E-3"/>
    <n v="2.8000000000000001E-2"/>
  </r>
  <r>
    <x v="374"/>
    <s v="nitrous oxide"/>
    <s v="kg/2018 USD, purchaser price"/>
    <n v="0"/>
    <n v="0"/>
    <n v="0"/>
    <n v="0"/>
    <n v="0"/>
    <n v="0"/>
  </r>
  <r>
    <x v="374"/>
    <s v="other GHGs"/>
    <s v="kg CO2e/2018 USD, purchaser price"/>
    <n v="3.0000000000000001E-3"/>
    <n v="3.0000000000000001E-3"/>
    <n v="0"/>
    <n v="0"/>
    <n v="3.0000000000000001E-3"/>
    <n v="3.0000000000000001E-3"/>
  </r>
  <r>
    <x v="375"/>
    <s v="carbon dioxide"/>
    <s v="kg/2018 USD, purchaser price"/>
    <n v="0.13800000000000001"/>
    <n v="0.13800000000000001"/>
    <n v="0"/>
    <n v="0"/>
    <n v="0.13800000000000001"/>
    <n v="0.13800000000000001"/>
  </r>
  <r>
    <x v="375"/>
    <s v="methane"/>
    <s v="kg/2018 USD, purchaser price"/>
    <n v="1E-3"/>
    <n v="2.8000000000000001E-2"/>
    <n v="0"/>
    <n v="0"/>
    <n v="1E-3"/>
    <n v="2.8000000000000001E-2"/>
  </r>
  <r>
    <x v="375"/>
    <s v="nitrous oxide"/>
    <s v="kg/2018 USD, purchaser price"/>
    <n v="0"/>
    <n v="0"/>
    <n v="0"/>
    <n v="0"/>
    <n v="0"/>
    <n v="0"/>
  </r>
  <r>
    <x v="375"/>
    <s v="other GHGs"/>
    <s v="kg CO2e/2018 USD, purchaser price"/>
    <n v="3.0000000000000001E-3"/>
    <n v="3.0000000000000001E-3"/>
    <n v="0"/>
    <n v="0"/>
    <n v="3.0000000000000001E-3"/>
    <n v="3.0000000000000001E-3"/>
  </r>
  <r>
    <x v="376"/>
    <s v="carbon dioxide"/>
    <s v="kg/2018 USD, purchaser price"/>
    <n v="0.20100000000000001"/>
    <n v="0.20100000000000001"/>
    <n v="0"/>
    <n v="0"/>
    <n v="0.20100000000000001"/>
    <n v="0.20100000000000001"/>
  </r>
  <r>
    <x v="376"/>
    <s v="methane"/>
    <s v="kg/2018 USD, purchaser price"/>
    <n v="1E-3"/>
    <n v="2.8000000000000001E-2"/>
    <n v="0"/>
    <n v="0"/>
    <n v="1E-3"/>
    <n v="2.8000000000000001E-2"/>
  </r>
  <r>
    <x v="376"/>
    <s v="nitrous oxide"/>
    <s v="kg/2018 USD, purchaser price"/>
    <n v="0"/>
    <n v="0"/>
    <n v="0"/>
    <n v="0"/>
    <n v="0"/>
    <n v="0"/>
  </r>
  <r>
    <x v="376"/>
    <s v="other GHGs"/>
    <s v="kg CO2e/2018 USD, purchaser price"/>
    <n v="6.0000000000000001E-3"/>
    <n v="6.0000000000000001E-3"/>
    <n v="0"/>
    <n v="0"/>
    <n v="6.0000000000000001E-3"/>
    <n v="6.0000000000000001E-3"/>
  </r>
  <r>
    <x v="377"/>
    <s v="carbon dioxide"/>
    <s v="kg/2018 USD, purchaser price"/>
    <n v="0.249"/>
    <n v="0.249"/>
    <n v="0"/>
    <n v="0"/>
    <n v="0.249"/>
    <n v="0.249"/>
  </r>
  <r>
    <x v="377"/>
    <s v="methane"/>
    <s v="kg/2018 USD, purchaser price"/>
    <n v="2E-3"/>
    <n v="5.6000000000000001E-2"/>
    <n v="0"/>
    <n v="0"/>
    <n v="2E-3"/>
    <n v="5.6000000000000001E-2"/>
  </r>
  <r>
    <x v="377"/>
    <s v="nitrous oxide"/>
    <s v="kg/2018 USD, purchaser price"/>
    <n v="0"/>
    <n v="0"/>
    <n v="0"/>
    <n v="0"/>
    <n v="0"/>
    <n v="0"/>
  </r>
  <r>
    <x v="377"/>
    <s v="other GHGs"/>
    <s v="kg CO2e/2018 USD, purchaser price"/>
    <n v="5.0000000000000001E-3"/>
    <n v="5.0000000000000001E-3"/>
    <n v="0"/>
    <n v="0"/>
    <n v="5.0000000000000001E-3"/>
    <n v="5.0000000000000001E-3"/>
  </r>
  <r>
    <x v="378"/>
    <s v="carbon dioxide"/>
    <s v="kg/2018 USD, purchaser price"/>
    <n v="0.17399999999999999"/>
    <n v="0.17399999999999999"/>
    <n v="0"/>
    <n v="0"/>
    <n v="0.17399999999999999"/>
    <n v="0.17399999999999999"/>
  </r>
  <r>
    <x v="378"/>
    <s v="methane"/>
    <s v="kg/2018 USD, purchaser price"/>
    <n v="1E-3"/>
    <n v="2.8000000000000001E-2"/>
    <n v="0"/>
    <n v="0"/>
    <n v="1E-3"/>
    <n v="2.8000000000000001E-2"/>
  </r>
  <r>
    <x v="378"/>
    <s v="nitrous oxide"/>
    <s v="kg/2018 USD, purchaser price"/>
    <n v="0"/>
    <n v="0"/>
    <n v="0"/>
    <n v="0"/>
    <n v="0"/>
    <n v="0"/>
  </r>
  <r>
    <x v="378"/>
    <s v="other GHGs"/>
    <s v="kg CO2e/2018 USD, purchaser price"/>
    <n v="3.0000000000000001E-3"/>
    <n v="3.0000000000000001E-3"/>
    <n v="0"/>
    <n v="0"/>
    <n v="3.0000000000000001E-3"/>
    <n v="3.0000000000000001E-3"/>
  </r>
  <r>
    <x v="379"/>
    <s v="carbon dioxide"/>
    <s v="kg/2018 USD, purchaser price"/>
    <n v="0.20599999999999999"/>
    <n v="0.20599999999999999"/>
    <n v="0"/>
    <n v="0"/>
    <n v="0.20599999999999999"/>
    <n v="0.20599999999999999"/>
  </r>
  <r>
    <x v="379"/>
    <s v="methane"/>
    <s v="kg/2018 USD, purchaser price"/>
    <n v="2E-3"/>
    <n v="5.6000000000000001E-2"/>
    <n v="0"/>
    <n v="0"/>
    <n v="2E-3"/>
    <n v="5.6000000000000001E-2"/>
  </r>
  <r>
    <x v="379"/>
    <s v="nitrous oxide"/>
    <s v="kg/2018 USD, purchaser price"/>
    <n v="0"/>
    <n v="0"/>
    <n v="0"/>
    <n v="0"/>
    <n v="0"/>
    <n v="0"/>
  </r>
  <r>
    <x v="379"/>
    <s v="other GHGs"/>
    <s v="kg CO2e/2018 USD, purchaser price"/>
    <n v="5.0000000000000001E-3"/>
    <n v="5.0000000000000001E-3"/>
    <n v="0"/>
    <n v="0"/>
    <n v="5.0000000000000001E-3"/>
    <n v="5.0000000000000001E-3"/>
  </r>
  <r>
    <x v="380"/>
    <s v="carbon dioxide"/>
    <s v="kg/2018 USD, purchaser price"/>
    <n v="0.28999999999999998"/>
    <n v="0.28999999999999998"/>
    <n v="0"/>
    <n v="0"/>
    <n v="0.28999999999999998"/>
    <n v="0.28999999999999998"/>
  </r>
  <r>
    <x v="380"/>
    <s v="methane"/>
    <s v="kg/2018 USD, purchaser price"/>
    <n v="2E-3"/>
    <n v="5.6000000000000001E-2"/>
    <n v="0"/>
    <n v="0"/>
    <n v="2E-3"/>
    <n v="5.6000000000000001E-2"/>
  </r>
  <r>
    <x v="380"/>
    <s v="nitrous oxide"/>
    <s v="kg/2018 USD, purchaser price"/>
    <n v="0"/>
    <n v="0"/>
    <n v="0"/>
    <n v="0"/>
    <n v="0"/>
    <n v="0"/>
  </r>
  <r>
    <x v="380"/>
    <s v="other GHGs"/>
    <s v="kg CO2e/2018 USD, purchaser price"/>
    <n v="0.01"/>
    <n v="0.01"/>
    <n v="0"/>
    <n v="0"/>
    <n v="0.01"/>
    <n v="0.01"/>
  </r>
  <r>
    <x v="381"/>
    <s v="carbon dioxide"/>
    <s v="kg/2018 USD, purchaser price"/>
    <n v="0.14799999999999999"/>
    <n v="0.14799999999999999"/>
    <n v="0"/>
    <n v="0"/>
    <n v="0.14799999999999999"/>
    <n v="0.14799999999999999"/>
  </r>
  <r>
    <x v="381"/>
    <s v="methane"/>
    <s v="kg/2018 USD, purchaser price"/>
    <n v="1E-3"/>
    <n v="2.8000000000000001E-2"/>
    <n v="0"/>
    <n v="0"/>
    <n v="1E-3"/>
    <n v="2.8000000000000001E-2"/>
  </r>
  <r>
    <x v="381"/>
    <s v="nitrous oxide"/>
    <s v="kg/2018 USD, purchaser price"/>
    <n v="0"/>
    <n v="0"/>
    <n v="0"/>
    <n v="0"/>
    <n v="0"/>
    <n v="0"/>
  </r>
  <r>
    <x v="381"/>
    <s v="other GHGs"/>
    <s v="kg CO2e/2018 USD, purchaser price"/>
    <n v="4.0000000000000001E-3"/>
    <n v="4.0000000000000001E-3"/>
    <n v="0"/>
    <n v="0"/>
    <n v="4.0000000000000001E-3"/>
    <n v="4.0000000000000001E-3"/>
  </r>
  <r>
    <x v="382"/>
    <s v="carbon dioxide"/>
    <s v="kg/2018 USD, purchaser price"/>
    <n v="0.13300000000000001"/>
    <n v="0.13300000000000001"/>
    <n v="0"/>
    <n v="0"/>
    <n v="0.13300000000000001"/>
    <n v="0.13300000000000001"/>
  </r>
  <r>
    <x v="382"/>
    <s v="methane"/>
    <s v="kg/2018 USD, purchaser price"/>
    <n v="1E-3"/>
    <n v="2.8000000000000001E-2"/>
    <n v="0"/>
    <n v="0"/>
    <n v="1E-3"/>
    <n v="2.8000000000000001E-2"/>
  </r>
  <r>
    <x v="382"/>
    <s v="nitrous oxide"/>
    <s v="kg/2018 USD, purchaser price"/>
    <n v="0"/>
    <n v="0"/>
    <n v="0"/>
    <n v="0"/>
    <n v="0"/>
    <n v="0"/>
  </r>
  <r>
    <x v="382"/>
    <s v="other GHGs"/>
    <s v="kg CO2e/2018 USD, purchaser price"/>
    <n v="3.0000000000000001E-3"/>
    <n v="3.0000000000000001E-3"/>
    <n v="0"/>
    <n v="0"/>
    <n v="3.0000000000000001E-3"/>
    <n v="3.0000000000000001E-3"/>
  </r>
  <r>
    <x v="383"/>
    <s v="carbon dioxide"/>
    <s v="kg/2018 USD, purchaser price"/>
    <n v="9.2999999999999999E-2"/>
    <n v="9.2999999999999999E-2"/>
    <n v="0"/>
    <n v="0"/>
    <n v="9.2999999999999999E-2"/>
    <n v="9.2999999999999999E-2"/>
  </r>
  <r>
    <x v="383"/>
    <s v="methane"/>
    <s v="kg/2018 USD, purchaser price"/>
    <n v="0"/>
    <n v="0"/>
    <n v="0"/>
    <n v="0"/>
    <n v="0"/>
    <n v="0"/>
  </r>
  <r>
    <x v="383"/>
    <s v="nitrous oxide"/>
    <s v="kg/2018 USD, purchaser price"/>
    <n v="0"/>
    <n v="0"/>
    <n v="0"/>
    <n v="0"/>
    <n v="0"/>
    <n v="0"/>
  </r>
  <r>
    <x v="383"/>
    <s v="other GHGs"/>
    <s v="kg CO2e/2018 USD, purchaser price"/>
    <n v="5.0000000000000001E-3"/>
    <n v="5.0000000000000001E-3"/>
    <n v="0"/>
    <n v="0"/>
    <n v="5.0000000000000001E-3"/>
    <n v="5.0000000000000001E-3"/>
  </r>
  <r>
    <x v="384"/>
    <s v="carbon dioxide"/>
    <s v="kg/2018 USD, purchaser price"/>
    <n v="0.122"/>
    <n v="0.122"/>
    <n v="0"/>
    <n v="0"/>
    <n v="0.122"/>
    <n v="0.122"/>
  </r>
  <r>
    <x v="384"/>
    <s v="methane"/>
    <s v="kg/2018 USD, purchaser price"/>
    <n v="1E-3"/>
    <n v="2.8000000000000001E-2"/>
    <n v="0"/>
    <n v="0"/>
    <n v="1E-3"/>
    <n v="2.8000000000000001E-2"/>
  </r>
  <r>
    <x v="384"/>
    <s v="nitrous oxide"/>
    <s v="kg/2018 USD, purchaser price"/>
    <n v="0"/>
    <n v="0"/>
    <n v="0"/>
    <n v="0"/>
    <n v="0"/>
    <n v="0"/>
  </r>
  <r>
    <x v="384"/>
    <s v="other GHGs"/>
    <s v="kg CO2e/2018 USD, purchaser price"/>
    <n v="2.1999999999999999E-2"/>
    <n v="2.1999999999999999E-2"/>
    <n v="0"/>
    <n v="0"/>
    <n v="2.1999999999999999E-2"/>
    <n v="2.1999999999999999E-2"/>
  </r>
  <r>
    <x v="385"/>
    <s v="carbon dioxide"/>
    <s v="kg/2018 USD, purchaser price"/>
    <n v="9.7000000000000003E-2"/>
    <n v="9.7000000000000003E-2"/>
    <n v="0"/>
    <n v="0"/>
    <n v="9.7000000000000003E-2"/>
    <n v="9.7000000000000003E-2"/>
  </r>
  <r>
    <x v="385"/>
    <s v="methane"/>
    <s v="kg/2018 USD, purchaser price"/>
    <n v="0"/>
    <n v="0"/>
    <n v="0"/>
    <n v="0"/>
    <n v="0"/>
    <n v="0"/>
  </r>
  <r>
    <x v="385"/>
    <s v="nitrous oxide"/>
    <s v="kg/2018 USD, purchaser price"/>
    <n v="0"/>
    <n v="0"/>
    <n v="0"/>
    <n v="0"/>
    <n v="0"/>
    <n v="0"/>
  </r>
  <r>
    <x v="385"/>
    <s v="other GHGs"/>
    <s v="kg CO2e/2018 USD, purchaser price"/>
    <n v="3.0000000000000001E-3"/>
    <n v="3.0000000000000001E-3"/>
    <n v="0"/>
    <n v="0"/>
    <n v="3.0000000000000001E-3"/>
    <n v="3.0000000000000001E-3"/>
  </r>
  <r>
    <x v="386"/>
    <s v="carbon dioxide"/>
    <s v="kg/2018 USD, purchaser price"/>
    <n v="0.121"/>
    <n v="0.121"/>
    <n v="0"/>
    <n v="0"/>
    <n v="0.121"/>
    <n v="0.121"/>
  </r>
  <r>
    <x v="386"/>
    <s v="methane"/>
    <s v="kg/2018 USD, purchaser price"/>
    <n v="1E-3"/>
    <n v="2.8000000000000001E-2"/>
    <n v="0"/>
    <n v="0"/>
    <n v="1E-3"/>
    <n v="2.8000000000000001E-2"/>
  </r>
  <r>
    <x v="386"/>
    <s v="nitrous oxide"/>
    <s v="kg/2018 USD, purchaser price"/>
    <n v="0"/>
    <n v="0"/>
    <n v="0"/>
    <n v="0"/>
    <n v="0"/>
    <n v="0"/>
  </r>
  <r>
    <x v="386"/>
    <s v="other GHGs"/>
    <s v="kg CO2e/2018 USD, purchaser price"/>
    <n v="2E-3"/>
    <n v="2E-3"/>
    <n v="0"/>
    <n v="0"/>
    <n v="2E-3"/>
    <n v="2E-3"/>
  </r>
  <r>
    <x v="387"/>
    <s v="carbon dioxide"/>
    <s v="kg/2018 USD, purchaser price"/>
    <n v="3.6999999999999998E-2"/>
    <n v="3.6999999999999998E-2"/>
    <n v="0"/>
    <n v="0"/>
    <n v="3.6999999999999998E-2"/>
    <n v="3.6999999999999998E-2"/>
  </r>
  <r>
    <x v="387"/>
    <s v="methane"/>
    <s v="kg/2018 USD, purchaser price"/>
    <n v="0"/>
    <n v="0"/>
    <n v="0"/>
    <n v="0"/>
    <n v="0"/>
    <n v="0"/>
  </r>
  <r>
    <x v="387"/>
    <s v="nitrous oxide"/>
    <s v="kg/2018 USD, purchaser price"/>
    <n v="0"/>
    <n v="0"/>
    <n v="0"/>
    <n v="0"/>
    <n v="0"/>
    <n v="0"/>
  </r>
  <r>
    <x v="387"/>
    <s v="other GHGs"/>
    <s v="kg CO2e/2018 USD, purchaser price"/>
    <n v="1E-3"/>
    <n v="1E-3"/>
    <n v="0"/>
    <n v="0"/>
    <n v="1E-3"/>
    <n v="1E-3"/>
  </r>
  <r>
    <x v="388"/>
    <s v="carbon dioxide"/>
    <s v="kg/2018 USD, purchaser price"/>
    <n v="0.17"/>
    <n v="0.17"/>
    <n v="0"/>
    <n v="0"/>
    <n v="0.17"/>
    <n v="0.17"/>
  </r>
  <r>
    <x v="388"/>
    <s v="methane"/>
    <s v="kg/2018 USD, purchaser price"/>
    <n v="1E-3"/>
    <n v="2.8000000000000001E-2"/>
    <n v="0"/>
    <n v="0"/>
    <n v="1E-3"/>
    <n v="2.8000000000000001E-2"/>
  </r>
  <r>
    <x v="388"/>
    <s v="nitrous oxide"/>
    <s v="kg/2018 USD, purchaser price"/>
    <n v="0"/>
    <n v="0"/>
    <n v="0"/>
    <n v="0"/>
    <n v="0"/>
    <n v="0"/>
  </r>
  <r>
    <x v="388"/>
    <s v="other GHGs"/>
    <s v="kg CO2e/2018 USD, purchaser price"/>
    <n v="3.0000000000000001E-3"/>
    <n v="3.0000000000000001E-3"/>
    <n v="0"/>
    <n v="0"/>
    <n v="3.0000000000000001E-3"/>
    <n v="3.0000000000000001E-3"/>
  </r>
  <r>
    <x v="389"/>
    <s v="carbon dioxide"/>
    <s v="kg/2018 USD, purchaser price"/>
    <n v="0.11"/>
    <n v="0.11"/>
    <n v="0"/>
    <n v="0"/>
    <n v="0.11"/>
    <n v="0.11"/>
  </r>
  <r>
    <x v="389"/>
    <s v="methane"/>
    <s v="kg/2018 USD, purchaser price"/>
    <n v="1E-3"/>
    <n v="2.8000000000000001E-2"/>
    <n v="0"/>
    <n v="0"/>
    <n v="1E-3"/>
    <n v="2.8000000000000001E-2"/>
  </r>
  <r>
    <x v="389"/>
    <s v="nitrous oxide"/>
    <s v="kg/2018 USD, purchaser price"/>
    <n v="0"/>
    <n v="0"/>
    <n v="0"/>
    <n v="0"/>
    <n v="0"/>
    <n v="0"/>
  </r>
  <r>
    <x v="389"/>
    <s v="other GHGs"/>
    <s v="kg CO2e/2018 USD, purchaser price"/>
    <n v="3.0000000000000001E-3"/>
    <n v="3.0000000000000001E-3"/>
    <n v="0"/>
    <n v="0"/>
    <n v="3.0000000000000001E-3"/>
    <n v="3.0000000000000001E-3"/>
  </r>
  <r>
    <x v="390"/>
    <s v="carbon dioxide"/>
    <s v="kg/2018 USD, purchaser price"/>
    <n v="0.219"/>
    <n v="0.219"/>
    <n v="0"/>
    <n v="0"/>
    <n v="0.219"/>
    <n v="0.219"/>
  </r>
  <r>
    <x v="390"/>
    <s v="methane"/>
    <s v="kg/2018 USD, purchaser price"/>
    <n v="1E-3"/>
    <n v="2.8000000000000001E-2"/>
    <n v="0"/>
    <n v="0"/>
    <n v="1E-3"/>
    <n v="2.8000000000000001E-2"/>
  </r>
  <r>
    <x v="390"/>
    <s v="nitrous oxide"/>
    <s v="kg/2018 USD, purchaser price"/>
    <n v="0"/>
    <n v="0"/>
    <n v="0"/>
    <n v="0"/>
    <n v="0"/>
    <n v="0"/>
  </r>
  <r>
    <x v="390"/>
    <s v="other GHGs"/>
    <s v="kg CO2e/2018 USD, purchaser price"/>
    <n v="5.0000000000000001E-3"/>
    <n v="5.0000000000000001E-3"/>
    <n v="0"/>
    <n v="0"/>
    <n v="5.0000000000000001E-3"/>
    <n v="5.0000000000000001E-3"/>
  </r>
  <r>
    <x v="391"/>
    <s v="carbon dioxide"/>
    <s v="kg/2018 USD, purchaser price"/>
    <n v="7.2999999999999995E-2"/>
    <n v="7.2999999999999995E-2"/>
    <n v="0"/>
    <n v="0"/>
    <n v="7.2999999999999995E-2"/>
    <n v="7.2999999999999995E-2"/>
  </r>
  <r>
    <x v="391"/>
    <s v="methane"/>
    <s v="kg/2018 USD, purchaser price"/>
    <n v="0"/>
    <n v="0"/>
    <n v="0"/>
    <n v="0"/>
    <n v="0"/>
    <n v="0"/>
  </r>
  <r>
    <x v="391"/>
    <s v="nitrous oxide"/>
    <s v="kg/2018 USD, purchaser price"/>
    <n v="0"/>
    <n v="0"/>
    <n v="0"/>
    <n v="0"/>
    <n v="0"/>
    <n v="0"/>
  </r>
  <r>
    <x v="391"/>
    <s v="other GHGs"/>
    <s v="kg CO2e/2018 USD, purchaser price"/>
    <n v="1E-3"/>
    <n v="1E-3"/>
    <n v="0"/>
    <n v="0"/>
    <n v="1E-3"/>
    <n v="1E-3"/>
  </r>
  <r>
    <x v="392"/>
    <s v="carbon dioxide"/>
    <s v="kg/2018 USD, purchaser price"/>
    <n v="0.127"/>
    <n v="0.127"/>
    <n v="0"/>
    <n v="0"/>
    <n v="0.127"/>
    <n v="0.127"/>
  </r>
  <r>
    <x v="392"/>
    <s v="methane"/>
    <s v="kg/2018 USD, purchaser price"/>
    <n v="1E-3"/>
    <n v="2.8000000000000001E-2"/>
    <n v="0"/>
    <n v="0"/>
    <n v="1E-3"/>
    <n v="2.8000000000000001E-2"/>
  </r>
  <r>
    <x v="392"/>
    <s v="nitrous oxide"/>
    <s v="kg/2018 USD, purchaser price"/>
    <n v="0"/>
    <n v="0"/>
    <n v="0"/>
    <n v="0"/>
    <n v="0"/>
    <n v="0"/>
  </r>
  <r>
    <x v="392"/>
    <s v="other GHGs"/>
    <s v="kg CO2e/2018 USD, purchaser price"/>
    <n v="8.9999999999999993E-3"/>
    <n v="8.9999999999999993E-3"/>
    <n v="0"/>
    <n v="0"/>
    <n v="8.9999999999999993E-3"/>
    <n v="8.9999999999999993E-3"/>
  </r>
  <r>
    <x v="393"/>
    <s v="carbon dioxide"/>
    <s v="kg/2018 USD, purchaser price"/>
    <n v="0"/>
    <n v="0"/>
    <n v="0"/>
    <n v="0"/>
    <n v="0"/>
    <n v="0"/>
  </r>
  <r>
    <x v="393"/>
    <s v="methane"/>
    <s v="kg/2018 USD, purchaser price"/>
    <n v="0"/>
    <n v="0"/>
    <n v="0"/>
    <n v="0"/>
    <n v="0"/>
    <n v="0"/>
  </r>
  <r>
    <x v="393"/>
    <s v="nitrous oxide"/>
    <s v="kg/2018 USD, purchaser price"/>
    <n v="0"/>
    <n v="0"/>
    <n v="0"/>
    <n v="0"/>
    <n v="0"/>
    <n v="0"/>
  </r>
  <r>
    <x v="393"/>
    <s v="other GHGs"/>
    <s v="kg CO2e/2018 USD, purchaser price"/>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X1:Y395" firstHeaderRow="1" firstDataRow="1" firstDataCol="1"/>
  <pivotFields count="9">
    <pivotField axis="axisRow" compact="0" outline="0" showAll="0" defaultSubtotal="0">
      <items count="396">
        <item x="127"/>
        <item x="331"/>
        <item x="105"/>
        <item x="340"/>
        <item x="12"/>
        <item x="181"/>
        <item x="172"/>
        <item x="289"/>
        <item x="240"/>
        <item x="241"/>
        <item x="84"/>
        <item x="381"/>
        <item x="59"/>
        <item x="143"/>
        <item x="299"/>
        <item x="134"/>
        <item x="135"/>
        <item x="363"/>
        <item x="160"/>
        <item x="375"/>
        <item x="205"/>
        <item x="9"/>
        <item x="332"/>
        <item x="88"/>
        <item x="89"/>
        <item x="195"/>
        <item x="201"/>
        <item x="226"/>
        <item x="157"/>
        <item x="102"/>
        <item x="247"/>
        <item x="302"/>
        <item x="85"/>
        <item x="53"/>
        <item x="42"/>
        <item x="61"/>
        <item x="282"/>
        <item x="351"/>
        <item x="348"/>
        <item x="308"/>
        <item x="224"/>
        <item x="79"/>
        <item x="80"/>
        <item x="68"/>
        <item x="139"/>
        <item x="7"/>
        <item x="122"/>
        <item x="46"/>
        <item m="1" x="395"/>
        <item x="368"/>
        <item x="392"/>
        <item x="120"/>
        <item x="71"/>
        <item x="286"/>
        <item x="14"/>
        <item x="56"/>
        <item x="355"/>
        <item x="327"/>
        <item x="384"/>
        <item x="30"/>
        <item x="222"/>
        <item x="194"/>
        <item x="369"/>
        <item x="344"/>
        <item x="92"/>
        <item x="190"/>
        <item x="335"/>
        <item x="191"/>
        <item x="189"/>
        <item x="124"/>
        <item x="163"/>
        <item x="328"/>
        <item x="54"/>
        <item x="15"/>
        <item x="39"/>
        <item x="297"/>
        <item x="69"/>
        <item x="334"/>
        <item x="141"/>
        <item x="270"/>
        <item x="128"/>
        <item x="144"/>
        <item x="176"/>
        <item x="6"/>
        <item x="312"/>
        <item x="261"/>
        <item x="263"/>
        <item x="358"/>
        <item x="17"/>
        <item x="318"/>
        <item x="303"/>
        <item x="63"/>
        <item x="36"/>
        <item x="266"/>
        <item x="23"/>
        <item x="276"/>
        <item x="47"/>
        <item x="388"/>
        <item x="29"/>
        <item x="21"/>
        <item m="1" x="394"/>
        <item x="383"/>
        <item x="198"/>
        <item x="354"/>
        <item x="347"/>
        <item x="338"/>
        <item x="208"/>
        <item x="66"/>
        <item x="158"/>
        <item x="346"/>
        <item x="161"/>
        <item x="98"/>
        <item x="65"/>
        <item x="67"/>
        <item x="57"/>
        <item x="38"/>
        <item x="203"/>
        <item x="48"/>
        <item x="283"/>
        <item x="3"/>
        <item x="0"/>
        <item x="2"/>
        <item x="1"/>
        <item x="44"/>
        <item x="45"/>
        <item x="379"/>
        <item x="321"/>
        <item x="387"/>
        <item x="376"/>
        <item x="269"/>
        <item x="285"/>
        <item x="87"/>
        <item x="287"/>
        <item x="121"/>
        <item x="377"/>
        <item x="391"/>
        <item x="4"/>
        <item x="277"/>
        <item x="129"/>
        <item x="243"/>
        <item x="284"/>
        <item x="26"/>
        <item x="359"/>
        <item x="171"/>
        <item x="228"/>
        <item x="148"/>
        <item x="212"/>
        <item x="252"/>
        <item x="253"/>
        <item x="362"/>
        <item x="214"/>
        <item x="213"/>
        <item x="364"/>
        <item x="378"/>
        <item x="273"/>
        <item x="393"/>
        <item x="385"/>
        <item x="188"/>
        <item x="49"/>
        <item x="372"/>
        <item x="367"/>
        <item x="170"/>
        <item x="173"/>
        <item x="186"/>
        <item x="202"/>
        <item x="108"/>
        <item x="254"/>
        <item x="320"/>
        <item x="319"/>
        <item x="313"/>
        <item x="350"/>
        <item x="316"/>
        <item x="16"/>
        <item x="206"/>
        <item x="264"/>
        <item x="112"/>
        <item x="162"/>
        <item x="72"/>
        <item x="330"/>
        <item x="329"/>
        <item x="209"/>
        <item x="210"/>
        <item x="149"/>
        <item x="126"/>
        <item x="380"/>
        <item x="73"/>
        <item x="152"/>
        <item x="175"/>
        <item x="166"/>
        <item x="274"/>
        <item x="301"/>
        <item x="215"/>
        <item x="337"/>
        <item x="27"/>
        <item x="343"/>
        <item x="183"/>
        <item x="258"/>
        <item x="179"/>
        <item x="361"/>
        <item x="100"/>
        <item x="154"/>
        <item x="142"/>
        <item x="150"/>
        <item x="155"/>
        <item x="145"/>
        <item x="146"/>
        <item x="249"/>
        <item x="130"/>
        <item x="164"/>
        <item x="322"/>
        <item x="231"/>
        <item x="271"/>
        <item x="239"/>
        <item x="248"/>
        <item x="217"/>
        <item x="305"/>
        <item x="34"/>
        <item x="374"/>
        <item x="22"/>
        <item x="200"/>
        <item x="314"/>
        <item x="300"/>
        <item x="315"/>
        <item x="136"/>
        <item x="140"/>
        <item x="24"/>
        <item x="288"/>
        <item x="365"/>
        <item x="345"/>
        <item x="257"/>
        <item x="267"/>
        <item x="262"/>
        <item x="167"/>
        <item x="242"/>
        <item x="37"/>
        <item x="94"/>
        <item x="95"/>
        <item x="169"/>
        <item x="336"/>
        <item x="125"/>
        <item x="275"/>
        <item x="356"/>
        <item x="180"/>
        <item x="159"/>
        <item x="255"/>
        <item x="225"/>
        <item x="279"/>
        <item x="131"/>
        <item x="32"/>
        <item x="90"/>
        <item x="116"/>
        <item x="325"/>
        <item x="35"/>
        <item x="119"/>
        <item x="138"/>
        <item x="20"/>
        <item x="352"/>
        <item x="70"/>
        <item x="250"/>
        <item x="238"/>
        <item x="360"/>
        <item x="323"/>
        <item x="51"/>
        <item x="50"/>
        <item x="185"/>
        <item x="104"/>
        <item x="78"/>
        <item x="81"/>
        <item x="293"/>
        <item x="370"/>
        <item x="99"/>
        <item x="389"/>
        <item x="91"/>
        <item x="278"/>
        <item x="101"/>
        <item x="341"/>
        <item x="168"/>
        <item x="357"/>
        <item x="227"/>
        <item x="294"/>
        <item x="110"/>
        <item x="115"/>
        <item x="111"/>
        <item x="96"/>
        <item x="74"/>
        <item x="113"/>
        <item x="296"/>
        <item x="8"/>
        <item x="28"/>
        <item x="147"/>
        <item x="184"/>
        <item x="221"/>
        <item x="132"/>
        <item x="197"/>
        <item x="86"/>
        <item x="272"/>
        <item x="373"/>
        <item x="244"/>
        <item x="182"/>
        <item x="307"/>
        <item x="290"/>
        <item x="245"/>
        <item x="123"/>
        <item x="41"/>
        <item x="219"/>
        <item x="390"/>
        <item x="25"/>
        <item x="366"/>
        <item x="118"/>
        <item x="117"/>
        <item x="386"/>
        <item x="18"/>
        <item x="83"/>
        <item x="311"/>
        <item x="295"/>
        <item x="339"/>
        <item x="153"/>
        <item x="52"/>
        <item x="58"/>
        <item x="137"/>
        <item x="133"/>
        <item x="317"/>
        <item x="165"/>
        <item x="196"/>
        <item x="256"/>
        <item x="246"/>
        <item x="204"/>
        <item x="268"/>
        <item x="33"/>
        <item x="211"/>
        <item x="55"/>
        <item x="106"/>
        <item x="60"/>
        <item x="304"/>
        <item x="306"/>
        <item x="40"/>
        <item x="174"/>
        <item x="333"/>
        <item x="216"/>
        <item x="178"/>
        <item x="265"/>
        <item x="371"/>
        <item x="151"/>
        <item x="82"/>
        <item x="220"/>
        <item x="43"/>
        <item x="259"/>
        <item x="260"/>
        <item x="218"/>
        <item x="93"/>
        <item x="97"/>
        <item x="309"/>
        <item x="192"/>
        <item x="324"/>
        <item x="10"/>
        <item x="64"/>
        <item x="5"/>
        <item x="107"/>
        <item x="235"/>
        <item x="31"/>
        <item x="349"/>
        <item x="232"/>
        <item x="230"/>
        <item x="292"/>
        <item x="177"/>
        <item x="13"/>
        <item x="114"/>
        <item x="103"/>
        <item x="156"/>
        <item x="229"/>
        <item x="234"/>
        <item x="233"/>
        <item x="237"/>
        <item x="326"/>
        <item x="382"/>
        <item x="236"/>
        <item x="281"/>
        <item x="76"/>
        <item x="342"/>
        <item x="298"/>
        <item x="353"/>
        <item x="207"/>
        <item x="291"/>
        <item x="187"/>
        <item x="19"/>
        <item x="280"/>
        <item x="11"/>
        <item x="62"/>
        <item x="193"/>
        <item x="310"/>
        <item x="223"/>
        <item x="251"/>
        <item x="77"/>
        <item x="75"/>
        <item x="109"/>
        <item x="1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rowItems>
  <colItems count="1">
    <i/>
  </colItems>
  <dataFields count="1">
    <dataField name="Sum of Supply Chain Emission Factors without Margins (kg CO2e/$)" fld="4" baseField="0" baseItem="0"/>
  </dataFields>
  <formats count="16">
    <format dxfId="466">
      <pivotArea dataOnly="0" labelOnly="1" outline="0" axis="axisValues" fieldPosition="0"/>
    </format>
    <format dxfId="465">
      <pivotArea collapsedLevelsAreSubtotals="1" fieldPosition="0">
        <references count="1">
          <reference field="0" count="0"/>
        </references>
      </pivotArea>
    </format>
    <format dxfId="464">
      <pivotArea field="0" type="button" dataOnly="0" labelOnly="1" outline="0" axis="axisRow" fieldPosition="0"/>
    </format>
    <format dxfId="463">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62">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61">
      <pivotArea dataOnly="0" labelOnly="1"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60">
      <pivotArea dataOnly="0" labelOnly="1"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59">
      <pivotArea dataOnly="0" labelOnly="1"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58">
      <pivotArea dataOnly="0" labelOnly="1"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57">
      <pivotArea dataOnly="0" labelOnly="1"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56">
      <pivotArea dataOnly="0" labelOnly="1" fieldPosition="0">
        <references count="1">
          <reference field="0" count="44">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reference>
        </references>
      </pivotArea>
    </format>
    <format dxfId="455">
      <pivotArea dataOnly="0" labelOnly="1" outline="0" axis="axisValues" fieldPosition="0"/>
    </format>
    <format dxfId="454">
      <pivotArea field="0" type="button" dataOnly="0" labelOnly="1" outline="0" axis="axisRow" fieldPosition="0"/>
    </format>
    <format dxfId="453">
      <pivotArea dataOnly="0" labelOnly="1" outline="0" axis="axisValues" fieldPosition="0"/>
    </format>
    <format dxfId="452">
      <pivotArea outline="0" fieldPosition="0">
        <references count="1">
          <reference field="0" count="1" selected="0">
            <x v="95"/>
          </reference>
        </references>
      </pivotArea>
    </format>
    <format dxfId="451">
      <pivotArea outline="0" fieldPosition="0">
        <references count="1">
          <reference field="0" count="1" selected="0">
            <x v="27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400-000002000000}" name="PivotTable7" cacheId="1"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T1:U395" firstHeaderRow="1" firstDataRow="1" firstDataCol="1"/>
  <pivotFields count="10">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96">
        <item x="127"/>
        <item x="331"/>
        <item x="105"/>
        <item x="340"/>
        <item x="12"/>
        <item x="181"/>
        <item x="172"/>
        <item x="289"/>
        <item x="240"/>
        <item x="241"/>
        <item x="84"/>
        <item x="381"/>
        <item x="59"/>
        <item x="143"/>
        <item x="299"/>
        <item x="134"/>
        <item x="135"/>
        <item x="363"/>
        <item x="160"/>
        <item x="375"/>
        <item x="205"/>
        <item x="9"/>
        <item x="332"/>
        <item x="88"/>
        <item x="89"/>
        <item x="195"/>
        <item x="201"/>
        <item x="226"/>
        <item x="157"/>
        <item x="102"/>
        <item x="247"/>
        <item x="302"/>
        <item x="85"/>
        <item x="53"/>
        <item x="42"/>
        <item x="61"/>
        <item x="282"/>
        <item x="351"/>
        <item x="348"/>
        <item x="308"/>
        <item x="224"/>
        <item x="79"/>
        <item x="80"/>
        <item x="68"/>
        <item x="139"/>
        <item x="7"/>
        <item x="122"/>
        <item x="46"/>
        <item x="109"/>
        <item m="1" x="395"/>
        <item x="368"/>
        <item x="392"/>
        <item x="120"/>
        <item x="71"/>
        <item x="286"/>
        <item x="14"/>
        <item x="56"/>
        <item x="355"/>
        <item x="327"/>
        <item x="384"/>
        <item x="30"/>
        <item x="222"/>
        <item x="194"/>
        <item x="369"/>
        <item x="344"/>
        <item x="92"/>
        <item x="190"/>
        <item x="335"/>
        <item x="191"/>
        <item x="189"/>
        <item x="124"/>
        <item x="163"/>
        <item x="328"/>
        <item x="54"/>
        <item x="15"/>
        <item x="39"/>
        <item x="297"/>
        <item x="69"/>
        <item x="334"/>
        <item x="141"/>
        <item x="270"/>
        <item x="128"/>
        <item x="144"/>
        <item x="176"/>
        <item x="6"/>
        <item x="312"/>
        <item x="261"/>
        <item x="263"/>
        <item x="358"/>
        <item x="17"/>
        <item x="318"/>
        <item x="303"/>
        <item x="63"/>
        <item x="36"/>
        <item x="266"/>
        <item x="23"/>
        <item x="276"/>
        <item x="47"/>
        <item x="388"/>
        <item x="29"/>
        <item x="21"/>
        <item x="199"/>
        <item m="1" x="394"/>
        <item x="383"/>
        <item x="198"/>
        <item x="354"/>
        <item x="347"/>
        <item x="338"/>
        <item x="208"/>
        <item x="66"/>
        <item x="158"/>
        <item x="346"/>
        <item x="161"/>
        <item x="98"/>
        <item x="65"/>
        <item x="67"/>
        <item x="57"/>
        <item x="38"/>
        <item x="203"/>
        <item x="48"/>
        <item x="283"/>
        <item x="3"/>
        <item x="0"/>
        <item x="2"/>
        <item x="1"/>
        <item x="44"/>
        <item x="45"/>
        <item x="379"/>
        <item x="321"/>
        <item x="387"/>
        <item x="376"/>
        <item x="269"/>
        <item x="285"/>
        <item x="87"/>
        <item x="287"/>
        <item x="121"/>
        <item x="377"/>
        <item x="391"/>
        <item x="4"/>
        <item x="277"/>
        <item x="129"/>
        <item x="243"/>
        <item x="284"/>
        <item x="26"/>
        <item x="359"/>
        <item x="171"/>
        <item x="228"/>
        <item x="148"/>
        <item x="212"/>
        <item x="252"/>
        <item x="253"/>
        <item x="362"/>
        <item x="214"/>
        <item x="213"/>
        <item x="364"/>
        <item x="378"/>
        <item x="273"/>
        <item x="393"/>
        <item x="385"/>
        <item x="188"/>
        <item x="49"/>
        <item x="372"/>
        <item x="367"/>
        <item x="170"/>
        <item x="173"/>
        <item x="186"/>
        <item x="202"/>
        <item x="108"/>
        <item x="254"/>
        <item x="320"/>
        <item x="319"/>
        <item x="313"/>
        <item x="350"/>
        <item x="316"/>
        <item x="16"/>
        <item x="206"/>
        <item x="264"/>
        <item x="112"/>
        <item x="162"/>
        <item x="72"/>
        <item x="330"/>
        <item x="329"/>
        <item x="209"/>
        <item x="210"/>
        <item x="149"/>
        <item x="126"/>
        <item x="380"/>
        <item x="73"/>
        <item x="152"/>
        <item x="175"/>
        <item x="166"/>
        <item x="274"/>
        <item x="301"/>
        <item x="215"/>
        <item x="337"/>
        <item x="27"/>
        <item x="343"/>
        <item x="183"/>
        <item x="258"/>
        <item x="179"/>
        <item x="361"/>
        <item x="100"/>
        <item x="154"/>
        <item x="142"/>
        <item x="150"/>
        <item x="155"/>
        <item x="145"/>
        <item x="146"/>
        <item x="249"/>
        <item x="130"/>
        <item x="164"/>
        <item x="322"/>
        <item x="231"/>
        <item x="271"/>
        <item x="239"/>
        <item x="248"/>
        <item x="217"/>
        <item x="305"/>
        <item x="34"/>
        <item x="374"/>
        <item x="22"/>
        <item x="200"/>
        <item x="314"/>
        <item x="300"/>
        <item x="315"/>
        <item x="136"/>
        <item x="140"/>
        <item x="24"/>
        <item x="288"/>
        <item x="365"/>
        <item x="345"/>
        <item x="257"/>
        <item x="267"/>
        <item x="262"/>
        <item x="167"/>
        <item x="242"/>
        <item x="37"/>
        <item x="94"/>
        <item x="95"/>
        <item x="169"/>
        <item x="336"/>
        <item x="125"/>
        <item x="275"/>
        <item x="356"/>
        <item x="180"/>
        <item x="159"/>
        <item x="255"/>
        <item x="225"/>
        <item x="279"/>
        <item x="131"/>
        <item x="32"/>
        <item x="90"/>
        <item x="116"/>
        <item x="325"/>
        <item x="35"/>
        <item x="119"/>
        <item x="138"/>
        <item x="20"/>
        <item x="352"/>
        <item x="70"/>
        <item x="250"/>
        <item x="238"/>
        <item x="360"/>
        <item x="323"/>
        <item x="51"/>
        <item x="50"/>
        <item x="185"/>
        <item x="104"/>
        <item x="78"/>
        <item x="81"/>
        <item x="293"/>
        <item x="370"/>
        <item x="99"/>
        <item x="389"/>
        <item x="91"/>
        <item x="278"/>
        <item x="101"/>
        <item x="341"/>
        <item x="168"/>
        <item x="357"/>
        <item x="227"/>
        <item x="294"/>
        <item x="110"/>
        <item x="115"/>
        <item x="111"/>
        <item x="96"/>
        <item x="74"/>
        <item x="113"/>
        <item x="296"/>
        <item x="8"/>
        <item x="28"/>
        <item x="147"/>
        <item x="184"/>
        <item x="221"/>
        <item x="132"/>
        <item x="197"/>
        <item x="86"/>
        <item x="272"/>
        <item x="373"/>
        <item x="244"/>
        <item x="182"/>
        <item x="307"/>
        <item x="290"/>
        <item x="245"/>
        <item x="123"/>
        <item x="41"/>
        <item x="219"/>
        <item x="390"/>
        <item x="25"/>
        <item x="366"/>
        <item x="118"/>
        <item x="117"/>
        <item x="386"/>
        <item x="18"/>
        <item x="83"/>
        <item x="311"/>
        <item x="295"/>
        <item x="339"/>
        <item x="153"/>
        <item x="52"/>
        <item x="58"/>
        <item x="137"/>
        <item x="133"/>
        <item x="317"/>
        <item x="165"/>
        <item x="196"/>
        <item x="256"/>
        <item x="246"/>
        <item x="204"/>
        <item x="268"/>
        <item x="33"/>
        <item x="211"/>
        <item x="55"/>
        <item x="106"/>
        <item x="60"/>
        <item x="304"/>
        <item x="306"/>
        <item x="40"/>
        <item x="174"/>
        <item x="333"/>
        <item x="216"/>
        <item x="178"/>
        <item x="265"/>
        <item x="371"/>
        <item x="151"/>
        <item x="82"/>
        <item x="220"/>
        <item x="43"/>
        <item x="259"/>
        <item x="260"/>
        <item x="218"/>
        <item x="93"/>
        <item x="97"/>
        <item x="309"/>
        <item x="192"/>
        <item x="324"/>
        <item x="10"/>
        <item x="64"/>
        <item x="5"/>
        <item x="107"/>
        <item x="235"/>
        <item x="31"/>
        <item x="349"/>
        <item x="232"/>
        <item x="230"/>
        <item x="292"/>
        <item x="177"/>
        <item x="13"/>
        <item x="114"/>
        <item x="103"/>
        <item x="156"/>
        <item x="229"/>
        <item x="234"/>
        <item x="233"/>
        <item x="237"/>
        <item x="326"/>
        <item x="382"/>
        <item x="236"/>
        <item x="281"/>
        <item x="76"/>
        <item x="342"/>
        <item x="298"/>
        <item x="353"/>
        <item x="207"/>
        <item x="291"/>
        <item x="187"/>
        <item x="19"/>
        <item x="280"/>
        <item x="11"/>
        <item x="62"/>
        <item x="193"/>
        <item x="310"/>
        <item x="223"/>
        <item x="251"/>
        <item x="77"/>
        <item x="7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s>
  <rowFields count="1">
    <field x="1"/>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rowItems>
  <colItems count="1">
    <i/>
  </colItems>
  <dataFields count="1">
    <dataField name="Sum of Supply Chain Emission Factors with Margins (kg CO2e/$)" fld="9" baseField="0" baseItem="0"/>
  </dataFields>
  <formats count="16">
    <format dxfId="482">
      <pivotArea dataOnly="0" labelOnly="1" outline="0" axis="axisValues" fieldPosition="0"/>
    </format>
    <format dxfId="481">
      <pivotArea collapsedLevelsAreSubtotals="1" fieldPosition="0">
        <references count="1">
          <reference field="1" count="0"/>
        </references>
      </pivotArea>
    </format>
    <format dxfId="480">
      <pivotArea field="1" type="button" dataOnly="0" labelOnly="1" outline="0" axis="axisRow" fieldPosition="0"/>
    </format>
    <format dxfId="47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9"/>
            <x v="50"/>
          </reference>
        </references>
      </pivotArea>
    </format>
    <format dxfId="478">
      <pivotArea dataOnly="0" labelOnly="1" fieldPosition="0">
        <references count="1">
          <reference field="1"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477">
      <pivotArea dataOnly="0" labelOnly="1" fieldPosition="0">
        <references count="1">
          <reference field="1" count="50">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reference>
        </references>
      </pivotArea>
    </format>
    <format dxfId="476">
      <pivotArea dataOnly="0" labelOnly="1" fieldPosition="0">
        <references count="1">
          <reference field="1" count="50">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reference>
        </references>
      </pivotArea>
    </format>
    <format dxfId="475">
      <pivotArea dataOnly="0" labelOnly="1" fieldPosition="0">
        <references count="1">
          <reference field="1" count="50">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reference>
        </references>
      </pivotArea>
    </format>
    <format dxfId="474">
      <pivotArea dataOnly="0" labelOnly="1" fieldPosition="0">
        <references count="1">
          <reference field="1" count="50">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reference>
        </references>
      </pivotArea>
    </format>
    <format dxfId="473">
      <pivotArea dataOnly="0" labelOnly="1" fieldPosition="0">
        <references count="1">
          <reference field="1" count="50">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reference>
        </references>
      </pivotArea>
    </format>
    <format dxfId="472">
      <pivotArea dataOnly="0" labelOnly="1" fieldPosition="0">
        <references count="1">
          <reference field="1" count="44">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reference>
        </references>
      </pivotArea>
    </format>
    <format dxfId="471">
      <pivotArea dataOnly="0" labelOnly="1" outline="0" axis="axisValues" fieldPosition="0"/>
    </format>
    <format dxfId="470">
      <pivotArea field="1" type="button" dataOnly="0" labelOnly="1" outline="0" axis="axisRow" fieldPosition="0"/>
    </format>
    <format dxfId="469">
      <pivotArea dataOnly="0" labelOnly="1" outline="0" axis="axisValues" fieldPosition="0"/>
    </format>
    <format dxfId="468">
      <pivotArea outline="0" fieldPosition="0">
        <references count="1">
          <reference field="1" count="1" selected="0">
            <x v="276"/>
          </reference>
        </references>
      </pivotArea>
    </format>
    <format dxfId="467">
      <pivotArea dataOnly="0" labelOnly="1" outline="0" fieldPosition="0">
        <references count="1">
          <reference field="1" count="1">
            <x v="10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400-000001000000}"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AA1:AB395" firstHeaderRow="1" firstDataRow="1" firstDataCol="1"/>
  <pivotFields count="9">
    <pivotField axis="axisRow" compact="0" outline="0" showAll="0" defaultSubtotal="0">
      <items count="396">
        <item x="127"/>
        <item x="331"/>
        <item x="105"/>
        <item x="340"/>
        <item x="12"/>
        <item x="181"/>
        <item x="172"/>
        <item x="289"/>
        <item x="240"/>
        <item x="241"/>
        <item x="84"/>
        <item x="381"/>
        <item x="59"/>
        <item x="143"/>
        <item x="299"/>
        <item x="134"/>
        <item x="135"/>
        <item x="363"/>
        <item x="160"/>
        <item x="375"/>
        <item x="205"/>
        <item x="9"/>
        <item x="332"/>
        <item x="88"/>
        <item x="89"/>
        <item x="195"/>
        <item x="201"/>
        <item x="226"/>
        <item x="157"/>
        <item x="102"/>
        <item x="247"/>
        <item x="302"/>
        <item x="85"/>
        <item x="53"/>
        <item x="42"/>
        <item x="61"/>
        <item x="282"/>
        <item x="351"/>
        <item x="348"/>
        <item x="308"/>
        <item x="224"/>
        <item x="79"/>
        <item x="80"/>
        <item x="68"/>
        <item x="139"/>
        <item x="7"/>
        <item x="122"/>
        <item x="46"/>
        <item m="1" x="395"/>
        <item x="368"/>
        <item x="392"/>
        <item x="120"/>
        <item x="71"/>
        <item x="286"/>
        <item x="14"/>
        <item x="56"/>
        <item x="355"/>
        <item x="327"/>
        <item x="384"/>
        <item x="30"/>
        <item x="222"/>
        <item x="194"/>
        <item x="369"/>
        <item x="344"/>
        <item x="92"/>
        <item x="190"/>
        <item x="335"/>
        <item x="191"/>
        <item x="189"/>
        <item x="124"/>
        <item x="163"/>
        <item x="328"/>
        <item x="54"/>
        <item x="15"/>
        <item x="39"/>
        <item x="297"/>
        <item x="69"/>
        <item x="334"/>
        <item x="141"/>
        <item x="270"/>
        <item x="128"/>
        <item x="144"/>
        <item x="176"/>
        <item x="6"/>
        <item x="312"/>
        <item x="261"/>
        <item x="263"/>
        <item x="358"/>
        <item x="17"/>
        <item x="318"/>
        <item x="303"/>
        <item x="63"/>
        <item x="36"/>
        <item x="266"/>
        <item x="23"/>
        <item x="276"/>
        <item x="47"/>
        <item x="388"/>
        <item x="29"/>
        <item x="21"/>
        <item n="Electromedical apparatuses" m="1" x="394"/>
        <item x="383"/>
        <item x="198"/>
        <item x="354"/>
        <item x="347"/>
        <item x="338"/>
        <item x="208"/>
        <item x="66"/>
        <item x="158"/>
        <item x="346"/>
        <item x="161"/>
        <item x="98"/>
        <item x="65"/>
        <item x="67"/>
        <item x="57"/>
        <item x="38"/>
        <item x="203"/>
        <item x="48"/>
        <item x="283"/>
        <item x="3"/>
        <item x="0"/>
        <item x="2"/>
        <item x="1"/>
        <item x="44"/>
        <item x="45"/>
        <item x="379"/>
        <item x="321"/>
        <item x="387"/>
        <item x="376"/>
        <item x="269"/>
        <item x="285"/>
        <item x="87"/>
        <item x="287"/>
        <item x="121"/>
        <item x="377"/>
        <item x="391"/>
        <item x="4"/>
        <item x="277"/>
        <item x="129"/>
        <item x="243"/>
        <item x="284"/>
        <item x="26"/>
        <item x="359"/>
        <item x="171"/>
        <item x="228"/>
        <item x="148"/>
        <item x="212"/>
        <item x="252"/>
        <item x="253"/>
        <item x="362"/>
        <item x="214"/>
        <item x="213"/>
        <item x="364"/>
        <item x="378"/>
        <item x="273"/>
        <item x="393"/>
        <item x="385"/>
        <item x="188"/>
        <item x="49"/>
        <item x="372"/>
        <item x="367"/>
        <item x="170"/>
        <item x="173"/>
        <item x="186"/>
        <item x="202"/>
        <item x="108"/>
        <item x="254"/>
        <item x="320"/>
        <item x="319"/>
        <item x="313"/>
        <item x="350"/>
        <item x="316"/>
        <item x="16"/>
        <item x="206"/>
        <item x="264"/>
        <item x="112"/>
        <item x="162"/>
        <item x="72"/>
        <item x="330"/>
        <item x="329"/>
        <item x="209"/>
        <item x="210"/>
        <item x="149"/>
        <item x="126"/>
        <item x="380"/>
        <item x="73"/>
        <item x="152"/>
        <item x="175"/>
        <item x="166"/>
        <item x="274"/>
        <item x="301"/>
        <item x="215"/>
        <item x="337"/>
        <item x="27"/>
        <item x="343"/>
        <item x="183"/>
        <item x="258"/>
        <item x="179"/>
        <item x="361"/>
        <item x="100"/>
        <item x="154"/>
        <item x="142"/>
        <item x="150"/>
        <item x="155"/>
        <item x="145"/>
        <item x="146"/>
        <item x="249"/>
        <item x="130"/>
        <item x="164"/>
        <item x="322"/>
        <item x="231"/>
        <item x="271"/>
        <item x="239"/>
        <item x="248"/>
        <item x="217"/>
        <item x="305"/>
        <item x="34"/>
        <item x="374"/>
        <item x="22"/>
        <item x="200"/>
        <item x="314"/>
        <item x="300"/>
        <item x="315"/>
        <item x="136"/>
        <item x="140"/>
        <item x="24"/>
        <item x="288"/>
        <item x="365"/>
        <item x="345"/>
        <item x="257"/>
        <item x="267"/>
        <item x="262"/>
        <item x="167"/>
        <item x="242"/>
        <item x="37"/>
        <item x="94"/>
        <item x="95"/>
        <item x="169"/>
        <item x="336"/>
        <item x="125"/>
        <item x="275"/>
        <item x="356"/>
        <item x="180"/>
        <item x="159"/>
        <item x="255"/>
        <item x="225"/>
        <item x="279"/>
        <item x="131"/>
        <item x="32"/>
        <item x="90"/>
        <item x="116"/>
        <item x="325"/>
        <item x="35"/>
        <item x="119"/>
        <item x="138"/>
        <item x="20"/>
        <item x="352"/>
        <item x="70"/>
        <item x="250"/>
        <item x="238"/>
        <item x="360"/>
        <item x="323"/>
        <item x="51"/>
        <item x="50"/>
        <item x="185"/>
        <item x="104"/>
        <item x="78"/>
        <item x="81"/>
        <item x="293"/>
        <item x="370"/>
        <item x="99"/>
        <item x="389"/>
        <item x="91"/>
        <item x="278"/>
        <item x="101"/>
        <item x="341"/>
        <item x="168"/>
        <item x="357"/>
        <item x="227"/>
        <item x="294"/>
        <item x="110"/>
        <item x="115"/>
        <item x="111"/>
        <item x="96"/>
        <item x="74"/>
        <item x="113"/>
        <item x="296"/>
        <item x="8"/>
        <item x="28"/>
        <item x="147"/>
        <item x="184"/>
        <item x="221"/>
        <item x="132"/>
        <item x="197"/>
        <item x="86"/>
        <item x="272"/>
        <item x="373"/>
        <item x="244"/>
        <item x="182"/>
        <item x="307"/>
        <item x="290"/>
        <item x="245"/>
        <item x="123"/>
        <item x="41"/>
        <item x="219"/>
        <item x="390"/>
        <item x="25"/>
        <item x="366"/>
        <item x="118"/>
        <item x="117"/>
        <item x="386"/>
        <item x="18"/>
        <item x="83"/>
        <item x="311"/>
        <item x="295"/>
        <item x="339"/>
        <item x="153"/>
        <item x="52"/>
        <item x="58"/>
        <item x="137"/>
        <item x="133"/>
        <item x="317"/>
        <item x="165"/>
        <item x="196"/>
        <item x="256"/>
        <item x="246"/>
        <item x="204"/>
        <item x="268"/>
        <item x="33"/>
        <item x="211"/>
        <item x="55"/>
        <item x="106"/>
        <item x="60"/>
        <item x="304"/>
        <item x="306"/>
        <item x="40"/>
        <item x="174"/>
        <item x="333"/>
        <item x="216"/>
        <item x="178"/>
        <item x="265"/>
        <item x="371"/>
        <item x="151"/>
        <item x="82"/>
        <item x="220"/>
        <item x="43"/>
        <item x="259"/>
        <item x="260"/>
        <item x="218"/>
        <item x="93"/>
        <item x="97"/>
        <item x="309"/>
        <item x="192"/>
        <item x="324"/>
        <item x="10"/>
        <item x="64"/>
        <item x="5"/>
        <item x="107"/>
        <item x="235"/>
        <item x="31"/>
        <item x="349"/>
        <item x="232"/>
        <item x="230"/>
        <item x="292"/>
        <item x="177"/>
        <item x="13"/>
        <item x="114"/>
        <item x="103"/>
        <item x="156"/>
        <item x="229"/>
        <item x="234"/>
        <item x="233"/>
        <item x="237"/>
        <item x="326"/>
        <item x="382"/>
        <item x="236"/>
        <item x="281"/>
        <item x="76"/>
        <item x="342"/>
        <item x="298"/>
        <item x="353"/>
        <item x="207"/>
        <item x="291"/>
        <item x="187"/>
        <item x="19"/>
        <item x="280"/>
        <item x="11"/>
        <item x="62"/>
        <item x="193"/>
        <item x="310"/>
        <item x="223"/>
        <item x="251"/>
        <item x="77"/>
        <item x="75"/>
        <item x="109"/>
        <item n="Electromedical apparatuses2" x="1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rowItems>
  <colItems count="1">
    <i/>
  </colItems>
  <dataFields count="1">
    <dataField name="Sum of Margins of Supply Chain Emission Factors (kg CO2e/$)" fld="6" baseField="0" baseItem="0" numFmtId="171"/>
  </dataFields>
  <formats count="17">
    <format dxfId="499">
      <pivotArea dataOnly="0" labelOnly="1" outline="0" axis="axisValues" fieldPosition="0"/>
    </format>
    <format dxfId="498">
      <pivotArea collapsedLevelsAreSubtotals="1" fieldPosition="0">
        <references count="1">
          <reference field="0" count="0"/>
        </references>
      </pivotArea>
    </format>
    <format dxfId="497">
      <pivotArea field="0" type="button" dataOnly="0" labelOnly="1" outline="0" axis="axisRow" fieldPosition="0"/>
    </format>
    <format dxfId="49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95">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94">
      <pivotArea dataOnly="0" labelOnly="1"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93">
      <pivotArea dataOnly="0" labelOnly="1"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92">
      <pivotArea dataOnly="0" labelOnly="1"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91">
      <pivotArea dataOnly="0" labelOnly="1"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90">
      <pivotArea dataOnly="0" labelOnly="1"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89">
      <pivotArea dataOnly="0" labelOnly="1" fieldPosition="0">
        <references count="1">
          <reference field="0" count="44">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reference>
        </references>
      </pivotArea>
    </format>
    <format dxfId="488">
      <pivotArea dataOnly="0" labelOnly="1" outline="0" axis="axisValues" fieldPosition="0"/>
    </format>
    <format dxfId="487">
      <pivotArea field="0" type="button" dataOnly="0" labelOnly="1" outline="0" axis="axisRow" fieldPosition="0"/>
    </format>
    <format dxfId="486">
      <pivotArea dataOnly="0" labelOnly="1" outline="0" axis="axisValues" fieldPosition="0"/>
    </format>
    <format dxfId="485">
      <pivotArea outline="0" fieldPosition="0">
        <references count="1">
          <reference field="0" count="1" selected="0">
            <x v="274"/>
          </reference>
        </references>
      </pivotArea>
    </format>
    <format dxfId="484">
      <pivotArea outline="0" collapsedLevelsAreSubtotals="1" fieldPosition="0"/>
    </format>
    <format dxfId="4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5" cacheId="0"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W1:AA395" firstHeaderRow="0" firstDataRow="1" firstDataCol="2"/>
  <pivotFields count="10">
    <pivotField axis="axisRow" compact="0" outline="0" showAll="0" defaultSubtotal="0">
      <items count="3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s>
      <extLst>
        <ext xmlns:x14="http://schemas.microsoft.com/office/spreadsheetml/2009/9/main" uri="{2946ED86-A175-432a-8AC1-64E0C546D7DE}">
          <x14:pivotField fillDownLabels="1"/>
        </ext>
      </extLst>
    </pivotField>
    <pivotField axis="axisRow" compact="0" outline="0" showAll="0" defaultSubtotal="0">
      <items count="394">
        <item x="127"/>
        <item x="331"/>
        <item x="105"/>
        <item x="340"/>
        <item x="12"/>
        <item x="181"/>
        <item x="172"/>
        <item x="170"/>
        <item x="289"/>
        <item x="240"/>
        <item x="241"/>
        <item x="84"/>
        <item x="381"/>
        <item x="59"/>
        <item x="143"/>
        <item x="363"/>
        <item x="160"/>
        <item x="375"/>
        <item x="205"/>
        <item x="9"/>
        <item x="332"/>
        <item x="88"/>
        <item x="89"/>
        <item x="195"/>
        <item x="201"/>
        <item x="226"/>
        <item x="157"/>
        <item x="102"/>
        <item x="247"/>
        <item x="302"/>
        <item x="85"/>
        <item x="53"/>
        <item x="42"/>
        <item x="61"/>
        <item x="282"/>
        <item x="351"/>
        <item x="348"/>
        <item x="308"/>
        <item x="224"/>
        <item x="79"/>
        <item x="80"/>
        <item x="68"/>
        <item x="139"/>
        <item x="7"/>
        <item x="122"/>
        <item x="46"/>
        <item n="Chemicals (except basic chemicals, agrichemicals, polymers, paints, pharmaceuticals, soaps, cleaning compounds)" x="109"/>
        <item x="368"/>
        <item x="392"/>
        <item x="120"/>
        <item x="71"/>
        <item x="286"/>
        <item x="14"/>
        <item x="56"/>
        <item x="355"/>
        <item x="327"/>
        <item x="384"/>
        <item x="30"/>
        <item x="222"/>
        <item x="194"/>
        <item x="369"/>
        <item x="344"/>
        <item x="92"/>
        <item x="190"/>
        <item x="335"/>
        <item x="191"/>
        <item x="189"/>
        <item x="124"/>
        <item x="163"/>
        <item x="328"/>
        <item x="54"/>
        <item x="136"/>
        <item x="15"/>
        <item x="39"/>
        <item x="297"/>
        <item x="69"/>
        <item x="334"/>
        <item x="141"/>
        <item x="270"/>
        <item x="128"/>
        <item x="144"/>
        <item x="176"/>
        <item x="6"/>
        <item x="312"/>
        <item x="261"/>
        <item x="263"/>
        <item x="358"/>
        <item x="17"/>
        <item x="318"/>
        <item x="303"/>
        <item x="63"/>
        <item x="36"/>
        <item x="266"/>
        <item x="23"/>
        <item n="Drugs and druggists’ sundries" x="276"/>
        <item x="47"/>
        <item x="388"/>
        <item x="21"/>
        <item n="Electromedical apparatuses" x="199"/>
        <item x="383"/>
        <item x="198"/>
        <item x="354"/>
        <item x="347"/>
        <item x="338"/>
        <item x="208"/>
        <item x="66"/>
        <item x="158"/>
        <item x="346"/>
        <item x="161"/>
        <item x="98"/>
        <item x="65"/>
        <item x="67"/>
        <item x="57"/>
        <item x="38"/>
        <item x="203"/>
        <item x="48"/>
        <item x="283"/>
        <item x="3"/>
        <item x="0"/>
        <item x="2"/>
        <item x="1"/>
        <item x="44"/>
        <item x="45"/>
        <item x="379"/>
        <item x="321"/>
        <item x="387"/>
        <item x="376"/>
        <item x="269"/>
        <item x="285"/>
        <item x="87"/>
        <item x="287"/>
        <item x="121"/>
        <item x="377"/>
        <item x="391"/>
        <item x="4"/>
        <item x="277"/>
        <item x="129"/>
        <item x="243"/>
        <item x="284"/>
        <item x="26"/>
        <item x="359"/>
        <item x="171"/>
        <item x="228"/>
        <item x="148"/>
        <item x="31"/>
        <item x="212"/>
        <item x="255"/>
        <item x="252"/>
        <item x="253"/>
        <item x="362"/>
        <item x="214"/>
        <item x="213"/>
        <item x="364"/>
        <item x="378"/>
        <item x="273"/>
        <item x="393"/>
        <item x="385"/>
        <item x="188"/>
        <item x="49"/>
        <item x="372"/>
        <item x="367"/>
        <item x="173"/>
        <item x="186"/>
        <item x="202"/>
        <item x="108"/>
        <item x="254"/>
        <item x="320"/>
        <item x="319"/>
        <item x="313"/>
        <item x="350"/>
        <item x="316"/>
        <item x="16"/>
        <item x="206"/>
        <item x="264"/>
        <item x="112"/>
        <item x="162"/>
        <item x="72"/>
        <item x="330"/>
        <item x="329"/>
        <item x="142"/>
        <item x="209"/>
        <item x="210"/>
        <item x="149"/>
        <item x="126"/>
        <item x="380"/>
        <item x="73"/>
        <item x="152"/>
        <item x="166"/>
        <item x="274"/>
        <item x="301"/>
        <item x="215"/>
        <item x="337"/>
        <item x="27"/>
        <item x="343"/>
        <item x="183"/>
        <item x="258"/>
        <item x="179"/>
        <item x="361"/>
        <item x="100"/>
        <item x="154"/>
        <item x="175"/>
        <item x="150"/>
        <item x="155"/>
        <item x="145"/>
        <item x="146"/>
        <item x="249"/>
        <item x="130"/>
        <item x="164"/>
        <item x="159"/>
        <item x="322"/>
        <item x="231"/>
        <item x="271"/>
        <item x="239"/>
        <item x="248"/>
        <item x="217"/>
        <item x="305"/>
        <item x="34"/>
        <item x="374"/>
        <item x="22"/>
        <item x="200"/>
        <item x="314"/>
        <item x="300"/>
        <item x="315"/>
        <item x="140"/>
        <item x="24"/>
        <item x="288"/>
        <item x="365"/>
        <item x="345"/>
        <item x="257"/>
        <item x="267"/>
        <item x="262"/>
        <item x="167"/>
        <item x="242"/>
        <item x="37"/>
        <item x="94"/>
        <item x="95"/>
        <item x="169"/>
        <item x="336"/>
        <item x="125"/>
        <item x="275"/>
        <item x="356"/>
        <item x="180"/>
        <item x="225"/>
        <item x="279"/>
        <item x="131"/>
        <item x="32"/>
        <item x="90"/>
        <item x="116"/>
        <item x="325"/>
        <item x="35"/>
        <item x="299"/>
        <item x="119"/>
        <item x="138"/>
        <item x="20"/>
        <item x="352"/>
        <item x="70"/>
        <item x="250"/>
        <item x="238"/>
        <item x="360"/>
        <item x="323"/>
        <item x="51"/>
        <item x="50"/>
        <item x="185"/>
        <item x="104"/>
        <item x="78"/>
        <item x="81"/>
        <item x="293"/>
        <item x="370"/>
        <item x="99"/>
        <item x="389"/>
        <item x="91"/>
        <item x="278"/>
        <item x="101"/>
        <item x="341"/>
        <item x="168"/>
        <item x="357"/>
        <item x="227"/>
        <item x="294"/>
        <item x="110"/>
        <item x="115"/>
        <item x="111"/>
        <item x="96"/>
        <item x="74"/>
        <item x="113"/>
        <item x="296"/>
        <item x="8"/>
        <item x="147"/>
        <item x="184"/>
        <item x="134"/>
        <item x="221"/>
        <item x="132"/>
        <item x="197"/>
        <item x="86"/>
        <item x="272"/>
        <item x="373"/>
        <item x="244"/>
        <item x="182"/>
        <item x="307"/>
        <item x="290"/>
        <item x="245"/>
        <item x="123"/>
        <item x="41"/>
        <item x="219"/>
        <item x="390"/>
        <item x="25"/>
        <item x="366"/>
        <item x="118"/>
        <item x="117"/>
        <item x="386"/>
        <item x="18"/>
        <item x="83"/>
        <item x="311"/>
        <item x="295"/>
        <item x="29"/>
        <item x="339"/>
        <item x="153"/>
        <item x="52"/>
        <item x="58"/>
        <item x="135"/>
        <item x="137"/>
        <item x="133"/>
        <item x="317"/>
        <item x="165"/>
        <item x="196"/>
        <item x="256"/>
        <item x="246"/>
        <item x="204"/>
        <item x="268"/>
        <item x="33"/>
        <item x="211"/>
        <item x="55"/>
        <item x="106"/>
        <item x="60"/>
        <item x="304"/>
        <item x="306"/>
        <item x="174"/>
        <item x="333"/>
        <item x="216"/>
        <item x="178"/>
        <item x="265"/>
        <item x="371"/>
        <item x="151"/>
        <item x="82"/>
        <item x="220"/>
        <item x="43"/>
        <item x="259"/>
        <item x="260"/>
        <item x="218"/>
        <item x="93"/>
        <item x="97"/>
        <item x="309"/>
        <item x="192"/>
        <item x="324"/>
        <item x="10"/>
        <item x="64"/>
        <item x="5"/>
        <item x="107"/>
        <item x="235"/>
        <item x="349"/>
        <item x="232"/>
        <item x="230"/>
        <item x="292"/>
        <item x="177"/>
        <item x="13"/>
        <item x="114"/>
        <item x="28"/>
        <item x="103"/>
        <item x="156"/>
        <item x="40"/>
        <item x="229"/>
        <item x="234"/>
        <item x="233"/>
        <item x="237"/>
        <item x="326"/>
        <item x="382"/>
        <item x="236"/>
        <item x="281"/>
        <item x="76"/>
        <item x="342"/>
        <item x="298"/>
        <item x="353"/>
        <item x="207"/>
        <item x="291"/>
        <item x="187"/>
        <item x="19"/>
        <item x="280"/>
        <item x="11"/>
        <item x="62"/>
        <item x="193"/>
        <item x="310"/>
        <item x="223"/>
        <item x="251"/>
        <item x="77"/>
        <item x="7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s>
  <rowFields count="2">
    <field x="1"/>
    <field x="0"/>
  </rowFields>
  <rowItems count="394">
    <i>
      <x/>
      <x v="127"/>
    </i>
    <i>
      <x v="1"/>
      <x v="331"/>
    </i>
    <i>
      <x v="2"/>
      <x v="105"/>
    </i>
    <i>
      <x v="3"/>
      <x v="340"/>
    </i>
    <i>
      <x v="4"/>
      <x v="12"/>
    </i>
    <i>
      <x v="5"/>
      <x v="181"/>
    </i>
    <i>
      <x v="6"/>
      <x v="172"/>
    </i>
    <i>
      <x v="7"/>
      <x v="170"/>
    </i>
    <i>
      <x v="8"/>
      <x v="289"/>
    </i>
    <i>
      <x v="9"/>
      <x v="240"/>
    </i>
    <i>
      <x v="10"/>
      <x v="241"/>
    </i>
    <i>
      <x v="11"/>
      <x v="84"/>
    </i>
    <i>
      <x v="12"/>
      <x v="381"/>
    </i>
    <i>
      <x v="13"/>
      <x v="59"/>
    </i>
    <i>
      <x v="14"/>
      <x v="143"/>
    </i>
    <i>
      <x v="15"/>
      <x v="363"/>
    </i>
    <i>
      <x v="16"/>
      <x v="160"/>
    </i>
    <i>
      <x v="17"/>
      <x v="375"/>
    </i>
    <i>
      <x v="18"/>
      <x v="205"/>
    </i>
    <i>
      <x v="19"/>
      <x v="9"/>
    </i>
    <i>
      <x v="20"/>
      <x v="332"/>
    </i>
    <i>
      <x v="21"/>
      <x v="88"/>
    </i>
    <i>
      <x v="22"/>
      <x v="89"/>
    </i>
    <i>
      <x v="23"/>
      <x v="195"/>
    </i>
    <i>
      <x v="24"/>
      <x v="201"/>
    </i>
    <i>
      <x v="25"/>
      <x v="226"/>
    </i>
    <i>
      <x v="26"/>
      <x v="157"/>
    </i>
    <i>
      <x v="27"/>
      <x v="102"/>
    </i>
    <i>
      <x v="28"/>
      <x v="247"/>
    </i>
    <i>
      <x v="29"/>
      <x v="302"/>
    </i>
    <i>
      <x v="30"/>
      <x v="85"/>
    </i>
    <i>
      <x v="31"/>
      <x v="53"/>
    </i>
    <i>
      <x v="32"/>
      <x v="42"/>
    </i>
    <i>
      <x v="33"/>
      <x v="61"/>
    </i>
    <i>
      <x v="34"/>
      <x v="282"/>
    </i>
    <i>
      <x v="35"/>
      <x v="351"/>
    </i>
    <i>
      <x v="36"/>
      <x v="348"/>
    </i>
    <i>
      <x v="37"/>
      <x v="308"/>
    </i>
    <i>
      <x v="38"/>
      <x v="224"/>
    </i>
    <i>
      <x v="39"/>
      <x v="79"/>
    </i>
    <i>
      <x v="40"/>
      <x v="80"/>
    </i>
    <i>
      <x v="41"/>
      <x v="68"/>
    </i>
    <i>
      <x v="42"/>
      <x v="139"/>
    </i>
    <i>
      <x v="43"/>
      <x v="7"/>
    </i>
    <i>
      <x v="44"/>
      <x v="122"/>
    </i>
    <i>
      <x v="45"/>
      <x v="46"/>
    </i>
    <i>
      <x v="46"/>
      <x v="109"/>
    </i>
    <i>
      <x v="47"/>
      <x v="368"/>
    </i>
    <i>
      <x v="48"/>
      <x v="392"/>
    </i>
    <i>
      <x v="49"/>
      <x v="120"/>
    </i>
    <i>
      <x v="50"/>
      <x v="71"/>
    </i>
    <i>
      <x v="51"/>
      <x v="286"/>
    </i>
    <i>
      <x v="52"/>
      <x v="14"/>
    </i>
    <i>
      <x v="53"/>
      <x v="56"/>
    </i>
    <i>
      <x v="54"/>
      <x v="355"/>
    </i>
    <i>
      <x v="55"/>
      <x v="327"/>
    </i>
    <i>
      <x v="56"/>
      <x v="384"/>
    </i>
    <i>
      <x v="57"/>
      <x v="30"/>
    </i>
    <i>
      <x v="58"/>
      <x v="222"/>
    </i>
    <i>
      <x v="59"/>
      <x v="194"/>
    </i>
    <i>
      <x v="60"/>
      <x v="369"/>
    </i>
    <i>
      <x v="61"/>
      <x v="344"/>
    </i>
    <i>
      <x v="62"/>
      <x v="92"/>
    </i>
    <i>
      <x v="63"/>
      <x v="190"/>
    </i>
    <i>
      <x v="64"/>
      <x v="335"/>
    </i>
    <i>
      <x v="65"/>
      <x v="191"/>
    </i>
    <i>
      <x v="66"/>
      <x v="189"/>
    </i>
    <i>
      <x v="67"/>
      <x v="124"/>
    </i>
    <i>
      <x v="68"/>
      <x v="163"/>
    </i>
    <i>
      <x v="69"/>
      <x v="328"/>
    </i>
    <i>
      <x v="70"/>
      <x v="54"/>
    </i>
    <i>
      <x v="71"/>
      <x v="136"/>
    </i>
    <i>
      <x v="72"/>
      <x v="15"/>
    </i>
    <i>
      <x v="73"/>
      <x v="39"/>
    </i>
    <i>
      <x v="74"/>
      <x v="297"/>
    </i>
    <i>
      <x v="75"/>
      <x v="69"/>
    </i>
    <i>
      <x v="76"/>
      <x v="334"/>
    </i>
    <i>
      <x v="77"/>
      <x v="141"/>
    </i>
    <i>
      <x v="78"/>
      <x v="270"/>
    </i>
    <i>
      <x v="79"/>
      <x v="128"/>
    </i>
    <i>
      <x v="80"/>
      <x v="144"/>
    </i>
    <i>
      <x v="81"/>
      <x v="176"/>
    </i>
    <i>
      <x v="82"/>
      <x v="6"/>
    </i>
    <i>
      <x v="83"/>
      <x v="312"/>
    </i>
    <i>
      <x v="84"/>
      <x v="261"/>
    </i>
    <i>
      <x v="85"/>
      <x v="263"/>
    </i>
    <i>
      <x v="86"/>
      <x v="358"/>
    </i>
    <i>
      <x v="87"/>
      <x v="17"/>
    </i>
    <i>
      <x v="88"/>
      <x v="318"/>
    </i>
    <i>
      <x v="89"/>
      <x v="303"/>
    </i>
    <i>
      <x v="90"/>
      <x v="63"/>
    </i>
    <i>
      <x v="91"/>
      <x v="36"/>
    </i>
    <i>
      <x v="92"/>
      <x v="266"/>
    </i>
    <i>
      <x v="93"/>
      <x v="23"/>
    </i>
    <i>
      <x v="94"/>
      <x v="276"/>
    </i>
    <i>
      <x v="95"/>
      <x v="47"/>
    </i>
    <i>
      <x v="96"/>
      <x v="388"/>
    </i>
    <i>
      <x v="97"/>
      <x v="21"/>
    </i>
    <i>
      <x v="98"/>
      <x v="199"/>
    </i>
    <i>
      <x v="99"/>
      <x v="383"/>
    </i>
    <i>
      <x v="100"/>
      <x v="198"/>
    </i>
    <i>
      <x v="101"/>
      <x v="354"/>
    </i>
    <i>
      <x v="102"/>
      <x v="347"/>
    </i>
    <i>
      <x v="103"/>
      <x v="338"/>
    </i>
    <i>
      <x v="104"/>
      <x v="208"/>
    </i>
    <i>
      <x v="105"/>
      <x v="66"/>
    </i>
    <i>
      <x v="106"/>
      <x v="158"/>
    </i>
    <i>
      <x v="107"/>
      <x v="346"/>
    </i>
    <i>
      <x v="108"/>
      <x v="161"/>
    </i>
    <i>
      <x v="109"/>
      <x v="98"/>
    </i>
    <i>
      <x v="110"/>
      <x v="65"/>
    </i>
    <i>
      <x v="111"/>
      <x v="67"/>
    </i>
    <i>
      <x v="112"/>
      <x v="57"/>
    </i>
    <i>
      <x v="113"/>
      <x v="38"/>
    </i>
    <i>
      <x v="114"/>
      <x v="203"/>
    </i>
    <i>
      <x v="115"/>
      <x v="48"/>
    </i>
    <i>
      <x v="116"/>
      <x v="283"/>
    </i>
    <i>
      <x v="117"/>
      <x v="3"/>
    </i>
    <i>
      <x v="118"/>
      <x/>
    </i>
    <i>
      <x v="119"/>
      <x v="2"/>
    </i>
    <i>
      <x v="120"/>
      <x v="1"/>
    </i>
    <i>
      <x v="121"/>
      <x v="44"/>
    </i>
    <i>
      <x v="122"/>
      <x v="45"/>
    </i>
    <i>
      <x v="123"/>
      <x v="379"/>
    </i>
    <i>
      <x v="124"/>
      <x v="321"/>
    </i>
    <i>
      <x v="125"/>
      <x v="387"/>
    </i>
    <i>
      <x v="126"/>
      <x v="376"/>
    </i>
    <i>
      <x v="127"/>
      <x v="269"/>
    </i>
    <i>
      <x v="128"/>
      <x v="285"/>
    </i>
    <i>
      <x v="129"/>
      <x v="87"/>
    </i>
    <i>
      <x v="130"/>
      <x v="287"/>
    </i>
    <i>
      <x v="131"/>
      <x v="121"/>
    </i>
    <i>
      <x v="132"/>
      <x v="377"/>
    </i>
    <i>
      <x v="133"/>
      <x v="391"/>
    </i>
    <i>
      <x v="134"/>
      <x v="4"/>
    </i>
    <i>
      <x v="135"/>
      <x v="277"/>
    </i>
    <i>
      <x v="136"/>
      <x v="129"/>
    </i>
    <i>
      <x v="137"/>
      <x v="243"/>
    </i>
    <i>
      <x v="138"/>
      <x v="284"/>
    </i>
    <i>
      <x v="139"/>
      <x v="26"/>
    </i>
    <i>
      <x v="140"/>
      <x v="359"/>
    </i>
    <i>
      <x v="141"/>
      <x v="171"/>
    </i>
    <i>
      <x v="142"/>
      <x v="228"/>
    </i>
    <i>
      <x v="143"/>
      <x v="148"/>
    </i>
    <i>
      <x v="144"/>
      <x v="31"/>
    </i>
    <i>
      <x v="145"/>
      <x v="212"/>
    </i>
    <i>
      <x v="146"/>
      <x v="255"/>
    </i>
    <i>
      <x v="147"/>
      <x v="252"/>
    </i>
    <i>
      <x v="148"/>
      <x v="253"/>
    </i>
    <i>
      <x v="149"/>
      <x v="362"/>
    </i>
    <i>
      <x v="150"/>
      <x v="214"/>
    </i>
    <i>
      <x v="151"/>
      <x v="213"/>
    </i>
    <i>
      <x v="152"/>
      <x v="364"/>
    </i>
    <i>
      <x v="153"/>
      <x v="378"/>
    </i>
    <i>
      <x v="154"/>
      <x v="273"/>
    </i>
    <i>
      <x v="155"/>
      <x v="393"/>
    </i>
    <i>
      <x v="156"/>
      <x v="385"/>
    </i>
    <i>
      <x v="157"/>
      <x v="188"/>
    </i>
    <i>
      <x v="158"/>
      <x v="49"/>
    </i>
    <i>
      <x v="159"/>
      <x v="372"/>
    </i>
    <i>
      <x v="160"/>
      <x v="367"/>
    </i>
    <i>
      <x v="161"/>
      <x v="173"/>
    </i>
    <i>
      <x v="162"/>
      <x v="186"/>
    </i>
    <i>
      <x v="163"/>
      <x v="202"/>
    </i>
    <i>
      <x v="164"/>
      <x v="108"/>
    </i>
    <i>
      <x v="165"/>
      <x v="254"/>
    </i>
    <i>
      <x v="166"/>
      <x v="320"/>
    </i>
    <i>
      <x v="167"/>
      <x v="319"/>
    </i>
    <i>
      <x v="168"/>
      <x v="313"/>
    </i>
    <i>
      <x v="169"/>
      <x v="350"/>
    </i>
    <i>
      <x v="170"/>
      <x v="316"/>
    </i>
    <i>
      <x v="171"/>
      <x v="16"/>
    </i>
    <i>
      <x v="172"/>
      <x v="206"/>
    </i>
    <i>
      <x v="173"/>
      <x v="264"/>
    </i>
    <i>
      <x v="174"/>
      <x v="112"/>
    </i>
    <i>
      <x v="175"/>
      <x v="162"/>
    </i>
    <i>
      <x v="176"/>
      <x v="72"/>
    </i>
    <i>
      <x v="177"/>
      <x v="330"/>
    </i>
    <i>
      <x v="178"/>
      <x v="329"/>
    </i>
    <i>
      <x v="179"/>
      <x v="142"/>
    </i>
    <i>
      <x v="180"/>
      <x v="209"/>
    </i>
    <i>
      <x v="181"/>
      <x v="210"/>
    </i>
    <i>
      <x v="182"/>
      <x v="149"/>
    </i>
    <i>
      <x v="183"/>
      <x v="126"/>
    </i>
    <i>
      <x v="184"/>
      <x v="380"/>
    </i>
    <i>
      <x v="185"/>
      <x v="73"/>
    </i>
    <i>
      <x v="186"/>
      <x v="152"/>
    </i>
    <i>
      <x v="187"/>
      <x v="166"/>
    </i>
    <i>
      <x v="188"/>
      <x v="274"/>
    </i>
    <i>
      <x v="189"/>
      <x v="301"/>
    </i>
    <i>
      <x v="190"/>
      <x v="215"/>
    </i>
    <i>
      <x v="191"/>
      <x v="337"/>
    </i>
    <i>
      <x v="192"/>
      <x v="27"/>
    </i>
    <i>
      <x v="193"/>
      <x v="343"/>
    </i>
    <i>
      <x v="194"/>
      <x v="183"/>
    </i>
    <i>
      <x v="195"/>
      <x v="258"/>
    </i>
    <i>
      <x v="196"/>
      <x v="179"/>
    </i>
    <i>
      <x v="197"/>
      <x v="361"/>
    </i>
    <i>
      <x v="198"/>
      <x v="100"/>
    </i>
    <i>
      <x v="199"/>
      <x v="154"/>
    </i>
    <i>
      <x v="200"/>
      <x v="175"/>
    </i>
    <i>
      <x v="201"/>
      <x v="150"/>
    </i>
    <i>
      <x v="202"/>
      <x v="155"/>
    </i>
    <i>
      <x v="203"/>
      <x v="145"/>
    </i>
    <i>
      <x v="204"/>
      <x v="146"/>
    </i>
    <i>
      <x v="205"/>
      <x v="249"/>
    </i>
    <i>
      <x v="206"/>
      <x v="130"/>
    </i>
    <i>
      <x v="207"/>
      <x v="164"/>
    </i>
    <i>
      <x v="208"/>
      <x v="159"/>
    </i>
    <i>
      <x v="209"/>
      <x v="322"/>
    </i>
    <i>
      <x v="210"/>
      <x v="231"/>
    </i>
    <i>
      <x v="211"/>
      <x v="271"/>
    </i>
    <i>
      <x v="212"/>
      <x v="239"/>
    </i>
    <i>
      <x v="213"/>
      <x v="248"/>
    </i>
    <i>
      <x v="214"/>
      <x v="217"/>
    </i>
    <i>
      <x v="215"/>
      <x v="305"/>
    </i>
    <i>
      <x v="216"/>
      <x v="34"/>
    </i>
    <i>
      <x v="217"/>
      <x v="374"/>
    </i>
    <i>
      <x v="218"/>
      <x v="22"/>
    </i>
    <i>
      <x v="219"/>
      <x v="200"/>
    </i>
    <i>
      <x v="220"/>
      <x v="314"/>
    </i>
    <i>
      <x v="221"/>
      <x v="300"/>
    </i>
    <i>
      <x v="222"/>
      <x v="315"/>
    </i>
    <i>
      <x v="223"/>
      <x v="140"/>
    </i>
    <i>
      <x v="224"/>
      <x v="24"/>
    </i>
    <i>
      <x v="225"/>
      <x v="288"/>
    </i>
    <i>
      <x v="226"/>
      <x v="365"/>
    </i>
    <i>
      <x v="227"/>
      <x v="345"/>
    </i>
    <i>
      <x v="228"/>
      <x v="257"/>
    </i>
    <i>
      <x v="229"/>
      <x v="267"/>
    </i>
    <i>
      <x v="230"/>
      <x v="262"/>
    </i>
    <i>
      <x v="231"/>
      <x v="167"/>
    </i>
    <i>
      <x v="232"/>
      <x v="242"/>
    </i>
    <i>
      <x v="233"/>
      <x v="37"/>
    </i>
    <i>
      <x v="234"/>
      <x v="94"/>
    </i>
    <i>
      <x v="235"/>
      <x v="95"/>
    </i>
    <i>
      <x v="236"/>
      <x v="169"/>
    </i>
    <i>
      <x v="237"/>
      <x v="336"/>
    </i>
    <i>
      <x v="238"/>
      <x v="125"/>
    </i>
    <i>
      <x v="239"/>
      <x v="275"/>
    </i>
    <i>
      <x v="240"/>
      <x v="356"/>
    </i>
    <i>
      <x v="241"/>
      <x v="180"/>
    </i>
    <i>
      <x v="242"/>
      <x v="225"/>
    </i>
    <i>
      <x v="243"/>
      <x v="279"/>
    </i>
    <i>
      <x v="244"/>
      <x v="131"/>
    </i>
    <i>
      <x v="245"/>
      <x v="32"/>
    </i>
    <i>
      <x v="246"/>
      <x v="90"/>
    </i>
    <i>
      <x v="247"/>
      <x v="116"/>
    </i>
    <i>
      <x v="248"/>
      <x v="325"/>
    </i>
    <i>
      <x v="249"/>
      <x v="35"/>
    </i>
    <i>
      <x v="250"/>
      <x v="299"/>
    </i>
    <i>
      <x v="251"/>
      <x v="119"/>
    </i>
    <i>
      <x v="252"/>
      <x v="138"/>
    </i>
    <i>
      <x v="253"/>
      <x v="20"/>
    </i>
    <i>
      <x v="254"/>
      <x v="352"/>
    </i>
    <i>
      <x v="255"/>
      <x v="70"/>
    </i>
    <i>
      <x v="256"/>
      <x v="250"/>
    </i>
    <i>
      <x v="257"/>
      <x v="238"/>
    </i>
    <i>
      <x v="258"/>
      <x v="360"/>
    </i>
    <i>
      <x v="259"/>
      <x v="323"/>
    </i>
    <i>
      <x v="260"/>
      <x v="51"/>
    </i>
    <i>
      <x v="261"/>
      <x v="50"/>
    </i>
    <i>
      <x v="262"/>
      <x v="185"/>
    </i>
    <i>
      <x v="263"/>
      <x v="104"/>
    </i>
    <i>
      <x v="264"/>
      <x v="78"/>
    </i>
    <i>
      <x v="265"/>
      <x v="81"/>
    </i>
    <i>
      <x v="266"/>
      <x v="293"/>
    </i>
    <i>
      <x v="267"/>
      <x v="370"/>
    </i>
    <i>
      <x v="268"/>
      <x v="99"/>
    </i>
    <i>
      <x v="269"/>
      <x v="389"/>
    </i>
    <i>
      <x v="270"/>
      <x v="91"/>
    </i>
    <i>
      <x v="271"/>
      <x v="278"/>
    </i>
    <i>
      <x v="272"/>
      <x v="101"/>
    </i>
    <i>
      <x v="273"/>
      <x v="341"/>
    </i>
    <i>
      <x v="274"/>
      <x v="168"/>
    </i>
    <i>
      <x v="275"/>
      <x v="357"/>
    </i>
    <i>
      <x v="276"/>
      <x v="227"/>
    </i>
    <i>
      <x v="277"/>
      <x v="294"/>
    </i>
    <i>
      <x v="278"/>
      <x v="110"/>
    </i>
    <i>
      <x v="279"/>
      <x v="115"/>
    </i>
    <i>
      <x v="280"/>
      <x v="111"/>
    </i>
    <i>
      <x v="281"/>
      <x v="96"/>
    </i>
    <i>
      <x v="282"/>
      <x v="74"/>
    </i>
    <i>
      <x v="283"/>
      <x v="113"/>
    </i>
    <i>
      <x v="284"/>
      <x v="296"/>
    </i>
    <i>
      <x v="285"/>
      <x v="8"/>
    </i>
    <i>
      <x v="286"/>
      <x v="147"/>
    </i>
    <i>
      <x v="287"/>
      <x v="184"/>
    </i>
    <i>
      <x v="288"/>
      <x v="134"/>
    </i>
    <i>
      <x v="289"/>
      <x v="221"/>
    </i>
    <i>
      <x v="290"/>
      <x v="132"/>
    </i>
    <i>
      <x v="291"/>
      <x v="197"/>
    </i>
    <i>
      <x v="292"/>
      <x v="86"/>
    </i>
    <i>
      <x v="293"/>
      <x v="272"/>
    </i>
    <i>
      <x v="294"/>
      <x v="373"/>
    </i>
    <i>
      <x v="295"/>
      <x v="244"/>
    </i>
    <i>
      <x v="296"/>
      <x v="182"/>
    </i>
    <i>
      <x v="297"/>
      <x v="307"/>
    </i>
    <i>
      <x v="298"/>
      <x v="290"/>
    </i>
    <i>
      <x v="299"/>
      <x v="245"/>
    </i>
    <i>
      <x v="300"/>
      <x v="123"/>
    </i>
    <i>
      <x v="301"/>
      <x v="41"/>
    </i>
    <i>
      <x v="302"/>
      <x v="219"/>
    </i>
    <i>
      <x v="303"/>
      <x v="390"/>
    </i>
    <i>
      <x v="304"/>
      <x v="25"/>
    </i>
    <i>
      <x v="305"/>
      <x v="366"/>
    </i>
    <i>
      <x v="306"/>
      <x v="118"/>
    </i>
    <i>
      <x v="307"/>
      <x v="117"/>
    </i>
    <i>
      <x v="308"/>
      <x v="386"/>
    </i>
    <i>
      <x v="309"/>
      <x v="18"/>
    </i>
    <i>
      <x v="310"/>
      <x v="83"/>
    </i>
    <i>
      <x v="311"/>
      <x v="311"/>
    </i>
    <i>
      <x v="312"/>
      <x v="295"/>
    </i>
    <i>
      <x v="313"/>
      <x v="29"/>
    </i>
    <i>
      <x v="314"/>
      <x v="339"/>
    </i>
    <i>
      <x v="315"/>
      <x v="153"/>
    </i>
    <i>
      <x v="316"/>
      <x v="52"/>
    </i>
    <i>
      <x v="317"/>
      <x v="58"/>
    </i>
    <i>
      <x v="318"/>
      <x v="135"/>
    </i>
    <i>
      <x v="319"/>
      <x v="137"/>
    </i>
    <i>
      <x v="320"/>
      <x v="133"/>
    </i>
    <i>
      <x v="321"/>
      <x v="317"/>
    </i>
    <i>
      <x v="322"/>
      <x v="165"/>
    </i>
    <i>
      <x v="323"/>
      <x v="196"/>
    </i>
    <i>
      <x v="324"/>
      <x v="256"/>
    </i>
    <i>
      <x v="325"/>
      <x v="246"/>
    </i>
    <i>
      <x v="326"/>
      <x v="204"/>
    </i>
    <i>
      <x v="327"/>
      <x v="268"/>
    </i>
    <i>
      <x v="328"/>
      <x v="33"/>
    </i>
    <i>
      <x v="329"/>
      <x v="211"/>
    </i>
    <i>
      <x v="330"/>
      <x v="55"/>
    </i>
    <i>
      <x v="331"/>
      <x v="106"/>
    </i>
    <i>
      <x v="332"/>
      <x v="60"/>
    </i>
    <i>
      <x v="333"/>
      <x v="304"/>
    </i>
    <i>
      <x v="334"/>
      <x v="306"/>
    </i>
    <i>
      <x v="335"/>
      <x v="174"/>
    </i>
    <i>
      <x v="336"/>
      <x v="333"/>
    </i>
    <i>
      <x v="337"/>
      <x v="216"/>
    </i>
    <i>
      <x v="338"/>
      <x v="178"/>
    </i>
    <i>
      <x v="339"/>
      <x v="265"/>
    </i>
    <i>
      <x v="340"/>
      <x v="371"/>
    </i>
    <i>
      <x v="341"/>
      <x v="151"/>
    </i>
    <i>
      <x v="342"/>
      <x v="82"/>
    </i>
    <i>
      <x v="343"/>
      <x v="220"/>
    </i>
    <i>
      <x v="344"/>
      <x v="43"/>
    </i>
    <i>
      <x v="345"/>
      <x v="259"/>
    </i>
    <i>
      <x v="346"/>
      <x v="260"/>
    </i>
    <i>
      <x v="347"/>
      <x v="218"/>
    </i>
    <i>
      <x v="348"/>
      <x v="93"/>
    </i>
    <i>
      <x v="349"/>
      <x v="97"/>
    </i>
    <i>
      <x v="350"/>
      <x v="309"/>
    </i>
    <i>
      <x v="351"/>
      <x v="192"/>
    </i>
    <i>
      <x v="352"/>
      <x v="324"/>
    </i>
    <i>
      <x v="353"/>
      <x v="10"/>
    </i>
    <i>
      <x v="354"/>
      <x v="64"/>
    </i>
    <i>
      <x v="355"/>
      <x v="5"/>
    </i>
    <i>
      <x v="356"/>
      <x v="107"/>
    </i>
    <i>
      <x v="357"/>
      <x v="235"/>
    </i>
    <i>
      <x v="358"/>
      <x v="349"/>
    </i>
    <i>
      <x v="359"/>
      <x v="232"/>
    </i>
    <i>
      <x v="360"/>
      <x v="230"/>
    </i>
    <i>
      <x v="361"/>
      <x v="292"/>
    </i>
    <i>
      <x v="362"/>
      <x v="177"/>
    </i>
    <i>
      <x v="363"/>
      <x v="13"/>
    </i>
    <i>
      <x v="364"/>
      <x v="114"/>
    </i>
    <i>
      <x v="365"/>
      <x v="28"/>
    </i>
    <i>
      <x v="366"/>
      <x v="103"/>
    </i>
    <i>
      <x v="367"/>
      <x v="156"/>
    </i>
    <i>
      <x v="368"/>
      <x v="40"/>
    </i>
    <i>
      <x v="369"/>
      <x v="229"/>
    </i>
    <i>
      <x v="370"/>
      <x v="234"/>
    </i>
    <i>
      <x v="371"/>
      <x v="233"/>
    </i>
    <i>
      <x v="372"/>
      <x v="237"/>
    </i>
    <i>
      <x v="373"/>
      <x v="326"/>
    </i>
    <i>
      <x v="374"/>
      <x v="382"/>
    </i>
    <i>
      <x v="375"/>
      <x v="236"/>
    </i>
    <i>
      <x v="376"/>
      <x v="281"/>
    </i>
    <i>
      <x v="377"/>
      <x v="76"/>
    </i>
    <i>
      <x v="378"/>
      <x v="342"/>
    </i>
    <i>
      <x v="379"/>
      <x v="298"/>
    </i>
    <i>
      <x v="380"/>
      <x v="353"/>
    </i>
    <i>
      <x v="381"/>
      <x v="207"/>
    </i>
    <i>
      <x v="382"/>
      <x v="291"/>
    </i>
    <i>
      <x v="383"/>
      <x v="187"/>
    </i>
    <i>
      <x v="384"/>
      <x v="19"/>
    </i>
    <i>
      <x v="385"/>
      <x v="280"/>
    </i>
    <i>
      <x v="386"/>
      <x v="11"/>
    </i>
    <i>
      <x v="387"/>
      <x v="62"/>
    </i>
    <i>
      <x v="388"/>
      <x v="193"/>
    </i>
    <i>
      <x v="389"/>
      <x v="310"/>
    </i>
    <i>
      <x v="390"/>
      <x v="223"/>
    </i>
    <i>
      <x v="391"/>
      <x v="251"/>
    </i>
    <i>
      <x v="392"/>
      <x v="77"/>
    </i>
    <i>
      <x v="393"/>
      <x v="75"/>
    </i>
  </rowItems>
  <colFields count="1">
    <field x="-2"/>
  </colFields>
  <colItems count="3">
    <i>
      <x/>
    </i>
    <i i="1">
      <x v="1"/>
    </i>
    <i i="2">
      <x v="2"/>
    </i>
  </colItems>
  <dataFields count="3">
    <dataField name="Sum of Supply Chain Emission Factors with Margins (kg CO2e/$)" fld="9" baseField="0" baseItem="0"/>
    <dataField name="Sum of Supply Chain Emission Factors without Margins (kg CO2e/$)" fld="5" baseField="0" baseItem="0"/>
    <dataField name="Sum of Margins of Supply Chain Emission Factors (kg CO2e/$)" fld="7" baseField="0" baseItem="0"/>
  </dataFields>
  <formats count="422">
    <format dxfId="450">
      <pivotArea dataOnly="0" labelOnly="1" outline="0" axis="axisValues" fieldPosition="0"/>
    </format>
    <format dxfId="449">
      <pivotArea dataOnly="0" labelOnly="1" outline="0" fieldPosition="0">
        <references count="1">
          <reference field="4294967294" count="3">
            <x v="0"/>
            <x v="1"/>
            <x v="2"/>
          </reference>
        </references>
      </pivotArea>
    </format>
    <format dxfId="448">
      <pivotArea type="all" dataOnly="0" outline="0" fieldPosition="0"/>
    </format>
    <format dxfId="447">
      <pivotArea outline="0" collapsedLevelsAreSubtotals="1" fieldPosition="0"/>
    </format>
    <format dxfId="446">
      <pivotArea field="1" type="button" dataOnly="0" labelOnly="1" outline="0" axis="axisRow" fieldPosition="0"/>
    </format>
    <format dxfId="445">
      <pivotArea field="0" type="button" dataOnly="0" labelOnly="1" outline="0" axis="axisRow" fieldPosition="1"/>
    </format>
    <format dxfId="444">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43">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42">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41">
      <pivotArea dataOnly="0" labelOnly="1" outline="0"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40">
      <pivotArea dataOnly="0" labelOnly="1" outline="0"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39">
      <pivotArea dataOnly="0" labelOnly="1" outline="0" fieldPosition="0">
        <references count="1">
          <reference field="1"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38">
      <pivotArea dataOnly="0" labelOnly="1" outline="0" fieldPosition="0">
        <references count="1">
          <reference field="1"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37">
      <pivotArea dataOnly="0" labelOnly="1" outline="0" fieldPosition="0">
        <references count="1">
          <reference field="1" count="44">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reference>
        </references>
      </pivotArea>
    </format>
    <format dxfId="436">
      <pivotArea dataOnly="0" labelOnly="1" outline="0" fieldPosition="0">
        <references count="2">
          <reference field="0" count="1">
            <x v="127"/>
          </reference>
          <reference field="1" count="1" selected="0">
            <x v="0"/>
          </reference>
        </references>
      </pivotArea>
    </format>
    <format dxfId="435">
      <pivotArea dataOnly="0" labelOnly="1" outline="0" fieldPosition="0">
        <references count="2">
          <reference field="0" count="1">
            <x v="331"/>
          </reference>
          <reference field="1" count="1" selected="0">
            <x v="1"/>
          </reference>
        </references>
      </pivotArea>
    </format>
    <format dxfId="434">
      <pivotArea dataOnly="0" labelOnly="1" outline="0" fieldPosition="0">
        <references count="2">
          <reference field="0" count="1">
            <x v="105"/>
          </reference>
          <reference field="1" count="1" selected="0">
            <x v="2"/>
          </reference>
        </references>
      </pivotArea>
    </format>
    <format dxfId="433">
      <pivotArea dataOnly="0" labelOnly="1" outline="0" fieldPosition="0">
        <references count="2">
          <reference field="0" count="1">
            <x v="340"/>
          </reference>
          <reference field="1" count="1" selected="0">
            <x v="3"/>
          </reference>
        </references>
      </pivotArea>
    </format>
    <format dxfId="432">
      <pivotArea dataOnly="0" labelOnly="1" outline="0" fieldPosition="0">
        <references count="2">
          <reference field="0" count="1">
            <x v="12"/>
          </reference>
          <reference field="1" count="1" selected="0">
            <x v="4"/>
          </reference>
        </references>
      </pivotArea>
    </format>
    <format dxfId="431">
      <pivotArea dataOnly="0" labelOnly="1" outline="0" fieldPosition="0">
        <references count="2">
          <reference field="0" count="1">
            <x v="181"/>
          </reference>
          <reference field="1" count="1" selected="0">
            <x v="5"/>
          </reference>
        </references>
      </pivotArea>
    </format>
    <format dxfId="430">
      <pivotArea dataOnly="0" labelOnly="1" outline="0" fieldPosition="0">
        <references count="2">
          <reference field="0" count="1">
            <x v="172"/>
          </reference>
          <reference field="1" count="1" selected="0">
            <x v="6"/>
          </reference>
        </references>
      </pivotArea>
    </format>
    <format dxfId="429">
      <pivotArea dataOnly="0" labelOnly="1" outline="0" fieldPosition="0">
        <references count="2">
          <reference field="0" count="1">
            <x v="170"/>
          </reference>
          <reference field="1" count="1" selected="0">
            <x v="7"/>
          </reference>
        </references>
      </pivotArea>
    </format>
    <format dxfId="428">
      <pivotArea dataOnly="0" labelOnly="1" outline="0" fieldPosition="0">
        <references count="2">
          <reference field="0" count="1">
            <x v="289"/>
          </reference>
          <reference field="1" count="1" selected="0">
            <x v="8"/>
          </reference>
        </references>
      </pivotArea>
    </format>
    <format dxfId="427">
      <pivotArea dataOnly="0" labelOnly="1" outline="0" fieldPosition="0">
        <references count="2">
          <reference field="0" count="1">
            <x v="240"/>
          </reference>
          <reference field="1" count="1" selected="0">
            <x v="9"/>
          </reference>
        </references>
      </pivotArea>
    </format>
    <format dxfId="426">
      <pivotArea dataOnly="0" labelOnly="1" outline="0" fieldPosition="0">
        <references count="2">
          <reference field="0" count="1">
            <x v="241"/>
          </reference>
          <reference field="1" count="1" selected="0">
            <x v="10"/>
          </reference>
        </references>
      </pivotArea>
    </format>
    <format dxfId="425">
      <pivotArea dataOnly="0" labelOnly="1" outline="0" fieldPosition="0">
        <references count="2">
          <reference field="0" count="1">
            <x v="84"/>
          </reference>
          <reference field="1" count="1" selected="0">
            <x v="11"/>
          </reference>
        </references>
      </pivotArea>
    </format>
    <format dxfId="424">
      <pivotArea dataOnly="0" labelOnly="1" outline="0" fieldPosition="0">
        <references count="2">
          <reference field="0" count="1">
            <x v="381"/>
          </reference>
          <reference field="1" count="1" selected="0">
            <x v="12"/>
          </reference>
        </references>
      </pivotArea>
    </format>
    <format dxfId="423">
      <pivotArea dataOnly="0" labelOnly="1" outline="0" fieldPosition="0">
        <references count="2">
          <reference field="0" count="1">
            <x v="59"/>
          </reference>
          <reference field="1" count="1" selected="0">
            <x v="13"/>
          </reference>
        </references>
      </pivotArea>
    </format>
    <format dxfId="422">
      <pivotArea dataOnly="0" labelOnly="1" outline="0" fieldPosition="0">
        <references count="2">
          <reference field="0" count="1">
            <x v="143"/>
          </reference>
          <reference field="1" count="1" selected="0">
            <x v="14"/>
          </reference>
        </references>
      </pivotArea>
    </format>
    <format dxfId="421">
      <pivotArea dataOnly="0" labelOnly="1" outline="0" fieldPosition="0">
        <references count="2">
          <reference field="0" count="1">
            <x v="363"/>
          </reference>
          <reference field="1" count="1" selected="0">
            <x v="15"/>
          </reference>
        </references>
      </pivotArea>
    </format>
    <format dxfId="420">
      <pivotArea dataOnly="0" labelOnly="1" outline="0" fieldPosition="0">
        <references count="2">
          <reference field="0" count="1">
            <x v="160"/>
          </reference>
          <reference field="1" count="1" selected="0">
            <x v="16"/>
          </reference>
        </references>
      </pivotArea>
    </format>
    <format dxfId="419">
      <pivotArea dataOnly="0" labelOnly="1" outline="0" fieldPosition="0">
        <references count="2">
          <reference field="0" count="1">
            <x v="375"/>
          </reference>
          <reference field="1" count="1" selected="0">
            <x v="17"/>
          </reference>
        </references>
      </pivotArea>
    </format>
    <format dxfId="418">
      <pivotArea dataOnly="0" labelOnly="1" outline="0" fieldPosition="0">
        <references count="2">
          <reference field="0" count="1">
            <x v="205"/>
          </reference>
          <reference field="1" count="1" selected="0">
            <x v="18"/>
          </reference>
        </references>
      </pivotArea>
    </format>
    <format dxfId="417">
      <pivotArea dataOnly="0" labelOnly="1" outline="0" fieldPosition="0">
        <references count="2">
          <reference field="0" count="1">
            <x v="9"/>
          </reference>
          <reference field="1" count="1" selected="0">
            <x v="19"/>
          </reference>
        </references>
      </pivotArea>
    </format>
    <format dxfId="416">
      <pivotArea dataOnly="0" labelOnly="1" outline="0" fieldPosition="0">
        <references count="2">
          <reference field="0" count="1">
            <x v="332"/>
          </reference>
          <reference field="1" count="1" selected="0">
            <x v="20"/>
          </reference>
        </references>
      </pivotArea>
    </format>
    <format dxfId="415">
      <pivotArea dataOnly="0" labelOnly="1" outline="0" fieldPosition="0">
        <references count="2">
          <reference field="0" count="1">
            <x v="88"/>
          </reference>
          <reference field="1" count="1" selected="0">
            <x v="21"/>
          </reference>
        </references>
      </pivotArea>
    </format>
    <format dxfId="414">
      <pivotArea dataOnly="0" labelOnly="1" outline="0" fieldPosition="0">
        <references count="2">
          <reference field="0" count="1">
            <x v="89"/>
          </reference>
          <reference field="1" count="1" selected="0">
            <x v="22"/>
          </reference>
        </references>
      </pivotArea>
    </format>
    <format dxfId="413">
      <pivotArea dataOnly="0" labelOnly="1" outline="0" fieldPosition="0">
        <references count="2">
          <reference field="0" count="1">
            <x v="195"/>
          </reference>
          <reference field="1" count="1" selected="0">
            <x v="23"/>
          </reference>
        </references>
      </pivotArea>
    </format>
    <format dxfId="412">
      <pivotArea dataOnly="0" labelOnly="1" outline="0" fieldPosition="0">
        <references count="2">
          <reference field="0" count="1">
            <x v="201"/>
          </reference>
          <reference field="1" count="1" selected="0">
            <x v="24"/>
          </reference>
        </references>
      </pivotArea>
    </format>
    <format dxfId="411">
      <pivotArea dataOnly="0" labelOnly="1" outline="0" fieldPosition="0">
        <references count="2">
          <reference field="0" count="1">
            <x v="226"/>
          </reference>
          <reference field="1" count="1" selected="0">
            <x v="25"/>
          </reference>
        </references>
      </pivotArea>
    </format>
    <format dxfId="410">
      <pivotArea dataOnly="0" labelOnly="1" outline="0" fieldPosition="0">
        <references count="2">
          <reference field="0" count="1">
            <x v="157"/>
          </reference>
          <reference field="1" count="1" selected="0">
            <x v="26"/>
          </reference>
        </references>
      </pivotArea>
    </format>
    <format dxfId="409">
      <pivotArea dataOnly="0" labelOnly="1" outline="0" fieldPosition="0">
        <references count="2">
          <reference field="0" count="1">
            <x v="102"/>
          </reference>
          <reference field="1" count="1" selected="0">
            <x v="27"/>
          </reference>
        </references>
      </pivotArea>
    </format>
    <format dxfId="408">
      <pivotArea dataOnly="0" labelOnly="1" outline="0" fieldPosition="0">
        <references count="2">
          <reference field="0" count="1">
            <x v="247"/>
          </reference>
          <reference field="1" count="1" selected="0">
            <x v="28"/>
          </reference>
        </references>
      </pivotArea>
    </format>
    <format dxfId="407">
      <pivotArea dataOnly="0" labelOnly="1" outline="0" fieldPosition="0">
        <references count="2">
          <reference field="0" count="1">
            <x v="302"/>
          </reference>
          <reference field="1" count="1" selected="0">
            <x v="29"/>
          </reference>
        </references>
      </pivotArea>
    </format>
    <format dxfId="406">
      <pivotArea dataOnly="0" labelOnly="1" outline="0" fieldPosition="0">
        <references count="2">
          <reference field="0" count="1">
            <x v="85"/>
          </reference>
          <reference field="1" count="1" selected="0">
            <x v="30"/>
          </reference>
        </references>
      </pivotArea>
    </format>
    <format dxfId="405">
      <pivotArea dataOnly="0" labelOnly="1" outline="0" fieldPosition="0">
        <references count="2">
          <reference field="0" count="1">
            <x v="53"/>
          </reference>
          <reference field="1" count="1" selected="0">
            <x v="31"/>
          </reference>
        </references>
      </pivotArea>
    </format>
    <format dxfId="404">
      <pivotArea dataOnly="0" labelOnly="1" outline="0" fieldPosition="0">
        <references count="2">
          <reference field="0" count="1">
            <x v="42"/>
          </reference>
          <reference field="1" count="1" selected="0">
            <x v="32"/>
          </reference>
        </references>
      </pivotArea>
    </format>
    <format dxfId="403">
      <pivotArea dataOnly="0" labelOnly="1" outline="0" fieldPosition="0">
        <references count="2">
          <reference field="0" count="1">
            <x v="61"/>
          </reference>
          <reference field="1" count="1" selected="0">
            <x v="33"/>
          </reference>
        </references>
      </pivotArea>
    </format>
    <format dxfId="402">
      <pivotArea dataOnly="0" labelOnly="1" outline="0" fieldPosition="0">
        <references count="2">
          <reference field="0" count="1">
            <x v="282"/>
          </reference>
          <reference field="1" count="1" selected="0">
            <x v="34"/>
          </reference>
        </references>
      </pivotArea>
    </format>
    <format dxfId="401">
      <pivotArea dataOnly="0" labelOnly="1" outline="0" fieldPosition="0">
        <references count="2">
          <reference field="0" count="1">
            <x v="351"/>
          </reference>
          <reference field="1" count="1" selected="0">
            <x v="35"/>
          </reference>
        </references>
      </pivotArea>
    </format>
    <format dxfId="400">
      <pivotArea dataOnly="0" labelOnly="1" outline="0" fieldPosition="0">
        <references count="2">
          <reference field="0" count="1">
            <x v="348"/>
          </reference>
          <reference field="1" count="1" selected="0">
            <x v="36"/>
          </reference>
        </references>
      </pivotArea>
    </format>
    <format dxfId="399">
      <pivotArea dataOnly="0" labelOnly="1" outline="0" fieldPosition="0">
        <references count="2">
          <reference field="0" count="1">
            <x v="308"/>
          </reference>
          <reference field="1" count="1" selected="0">
            <x v="37"/>
          </reference>
        </references>
      </pivotArea>
    </format>
    <format dxfId="398">
      <pivotArea dataOnly="0" labelOnly="1" outline="0" fieldPosition="0">
        <references count="2">
          <reference field="0" count="1">
            <x v="224"/>
          </reference>
          <reference field="1" count="1" selected="0">
            <x v="38"/>
          </reference>
        </references>
      </pivotArea>
    </format>
    <format dxfId="397">
      <pivotArea dataOnly="0" labelOnly="1" outline="0" fieldPosition="0">
        <references count="2">
          <reference field="0" count="1">
            <x v="79"/>
          </reference>
          <reference field="1" count="1" selected="0">
            <x v="39"/>
          </reference>
        </references>
      </pivotArea>
    </format>
    <format dxfId="396">
      <pivotArea dataOnly="0" labelOnly="1" outline="0" fieldPosition="0">
        <references count="2">
          <reference field="0" count="1">
            <x v="80"/>
          </reference>
          <reference field="1" count="1" selected="0">
            <x v="40"/>
          </reference>
        </references>
      </pivotArea>
    </format>
    <format dxfId="395">
      <pivotArea dataOnly="0" labelOnly="1" outline="0" fieldPosition="0">
        <references count="2">
          <reference field="0" count="1">
            <x v="68"/>
          </reference>
          <reference field="1" count="1" selected="0">
            <x v="41"/>
          </reference>
        </references>
      </pivotArea>
    </format>
    <format dxfId="394">
      <pivotArea dataOnly="0" labelOnly="1" outline="0" fieldPosition="0">
        <references count="2">
          <reference field="0" count="1">
            <x v="139"/>
          </reference>
          <reference field="1" count="1" selected="0">
            <x v="42"/>
          </reference>
        </references>
      </pivotArea>
    </format>
    <format dxfId="393">
      <pivotArea dataOnly="0" labelOnly="1" outline="0" fieldPosition="0">
        <references count="2">
          <reference field="0" count="1">
            <x v="7"/>
          </reference>
          <reference field="1" count="1" selected="0">
            <x v="43"/>
          </reference>
        </references>
      </pivotArea>
    </format>
    <format dxfId="392">
      <pivotArea dataOnly="0" labelOnly="1" outline="0" fieldPosition="0">
        <references count="2">
          <reference field="0" count="1">
            <x v="122"/>
          </reference>
          <reference field="1" count="1" selected="0">
            <x v="44"/>
          </reference>
        </references>
      </pivotArea>
    </format>
    <format dxfId="391">
      <pivotArea dataOnly="0" labelOnly="1" outline="0" fieldPosition="0">
        <references count="2">
          <reference field="0" count="1">
            <x v="46"/>
          </reference>
          <reference field="1" count="1" selected="0">
            <x v="45"/>
          </reference>
        </references>
      </pivotArea>
    </format>
    <format dxfId="390">
      <pivotArea dataOnly="0" labelOnly="1" outline="0" fieldPosition="0">
        <references count="2">
          <reference field="0" count="1">
            <x v="109"/>
          </reference>
          <reference field="1" count="1" selected="0">
            <x v="46"/>
          </reference>
        </references>
      </pivotArea>
    </format>
    <format dxfId="389">
      <pivotArea dataOnly="0" labelOnly="1" outline="0" fieldPosition="0">
        <references count="2">
          <reference field="0" count="1">
            <x v="368"/>
          </reference>
          <reference field="1" count="1" selected="0">
            <x v="47"/>
          </reference>
        </references>
      </pivotArea>
    </format>
    <format dxfId="388">
      <pivotArea dataOnly="0" labelOnly="1" outline="0" fieldPosition="0">
        <references count="2">
          <reference field="0" count="1">
            <x v="392"/>
          </reference>
          <reference field="1" count="1" selected="0">
            <x v="48"/>
          </reference>
        </references>
      </pivotArea>
    </format>
    <format dxfId="387">
      <pivotArea dataOnly="0" labelOnly="1" outline="0" fieldPosition="0">
        <references count="2">
          <reference field="0" count="1">
            <x v="120"/>
          </reference>
          <reference field="1" count="1" selected="0">
            <x v="49"/>
          </reference>
        </references>
      </pivotArea>
    </format>
    <format dxfId="386">
      <pivotArea dataOnly="0" labelOnly="1" outline="0" fieldPosition="0">
        <references count="2">
          <reference field="0" count="1">
            <x v="71"/>
          </reference>
          <reference field="1" count="1" selected="0">
            <x v="50"/>
          </reference>
        </references>
      </pivotArea>
    </format>
    <format dxfId="385">
      <pivotArea dataOnly="0" labelOnly="1" outline="0" fieldPosition="0">
        <references count="2">
          <reference field="0" count="1">
            <x v="286"/>
          </reference>
          <reference field="1" count="1" selected="0">
            <x v="51"/>
          </reference>
        </references>
      </pivotArea>
    </format>
    <format dxfId="384">
      <pivotArea dataOnly="0" labelOnly="1" outline="0" fieldPosition="0">
        <references count="2">
          <reference field="0" count="1">
            <x v="14"/>
          </reference>
          <reference field="1" count="1" selected="0">
            <x v="52"/>
          </reference>
        </references>
      </pivotArea>
    </format>
    <format dxfId="383">
      <pivotArea dataOnly="0" labelOnly="1" outline="0" fieldPosition="0">
        <references count="2">
          <reference field="0" count="1">
            <x v="56"/>
          </reference>
          <reference field="1" count="1" selected="0">
            <x v="53"/>
          </reference>
        </references>
      </pivotArea>
    </format>
    <format dxfId="382">
      <pivotArea dataOnly="0" labelOnly="1" outline="0" fieldPosition="0">
        <references count="2">
          <reference field="0" count="1">
            <x v="355"/>
          </reference>
          <reference field="1" count="1" selected="0">
            <x v="54"/>
          </reference>
        </references>
      </pivotArea>
    </format>
    <format dxfId="381">
      <pivotArea dataOnly="0" labelOnly="1" outline="0" fieldPosition="0">
        <references count="2">
          <reference field="0" count="1">
            <x v="327"/>
          </reference>
          <reference field="1" count="1" selected="0">
            <x v="55"/>
          </reference>
        </references>
      </pivotArea>
    </format>
    <format dxfId="380">
      <pivotArea dataOnly="0" labelOnly="1" outline="0" fieldPosition="0">
        <references count="2">
          <reference field="0" count="1">
            <x v="384"/>
          </reference>
          <reference field="1" count="1" selected="0">
            <x v="56"/>
          </reference>
        </references>
      </pivotArea>
    </format>
    <format dxfId="379">
      <pivotArea dataOnly="0" labelOnly="1" outline="0" fieldPosition="0">
        <references count="2">
          <reference field="0" count="1">
            <x v="30"/>
          </reference>
          <reference field="1" count="1" selected="0">
            <x v="57"/>
          </reference>
        </references>
      </pivotArea>
    </format>
    <format dxfId="378">
      <pivotArea dataOnly="0" labelOnly="1" outline="0" fieldPosition="0">
        <references count="2">
          <reference field="0" count="1">
            <x v="222"/>
          </reference>
          <reference field="1" count="1" selected="0">
            <x v="58"/>
          </reference>
        </references>
      </pivotArea>
    </format>
    <format dxfId="377">
      <pivotArea dataOnly="0" labelOnly="1" outline="0" fieldPosition="0">
        <references count="2">
          <reference field="0" count="1">
            <x v="194"/>
          </reference>
          <reference field="1" count="1" selected="0">
            <x v="59"/>
          </reference>
        </references>
      </pivotArea>
    </format>
    <format dxfId="376">
      <pivotArea dataOnly="0" labelOnly="1" outline="0" fieldPosition="0">
        <references count="2">
          <reference field="0" count="1">
            <x v="369"/>
          </reference>
          <reference field="1" count="1" selected="0">
            <x v="60"/>
          </reference>
        </references>
      </pivotArea>
    </format>
    <format dxfId="375">
      <pivotArea dataOnly="0" labelOnly="1" outline="0" fieldPosition="0">
        <references count="2">
          <reference field="0" count="1">
            <x v="344"/>
          </reference>
          <reference field="1" count="1" selected="0">
            <x v="61"/>
          </reference>
        </references>
      </pivotArea>
    </format>
    <format dxfId="374">
      <pivotArea dataOnly="0" labelOnly="1" outline="0" fieldPosition="0">
        <references count="2">
          <reference field="0" count="1">
            <x v="92"/>
          </reference>
          <reference field="1" count="1" selected="0">
            <x v="62"/>
          </reference>
        </references>
      </pivotArea>
    </format>
    <format dxfId="373">
      <pivotArea dataOnly="0" labelOnly="1" outline="0" fieldPosition="0">
        <references count="2">
          <reference field="0" count="1">
            <x v="190"/>
          </reference>
          <reference field="1" count="1" selected="0">
            <x v="63"/>
          </reference>
        </references>
      </pivotArea>
    </format>
    <format dxfId="372">
      <pivotArea dataOnly="0" labelOnly="1" outline="0" fieldPosition="0">
        <references count="2">
          <reference field="0" count="1">
            <x v="335"/>
          </reference>
          <reference field="1" count="1" selected="0">
            <x v="64"/>
          </reference>
        </references>
      </pivotArea>
    </format>
    <format dxfId="371">
      <pivotArea dataOnly="0" labelOnly="1" outline="0" fieldPosition="0">
        <references count="2">
          <reference field="0" count="1">
            <x v="191"/>
          </reference>
          <reference field="1" count="1" selected="0">
            <x v="65"/>
          </reference>
        </references>
      </pivotArea>
    </format>
    <format dxfId="370">
      <pivotArea dataOnly="0" labelOnly="1" outline="0" fieldPosition="0">
        <references count="2">
          <reference field="0" count="1">
            <x v="189"/>
          </reference>
          <reference field="1" count="1" selected="0">
            <x v="66"/>
          </reference>
        </references>
      </pivotArea>
    </format>
    <format dxfId="369">
      <pivotArea dataOnly="0" labelOnly="1" outline="0" fieldPosition="0">
        <references count="2">
          <reference field="0" count="1">
            <x v="124"/>
          </reference>
          <reference field="1" count="1" selected="0">
            <x v="67"/>
          </reference>
        </references>
      </pivotArea>
    </format>
    <format dxfId="368">
      <pivotArea dataOnly="0" labelOnly="1" outline="0" fieldPosition="0">
        <references count="2">
          <reference field="0" count="1">
            <x v="163"/>
          </reference>
          <reference field="1" count="1" selected="0">
            <x v="68"/>
          </reference>
        </references>
      </pivotArea>
    </format>
    <format dxfId="367">
      <pivotArea dataOnly="0" labelOnly="1" outline="0" fieldPosition="0">
        <references count="2">
          <reference field="0" count="1">
            <x v="328"/>
          </reference>
          <reference field="1" count="1" selected="0">
            <x v="69"/>
          </reference>
        </references>
      </pivotArea>
    </format>
    <format dxfId="366">
      <pivotArea dataOnly="0" labelOnly="1" outline="0" fieldPosition="0">
        <references count="2">
          <reference field="0" count="1">
            <x v="54"/>
          </reference>
          <reference field="1" count="1" selected="0">
            <x v="70"/>
          </reference>
        </references>
      </pivotArea>
    </format>
    <format dxfId="365">
      <pivotArea dataOnly="0" labelOnly="1" outline="0" fieldPosition="0">
        <references count="2">
          <reference field="0" count="1">
            <x v="136"/>
          </reference>
          <reference field="1" count="1" selected="0">
            <x v="71"/>
          </reference>
        </references>
      </pivotArea>
    </format>
    <format dxfId="364">
      <pivotArea dataOnly="0" labelOnly="1" outline="0" fieldPosition="0">
        <references count="2">
          <reference field="0" count="1">
            <x v="15"/>
          </reference>
          <reference field="1" count="1" selected="0">
            <x v="72"/>
          </reference>
        </references>
      </pivotArea>
    </format>
    <format dxfId="363">
      <pivotArea dataOnly="0" labelOnly="1" outline="0" fieldPosition="0">
        <references count="2">
          <reference field="0" count="1">
            <x v="39"/>
          </reference>
          <reference field="1" count="1" selected="0">
            <x v="73"/>
          </reference>
        </references>
      </pivotArea>
    </format>
    <format dxfId="362">
      <pivotArea dataOnly="0" labelOnly="1" outline="0" fieldPosition="0">
        <references count="2">
          <reference field="0" count="1">
            <x v="297"/>
          </reference>
          <reference field="1" count="1" selected="0">
            <x v="74"/>
          </reference>
        </references>
      </pivotArea>
    </format>
    <format dxfId="361">
      <pivotArea dataOnly="0" labelOnly="1" outline="0" fieldPosition="0">
        <references count="2">
          <reference field="0" count="1">
            <x v="69"/>
          </reference>
          <reference field="1" count="1" selected="0">
            <x v="75"/>
          </reference>
        </references>
      </pivotArea>
    </format>
    <format dxfId="360">
      <pivotArea dataOnly="0" labelOnly="1" outline="0" fieldPosition="0">
        <references count="2">
          <reference field="0" count="1">
            <x v="334"/>
          </reference>
          <reference field="1" count="1" selected="0">
            <x v="76"/>
          </reference>
        </references>
      </pivotArea>
    </format>
    <format dxfId="359">
      <pivotArea dataOnly="0" labelOnly="1" outline="0" fieldPosition="0">
        <references count="2">
          <reference field="0" count="1">
            <x v="141"/>
          </reference>
          <reference field="1" count="1" selected="0">
            <x v="77"/>
          </reference>
        </references>
      </pivotArea>
    </format>
    <format dxfId="358">
      <pivotArea dataOnly="0" labelOnly="1" outline="0" fieldPosition="0">
        <references count="2">
          <reference field="0" count="1">
            <x v="270"/>
          </reference>
          <reference field="1" count="1" selected="0">
            <x v="78"/>
          </reference>
        </references>
      </pivotArea>
    </format>
    <format dxfId="357">
      <pivotArea dataOnly="0" labelOnly="1" outline="0" fieldPosition="0">
        <references count="2">
          <reference field="0" count="1">
            <x v="128"/>
          </reference>
          <reference field="1" count="1" selected="0">
            <x v="79"/>
          </reference>
        </references>
      </pivotArea>
    </format>
    <format dxfId="356">
      <pivotArea dataOnly="0" labelOnly="1" outline="0" fieldPosition="0">
        <references count="2">
          <reference field="0" count="1">
            <x v="144"/>
          </reference>
          <reference field="1" count="1" selected="0">
            <x v="80"/>
          </reference>
        </references>
      </pivotArea>
    </format>
    <format dxfId="355">
      <pivotArea dataOnly="0" labelOnly="1" outline="0" fieldPosition="0">
        <references count="2">
          <reference field="0" count="1">
            <x v="176"/>
          </reference>
          <reference field="1" count="1" selected="0">
            <x v="81"/>
          </reference>
        </references>
      </pivotArea>
    </format>
    <format dxfId="354">
      <pivotArea dataOnly="0" labelOnly="1" outline="0" fieldPosition="0">
        <references count="2">
          <reference field="0" count="1">
            <x v="6"/>
          </reference>
          <reference field="1" count="1" selected="0">
            <x v="82"/>
          </reference>
        </references>
      </pivotArea>
    </format>
    <format dxfId="353">
      <pivotArea dataOnly="0" labelOnly="1" outline="0" fieldPosition="0">
        <references count="2">
          <reference field="0" count="1">
            <x v="312"/>
          </reference>
          <reference field="1" count="1" selected="0">
            <x v="83"/>
          </reference>
        </references>
      </pivotArea>
    </format>
    <format dxfId="352">
      <pivotArea dataOnly="0" labelOnly="1" outline="0" fieldPosition="0">
        <references count="2">
          <reference field="0" count="1">
            <x v="261"/>
          </reference>
          <reference field="1" count="1" selected="0">
            <x v="84"/>
          </reference>
        </references>
      </pivotArea>
    </format>
    <format dxfId="351">
      <pivotArea dataOnly="0" labelOnly="1" outline="0" fieldPosition="0">
        <references count="2">
          <reference field="0" count="1">
            <x v="263"/>
          </reference>
          <reference field="1" count="1" selected="0">
            <x v="85"/>
          </reference>
        </references>
      </pivotArea>
    </format>
    <format dxfId="350">
      <pivotArea dataOnly="0" labelOnly="1" outline="0" fieldPosition="0">
        <references count="2">
          <reference field="0" count="1">
            <x v="358"/>
          </reference>
          <reference field="1" count="1" selected="0">
            <x v="86"/>
          </reference>
        </references>
      </pivotArea>
    </format>
    <format dxfId="349">
      <pivotArea dataOnly="0" labelOnly="1" outline="0" fieldPosition="0">
        <references count="2">
          <reference field="0" count="1">
            <x v="17"/>
          </reference>
          <reference field="1" count="1" selected="0">
            <x v="87"/>
          </reference>
        </references>
      </pivotArea>
    </format>
    <format dxfId="348">
      <pivotArea dataOnly="0" labelOnly="1" outline="0" fieldPosition="0">
        <references count="2">
          <reference field="0" count="1">
            <x v="318"/>
          </reference>
          <reference field="1" count="1" selected="0">
            <x v="88"/>
          </reference>
        </references>
      </pivotArea>
    </format>
    <format dxfId="347">
      <pivotArea dataOnly="0" labelOnly="1" outline="0" fieldPosition="0">
        <references count="2">
          <reference field="0" count="1">
            <x v="303"/>
          </reference>
          <reference field="1" count="1" selected="0">
            <x v="89"/>
          </reference>
        </references>
      </pivotArea>
    </format>
    <format dxfId="346">
      <pivotArea dataOnly="0" labelOnly="1" outline="0" fieldPosition="0">
        <references count="2">
          <reference field="0" count="1">
            <x v="63"/>
          </reference>
          <reference field="1" count="1" selected="0">
            <x v="90"/>
          </reference>
        </references>
      </pivotArea>
    </format>
    <format dxfId="345">
      <pivotArea dataOnly="0" labelOnly="1" outline="0" fieldPosition="0">
        <references count="2">
          <reference field="0" count="1">
            <x v="36"/>
          </reference>
          <reference field="1" count="1" selected="0">
            <x v="91"/>
          </reference>
        </references>
      </pivotArea>
    </format>
    <format dxfId="344">
      <pivotArea dataOnly="0" labelOnly="1" outline="0" fieldPosition="0">
        <references count="2">
          <reference field="0" count="1">
            <x v="266"/>
          </reference>
          <reference field="1" count="1" selected="0">
            <x v="92"/>
          </reference>
        </references>
      </pivotArea>
    </format>
    <format dxfId="343">
      <pivotArea dataOnly="0" labelOnly="1" outline="0" fieldPosition="0">
        <references count="2">
          <reference field="0" count="1">
            <x v="23"/>
          </reference>
          <reference field="1" count="1" selected="0">
            <x v="93"/>
          </reference>
        </references>
      </pivotArea>
    </format>
    <format dxfId="342">
      <pivotArea dataOnly="0" labelOnly="1" outline="0" fieldPosition="0">
        <references count="2">
          <reference field="0" count="1">
            <x v="276"/>
          </reference>
          <reference field="1" count="1" selected="0">
            <x v="94"/>
          </reference>
        </references>
      </pivotArea>
    </format>
    <format dxfId="341">
      <pivotArea dataOnly="0" labelOnly="1" outline="0" fieldPosition="0">
        <references count="2">
          <reference field="0" count="1">
            <x v="47"/>
          </reference>
          <reference field="1" count="1" selected="0">
            <x v="95"/>
          </reference>
        </references>
      </pivotArea>
    </format>
    <format dxfId="340">
      <pivotArea dataOnly="0" labelOnly="1" outline="0" fieldPosition="0">
        <references count="2">
          <reference field="0" count="1">
            <x v="388"/>
          </reference>
          <reference field="1" count="1" selected="0">
            <x v="96"/>
          </reference>
        </references>
      </pivotArea>
    </format>
    <format dxfId="339">
      <pivotArea dataOnly="0" labelOnly="1" outline="0" fieldPosition="0">
        <references count="2">
          <reference field="0" count="1">
            <x v="21"/>
          </reference>
          <reference field="1" count="1" selected="0">
            <x v="97"/>
          </reference>
        </references>
      </pivotArea>
    </format>
    <format dxfId="338">
      <pivotArea dataOnly="0" labelOnly="1" outline="0" fieldPosition="0">
        <references count="2">
          <reference field="0" count="1">
            <x v="199"/>
          </reference>
          <reference field="1" count="1" selected="0">
            <x v="98"/>
          </reference>
        </references>
      </pivotArea>
    </format>
    <format dxfId="337">
      <pivotArea dataOnly="0" labelOnly="1" outline="0" fieldPosition="0">
        <references count="2">
          <reference field="0" count="1">
            <x v="383"/>
          </reference>
          <reference field="1" count="1" selected="0">
            <x v="99"/>
          </reference>
        </references>
      </pivotArea>
    </format>
    <format dxfId="336">
      <pivotArea dataOnly="0" labelOnly="1" outline="0" fieldPosition="0">
        <references count="2">
          <reference field="0" count="1">
            <x v="198"/>
          </reference>
          <reference field="1" count="1" selected="0">
            <x v="100"/>
          </reference>
        </references>
      </pivotArea>
    </format>
    <format dxfId="335">
      <pivotArea dataOnly="0" labelOnly="1" outline="0" fieldPosition="0">
        <references count="2">
          <reference field="0" count="1">
            <x v="354"/>
          </reference>
          <reference field="1" count="1" selected="0">
            <x v="101"/>
          </reference>
        </references>
      </pivotArea>
    </format>
    <format dxfId="334">
      <pivotArea dataOnly="0" labelOnly="1" outline="0" fieldPosition="0">
        <references count="2">
          <reference field="0" count="1">
            <x v="347"/>
          </reference>
          <reference field="1" count="1" selected="0">
            <x v="102"/>
          </reference>
        </references>
      </pivotArea>
    </format>
    <format dxfId="333">
      <pivotArea dataOnly="0" labelOnly="1" outline="0" fieldPosition="0">
        <references count="2">
          <reference field="0" count="1">
            <x v="338"/>
          </reference>
          <reference field="1" count="1" selected="0">
            <x v="103"/>
          </reference>
        </references>
      </pivotArea>
    </format>
    <format dxfId="332">
      <pivotArea dataOnly="0" labelOnly="1" outline="0" fieldPosition="0">
        <references count="2">
          <reference field="0" count="1">
            <x v="208"/>
          </reference>
          <reference field="1" count="1" selected="0">
            <x v="104"/>
          </reference>
        </references>
      </pivotArea>
    </format>
    <format dxfId="331">
      <pivotArea dataOnly="0" labelOnly="1" outline="0" fieldPosition="0">
        <references count="2">
          <reference field="0" count="1">
            <x v="66"/>
          </reference>
          <reference field="1" count="1" selected="0">
            <x v="105"/>
          </reference>
        </references>
      </pivotArea>
    </format>
    <format dxfId="330">
      <pivotArea dataOnly="0" labelOnly="1" outline="0" fieldPosition="0">
        <references count="2">
          <reference field="0" count="1">
            <x v="158"/>
          </reference>
          <reference field="1" count="1" selected="0">
            <x v="106"/>
          </reference>
        </references>
      </pivotArea>
    </format>
    <format dxfId="329">
      <pivotArea dataOnly="0" labelOnly="1" outline="0" fieldPosition="0">
        <references count="2">
          <reference field="0" count="1">
            <x v="346"/>
          </reference>
          <reference field="1" count="1" selected="0">
            <x v="107"/>
          </reference>
        </references>
      </pivotArea>
    </format>
    <format dxfId="328">
      <pivotArea dataOnly="0" labelOnly="1" outline="0" fieldPosition="0">
        <references count="2">
          <reference field="0" count="1">
            <x v="161"/>
          </reference>
          <reference field="1" count="1" selected="0">
            <x v="108"/>
          </reference>
        </references>
      </pivotArea>
    </format>
    <format dxfId="327">
      <pivotArea dataOnly="0" labelOnly="1" outline="0" fieldPosition="0">
        <references count="2">
          <reference field="0" count="1">
            <x v="98"/>
          </reference>
          <reference field="1" count="1" selected="0">
            <x v="109"/>
          </reference>
        </references>
      </pivotArea>
    </format>
    <format dxfId="326">
      <pivotArea dataOnly="0" labelOnly="1" outline="0" fieldPosition="0">
        <references count="2">
          <reference field="0" count="1">
            <x v="65"/>
          </reference>
          <reference field="1" count="1" selected="0">
            <x v="110"/>
          </reference>
        </references>
      </pivotArea>
    </format>
    <format dxfId="325">
      <pivotArea dataOnly="0" labelOnly="1" outline="0" fieldPosition="0">
        <references count="2">
          <reference field="0" count="1">
            <x v="67"/>
          </reference>
          <reference field="1" count="1" selected="0">
            <x v="111"/>
          </reference>
        </references>
      </pivotArea>
    </format>
    <format dxfId="324">
      <pivotArea dataOnly="0" labelOnly="1" outline="0" fieldPosition="0">
        <references count="2">
          <reference field="0" count="1">
            <x v="57"/>
          </reference>
          <reference field="1" count="1" selected="0">
            <x v="112"/>
          </reference>
        </references>
      </pivotArea>
    </format>
    <format dxfId="323">
      <pivotArea dataOnly="0" labelOnly="1" outline="0" fieldPosition="0">
        <references count="2">
          <reference field="0" count="1">
            <x v="38"/>
          </reference>
          <reference field="1" count="1" selected="0">
            <x v="113"/>
          </reference>
        </references>
      </pivotArea>
    </format>
    <format dxfId="322">
      <pivotArea dataOnly="0" labelOnly="1" outline="0" fieldPosition="0">
        <references count="2">
          <reference field="0" count="1">
            <x v="203"/>
          </reference>
          <reference field="1" count="1" selected="0">
            <x v="114"/>
          </reference>
        </references>
      </pivotArea>
    </format>
    <format dxfId="321">
      <pivotArea dataOnly="0" labelOnly="1" outline="0" fieldPosition="0">
        <references count="2">
          <reference field="0" count="1">
            <x v="48"/>
          </reference>
          <reference field="1" count="1" selected="0">
            <x v="115"/>
          </reference>
        </references>
      </pivotArea>
    </format>
    <format dxfId="320">
      <pivotArea dataOnly="0" labelOnly="1" outline="0" fieldPosition="0">
        <references count="2">
          <reference field="0" count="1">
            <x v="283"/>
          </reference>
          <reference field="1" count="1" selected="0">
            <x v="116"/>
          </reference>
        </references>
      </pivotArea>
    </format>
    <format dxfId="319">
      <pivotArea dataOnly="0" labelOnly="1" outline="0" fieldPosition="0">
        <references count="2">
          <reference field="0" count="1">
            <x v="3"/>
          </reference>
          <reference field="1" count="1" selected="0">
            <x v="117"/>
          </reference>
        </references>
      </pivotArea>
    </format>
    <format dxfId="318">
      <pivotArea dataOnly="0" labelOnly="1" outline="0" fieldPosition="0">
        <references count="2">
          <reference field="0" count="1">
            <x v="0"/>
          </reference>
          <reference field="1" count="1" selected="0">
            <x v="118"/>
          </reference>
        </references>
      </pivotArea>
    </format>
    <format dxfId="317">
      <pivotArea dataOnly="0" labelOnly="1" outline="0" fieldPosition="0">
        <references count="2">
          <reference field="0" count="1">
            <x v="2"/>
          </reference>
          <reference field="1" count="1" selected="0">
            <x v="119"/>
          </reference>
        </references>
      </pivotArea>
    </format>
    <format dxfId="316">
      <pivotArea dataOnly="0" labelOnly="1" outline="0" fieldPosition="0">
        <references count="2">
          <reference field="0" count="1">
            <x v="1"/>
          </reference>
          <reference field="1" count="1" selected="0">
            <x v="120"/>
          </reference>
        </references>
      </pivotArea>
    </format>
    <format dxfId="315">
      <pivotArea dataOnly="0" labelOnly="1" outline="0" fieldPosition="0">
        <references count="2">
          <reference field="0" count="1">
            <x v="44"/>
          </reference>
          <reference field="1" count="1" selected="0">
            <x v="121"/>
          </reference>
        </references>
      </pivotArea>
    </format>
    <format dxfId="314">
      <pivotArea dataOnly="0" labelOnly="1" outline="0" fieldPosition="0">
        <references count="2">
          <reference field="0" count="1">
            <x v="45"/>
          </reference>
          <reference field="1" count="1" selected="0">
            <x v="122"/>
          </reference>
        </references>
      </pivotArea>
    </format>
    <format dxfId="313">
      <pivotArea dataOnly="0" labelOnly="1" outline="0" fieldPosition="0">
        <references count="2">
          <reference field="0" count="1">
            <x v="379"/>
          </reference>
          <reference field="1" count="1" selected="0">
            <x v="123"/>
          </reference>
        </references>
      </pivotArea>
    </format>
    <format dxfId="312">
      <pivotArea dataOnly="0" labelOnly="1" outline="0" fieldPosition="0">
        <references count="2">
          <reference field="0" count="1">
            <x v="321"/>
          </reference>
          <reference field="1" count="1" selected="0">
            <x v="124"/>
          </reference>
        </references>
      </pivotArea>
    </format>
    <format dxfId="311">
      <pivotArea dataOnly="0" labelOnly="1" outline="0" fieldPosition="0">
        <references count="2">
          <reference field="0" count="1">
            <x v="387"/>
          </reference>
          <reference field="1" count="1" selected="0">
            <x v="125"/>
          </reference>
        </references>
      </pivotArea>
    </format>
    <format dxfId="310">
      <pivotArea dataOnly="0" labelOnly="1" outline="0" fieldPosition="0">
        <references count="2">
          <reference field="0" count="1">
            <x v="376"/>
          </reference>
          <reference field="1" count="1" selected="0">
            <x v="126"/>
          </reference>
        </references>
      </pivotArea>
    </format>
    <format dxfId="309">
      <pivotArea dataOnly="0" labelOnly="1" outline="0" fieldPosition="0">
        <references count="2">
          <reference field="0" count="1">
            <x v="269"/>
          </reference>
          <reference field="1" count="1" selected="0">
            <x v="127"/>
          </reference>
        </references>
      </pivotArea>
    </format>
    <format dxfId="308">
      <pivotArea dataOnly="0" labelOnly="1" outline="0" fieldPosition="0">
        <references count="2">
          <reference field="0" count="1">
            <x v="285"/>
          </reference>
          <reference field="1" count="1" selected="0">
            <x v="128"/>
          </reference>
        </references>
      </pivotArea>
    </format>
    <format dxfId="307">
      <pivotArea dataOnly="0" labelOnly="1" outline="0" fieldPosition="0">
        <references count="2">
          <reference field="0" count="1">
            <x v="87"/>
          </reference>
          <reference field="1" count="1" selected="0">
            <x v="129"/>
          </reference>
        </references>
      </pivotArea>
    </format>
    <format dxfId="306">
      <pivotArea dataOnly="0" labelOnly="1" outline="0" fieldPosition="0">
        <references count="2">
          <reference field="0" count="1">
            <x v="287"/>
          </reference>
          <reference field="1" count="1" selected="0">
            <x v="130"/>
          </reference>
        </references>
      </pivotArea>
    </format>
    <format dxfId="305">
      <pivotArea dataOnly="0" labelOnly="1" outline="0" fieldPosition="0">
        <references count="2">
          <reference field="0" count="1">
            <x v="121"/>
          </reference>
          <reference field="1" count="1" selected="0">
            <x v="131"/>
          </reference>
        </references>
      </pivotArea>
    </format>
    <format dxfId="304">
      <pivotArea dataOnly="0" labelOnly="1" outline="0" fieldPosition="0">
        <references count="2">
          <reference field="0" count="1">
            <x v="377"/>
          </reference>
          <reference field="1" count="1" selected="0">
            <x v="132"/>
          </reference>
        </references>
      </pivotArea>
    </format>
    <format dxfId="303">
      <pivotArea dataOnly="0" labelOnly="1" outline="0" fieldPosition="0">
        <references count="2">
          <reference field="0" count="1">
            <x v="391"/>
          </reference>
          <reference field="1" count="1" selected="0">
            <x v="133"/>
          </reference>
        </references>
      </pivotArea>
    </format>
    <format dxfId="302">
      <pivotArea dataOnly="0" labelOnly="1" outline="0" fieldPosition="0">
        <references count="2">
          <reference field="0" count="1">
            <x v="4"/>
          </reference>
          <reference field="1" count="1" selected="0">
            <x v="134"/>
          </reference>
        </references>
      </pivotArea>
    </format>
    <format dxfId="301">
      <pivotArea dataOnly="0" labelOnly="1" outline="0" fieldPosition="0">
        <references count="2">
          <reference field="0" count="1">
            <x v="277"/>
          </reference>
          <reference field="1" count="1" selected="0">
            <x v="135"/>
          </reference>
        </references>
      </pivotArea>
    </format>
    <format dxfId="300">
      <pivotArea dataOnly="0" labelOnly="1" outline="0" fieldPosition="0">
        <references count="2">
          <reference field="0" count="1">
            <x v="129"/>
          </reference>
          <reference field="1" count="1" selected="0">
            <x v="136"/>
          </reference>
        </references>
      </pivotArea>
    </format>
    <format dxfId="299">
      <pivotArea dataOnly="0" labelOnly="1" outline="0" fieldPosition="0">
        <references count="2">
          <reference field="0" count="1">
            <x v="243"/>
          </reference>
          <reference field="1" count="1" selected="0">
            <x v="137"/>
          </reference>
        </references>
      </pivotArea>
    </format>
    <format dxfId="298">
      <pivotArea dataOnly="0" labelOnly="1" outline="0" fieldPosition="0">
        <references count="2">
          <reference field="0" count="1">
            <x v="284"/>
          </reference>
          <reference field="1" count="1" selected="0">
            <x v="138"/>
          </reference>
        </references>
      </pivotArea>
    </format>
    <format dxfId="297">
      <pivotArea dataOnly="0" labelOnly="1" outline="0" fieldPosition="0">
        <references count="2">
          <reference field="0" count="1">
            <x v="26"/>
          </reference>
          <reference field="1" count="1" selected="0">
            <x v="139"/>
          </reference>
        </references>
      </pivotArea>
    </format>
    <format dxfId="296">
      <pivotArea dataOnly="0" labelOnly="1" outline="0" fieldPosition="0">
        <references count="2">
          <reference field="0" count="1">
            <x v="359"/>
          </reference>
          <reference field="1" count="1" selected="0">
            <x v="140"/>
          </reference>
        </references>
      </pivotArea>
    </format>
    <format dxfId="295">
      <pivotArea dataOnly="0" labelOnly="1" outline="0" fieldPosition="0">
        <references count="2">
          <reference field="0" count="1">
            <x v="171"/>
          </reference>
          <reference field="1" count="1" selected="0">
            <x v="141"/>
          </reference>
        </references>
      </pivotArea>
    </format>
    <format dxfId="294">
      <pivotArea dataOnly="0" labelOnly="1" outline="0" fieldPosition="0">
        <references count="2">
          <reference field="0" count="1">
            <x v="228"/>
          </reference>
          <reference field="1" count="1" selected="0">
            <x v="142"/>
          </reference>
        </references>
      </pivotArea>
    </format>
    <format dxfId="293">
      <pivotArea dataOnly="0" labelOnly="1" outline="0" fieldPosition="0">
        <references count="2">
          <reference field="0" count="1">
            <x v="148"/>
          </reference>
          <reference field="1" count="1" selected="0">
            <x v="143"/>
          </reference>
        </references>
      </pivotArea>
    </format>
    <format dxfId="292">
      <pivotArea dataOnly="0" labelOnly="1" outline="0" fieldPosition="0">
        <references count="2">
          <reference field="0" count="1">
            <x v="31"/>
          </reference>
          <reference field="1" count="1" selected="0">
            <x v="144"/>
          </reference>
        </references>
      </pivotArea>
    </format>
    <format dxfId="291">
      <pivotArea dataOnly="0" labelOnly="1" outline="0" fieldPosition="0">
        <references count="2">
          <reference field="0" count="1">
            <x v="212"/>
          </reference>
          <reference field="1" count="1" selected="0">
            <x v="145"/>
          </reference>
        </references>
      </pivotArea>
    </format>
    <format dxfId="290">
      <pivotArea dataOnly="0" labelOnly="1" outline="0" fieldPosition="0">
        <references count="2">
          <reference field="0" count="1">
            <x v="255"/>
          </reference>
          <reference field="1" count="1" selected="0">
            <x v="146"/>
          </reference>
        </references>
      </pivotArea>
    </format>
    <format dxfId="289">
      <pivotArea dataOnly="0" labelOnly="1" outline="0" fieldPosition="0">
        <references count="2">
          <reference field="0" count="1">
            <x v="252"/>
          </reference>
          <reference field="1" count="1" selected="0">
            <x v="147"/>
          </reference>
        </references>
      </pivotArea>
    </format>
    <format dxfId="288">
      <pivotArea dataOnly="0" labelOnly="1" outline="0" fieldPosition="0">
        <references count="2">
          <reference field="0" count="1">
            <x v="253"/>
          </reference>
          <reference field="1" count="1" selected="0">
            <x v="148"/>
          </reference>
        </references>
      </pivotArea>
    </format>
    <format dxfId="287">
      <pivotArea dataOnly="0" labelOnly="1" outline="0" fieldPosition="0">
        <references count="2">
          <reference field="0" count="1">
            <x v="362"/>
          </reference>
          <reference field="1" count="1" selected="0">
            <x v="149"/>
          </reference>
        </references>
      </pivotArea>
    </format>
    <format dxfId="286">
      <pivotArea dataOnly="0" labelOnly="1" outline="0" fieldPosition="0">
        <references count="2">
          <reference field="0" count="1">
            <x v="214"/>
          </reference>
          <reference field="1" count="1" selected="0">
            <x v="150"/>
          </reference>
        </references>
      </pivotArea>
    </format>
    <format dxfId="285">
      <pivotArea dataOnly="0" labelOnly="1" outline="0" fieldPosition="0">
        <references count="2">
          <reference field="0" count="1">
            <x v="213"/>
          </reference>
          <reference field="1" count="1" selected="0">
            <x v="151"/>
          </reference>
        </references>
      </pivotArea>
    </format>
    <format dxfId="284">
      <pivotArea dataOnly="0" labelOnly="1" outline="0" fieldPosition="0">
        <references count="2">
          <reference field="0" count="1">
            <x v="364"/>
          </reference>
          <reference field="1" count="1" selected="0">
            <x v="152"/>
          </reference>
        </references>
      </pivotArea>
    </format>
    <format dxfId="283">
      <pivotArea dataOnly="0" labelOnly="1" outline="0" fieldPosition="0">
        <references count="2">
          <reference field="0" count="1">
            <x v="378"/>
          </reference>
          <reference field="1" count="1" selected="0">
            <x v="153"/>
          </reference>
        </references>
      </pivotArea>
    </format>
    <format dxfId="282">
      <pivotArea dataOnly="0" labelOnly="1" outline="0" fieldPosition="0">
        <references count="2">
          <reference field="0" count="1">
            <x v="273"/>
          </reference>
          <reference field="1" count="1" selected="0">
            <x v="154"/>
          </reference>
        </references>
      </pivotArea>
    </format>
    <format dxfId="281">
      <pivotArea dataOnly="0" labelOnly="1" outline="0" fieldPosition="0">
        <references count="2">
          <reference field="0" count="1">
            <x v="393"/>
          </reference>
          <reference field="1" count="1" selected="0">
            <x v="155"/>
          </reference>
        </references>
      </pivotArea>
    </format>
    <format dxfId="280">
      <pivotArea dataOnly="0" labelOnly="1" outline="0" fieldPosition="0">
        <references count="2">
          <reference field="0" count="1">
            <x v="385"/>
          </reference>
          <reference field="1" count="1" selected="0">
            <x v="156"/>
          </reference>
        </references>
      </pivotArea>
    </format>
    <format dxfId="279">
      <pivotArea dataOnly="0" labelOnly="1" outline="0" fieldPosition="0">
        <references count="2">
          <reference field="0" count="1">
            <x v="188"/>
          </reference>
          <reference field="1" count="1" selected="0">
            <x v="157"/>
          </reference>
        </references>
      </pivotArea>
    </format>
    <format dxfId="278">
      <pivotArea dataOnly="0" labelOnly="1" outline="0" fieldPosition="0">
        <references count="2">
          <reference field="0" count="1">
            <x v="49"/>
          </reference>
          <reference field="1" count="1" selected="0">
            <x v="158"/>
          </reference>
        </references>
      </pivotArea>
    </format>
    <format dxfId="277">
      <pivotArea dataOnly="0" labelOnly="1" outline="0" fieldPosition="0">
        <references count="2">
          <reference field="0" count="1">
            <x v="372"/>
          </reference>
          <reference field="1" count="1" selected="0">
            <x v="159"/>
          </reference>
        </references>
      </pivotArea>
    </format>
    <format dxfId="276">
      <pivotArea dataOnly="0" labelOnly="1" outline="0" fieldPosition="0">
        <references count="2">
          <reference field="0" count="1">
            <x v="367"/>
          </reference>
          <reference field="1" count="1" selected="0">
            <x v="160"/>
          </reference>
        </references>
      </pivotArea>
    </format>
    <format dxfId="275">
      <pivotArea dataOnly="0" labelOnly="1" outline="0" fieldPosition="0">
        <references count="2">
          <reference field="0" count="1">
            <x v="173"/>
          </reference>
          <reference field="1" count="1" selected="0">
            <x v="161"/>
          </reference>
        </references>
      </pivotArea>
    </format>
    <format dxfId="274">
      <pivotArea dataOnly="0" labelOnly="1" outline="0" fieldPosition="0">
        <references count="2">
          <reference field="0" count="1">
            <x v="186"/>
          </reference>
          <reference field="1" count="1" selected="0">
            <x v="162"/>
          </reference>
        </references>
      </pivotArea>
    </format>
    <format dxfId="273">
      <pivotArea dataOnly="0" labelOnly="1" outline="0" fieldPosition="0">
        <references count="2">
          <reference field="0" count="1">
            <x v="202"/>
          </reference>
          <reference field="1" count="1" selected="0">
            <x v="163"/>
          </reference>
        </references>
      </pivotArea>
    </format>
    <format dxfId="272">
      <pivotArea dataOnly="0" labelOnly="1" outline="0" fieldPosition="0">
        <references count="2">
          <reference field="0" count="1">
            <x v="108"/>
          </reference>
          <reference field="1" count="1" selected="0">
            <x v="164"/>
          </reference>
        </references>
      </pivotArea>
    </format>
    <format dxfId="271">
      <pivotArea dataOnly="0" labelOnly="1" outline="0" fieldPosition="0">
        <references count="2">
          <reference field="0" count="1">
            <x v="254"/>
          </reference>
          <reference field="1" count="1" selected="0">
            <x v="165"/>
          </reference>
        </references>
      </pivotArea>
    </format>
    <format dxfId="270">
      <pivotArea dataOnly="0" labelOnly="1" outline="0" fieldPosition="0">
        <references count="2">
          <reference field="0" count="1">
            <x v="320"/>
          </reference>
          <reference field="1" count="1" selected="0">
            <x v="166"/>
          </reference>
        </references>
      </pivotArea>
    </format>
    <format dxfId="269">
      <pivotArea dataOnly="0" labelOnly="1" outline="0" fieldPosition="0">
        <references count="2">
          <reference field="0" count="1">
            <x v="319"/>
          </reference>
          <reference field="1" count="1" selected="0">
            <x v="167"/>
          </reference>
        </references>
      </pivotArea>
    </format>
    <format dxfId="268">
      <pivotArea dataOnly="0" labelOnly="1" outline="0" fieldPosition="0">
        <references count="2">
          <reference field="0" count="1">
            <x v="313"/>
          </reference>
          <reference field="1" count="1" selected="0">
            <x v="168"/>
          </reference>
        </references>
      </pivotArea>
    </format>
    <format dxfId="267">
      <pivotArea dataOnly="0" labelOnly="1" outline="0" fieldPosition="0">
        <references count="2">
          <reference field="0" count="1">
            <x v="350"/>
          </reference>
          <reference field="1" count="1" selected="0">
            <x v="169"/>
          </reference>
        </references>
      </pivotArea>
    </format>
    <format dxfId="266">
      <pivotArea dataOnly="0" labelOnly="1" outline="0" fieldPosition="0">
        <references count="2">
          <reference field="0" count="1">
            <x v="316"/>
          </reference>
          <reference field="1" count="1" selected="0">
            <x v="170"/>
          </reference>
        </references>
      </pivotArea>
    </format>
    <format dxfId="265">
      <pivotArea dataOnly="0" labelOnly="1" outline="0" fieldPosition="0">
        <references count="2">
          <reference field="0" count="1">
            <x v="16"/>
          </reference>
          <reference field="1" count="1" selected="0">
            <x v="171"/>
          </reference>
        </references>
      </pivotArea>
    </format>
    <format dxfId="264">
      <pivotArea dataOnly="0" labelOnly="1" outline="0" fieldPosition="0">
        <references count="2">
          <reference field="0" count="1">
            <x v="206"/>
          </reference>
          <reference field="1" count="1" selected="0">
            <x v="172"/>
          </reference>
        </references>
      </pivotArea>
    </format>
    <format dxfId="263">
      <pivotArea dataOnly="0" labelOnly="1" outline="0" fieldPosition="0">
        <references count="2">
          <reference field="0" count="1">
            <x v="264"/>
          </reference>
          <reference field="1" count="1" selected="0">
            <x v="173"/>
          </reference>
        </references>
      </pivotArea>
    </format>
    <format dxfId="262">
      <pivotArea dataOnly="0" labelOnly="1" outline="0" fieldPosition="0">
        <references count="2">
          <reference field="0" count="1">
            <x v="112"/>
          </reference>
          <reference field="1" count="1" selected="0">
            <x v="174"/>
          </reference>
        </references>
      </pivotArea>
    </format>
    <format dxfId="261">
      <pivotArea dataOnly="0" labelOnly="1" outline="0" fieldPosition="0">
        <references count="2">
          <reference field="0" count="1">
            <x v="162"/>
          </reference>
          <reference field="1" count="1" selected="0">
            <x v="175"/>
          </reference>
        </references>
      </pivotArea>
    </format>
    <format dxfId="260">
      <pivotArea dataOnly="0" labelOnly="1" outline="0" fieldPosition="0">
        <references count="2">
          <reference field="0" count="1">
            <x v="72"/>
          </reference>
          <reference field="1" count="1" selected="0">
            <x v="176"/>
          </reference>
        </references>
      </pivotArea>
    </format>
    <format dxfId="259">
      <pivotArea dataOnly="0" labelOnly="1" outline="0" fieldPosition="0">
        <references count="2">
          <reference field="0" count="1">
            <x v="330"/>
          </reference>
          <reference field="1" count="1" selected="0">
            <x v="177"/>
          </reference>
        </references>
      </pivotArea>
    </format>
    <format dxfId="258">
      <pivotArea dataOnly="0" labelOnly="1" outline="0" fieldPosition="0">
        <references count="2">
          <reference field="0" count="1">
            <x v="329"/>
          </reference>
          <reference field="1" count="1" selected="0">
            <x v="178"/>
          </reference>
        </references>
      </pivotArea>
    </format>
    <format dxfId="257">
      <pivotArea dataOnly="0" labelOnly="1" outline="0" fieldPosition="0">
        <references count="2">
          <reference field="0" count="1">
            <x v="142"/>
          </reference>
          <reference field="1" count="1" selected="0">
            <x v="179"/>
          </reference>
        </references>
      </pivotArea>
    </format>
    <format dxfId="256">
      <pivotArea dataOnly="0" labelOnly="1" outline="0" fieldPosition="0">
        <references count="2">
          <reference field="0" count="1">
            <x v="209"/>
          </reference>
          <reference field="1" count="1" selected="0">
            <x v="180"/>
          </reference>
        </references>
      </pivotArea>
    </format>
    <format dxfId="255">
      <pivotArea dataOnly="0" labelOnly="1" outline="0" fieldPosition="0">
        <references count="2">
          <reference field="0" count="1">
            <x v="210"/>
          </reference>
          <reference field="1" count="1" selected="0">
            <x v="181"/>
          </reference>
        </references>
      </pivotArea>
    </format>
    <format dxfId="254">
      <pivotArea dataOnly="0" labelOnly="1" outline="0" fieldPosition="0">
        <references count="2">
          <reference field="0" count="1">
            <x v="149"/>
          </reference>
          <reference field="1" count="1" selected="0">
            <x v="182"/>
          </reference>
        </references>
      </pivotArea>
    </format>
    <format dxfId="253">
      <pivotArea dataOnly="0" labelOnly="1" outline="0" fieldPosition="0">
        <references count="2">
          <reference field="0" count="1">
            <x v="126"/>
          </reference>
          <reference field="1" count="1" selected="0">
            <x v="183"/>
          </reference>
        </references>
      </pivotArea>
    </format>
    <format dxfId="252">
      <pivotArea dataOnly="0" labelOnly="1" outline="0" fieldPosition="0">
        <references count="2">
          <reference field="0" count="1">
            <x v="380"/>
          </reference>
          <reference field="1" count="1" selected="0">
            <x v="184"/>
          </reference>
        </references>
      </pivotArea>
    </format>
    <format dxfId="251">
      <pivotArea dataOnly="0" labelOnly="1" outline="0" fieldPosition="0">
        <references count="2">
          <reference field="0" count="1">
            <x v="73"/>
          </reference>
          <reference field="1" count="1" selected="0">
            <x v="185"/>
          </reference>
        </references>
      </pivotArea>
    </format>
    <format dxfId="250">
      <pivotArea dataOnly="0" labelOnly="1" outline="0" fieldPosition="0">
        <references count="2">
          <reference field="0" count="1">
            <x v="152"/>
          </reference>
          <reference field="1" count="1" selected="0">
            <x v="186"/>
          </reference>
        </references>
      </pivotArea>
    </format>
    <format dxfId="249">
      <pivotArea dataOnly="0" labelOnly="1" outline="0" fieldPosition="0">
        <references count="2">
          <reference field="0" count="1">
            <x v="166"/>
          </reference>
          <reference field="1" count="1" selected="0">
            <x v="187"/>
          </reference>
        </references>
      </pivotArea>
    </format>
    <format dxfId="248">
      <pivotArea dataOnly="0" labelOnly="1" outline="0" fieldPosition="0">
        <references count="2">
          <reference field="0" count="1">
            <x v="274"/>
          </reference>
          <reference field="1" count="1" selected="0">
            <x v="188"/>
          </reference>
        </references>
      </pivotArea>
    </format>
    <format dxfId="247">
      <pivotArea dataOnly="0" labelOnly="1" outline="0" fieldPosition="0">
        <references count="2">
          <reference field="0" count="1">
            <x v="301"/>
          </reference>
          <reference field="1" count="1" selected="0">
            <x v="189"/>
          </reference>
        </references>
      </pivotArea>
    </format>
    <format dxfId="246">
      <pivotArea dataOnly="0" labelOnly="1" outline="0" fieldPosition="0">
        <references count="2">
          <reference field="0" count="1">
            <x v="215"/>
          </reference>
          <reference field="1" count="1" selected="0">
            <x v="190"/>
          </reference>
        </references>
      </pivotArea>
    </format>
    <format dxfId="245">
      <pivotArea dataOnly="0" labelOnly="1" outline="0" fieldPosition="0">
        <references count="2">
          <reference field="0" count="1">
            <x v="337"/>
          </reference>
          <reference field="1" count="1" selected="0">
            <x v="191"/>
          </reference>
        </references>
      </pivotArea>
    </format>
    <format dxfId="244">
      <pivotArea dataOnly="0" labelOnly="1" outline="0" fieldPosition="0">
        <references count="2">
          <reference field="0" count="1">
            <x v="27"/>
          </reference>
          <reference field="1" count="1" selected="0">
            <x v="192"/>
          </reference>
        </references>
      </pivotArea>
    </format>
    <format dxfId="243">
      <pivotArea dataOnly="0" labelOnly="1" outline="0" fieldPosition="0">
        <references count="2">
          <reference field="0" count="1">
            <x v="343"/>
          </reference>
          <reference field="1" count="1" selected="0">
            <x v="193"/>
          </reference>
        </references>
      </pivotArea>
    </format>
    <format dxfId="242">
      <pivotArea dataOnly="0" labelOnly="1" outline="0" fieldPosition="0">
        <references count="2">
          <reference field="0" count="1">
            <x v="183"/>
          </reference>
          <reference field="1" count="1" selected="0">
            <x v="194"/>
          </reference>
        </references>
      </pivotArea>
    </format>
    <format dxfId="241">
      <pivotArea dataOnly="0" labelOnly="1" outline="0" fieldPosition="0">
        <references count="2">
          <reference field="0" count="1">
            <x v="258"/>
          </reference>
          <reference field="1" count="1" selected="0">
            <x v="195"/>
          </reference>
        </references>
      </pivotArea>
    </format>
    <format dxfId="240">
      <pivotArea dataOnly="0" labelOnly="1" outline="0" fieldPosition="0">
        <references count="2">
          <reference field="0" count="1">
            <x v="179"/>
          </reference>
          <reference field="1" count="1" selected="0">
            <x v="196"/>
          </reference>
        </references>
      </pivotArea>
    </format>
    <format dxfId="239">
      <pivotArea dataOnly="0" labelOnly="1" outline="0" fieldPosition="0">
        <references count="2">
          <reference field="0" count="1">
            <x v="361"/>
          </reference>
          <reference field="1" count="1" selected="0">
            <x v="197"/>
          </reference>
        </references>
      </pivotArea>
    </format>
    <format dxfId="238">
      <pivotArea dataOnly="0" labelOnly="1" outline="0" fieldPosition="0">
        <references count="2">
          <reference field="0" count="1">
            <x v="100"/>
          </reference>
          <reference field="1" count="1" selected="0">
            <x v="198"/>
          </reference>
        </references>
      </pivotArea>
    </format>
    <format dxfId="237">
      <pivotArea dataOnly="0" labelOnly="1" outline="0" fieldPosition="0">
        <references count="2">
          <reference field="0" count="1">
            <x v="154"/>
          </reference>
          <reference field="1" count="1" selected="0">
            <x v="199"/>
          </reference>
        </references>
      </pivotArea>
    </format>
    <format dxfId="236">
      <pivotArea dataOnly="0" labelOnly="1" outline="0" fieldPosition="0">
        <references count="2">
          <reference field="0" count="1">
            <x v="175"/>
          </reference>
          <reference field="1" count="1" selected="0">
            <x v="200"/>
          </reference>
        </references>
      </pivotArea>
    </format>
    <format dxfId="235">
      <pivotArea dataOnly="0" labelOnly="1" outline="0" fieldPosition="0">
        <references count="2">
          <reference field="0" count="1">
            <x v="150"/>
          </reference>
          <reference field="1" count="1" selected="0">
            <x v="201"/>
          </reference>
        </references>
      </pivotArea>
    </format>
    <format dxfId="234">
      <pivotArea dataOnly="0" labelOnly="1" outline="0" fieldPosition="0">
        <references count="2">
          <reference field="0" count="1">
            <x v="155"/>
          </reference>
          <reference field="1" count="1" selected="0">
            <x v="202"/>
          </reference>
        </references>
      </pivotArea>
    </format>
    <format dxfId="233">
      <pivotArea dataOnly="0" labelOnly="1" outline="0" fieldPosition="0">
        <references count="2">
          <reference field="0" count="1">
            <x v="145"/>
          </reference>
          <reference field="1" count="1" selected="0">
            <x v="203"/>
          </reference>
        </references>
      </pivotArea>
    </format>
    <format dxfId="232">
      <pivotArea dataOnly="0" labelOnly="1" outline="0" fieldPosition="0">
        <references count="2">
          <reference field="0" count="1">
            <x v="146"/>
          </reference>
          <reference field="1" count="1" selected="0">
            <x v="204"/>
          </reference>
        </references>
      </pivotArea>
    </format>
    <format dxfId="231">
      <pivotArea dataOnly="0" labelOnly="1" outline="0" fieldPosition="0">
        <references count="2">
          <reference field="0" count="1">
            <x v="249"/>
          </reference>
          <reference field="1" count="1" selected="0">
            <x v="205"/>
          </reference>
        </references>
      </pivotArea>
    </format>
    <format dxfId="230">
      <pivotArea dataOnly="0" labelOnly="1" outline="0" fieldPosition="0">
        <references count="2">
          <reference field="0" count="1">
            <x v="130"/>
          </reference>
          <reference field="1" count="1" selected="0">
            <x v="206"/>
          </reference>
        </references>
      </pivotArea>
    </format>
    <format dxfId="229">
      <pivotArea dataOnly="0" labelOnly="1" outline="0" fieldPosition="0">
        <references count="2">
          <reference field="0" count="1">
            <x v="164"/>
          </reference>
          <reference field="1" count="1" selected="0">
            <x v="207"/>
          </reference>
        </references>
      </pivotArea>
    </format>
    <format dxfId="228">
      <pivotArea dataOnly="0" labelOnly="1" outline="0" fieldPosition="0">
        <references count="2">
          <reference field="0" count="1">
            <x v="159"/>
          </reference>
          <reference field="1" count="1" selected="0">
            <x v="208"/>
          </reference>
        </references>
      </pivotArea>
    </format>
    <format dxfId="227">
      <pivotArea dataOnly="0" labelOnly="1" outline="0" fieldPosition="0">
        <references count="2">
          <reference field="0" count="1">
            <x v="322"/>
          </reference>
          <reference field="1" count="1" selected="0">
            <x v="209"/>
          </reference>
        </references>
      </pivotArea>
    </format>
    <format dxfId="226">
      <pivotArea dataOnly="0" labelOnly="1" outline="0" fieldPosition="0">
        <references count="2">
          <reference field="0" count="1">
            <x v="231"/>
          </reference>
          <reference field="1" count="1" selected="0">
            <x v="210"/>
          </reference>
        </references>
      </pivotArea>
    </format>
    <format dxfId="225">
      <pivotArea dataOnly="0" labelOnly="1" outline="0" fieldPosition="0">
        <references count="2">
          <reference field="0" count="1">
            <x v="271"/>
          </reference>
          <reference field="1" count="1" selected="0">
            <x v="211"/>
          </reference>
        </references>
      </pivotArea>
    </format>
    <format dxfId="224">
      <pivotArea dataOnly="0" labelOnly="1" outline="0" fieldPosition="0">
        <references count="2">
          <reference field="0" count="1">
            <x v="239"/>
          </reference>
          <reference field="1" count="1" selected="0">
            <x v="212"/>
          </reference>
        </references>
      </pivotArea>
    </format>
    <format dxfId="223">
      <pivotArea dataOnly="0" labelOnly="1" outline="0" fieldPosition="0">
        <references count="2">
          <reference field="0" count="1">
            <x v="248"/>
          </reference>
          <reference field="1" count="1" selected="0">
            <x v="213"/>
          </reference>
        </references>
      </pivotArea>
    </format>
    <format dxfId="222">
      <pivotArea dataOnly="0" labelOnly="1" outline="0" fieldPosition="0">
        <references count="2">
          <reference field="0" count="1">
            <x v="217"/>
          </reference>
          <reference field="1" count="1" selected="0">
            <x v="214"/>
          </reference>
        </references>
      </pivotArea>
    </format>
    <format dxfId="221">
      <pivotArea dataOnly="0" labelOnly="1" outline="0" fieldPosition="0">
        <references count="2">
          <reference field="0" count="1">
            <x v="305"/>
          </reference>
          <reference field="1" count="1" selected="0">
            <x v="215"/>
          </reference>
        </references>
      </pivotArea>
    </format>
    <format dxfId="220">
      <pivotArea dataOnly="0" labelOnly="1" outline="0" fieldPosition="0">
        <references count="2">
          <reference field="0" count="1">
            <x v="34"/>
          </reference>
          <reference field="1" count="1" selected="0">
            <x v="216"/>
          </reference>
        </references>
      </pivotArea>
    </format>
    <format dxfId="219">
      <pivotArea dataOnly="0" labelOnly="1" outline="0" fieldPosition="0">
        <references count="2">
          <reference field="0" count="1">
            <x v="374"/>
          </reference>
          <reference field="1" count="1" selected="0">
            <x v="217"/>
          </reference>
        </references>
      </pivotArea>
    </format>
    <format dxfId="218">
      <pivotArea dataOnly="0" labelOnly="1" outline="0" fieldPosition="0">
        <references count="2">
          <reference field="0" count="1">
            <x v="22"/>
          </reference>
          <reference field="1" count="1" selected="0">
            <x v="218"/>
          </reference>
        </references>
      </pivotArea>
    </format>
    <format dxfId="217">
      <pivotArea dataOnly="0" labelOnly="1" outline="0" fieldPosition="0">
        <references count="2">
          <reference field="0" count="1">
            <x v="200"/>
          </reference>
          <reference field="1" count="1" selected="0">
            <x v="219"/>
          </reference>
        </references>
      </pivotArea>
    </format>
    <format dxfId="216">
      <pivotArea dataOnly="0" labelOnly="1" outline="0" fieldPosition="0">
        <references count="2">
          <reference field="0" count="1">
            <x v="314"/>
          </reference>
          <reference field="1" count="1" selected="0">
            <x v="220"/>
          </reference>
        </references>
      </pivotArea>
    </format>
    <format dxfId="215">
      <pivotArea dataOnly="0" labelOnly="1" outline="0" fieldPosition="0">
        <references count="2">
          <reference field="0" count="1">
            <x v="300"/>
          </reference>
          <reference field="1" count="1" selected="0">
            <x v="221"/>
          </reference>
        </references>
      </pivotArea>
    </format>
    <format dxfId="214">
      <pivotArea dataOnly="0" labelOnly="1" outline="0" fieldPosition="0">
        <references count="2">
          <reference field="0" count="1">
            <x v="315"/>
          </reference>
          <reference field="1" count="1" selected="0">
            <x v="222"/>
          </reference>
        </references>
      </pivotArea>
    </format>
    <format dxfId="213">
      <pivotArea dataOnly="0" labelOnly="1" outline="0" fieldPosition="0">
        <references count="2">
          <reference field="0" count="1">
            <x v="140"/>
          </reference>
          <reference field="1" count="1" selected="0">
            <x v="223"/>
          </reference>
        </references>
      </pivotArea>
    </format>
    <format dxfId="212">
      <pivotArea dataOnly="0" labelOnly="1" outline="0" fieldPosition="0">
        <references count="2">
          <reference field="0" count="1">
            <x v="24"/>
          </reference>
          <reference field="1" count="1" selected="0">
            <x v="224"/>
          </reference>
        </references>
      </pivotArea>
    </format>
    <format dxfId="211">
      <pivotArea dataOnly="0" labelOnly="1" outline="0" fieldPosition="0">
        <references count="2">
          <reference field="0" count="1">
            <x v="288"/>
          </reference>
          <reference field="1" count="1" selected="0">
            <x v="225"/>
          </reference>
        </references>
      </pivotArea>
    </format>
    <format dxfId="210">
      <pivotArea dataOnly="0" labelOnly="1" outline="0" fieldPosition="0">
        <references count="2">
          <reference field="0" count="1">
            <x v="365"/>
          </reference>
          <reference field="1" count="1" selected="0">
            <x v="226"/>
          </reference>
        </references>
      </pivotArea>
    </format>
    <format dxfId="209">
      <pivotArea dataOnly="0" labelOnly="1" outline="0" fieldPosition="0">
        <references count="2">
          <reference field="0" count="1">
            <x v="345"/>
          </reference>
          <reference field="1" count="1" selected="0">
            <x v="227"/>
          </reference>
        </references>
      </pivotArea>
    </format>
    <format dxfId="208">
      <pivotArea dataOnly="0" labelOnly="1" outline="0" fieldPosition="0">
        <references count="2">
          <reference field="0" count="1">
            <x v="257"/>
          </reference>
          <reference field="1" count="1" selected="0">
            <x v="228"/>
          </reference>
        </references>
      </pivotArea>
    </format>
    <format dxfId="207">
      <pivotArea dataOnly="0" labelOnly="1" outline="0" fieldPosition="0">
        <references count="2">
          <reference field="0" count="1">
            <x v="267"/>
          </reference>
          <reference field="1" count="1" selected="0">
            <x v="229"/>
          </reference>
        </references>
      </pivotArea>
    </format>
    <format dxfId="206">
      <pivotArea dataOnly="0" labelOnly="1" outline="0" fieldPosition="0">
        <references count="2">
          <reference field="0" count="1">
            <x v="262"/>
          </reference>
          <reference field="1" count="1" selected="0">
            <x v="230"/>
          </reference>
        </references>
      </pivotArea>
    </format>
    <format dxfId="205">
      <pivotArea dataOnly="0" labelOnly="1" outline="0" fieldPosition="0">
        <references count="2">
          <reference field="0" count="1">
            <x v="167"/>
          </reference>
          <reference field="1" count="1" selected="0">
            <x v="231"/>
          </reference>
        </references>
      </pivotArea>
    </format>
    <format dxfId="204">
      <pivotArea dataOnly="0" labelOnly="1" outline="0" fieldPosition="0">
        <references count="2">
          <reference field="0" count="1">
            <x v="242"/>
          </reference>
          <reference field="1" count="1" selected="0">
            <x v="232"/>
          </reference>
        </references>
      </pivotArea>
    </format>
    <format dxfId="203">
      <pivotArea dataOnly="0" labelOnly="1" outline="0" fieldPosition="0">
        <references count="2">
          <reference field="0" count="1">
            <x v="37"/>
          </reference>
          <reference field="1" count="1" selected="0">
            <x v="233"/>
          </reference>
        </references>
      </pivotArea>
    </format>
    <format dxfId="202">
      <pivotArea dataOnly="0" labelOnly="1" outline="0" fieldPosition="0">
        <references count="2">
          <reference field="0" count="1">
            <x v="94"/>
          </reference>
          <reference field="1" count="1" selected="0">
            <x v="234"/>
          </reference>
        </references>
      </pivotArea>
    </format>
    <format dxfId="201">
      <pivotArea dataOnly="0" labelOnly="1" outline="0" fieldPosition="0">
        <references count="2">
          <reference field="0" count="1">
            <x v="95"/>
          </reference>
          <reference field="1" count="1" selected="0">
            <x v="235"/>
          </reference>
        </references>
      </pivotArea>
    </format>
    <format dxfId="200">
      <pivotArea dataOnly="0" labelOnly="1" outline="0" fieldPosition="0">
        <references count="2">
          <reference field="0" count="1">
            <x v="169"/>
          </reference>
          <reference field="1" count="1" selected="0">
            <x v="236"/>
          </reference>
        </references>
      </pivotArea>
    </format>
    <format dxfId="199">
      <pivotArea dataOnly="0" labelOnly="1" outline="0" fieldPosition="0">
        <references count="2">
          <reference field="0" count="1">
            <x v="336"/>
          </reference>
          <reference field="1" count="1" selected="0">
            <x v="237"/>
          </reference>
        </references>
      </pivotArea>
    </format>
    <format dxfId="198">
      <pivotArea dataOnly="0" labelOnly="1" outline="0" fieldPosition="0">
        <references count="2">
          <reference field="0" count="1">
            <x v="125"/>
          </reference>
          <reference field="1" count="1" selected="0">
            <x v="238"/>
          </reference>
        </references>
      </pivotArea>
    </format>
    <format dxfId="197">
      <pivotArea dataOnly="0" labelOnly="1" outline="0" fieldPosition="0">
        <references count="2">
          <reference field="0" count="1">
            <x v="275"/>
          </reference>
          <reference field="1" count="1" selected="0">
            <x v="239"/>
          </reference>
        </references>
      </pivotArea>
    </format>
    <format dxfId="196">
      <pivotArea dataOnly="0" labelOnly="1" outline="0" fieldPosition="0">
        <references count="2">
          <reference field="0" count="1">
            <x v="356"/>
          </reference>
          <reference field="1" count="1" selected="0">
            <x v="240"/>
          </reference>
        </references>
      </pivotArea>
    </format>
    <format dxfId="195">
      <pivotArea dataOnly="0" labelOnly="1" outline="0" fieldPosition="0">
        <references count="2">
          <reference field="0" count="1">
            <x v="180"/>
          </reference>
          <reference field="1" count="1" selected="0">
            <x v="241"/>
          </reference>
        </references>
      </pivotArea>
    </format>
    <format dxfId="194">
      <pivotArea dataOnly="0" labelOnly="1" outline="0" fieldPosition="0">
        <references count="2">
          <reference field="0" count="1">
            <x v="225"/>
          </reference>
          <reference field="1" count="1" selected="0">
            <x v="242"/>
          </reference>
        </references>
      </pivotArea>
    </format>
    <format dxfId="193">
      <pivotArea dataOnly="0" labelOnly="1" outline="0" fieldPosition="0">
        <references count="2">
          <reference field="0" count="1">
            <x v="279"/>
          </reference>
          <reference field="1" count="1" selected="0">
            <x v="243"/>
          </reference>
        </references>
      </pivotArea>
    </format>
    <format dxfId="192">
      <pivotArea dataOnly="0" labelOnly="1" outline="0" fieldPosition="0">
        <references count="2">
          <reference field="0" count="1">
            <x v="131"/>
          </reference>
          <reference field="1" count="1" selected="0">
            <x v="244"/>
          </reference>
        </references>
      </pivotArea>
    </format>
    <format dxfId="191">
      <pivotArea dataOnly="0" labelOnly="1" outline="0" fieldPosition="0">
        <references count="2">
          <reference field="0" count="1">
            <x v="32"/>
          </reference>
          <reference field="1" count="1" selected="0">
            <x v="245"/>
          </reference>
        </references>
      </pivotArea>
    </format>
    <format dxfId="190">
      <pivotArea dataOnly="0" labelOnly="1" outline="0" fieldPosition="0">
        <references count="2">
          <reference field="0" count="1">
            <x v="90"/>
          </reference>
          <reference field="1" count="1" selected="0">
            <x v="246"/>
          </reference>
        </references>
      </pivotArea>
    </format>
    <format dxfId="189">
      <pivotArea dataOnly="0" labelOnly="1" outline="0" fieldPosition="0">
        <references count="2">
          <reference field="0" count="1">
            <x v="116"/>
          </reference>
          <reference field="1" count="1" selected="0">
            <x v="247"/>
          </reference>
        </references>
      </pivotArea>
    </format>
    <format dxfId="188">
      <pivotArea dataOnly="0" labelOnly="1" outline="0" fieldPosition="0">
        <references count="2">
          <reference field="0" count="1">
            <x v="325"/>
          </reference>
          <reference field="1" count="1" selected="0">
            <x v="248"/>
          </reference>
        </references>
      </pivotArea>
    </format>
    <format dxfId="187">
      <pivotArea dataOnly="0" labelOnly="1" outline="0" fieldPosition="0">
        <references count="2">
          <reference field="0" count="1">
            <x v="35"/>
          </reference>
          <reference field="1" count="1" selected="0">
            <x v="249"/>
          </reference>
        </references>
      </pivotArea>
    </format>
    <format dxfId="186">
      <pivotArea dataOnly="0" labelOnly="1" outline="0" fieldPosition="0">
        <references count="2">
          <reference field="0" count="1">
            <x v="299"/>
          </reference>
          <reference field="1" count="1" selected="0">
            <x v="250"/>
          </reference>
        </references>
      </pivotArea>
    </format>
    <format dxfId="185">
      <pivotArea dataOnly="0" labelOnly="1" outline="0" fieldPosition="0">
        <references count="2">
          <reference field="0" count="1">
            <x v="119"/>
          </reference>
          <reference field="1" count="1" selected="0">
            <x v="251"/>
          </reference>
        </references>
      </pivotArea>
    </format>
    <format dxfId="184">
      <pivotArea dataOnly="0" labelOnly="1" outline="0" fieldPosition="0">
        <references count="2">
          <reference field="0" count="1">
            <x v="138"/>
          </reference>
          <reference field="1" count="1" selected="0">
            <x v="252"/>
          </reference>
        </references>
      </pivotArea>
    </format>
    <format dxfId="183">
      <pivotArea dataOnly="0" labelOnly="1" outline="0" fieldPosition="0">
        <references count="2">
          <reference field="0" count="1">
            <x v="20"/>
          </reference>
          <reference field="1" count="1" selected="0">
            <x v="253"/>
          </reference>
        </references>
      </pivotArea>
    </format>
    <format dxfId="182">
      <pivotArea dataOnly="0" labelOnly="1" outline="0" fieldPosition="0">
        <references count="2">
          <reference field="0" count="1">
            <x v="352"/>
          </reference>
          <reference field="1" count="1" selected="0">
            <x v="254"/>
          </reference>
        </references>
      </pivotArea>
    </format>
    <format dxfId="181">
      <pivotArea dataOnly="0" labelOnly="1" outline="0" fieldPosition="0">
        <references count="2">
          <reference field="0" count="1">
            <x v="70"/>
          </reference>
          <reference field="1" count="1" selected="0">
            <x v="255"/>
          </reference>
        </references>
      </pivotArea>
    </format>
    <format dxfId="180">
      <pivotArea dataOnly="0" labelOnly="1" outline="0" fieldPosition="0">
        <references count="2">
          <reference field="0" count="1">
            <x v="250"/>
          </reference>
          <reference field="1" count="1" selected="0">
            <x v="256"/>
          </reference>
        </references>
      </pivotArea>
    </format>
    <format dxfId="179">
      <pivotArea dataOnly="0" labelOnly="1" outline="0" fieldPosition="0">
        <references count="2">
          <reference field="0" count="1">
            <x v="238"/>
          </reference>
          <reference field="1" count="1" selected="0">
            <x v="257"/>
          </reference>
        </references>
      </pivotArea>
    </format>
    <format dxfId="178">
      <pivotArea dataOnly="0" labelOnly="1" outline="0" fieldPosition="0">
        <references count="2">
          <reference field="0" count="1">
            <x v="360"/>
          </reference>
          <reference field="1" count="1" selected="0">
            <x v="258"/>
          </reference>
        </references>
      </pivotArea>
    </format>
    <format dxfId="177">
      <pivotArea dataOnly="0" labelOnly="1" outline="0" fieldPosition="0">
        <references count="2">
          <reference field="0" count="1">
            <x v="323"/>
          </reference>
          <reference field="1" count="1" selected="0">
            <x v="259"/>
          </reference>
        </references>
      </pivotArea>
    </format>
    <format dxfId="176">
      <pivotArea dataOnly="0" labelOnly="1" outline="0" fieldPosition="0">
        <references count="2">
          <reference field="0" count="1">
            <x v="51"/>
          </reference>
          <reference field="1" count="1" selected="0">
            <x v="260"/>
          </reference>
        </references>
      </pivotArea>
    </format>
    <format dxfId="175">
      <pivotArea dataOnly="0" labelOnly="1" outline="0" fieldPosition="0">
        <references count="2">
          <reference field="0" count="1">
            <x v="50"/>
          </reference>
          <reference field="1" count="1" selected="0">
            <x v="261"/>
          </reference>
        </references>
      </pivotArea>
    </format>
    <format dxfId="174">
      <pivotArea dataOnly="0" labelOnly="1" outline="0" fieldPosition="0">
        <references count="2">
          <reference field="0" count="1">
            <x v="185"/>
          </reference>
          <reference field="1" count="1" selected="0">
            <x v="262"/>
          </reference>
        </references>
      </pivotArea>
    </format>
    <format dxfId="173">
      <pivotArea dataOnly="0" labelOnly="1" outline="0" fieldPosition="0">
        <references count="2">
          <reference field="0" count="1">
            <x v="104"/>
          </reference>
          <reference field="1" count="1" selected="0">
            <x v="263"/>
          </reference>
        </references>
      </pivotArea>
    </format>
    <format dxfId="172">
      <pivotArea dataOnly="0" labelOnly="1" outline="0" fieldPosition="0">
        <references count="2">
          <reference field="0" count="1">
            <x v="78"/>
          </reference>
          <reference field="1" count="1" selected="0">
            <x v="264"/>
          </reference>
        </references>
      </pivotArea>
    </format>
    <format dxfId="171">
      <pivotArea dataOnly="0" labelOnly="1" outline="0" fieldPosition="0">
        <references count="2">
          <reference field="0" count="1">
            <x v="81"/>
          </reference>
          <reference field="1" count="1" selected="0">
            <x v="265"/>
          </reference>
        </references>
      </pivotArea>
    </format>
    <format dxfId="170">
      <pivotArea dataOnly="0" labelOnly="1" outline="0" fieldPosition="0">
        <references count="2">
          <reference field="0" count="1">
            <x v="293"/>
          </reference>
          <reference field="1" count="1" selected="0">
            <x v="266"/>
          </reference>
        </references>
      </pivotArea>
    </format>
    <format dxfId="169">
      <pivotArea dataOnly="0" labelOnly="1" outline="0" fieldPosition="0">
        <references count="2">
          <reference field="0" count="1">
            <x v="370"/>
          </reference>
          <reference field="1" count="1" selected="0">
            <x v="267"/>
          </reference>
        </references>
      </pivotArea>
    </format>
    <format dxfId="168">
      <pivotArea dataOnly="0" labelOnly="1" outline="0" fieldPosition="0">
        <references count="2">
          <reference field="0" count="1">
            <x v="99"/>
          </reference>
          <reference field="1" count="1" selected="0">
            <x v="268"/>
          </reference>
        </references>
      </pivotArea>
    </format>
    <format dxfId="167">
      <pivotArea dataOnly="0" labelOnly="1" outline="0" fieldPosition="0">
        <references count="2">
          <reference field="0" count="1">
            <x v="389"/>
          </reference>
          <reference field="1" count="1" selected="0">
            <x v="269"/>
          </reference>
        </references>
      </pivotArea>
    </format>
    <format dxfId="166">
      <pivotArea dataOnly="0" labelOnly="1" outline="0" fieldPosition="0">
        <references count="2">
          <reference field="0" count="1">
            <x v="91"/>
          </reference>
          <reference field="1" count="1" selected="0">
            <x v="270"/>
          </reference>
        </references>
      </pivotArea>
    </format>
    <format dxfId="165">
      <pivotArea dataOnly="0" labelOnly="1" outline="0" fieldPosition="0">
        <references count="2">
          <reference field="0" count="1">
            <x v="278"/>
          </reference>
          <reference field="1" count="1" selected="0">
            <x v="271"/>
          </reference>
        </references>
      </pivotArea>
    </format>
    <format dxfId="164">
      <pivotArea dataOnly="0" labelOnly="1" outline="0" fieldPosition="0">
        <references count="2">
          <reference field="0" count="1">
            <x v="101"/>
          </reference>
          <reference field="1" count="1" selected="0">
            <x v="272"/>
          </reference>
        </references>
      </pivotArea>
    </format>
    <format dxfId="163">
      <pivotArea dataOnly="0" labelOnly="1" outline="0" fieldPosition="0">
        <references count="2">
          <reference field="0" count="1">
            <x v="341"/>
          </reference>
          <reference field="1" count="1" selected="0">
            <x v="273"/>
          </reference>
        </references>
      </pivotArea>
    </format>
    <format dxfId="162">
      <pivotArea dataOnly="0" labelOnly="1" outline="0" fieldPosition="0">
        <references count="2">
          <reference field="0" count="1">
            <x v="168"/>
          </reference>
          <reference field="1" count="1" selected="0">
            <x v="274"/>
          </reference>
        </references>
      </pivotArea>
    </format>
    <format dxfId="161">
      <pivotArea dataOnly="0" labelOnly="1" outline="0" fieldPosition="0">
        <references count="2">
          <reference field="0" count="1">
            <x v="357"/>
          </reference>
          <reference field="1" count="1" selected="0">
            <x v="275"/>
          </reference>
        </references>
      </pivotArea>
    </format>
    <format dxfId="160">
      <pivotArea dataOnly="0" labelOnly="1" outline="0" fieldPosition="0">
        <references count="2">
          <reference field="0" count="1">
            <x v="227"/>
          </reference>
          <reference field="1" count="1" selected="0">
            <x v="276"/>
          </reference>
        </references>
      </pivotArea>
    </format>
    <format dxfId="159">
      <pivotArea dataOnly="0" labelOnly="1" outline="0" fieldPosition="0">
        <references count="2">
          <reference field="0" count="1">
            <x v="294"/>
          </reference>
          <reference field="1" count="1" selected="0">
            <x v="277"/>
          </reference>
        </references>
      </pivotArea>
    </format>
    <format dxfId="158">
      <pivotArea dataOnly="0" labelOnly="1" outline="0" fieldPosition="0">
        <references count="2">
          <reference field="0" count="1">
            <x v="110"/>
          </reference>
          <reference field="1" count="1" selected="0">
            <x v="278"/>
          </reference>
        </references>
      </pivotArea>
    </format>
    <format dxfId="157">
      <pivotArea dataOnly="0" labelOnly="1" outline="0" fieldPosition="0">
        <references count="2">
          <reference field="0" count="1">
            <x v="115"/>
          </reference>
          <reference field="1" count="1" selected="0">
            <x v="279"/>
          </reference>
        </references>
      </pivotArea>
    </format>
    <format dxfId="156">
      <pivotArea dataOnly="0" labelOnly="1" outline="0" fieldPosition="0">
        <references count="2">
          <reference field="0" count="1">
            <x v="111"/>
          </reference>
          <reference field="1" count="1" selected="0">
            <x v="280"/>
          </reference>
        </references>
      </pivotArea>
    </format>
    <format dxfId="155">
      <pivotArea dataOnly="0" labelOnly="1" outline="0" fieldPosition="0">
        <references count="2">
          <reference field="0" count="1">
            <x v="96"/>
          </reference>
          <reference field="1" count="1" selected="0">
            <x v="281"/>
          </reference>
        </references>
      </pivotArea>
    </format>
    <format dxfId="154">
      <pivotArea dataOnly="0" labelOnly="1" outline="0" fieldPosition="0">
        <references count="2">
          <reference field="0" count="1">
            <x v="74"/>
          </reference>
          <reference field="1" count="1" selected="0">
            <x v="282"/>
          </reference>
        </references>
      </pivotArea>
    </format>
    <format dxfId="153">
      <pivotArea dataOnly="0" labelOnly="1" outline="0" fieldPosition="0">
        <references count="2">
          <reference field="0" count="1">
            <x v="113"/>
          </reference>
          <reference field="1" count="1" selected="0">
            <x v="283"/>
          </reference>
        </references>
      </pivotArea>
    </format>
    <format dxfId="152">
      <pivotArea dataOnly="0" labelOnly="1" outline="0" fieldPosition="0">
        <references count="2">
          <reference field="0" count="1">
            <x v="296"/>
          </reference>
          <reference field="1" count="1" selected="0">
            <x v="284"/>
          </reference>
        </references>
      </pivotArea>
    </format>
    <format dxfId="151">
      <pivotArea dataOnly="0" labelOnly="1" outline="0" fieldPosition="0">
        <references count="2">
          <reference field="0" count="1">
            <x v="8"/>
          </reference>
          <reference field="1" count="1" selected="0">
            <x v="285"/>
          </reference>
        </references>
      </pivotArea>
    </format>
    <format dxfId="150">
      <pivotArea dataOnly="0" labelOnly="1" outline="0" fieldPosition="0">
        <references count="2">
          <reference field="0" count="1">
            <x v="147"/>
          </reference>
          <reference field="1" count="1" selected="0">
            <x v="286"/>
          </reference>
        </references>
      </pivotArea>
    </format>
    <format dxfId="149">
      <pivotArea dataOnly="0" labelOnly="1" outline="0" fieldPosition="0">
        <references count="2">
          <reference field="0" count="1">
            <x v="184"/>
          </reference>
          <reference field="1" count="1" selected="0">
            <x v="287"/>
          </reference>
        </references>
      </pivotArea>
    </format>
    <format dxfId="148">
      <pivotArea dataOnly="0" labelOnly="1" outline="0" fieldPosition="0">
        <references count="2">
          <reference field="0" count="1">
            <x v="134"/>
          </reference>
          <reference field="1" count="1" selected="0">
            <x v="288"/>
          </reference>
        </references>
      </pivotArea>
    </format>
    <format dxfId="147">
      <pivotArea dataOnly="0" labelOnly="1" outline="0" fieldPosition="0">
        <references count="2">
          <reference field="0" count="1">
            <x v="221"/>
          </reference>
          <reference field="1" count="1" selected="0">
            <x v="289"/>
          </reference>
        </references>
      </pivotArea>
    </format>
    <format dxfId="146">
      <pivotArea dataOnly="0" labelOnly="1" outline="0" fieldPosition="0">
        <references count="2">
          <reference field="0" count="1">
            <x v="132"/>
          </reference>
          <reference field="1" count="1" selected="0">
            <x v="290"/>
          </reference>
        </references>
      </pivotArea>
    </format>
    <format dxfId="145">
      <pivotArea dataOnly="0" labelOnly="1" outline="0" fieldPosition="0">
        <references count="2">
          <reference field="0" count="1">
            <x v="197"/>
          </reference>
          <reference field="1" count="1" selected="0">
            <x v="291"/>
          </reference>
        </references>
      </pivotArea>
    </format>
    <format dxfId="144">
      <pivotArea dataOnly="0" labelOnly="1" outline="0" fieldPosition="0">
        <references count="2">
          <reference field="0" count="1">
            <x v="86"/>
          </reference>
          <reference field="1" count="1" selected="0">
            <x v="292"/>
          </reference>
        </references>
      </pivotArea>
    </format>
    <format dxfId="143">
      <pivotArea dataOnly="0" labelOnly="1" outline="0" fieldPosition="0">
        <references count="2">
          <reference field="0" count="1">
            <x v="272"/>
          </reference>
          <reference field="1" count="1" selected="0">
            <x v="293"/>
          </reference>
        </references>
      </pivotArea>
    </format>
    <format dxfId="142">
      <pivotArea dataOnly="0" labelOnly="1" outline="0" fieldPosition="0">
        <references count="2">
          <reference field="0" count="1">
            <x v="373"/>
          </reference>
          <reference field="1" count="1" selected="0">
            <x v="294"/>
          </reference>
        </references>
      </pivotArea>
    </format>
    <format dxfId="141">
      <pivotArea dataOnly="0" labelOnly="1" outline="0" fieldPosition="0">
        <references count="2">
          <reference field="0" count="1">
            <x v="244"/>
          </reference>
          <reference field="1" count="1" selected="0">
            <x v="295"/>
          </reference>
        </references>
      </pivotArea>
    </format>
    <format dxfId="140">
      <pivotArea dataOnly="0" labelOnly="1" outline="0" fieldPosition="0">
        <references count="2">
          <reference field="0" count="1">
            <x v="182"/>
          </reference>
          <reference field="1" count="1" selected="0">
            <x v="296"/>
          </reference>
        </references>
      </pivotArea>
    </format>
    <format dxfId="139">
      <pivotArea dataOnly="0" labelOnly="1" outline="0" fieldPosition="0">
        <references count="2">
          <reference field="0" count="1">
            <x v="307"/>
          </reference>
          <reference field="1" count="1" selected="0">
            <x v="297"/>
          </reference>
        </references>
      </pivotArea>
    </format>
    <format dxfId="138">
      <pivotArea dataOnly="0" labelOnly="1" outline="0" fieldPosition="0">
        <references count="2">
          <reference field="0" count="1">
            <x v="290"/>
          </reference>
          <reference field="1" count="1" selected="0">
            <x v="298"/>
          </reference>
        </references>
      </pivotArea>
    </format>
    <format dxfId="137">
      <pivotArea dataOnly="0" labelOnly="1" outline="0" fieldPosition="0">
        <references count="2">
          <reference field="0" count="1">
            <x v="245"/>
          </reference>
          <reference field="1" count="1" selected="0">
            <x v="299"/>
          </reference>
        </references>
      </pivotArea>
    </format>
    <format dxfId="136">
      <pivotArea dataOnly="0" labelOnly="1" outline="0" fieldPosition="0">
        <references count="2">
          <reference field="0" count="1">
            <x v="123"/>
          </reference>
          <reference field="1" count="1" selected="0">
            <x v="300"/>
          </reference>
        </references>
      </pivotArea>
    </format>
    <format dxfId="135">
      <pivotArea dataOnly="0" labelOnly="1" outline="0" fieldPosition="0">
        <references count="2">
          <reference field="0" count="1">
            <x v="41"/>
          </reference>
          <reference field="1" count="1" selected="0">
            <x v="301"/>
          </reference>
        </references>
      </pivotArea>
    </format>
    <format dxfId="134">
      <pivotArea dataOnly="0" labelOnly="1" outline="0" fieldPosition="0">
        <references count="2">
          <reference field="0" count="1">
            <x v="219"/>
          </reference>
          <reference field="1" count="1" selected="0">
            <x v="302"/>
          </reference>
        </references>
      </pivotArea>
    </format>
    <format dxfId="133">
      <pivotArea dataOnly="0" labelOnly="1" outline="0" fieldPosition="0">
        <references count="2">
          <reference field="0" count="1">
            <x v="390"/>
          </reference>
          <reference field="1" count="1" selected="0">
            <x v="303"/>
          </reference>
        </references>
      </pivotArea>
    </format>
    <format dxfId="132">
      <pivotArea dataOnly="0" labelOnly="1" outline="0" fieldPosition="0">
        <references count="2">
          <reference field="0" count="1">
            <x v="25"/>
          </reference>
          <reference field="1" count="1" selected="0">
            <x v="304"/>
          </reference>
        </references>
      </pivotArea>
    </format>
    <format dxfId="131">
      <pivotArea dataOnly="0" labelOnly="1" outline="0" fieldPosition="0">
        <references count="2">
          <reference field="0" count="1">
            <x v="366"/>
          </reference>
          <reference field="1" count="1" selected="0">
            <x v="305"/>
          </reference>
        </references>
      </pivotArea>
    </format>
    <format dxfId="130">
      <pivotArea dataOnly="0" labelOnly="1" outline="0" fieldPosition="0">
        <references count="2">
          <reference field="0" count="1">
            <x v="118"/>
          </reference>
          <reference field="1" count="1" selected="0">
            <x v="306"/>
          </reference>
        </references>
      </pivotArea>
    </format>
    <format dxfId="129">
      <pivotArea dataOnly="0" labelOnly="1" outline="0" fieldPosition="0">
        <references count="2">
          <reference field="0" count="1">
            <x v="117"/>
          </reference>
          <reference field="1" count="1" selected="0">
            <x v="307"/>
          </reference>
        </references>
      </pivotArea>
    </format>
    <format dxfId="128">
      <pivotArea dataOnly="0" labelOnly="1" outline="0" fieldPosition="0">
        <references count="2">
          <reference field="0" count="1">
            <x v="386"/>
          </reference>
          <reference field="1" count="1" selected="0">
            <x v="308"/>
          </reference>
        </references>
      </pivotArea>
    </format>
    <format dxfId="127">
      <pivotArea dataOnly="0" labelOnly="1" outline="0" fieldPosition="0">
        <references count="2">
          <reference field="0" count="1">
            <x v="18"/>
          </reference>
          <reference field="1" count="1" selected="0">
            <x v="309"/>
          </reference>
        </references>
      </pivotArea>
    </format>
    <format dxfId="126">
      <pivotArea dataOnly="0" labelOnly="1" outline="0" fieldPosition="0">
        <references count="2">
          <reference field="0" count="1">
            <x v="83"/>
          </reference>
          <reference field="1" count="1" selected="0">
            <x v="310"/>
          </reference>
        </references>
      </pivotArea>
    </format>
    <format dxfId="125">
      <pivotArea dataOnly="0" labelOnly="1" outline="0" fieldPosition="0">
        <references count="2">
          <reference field="0" count="1">
            <x v="311"/>
          </reference>
          <reference field="1" count="1" selected="0">
            <x v="311"/>
          </reference>
        </references>
      </pivotArea>
    </format>
    <format dxfId="124">
      <pivotArea dataOnly="0" labelOnly="1" outline="0" fieldPosition="0">
        <references count="2">
          <reference field="0" count="1">
            <x v="295"/>
          </reference>
          <reference field="1" count="1" selected="0">
            <x v="312"/>
          </reference>
        </references>
      </pivotArea>
    </format>
    <format dxfId="123">
      <pivotArea dataOnly="0" labelOnly="1" outline="0" fieldPosition="0">
        <references count="2">
          <reference field="0" count="1">
            <x v="29"/>
          </reference>
          <reference field="1" count="1" selected="0">
            <x v="313"/>
          </reference>
        </references>
      </pivotArea>
    </format>
    <format dxfId="122">
      <pivotArea dataOnly="0" labelOnly="1" outline="0" fieldPosition="0">
        <references count="2">
          <reference field="0" count="1">
            <x v="339"/>
          </reference>
          <reference field="1" count="1" selected="0">
            <x v="314"/>
          </reference>
        </references>
      </pivotArea>
    </format>
    <format dxfId="121">
      <pivotArea dataOnly="0" labelOnly="1" outline="0" fieldPosition="0">
        <references count="2">
          <reference field="0" count="1">
            <x v="153"/>
          </reference>
          <reference field="1" count="1" selected="0">
            <x v="315"/>
          </reference>
        </references>
      </pivotArea>
    </format>
    <format dxfId="120">
      <pivotArea dataOnly="0" labelOnly="1" outline="0" fieldPosition="0">
        <references count="2">
          <reference field="0" count="1">
            <x v="52"/>
          </reference>
          <reference field="1" count="1" selected="0">
            <x v="316"/>
          </reference>
        </references>
      </pivotArea>
    </format>
    <format dxfId="119">
      <pivotArea dataOnly="0" labelOnly="1" outline="0" fieldPosition="0">
        <references count="2">
          <reference field="0" count="1">
            <x v="58"/>
          </reference>
          <reference field="1" count="1" selected="0">
            <x v="317"/>
          </reference>
        </references>
      </pivotArea>
    </format>
    <format dxfId="118">
      <pivotArea dataOnly="0" labelOnly="1" outline="0" fieldPosition="0">
        <references count="2">
          <reference field="0" count="1">
            <x v="135"/>
          </reference>
          <reference field="1" count="1" selected="0">
            <x v="318"/>
          </reference>
        </references>
      </pivotArea>
    </format>
    <format dxfId="117">
      <pivotArea dataOnly="0" labelOnly="1" outline="0" fieldPosition="0">
        <references count="2">
          <reference field="0" count="1">
            <x v="137"/>
          </reference>
          <reference field="1" count="1" selected="0">
            <x v="319"/>
          </reference>
        </references>
      </pivotArea>
    </format>
    <format dxfId="116">
      <pivotArea dataOnly="0" labelOnly="1" outline="0" fieldPosition="0">
        <references count="2">
          <reference field="0" count="1">
            <x v="133"/>
          </reference>
          <reference field="1" count="1" selected="0">
            <x v="320"/>
          </reference>
        </references>
      </pivotArea>
    </format>
    <format dxfId="115">
      <pivotArea dataOnly="0" labelOnly="1" outline="0" fieldPosition="0">
        <references count="2">
          <reference field="0" count="1">
            <x v="317"/>
          </reference>
          <reference field="1" count="1" selected="0">
            <x v="321"/>
          </reference>
        </references>
      </pivotArea>
    </format>
    <format dxfId="114">
      <pivotArea dataOnly="0" labelOnly="1" outline="0" fieldPosition="0">
        <references count="2">
          <reference field="0" count="1">
            <x v="165"/>
          </reference>
          <reference field="1" count="1" selected="0">
            <x v="322"/>
          </reference>
        </references>
      </pivotArea>
    </format>
    <format dxfId="113">
      <pivotArea dataOnly="0" labelOnly="1" outline="0" fieldPosition="0">
        <references count="2">
          <reference field="0" count="1">
            <x v="196"/>
          </reference>
          <reference field="1" count="1" selected="0">
            <x v="323"/>
          </reference>
        </references>
      </pivotArea>
    </format>
    <format dxfId="112">
      <pivotArea dataOnly="0" labelOnly="1" outline="0" fieldPosition="0">
        <references count="2">
          <reference field="0" count="1">
            <x v="256"/>
          </reference>
          <reference field="1" count="1" selected="0">
            <x v="324"/>
          </reference>
        </references>
      </pivotArea>
    </format>
    <format dxfId="111">
      <pivotArea dataOnly="0" labelOnly="1" outline="0" fieldPosition="0">
        <references count="2">
          <reference field="0" count="1">
            <x v="246"/>
          </reference>
          <reference field="1" count="1" selected="0">
            <x v="325"/>
          </reference>
        </references>
      </pivotArea>
    </format>
    <format dxfId="110">
      <pivotArea dataOnly="0" labelOnly="1" outline="0" fieldPosition="0">
        <references count="2">
          <reference field="0" count="1">
            <x v="204"/>
          </reference>
          <reference field="1" count="1" selected="0">
            <x v="326"/>
          </reference>
        </references>
      </pivotArea>
    </format>
    <format dxfId="109">
      <pivotArea dataOnly="0" labelOnly="1" outline="0" fieldPosition="0">
        <references count="2">
          <reference field="0" count="1">
            <x v="268"/>
          </reference>
          <reference field="1" count="1" selected="0">
            <x v="327"/>
          </reference>
        </references>
      </pivotArea>
    </format>
    <format dxfId="108">
      <pivotArea dataOnly="0" labelOnly="1" outline="0" fieldPosition="0">
        <references count="2">
          <reference field="0" count="1">
            <x v="33"/>
          </reference>
          <reference field="1" count="1" selected="0">
            <x v="328"/>
          </reference>
        </references>
      </pivotArea>
    </format>
    <format dxfId="107">
      <pivotArea dataOnly="0" labelOnly="1" outline="0" fieldPosition="0">
        <references count="2">
          <reference field="0" count="1">
            <x v="211"/>
          </reference>
          <reference field="1" count="1" selected="0">
            <x v="329"/>
          </reference>
        </references>
      </pivotArea>
    </format>
    <format dxfId="106">
      <pivotArea dataOnly="0" labelOnly="1" outline="0" fieldPosition="0">
        <references count="2">
          <reference field="0" count="1">
            <x v="55"/>
          </reference>
          <reference field="1" count="1" selected="0">
            <x v="330"/>
          </reference>
        </references>
      </pivotArea>
    </format>
    <format dxfId="105">
      <pivotArea dataOnly="0" labelOnly="1" outline="0" fieldPosition="0">
        <references count="2">
          <reference field="0" count="1">
            <x v="106"/>
          </reference>
          <reference field="1" count="1" selected="0">
            <x v="331"/>
          </reference>
        </references>
      </pivotArea>
    </format>
    <format dxfId="104">
      <pivotArea dataOnly="0" labelOnly="1" outline="0" fieldPosition="0">
        <references count="2">
          <reference field="0" count="1">
            <x v="60"/>
          </reference>
          <reference field="1" count="1" selected="0">
            <x v="332"/>
          </reference>
        </references>
      </pivotArea>
    </format>
    <format dxfId="103">
      <pivotArea dataOnly="0" labelOnly="1" outline="0" fieldPosition="0">
        <references count="2">
          <reference field="0" count="1">
            <x v="304"/>
          </reference>
          <reference field="1" count="1" selected="0">
            <x v="333"/>
          </reference>
        </references>
      </pivotArea>
    </format>
    <format dxfId="102">
      <pivotArea dataOnly="0" labelOnly="1" outline="0" fieldPosition="0">
        <references count="2">
          <reference field="0" count="1">
            <x v="306"/>
          </reference>
          <reference field="1" count="1" selected="0">
            <x v="334"/>
          </reference>
        </references>
      </pivotArea>
    </format>
    <format dxfId="101">
      <pivotArea dataOnly="0" labelOnly="1" outline="0" fieldPosition="0">
        <references count="2">
          <reference field="0" count="1">
            <x v="174"/>
          </reference>
          <reference field="1" count="1" selected="0">
            <x v="335"/>
          </reference>
        </references>
      </pivotArea>
    </format>
    <format dxfId="100">
      <pivotArea dataOnly="0" labelOnly="1" outline="0" fieldPosition="0">
        <references count="2">
          <reference field="0" count="1">
            <x v="333"/>
          </reference>
          <reference field="1" count="1" selected="0">
            <x v="336"/>
          </reference>
        </references>
      </pivotArea>
    </format>
    <format dxfId="99">
      <pivotArea dataOnly="0" labelOnly="1" outline="0" fieldPosition="0">
        <references count="2">
          <reference field="0" count="1">
            <x v="216"/>
          </reference>
          <reference field="1" count="1" selected="0">
            <x v="337"/>
          </reference>
        </references>
      </pivotArea>
    </format>
    <format dxfId="98">
      <pivotArea dataOnly="0" labelOnly="1" outline="0" fieldPosition="0">
        <references count="2">
          <reference field="0" count="1">
            <x v="178"/>
          </reference>
          <reference field="1" count="1" selected="0">
            <x v="338"/>
          </reference>
        </references>
      </pivotArea>
    </format>
    <format dxfId="97">
      <pivotArea dataOnly="0" labelOnly="1" outline="0" fieldPosition="0">
        <references count="2">
          <reference field="0" count="1">
            <x v="265"/>
          </reference>
          <reference field="1" count="1" selected="0">
            <x v="339"/>
          </reference>
        </references>
      </pivotArea>
    </format>
    <format dxfId="96">
      <pivotArea dataOnly="0" labelOnly="1" outline="0" fieldPosition="0">
        <references count="2">
          <reference field="0" count="1">
            <x v="371"/>
          </reference>
          <reference field="1" count="1" selected="0">
            <x v="340"/>
          </reference>
        </references>
      </pivotArea>
    </format>
    <format dxfId="95">
      <pivotArea dataOnly="0" labelOnly="1" outline="0" fieldPosition="0">
        <references count="2">
          <reference field="0" count="1">
            <x v="151"/>
          </reference>
          <reference field="1" count="1" selected="0">
            <x v="341"/>
          </reference>
        </references>
      </pivotArea>
    </format>
    <format dxfId="94">
      <pivotArea dataOnly="0" labelOnly="1" outline="0" fieldPosition="0">
        <references count="2">
          <reference field="0" count="1">
            <x v="82"/>
          </reference>
          <reference field="1" count="1" selected="0">
            <x v="342"/>
          </reference>
        </references>
      </pivotArea>
    </format>
    <format dxfId="93">
      <pivotArea dataOnly="0" labelOnly="1" outline="0" fieldPosition="0">
        <references count="2">
          <reference field="0" count="1">
            <x v="220"/>
          </reference>
          <reference field="1" count="1" selected="0">
            <x v="343"/>
          </reference>
        </references>
      </pivotArea>
    </format>
    <format dxfId="92">
      <pivotArea dataOnly="0" labelOnly="1" outline="0" fieldPosition="0">
        <references count="2">
          <reference field="0" count="1">
            <x v="43"/>
          </reference>
          <reference field="1" count="1" selected="0">
            <x v="344"/>
          </reference>
        </references>
      </pivotArea>
    </format>
    <format dxfId="91">
      <pivotArea dataOnly="0" labelOnly="1" outline="0" fieldPosition="0">
        <references count="2">
          <reference field="0" count="1">
            <x v="259"/>
          </reference>
          <reference field="1" count="1" selected="0">
            <x v="345"/>
          </reference>
        </references>
      </pivotArea>
    </format>
    <format dxfId="90">
      <pivotArea dataOnly="0" labelOnly="1" outline="0" fieldPosition="0">
        <references count="2">
          <reference field="0" count="1">
            <x v="260"/>
          </reference>
          <reference field="1" count="1" selected="0">
            <x v="346"/>
          </reference>
        </references>
      </pivotArea>
    </format>
    <format dxfId="89">
      <pivotArea dataOnly="0" labelOnly="1" outline="0" fieldPosition="0">
        <references count="2">
          <reference field="0" count="1">
            <x v="218"/>
          </reference>
          <reference field="1" count="1" selected="0">
            <x v="347"/>
          </reference>
        </references>
      </pivotArea>
    </format>
    <format dxfId="88">
      <pivotArea dataOnly="0" labelOnly="1" outline="0" fieldPosition="0">
        <references count="2">
          <reference field="0" count="1">
            <x v="93"/>
          </reference>
          <reference field="1" count="1" selected="0">
            <x v="348"/>
          </reference>
        </references>
      </pivotArea>
    </format>
    <format dxfId="87">
      <pivotArea dataOnly="0" labelOnly="1" outline="0" fieldPosition="0">
        <references count="2">
          <reference field="0" count="1">
            <x v="97"/>
          </reference>
          <reference field="1" count="1" selected="0">
            <x v="349"/>
          </reference>
        </references>
      </pivotArea>
    </format>
    <format dxfId="86">
      <pivotArea dataOnly="0" labelOnly="1" outline="0" fieldPosition="0">
        <references count="2">
          <reference field="0" count="1">
            <x v="309"/>
          </reference>
          <reference field="1" count="1" selected="0">
            <x v="350"/>
          </reference>
        </references>
      </pivotArea>
    </format>
    <format dxfId="85">
      <pivotArea dataOnly="0" labelOnly="1" outline="0" fieldPosition="0">
        <references count="2">
          <reference field="0" count="1">
            <x v="192"/>
          </reference>
          <reference field="1" count="1" selected="0">
            <x v="351"/>
          </reference>
        </references>
      </pivotArea>
    </format>
    <format dxfId="84">
      <pivotArea dataOnly="0" labelOnly="1" outline="0" fieldPosition="0">
        <references count="2">
          <reference field="0" count="1">
            <x v="324"/>
          </reference>
          <reference field="1" count="1" selected="0">
            <x v="352"/>
          </reference>
        </references>
      </pivotArea>
    </format>
    <format dxfId="83">
      <pivotArea dataOnly="0" labelOnly="1" outline="0" fieldPosition="0">
        <references count="2">
          <reference field="0" count="1">
            <x v="10"/>
          </reference>
          <reference field="1" count="1" selected="0">
            <x v="353"/>
          </reference>
        </references>
      </pivotArea>
    </format>
    <format dxfId="82">
      <pivotArea dataOnly="0" labelOnly="1" outline="0" fieldPosition="0">
        <references count="2">
          <reference field="0" count="1">
            <x v="64"/>
          </reference>
          <reference field="1" count="1" selected="0">
            <x v="354"/>
          </reference>
        </references>
      </pivotArea>
    </format>
    <format dxfId="81">
      <pivotArea dataOnly="0" labelOnly="1" outline="0" fieldPosition="0">
        <references count="2">
          <reference field="0" count="1">
            <x v="5"/>
          </reference>
          <reference field="1" count="1" selected="0">
            <x v="355"/>
          </reference>
        </references>
      </pivotArea>
    </format>
    <format dxfId="80">
      <pivotArea dataOnly="0" labelOnly="1" outline="0" fieldPosition="0">
        <references count="2">
          <reference field="0" count="1">
            <x v="107"/>
          </reference>
          <reference field="1" count="1" selected="0">
            <x v="356"/>
          </reference>
        </references>
      </pivotArea>
    </format>
    <format dxfId="79">
      <pivotArea dataOnly="0" labelOnly="1" outline="0" fieldPosition="0">
        <references count="2">
          <reference field="0" count="1">
            <x v="235"/>
          </reference>
          <reference field="1" count="1" selected="0">
            <x v="357"/>
          </reference>
        </references>
      </pivotArea>
    </format>
    <format dxfId="78">
      <pivotArea dataOnly="0" labelOnly="1" outline="0" fieldPosition="0">
        <references count="2">
          <reference field="0" count="1">
            <x v="349"/>
          </reference>
          <reference field="1" count="1" selected="0">
            <x v="358"/>
          </reference>
        </references>
      </pivotArea>
    </format>
    <format dxfId="77">
      <pivotArea dataOnly="0" labelOnly="1" outline="0" fieldPosition="0">
        <references count="2">
          <reference field="0" count="1">
            <x v="232"/>
          </reference>
          <reference field="1" count="1" selected="0">
            <x v="359"/>
          </reference>
        </references>
      </pivotArea>
    </format>
    <format dxfId="76">
      <pivotArea dataOnly="0" labelOnly="1" outline="0" fieldPosition="0">
        <references count="2">
          <reference field="0" count="1">
            <x v="230"/>
          </reference>
          <reference field="1" count="1" selected="0">
            <x v="360"/>
          </reference>
        </references>
      </pivotArea>
    </format>
    <format dxfId="75">
      <pivotArea dataOnly="0" labelOnly="1" outline="0" fieldPosition="0">
        <references count="2">
          <reference field="0" count="1">
            <x v="292"/>
          </reference>
          <reference field="1" count="1" selected="0">
            <x v="361"/>
          </reference>
        </references>
      </pivotArea>
    </format>
    <format dxfId="74">
      <pivotArea dataOnly="0" labelOnly="1" outline="0" fieldPosition="0">
        <references count="2">
          <reference field="0" count="1">
            <x v="177"/>
          </reference>
          <reference field="1" count="1" selected="0">
            <x v="362"/>
          </reference>
        </references>
      </pivotArea>
    </format>
    <format dxfId="73">
      <pivotArea dataOnly="0" labelOnly="1" outline="0" fieldPosition="0">
        <references count="2">
          <reference field="0" count="1">
            <x v="13"/>
          </reference>
          <reference field="1" count="1" selected="0">
            <x v="363"/>
          </reference>
        </references>
      </pivotArea>
    </format>
    <format dxfId="72">
      <pivotArea dataOnly="0" labelOnly="1" outline="0" fieldPosition="0">
        <references count="2">
          <reference field="0" count="1">
            <x v="114"/>
          </reference>
          <reference field="1" count="1" selected="0">
            <x v="364"/>
          </reference>
        </references>
      </pivotArea>
    </format>
    <format dxfId="71">
      <pivotArea dataOnly="0" labelOnly="1" outline="0" fieldPosition="0">
        <references count="2">
          <reference field="0" count="1">
            <x v="28"/>
          </reference>
          <reference field="1" count="1" selected="0">
            <x v="365"/>
          </reference>
        </references>
      </pivotArea>
    </format>
    <format dxfId="70">
      <pivotArea dataOnly="0" labelOnly="1" outline="0" fieldPosition="0">
        <references count="2">
          <reference field="0" count="1">
            <x v="103"/>
          </reference>
          <reference field="1" count="1" selected="0">
            <x v="366"/>
          </reference>
        </references>
      </pivotArea>
    </format>
    <format dxfId="69">
      <pivotArea dataOnly="0" labelOnly="1" outline="0" fieldPosition="0">
        <references count="2">
          <reference field="0" count="1">
            <x v="156"/>
          </reference>
          <reference field="1" count="1" selected="0">
            <x v="367"/>
          </reference>
        </references>
      </pivotArea>
    </format>
    <format dxfId="68">
      <pivotArea dataOnly="0" labelOnly="1" outline="0" fieldPosition="0">
        <references count="2">
          <reference field="0" count="1">
            <x v="40"/>
          </reference>
          <reference field="1" count="1" selected="0">
            <x v="368"/>
          </reference>
        </references>
      </pivotArea>
    </format>
    <format dxfId="67">
      <pivotArea dataOnly="0" labelOnly="1" outline="0" fieldPosition="0">
        <references count="2">
          <reference field="0" count="1">
            <x v="229"/>
          </reference>
          <reference field="1" count="1" selected="0">
            <x v="369"/>
          </reference>
        </references>
      </pivotArea>
    </format>
    <format dxfId="66">
      <pivotArea dataOnly="0" labelOnly="1" outline="0" fieldPosition="0">
        <references count="2">
          <reference field="0" count="1">
            <x v="234"/>
          </reference>
          <reference field="1" count="1" selected="0">
            <x v="370"/>
          </reference>
        </references>
      </pivotArea>
    </format>
    <format dxfId="65">
      <pivotArea dataOnly="0" labelOnly="1" outline="0" fieldPosition="0">
        <references count="2">
          <reference field="0" count="1">
            <x v="233"/>
          </reference>
          <reference field="1" count="1" selected="0">
            <x v="371"/>
          </reference>
        </references>
      </pivotArea>
    </format>
    <format dxfId="64">
      <pivotArea dataOnly="0" labelOnly="1" outline="0" fieldPosition="0">
        <references count="2">
          <reference field="0" count="1">
            <x v="237"/>
          </reference>
          <reference field="1" count="1" selected="0">
            <x v="372"/>
          </reference>
        </references>
      </pivotArea>
    </format>
    <format dxfId="63">
      <pivotArea dataOnly="0" labelOnly="1" outline="0" fieldPosition="0">
        <references count="2">
          <reference field="0" count="1">
            <x v="326"/>
          </reference>
          <reference field="1" count="1" selected="0">
            <x v="373"/>
          </reference>
        </references>
      </pivotArea>
    </format>
    <format dxfId="62">
      <pivotArea dataOnly="0" labelOnly="1" outline="0" fieldPosition="0">
        <references count="2">
          <reference field="0" count="1">
            <x v="382"/>
          </reference>
          <reference field="1" count="1" selected="0">
            <x v="374"/>
          </reference>
        </references>
      </pivotArea>
    </format>
    <format dxfId="61">
      <pivotArea dataOnly="0" labelOnly="1" outline="0" fieldPosition="0">
        <references count="2">
          <reference field="0" count="1">
            <x v="236"/>
          </reference>
          <reference field="1" count="1" selected="0">
            <x v="375"/>
          </reference>
        </references>
      </pivotArea>
    </format>
    <format dxfId="60">
      <pivotArea dataOnly="0" labelOnly="1" outline="0" fieldPosition="0">
        <references count="2">
          <reference field="0" count="1">
            <x v="281"/>
          </reference>
          <reference field="1" count="1" selected="0">
            <x v="376"/>
          </reference>
        </references>
      </pivotArea>
    </format>
    <format dxfId="59">
      <pivotArea dataOnly="0" labelOnly="1" outline="0" fieldPosition="0">
        <references count="2">
          <reference field="0" count="1">
            <x v="76"/>
          </reference>
          <reference field="1" count="1" selected="0">
            <x v="377"/>
          </reference>
        </references>
      </pivotArea>
    </format>
    <format dxfId="58">
      <pivotArea dataOnly="0" labelOnly="1" outline="0" fieldPosition="0">
        <references count="2">
          <reference field="0" count="1">
            <x v="342"/>
          </reference>
          <reference field="1" count="1" selected="0">
            <x v="378"/>
          </reference>
        </references>
      </pivotArea>
    </format>
    <format dxfId="57">
      <pivotArea dataOnly="0" labelOnly="1" outline="0" fieldPosition="0">
        <references count="2">
          <reference field="0" count="1">
            <x v="298"/>
          </reference>
          <reference field="1" count="1" selected="0">
            <x v="379"/>
          </reference>
        </references>
      </pivotArea>
    </format>
    <format dxfId="56">
      <pivotArea dataOnly="0" labelOnly="1" outline="0" fieldPosition="0">
        <references count="2">
          <reference field="0" count="1">
            <x v="353"/>
          </reference>
          <reference field="1" count="1" selected="0">
            <x v="380"/>
          </reference>
        </references>
      </pivotArea>
    </format>
    <format dxfId="55">
      <pivotArea dataOnly="0" labelOnly="1" outline="0" fieldPosition="0">
        <references count="2">
          <reference field="0" count="1">
            <x v="207"/>
          </reference>
          <reference field="1" count="1" selected="0">
            <x v="381"/>
          </reference>
        </references>
      </pivotArea>
    </format>
    <format dxfId="54">
      <pivotArea dataOnly="0" labelOnly="1" outline="0" fieldPosition="0">
        <references count="2">
          <reference field="0" count="1">
            <x v="291"/>
          </reference>
          <reference field="1" count="1" selected="0">
            <x v="382"/>
          </reference>
        </references>
      </pivotArea>
    </format>
    <format dxfId="53">
      <pivotArea dataOnly="0" labelOnly="1" outline="0" fieldPosition="0">
        <references count="2">
          <reference field="0" count="1">
            <x v="187"/>
          </reference>
          <reference field="1" count="1" selected="0">
            <x v="383"/>
          </reference>
        </references>
      </pivotArea>
    </format>
    <format dxfId="52">
      <pivotArea dataOnly="0" labelOnly="1" outline="0" fieldPosition="0">
        <references count="2">
          <reference field="0" count="1">
            <x v="19"/>
          </reference>
          <reference field="1" count="1" selected="0">
            <x v="384"/>
          </reference>
        </references>
      </pivotArea>
    </format>
    <format dxfId="51">
      <pivotArea dataOnly="0" labelOnly="1" outline="0" fieldPosition="0">
        <references count="2">
          <reference field="0" count="1">
            <x v="280"/>
          </reference>
          <reference field="1" count="1" selected="0">
            <x v="385"/>
          </reference>
        </references>
      </pivotArea>
    </format>
    <format dxfId="50">
      <pivotArea dataOnly="0" labelOnly="1" outline="0" fieldPosition="0">
        <references count="2">
          <reference field="0" count="1">
            <x v="11"/>
          </reference>
          <reference field="1" count="1" selected="0">
            <x v="386"/>
          </reference>
        </references>
      </pivotArea>
    </format>
    <format dxfId="49">
      <pivotArea dataOnly="0" labelOnly="1" outline="0" fieldPosition="0">
        <references count="2">
          <reference field="0" count="1">
            <x v="62"/>
          </reference>
          <reference field="1" count="1" selected="0">
            <x v="387"/>
          </reference>
        </references>
      </pivotArea>
    </format>
    <format dxfId="48">
      <pivotArea dataOnly="0" labelOnly="1" outline="0" fieldPosition="0">
        <references count="2">
          <reference field="0" count="1">
            <x v="193"/>
          </reference>
          <reference field="1" count="1" selected="0">
            <x v="388"/>
          </reference>
        </references>
      </pivotArea>
    </format>
    <format dxfId="47">
      <pivotArea dataOnly="0" labelOnly="1" outline="0" fieldPosition="0">
        <references count="2">
          <reference field="0" count="1">
            <x v="310"/>
          </reference>
          <reference field="1" count="1" selected="0">
            <x v="389"/>
          </reference>
        </references>
      </pivotArea>
    </format>
    <format dxfId="46">
      <pivotArea dataOnly="0" labelOnly="1" outline="0" fieldPosition="0">
        <references count="2">
          <reference field="0" count="1">
            <x v="223"/>
          </reference>
          <reference field="1" count="1" selected="0">
            <x v="390"/>
          </reference>
        </references>
      </pivotArea>
    </format>
    <format dxfId="45">
      <pivotArea dataOnly="0" labelOnly="1" outline="0" fieldPosition="0">
        <references count="2">
          <reference field="0" count="1">
            <x v="251"/>
          </reference>
          <reference field="1" count="1" selected="0">
            <x v="391"/>
          </reference>
        </references>
      </pivotArea>
    </format>
    <format dxfId="44">
      <pivotArea dataOnly="0" labelOnly="1" outline="0" fieldPosition="0">
        <references count="2">
          <reference field="0" count="1">
            <x v="77"/>
          </reference>
          <reference field="1" count="1" selected="0">
            <x v="392"/>
          </reference>
        </references>
      </pivotArea>
    </format>
    <format dxfId="43">
      <pivotArea dataOnly="0" labelOnly="1" outline="0" fieldPosition="0">
        <references count="2">
          <reference field="0" count="1">
            <x v="75"/>
          </reference>
          <reference field="1" count="1" selected="0">
            <x v="393"/>
          </reference>
        </references>
      </pivotArea>
    </format>
    <format dxfId="42">
      <pivotArea dataOnly="0" labelOnly="1" outline="0" fieldPosition="0">
        <references count="1">
          <reference field="4294967294" count="3">
            <x v="0"/>
            <x v="1"/>
            <x v="2"/>
          </reference>
        </references>
      </pivotArea>
    </format>
    <format dxfId="41">
      <pivotArea field="1" type="button" dataOnly="0" labelOnly="1" outline="0" axis="axisRow" fieldPosition="0"/>
    </format>
    <format dxfId="40">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7">
      <pivotArea dataOnly="0" labelOnly="1" outline="0"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36">
      <pivotArea dataOnly="0" labelOnly="1" outline="0"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35">
      <pivotArea dataOnly="0" labelOnly="1" outline="0" fieldPosition="0">
        <references count="1">
          <reference field="1"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34">
      <pivotArea dataOnly="0" labelOnly="1" outline="0" fieldPosition="0">
        <references count="1">
          <reference field="1"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33">
      <pivotArea dataOnly="0" labelOnly="1" outline="0" fieldPosition="0">
        <references count="1">
          <reference field="1" count="44">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reference>
        </references>
      </pivotArea>
    </format>
    <format dxfId="32">
      <pivotArea outline="0" fieldPosition="0">
        <references count="1">
          <reference field="4294967294" count="1" selected="0">
            <x v="0"/>
          </reference>
        </references>
      </pivotArea>
    </format>
    <format dxfId="31">
      <pivotArea dataOnly="0" labelOnly="1" outline="0" fieldPosition="0">
        <references count="1">
          <reference field="4294967294" count="1">
            <x v="0"/>
          </reference>
        </references>
      </pivotArea>
    </format>
    <format dxfId="30">
      <pivotArea outline="0" fieldPosition="0">
        <references count="1">
          <reference field="4294967294" count="1" selected="0">
            <x v="0"/>
          </reference>
        </references>
      </pivotArea>
    </format>
    <format dxfId="2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C14:AC17" totalsRowShown="0" headerRowDxfId="28" tableBorderDxfId="27">
  <autoFilter ref="AC14:AC17" xr:uid="{00000000-0009-0000-0100-000001000000}"/>
  <tableColumns count="1">
    <tableColumn id="1" xr3:uid="{00000000-0010-0000-0000-000001000000}" name="Mixed Pape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C19:AC22" totalsRowShown="0" headerRowDxfId="26" tableBorderDxfId="25">
  <autoFilter ref="AC19:AC22" xr:uid="{00000000-0009-0000-0100-000002000000}"/>
  <tableColumns count="1">
    <tableColumn id="1" xr3:uid="{00000000-0010-0000-0100-000001000000}" name="Mixed Metal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C24:AC27" totalsRowShown="0" headerRowDxfId="24" tableBorderDxfId="23">
  <autoFilter ref="AC24:AC27" xr:uid="{00000000-0009-0000-0100-000003000000}"/>
  <tableColumns count="1">
    <tableColumn id="1" xr3:uid="{00000000-0010-0000-0200-000001000000}" name="Mixed Plastic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C29:AC32" totalsRowShown="0" headerRowDxfId="22" tableBorderDxfId="21">
  <autoFilter ref="AC29:AC32" xr:uid="{00000000-0009-0000-0100-000004000000}"/>
  <tableColumns count="1">
    <tableColumn id="1" xr3:uid="{00000000-0010-0000-0300-000001000000}" name="Mixed Recyclable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C34:AC37" totalsRowShown="0" headerRowDxfId="20" tableBorderDxfId="19">
  <autoFilter ref="AC34:AC37" xr:uid="{00000000-0009-0000-0100-000005000000}"/>
  <tableColumns count="1">
    <tableColumn id="1" xr3:uid="{00000000-0010-0000-0400-000001000000}" name="Mixed Organics"/>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C39:AC41" totalsRowShown="0" headerRowDxfId="18" tableBorderDxfId="17">
  <autoFilter ref="AC39:AC41" xr:uid="{00000000-0009-0000-0100-000006000000}"/>
  <tableColumns count="1">
    <tableColumn id="1" xr3:uid="{00000000-0010-0000-0500-000001000000}" name="Mixed MSW"/>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C43:AC45" totalsRowShown="0" headerRowDxfId="16" tableBorderDxfId="15">
  <autoFilter ref="AC43:AC45" xr:uid="{00000000-0009-0000-0100-000007000000}"/>
  <tableColumns count="1">
    <tableColumn id="1" xr3:uid="{00000000-0010-0000-0600-000001000000}" name="Mixed Electronics"/>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C47:AC50" totalsRowShown="0" headerRowDxfId="14" tableBorderDxfId="13">
  <autoFilter ref="AC47:AC50" xr:uid="{00000000-0009-0000-0100-000008000000}"/>
  <tableColumns count="1">
    <tableColumn id="1" xr3:uid="{00000000-0010-0000-0700-000001000000}" name="Glass"/>
  </tableColumns>
  <tableStyleInfo name="TableStyleMedium2" showFirstColumn="0" showLastColumn="0" showRowStripes="1" showColumnStripes="0"/>
</table>
</file>

<file path=xl/theme/theme1.xml><?xml version="1.0" encoding="utf-8"?>
<a:theme xmlns:a="http://schemas.openxmlformats.org/drawingml/2006/main" name="ENGIE Impact PPT 2021">
  <a:themeElements>
    <a:clrScheme name="Custom 2">
      <a:dk1>
        <a:srgbClr val="343A3C"/>
      </a:dk1>
      <a:lt1>
        <a:srgbClr val="FFFFFF"/>
      </a:lt1>
      <a:dk2>
        <a:srgbClr val="00AAFF"/>
      </a:dk2>
      <a:lt2>
        <a:srgbClr val="E1E3E3"/>
      </a:lt2>
      <a:accent1>
        <a:srgbClr val="00AAFF"/>
      </a:accent1>
      <a:accent2>
        <a:srgbClr val="1ED283"/>
      </a:accent2>
      <a:accent3>
        <a:srgbClr val="001FA0"/>
      </a:accent3>
      <a:accent4>
        <a:srgbClr val="B32765"/>
      </a:accent4>
      <a:accent5>
        <a:srgbClr val="FD5064"/>
      </a:accent5>
      <a:accent6>
        <a:srgbClr val="FFA101"/>
      </a:accent6>
      <a:hlink>
        <a:srgbClr val="00AAFF"/>
      </a:hlink>
      <a:folHlink>
        <a:srgbClr val="00AA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190500">
          <a:gradFill>
            <a:gsLst>
              <a:gs pos="0">
                <a:srgbClr val="00BCFD"/>
              </a:gs>
              <a:gs pos="100000">
                <a:srgbClr val="23D2B5"/>
              </a:gs>
            </a:gsLst>
            <a:lin ang="2700000" scaled="0"/>
          </a:gradFill>
        </a:ln>
      </a:spPr>
      <a:bodyPr rtlCol="0" anchor="ctr">
        <a:noAutofit/>
      </a:bodyP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spAutoFit/>
      </a:bodyPr>
      <a:lstStyle>
        <a:defPPr marL="228600" indent="-228600" algn="l">
          <a:lnSpc>
            <a:spcPct val="112000"/>
          </a:lnSpc>
          <a:spcBef>
            <a:spcPts val="1000"/>
          </a:spcBef>
          <a:buClr>
            <a:schemeClr val="tx2"/>
          </a:buClr>
          <a:buFont typeface="Arial" panose="020B0604020202020204" pitchFamily="34" charset="0"/>
          <a:buChar char="•"/>
          <a:defRPr dirty="0" smtClean="0"/>
        </a:defPPr>
      </a:lstStyle>
    </a:txDef>
  </a:objectDefaults>
  <a:extraClrSchemeLst/>
  <a:extLst>
    <a:ext uri="{05A4C25C-085E-4340-85A3-A5531E510DB2}">
      <thm15:themeFamily xmlns:thm15="http://schemas.microsoft.com/office/thememl/2012/main" name="ENGIE Impact PPT 2021" id="{5692A257-57F0-DC45-94CD-F0B48EC33670}" vid="{6EAACAE7-78F6-A840-A73F-DB854B2F7A76}"/>
    </a:ext>
  </a:extLst>
</a:theme>
</file>

<file path=xl/threadedComments/threadedComment1.xml><?xml version="1.0" encoding="utf-8"?>
<ThreadedComments xmlns="http://schemas.microsoft.com/office/spreadsheetml/2018/threadedcomments" xmlns:x="http://schemas.openxmlformats.org/spreadsheetml/2006/main">
  <threadedComment ref="C1" dT="2022-10-03T17:54:29.25" personId="{B6436149-9E4E-4FF2-A884-2766B4D2B8F3}" id="{89312FD4-8164-4C01-8E76-512CF642D24F}">
    <text>Note: Some commodities (names or actual products) appear to have changed. Review with Brian.</text>
  </threadedComment>
</ThreadedComments>
</file>

<file path=xl/threadedComments/threadedComment2.xml><?xml version="1.0" encoding="utf-8"?>
<ThreadedComments xmlns="http://schemas.microsoft.com/office/spreadsheetml/2018/threadedcomments" xmlns:x="http://schemas.openxmlformats.org/spreadsheetml/2006/main">
  <threadedComment ref="F2" dT="2022-10-03T19:54:21.13" personId="{B6436149-9E4E-4FF2-A884-2766B4D2B8F3}" id="{A71DB63B-F2B4-48B3-8C0E-2353C5ECD143}">
    <text>This information is now retained in "2016_Detail_Commodity_v1.0".</text>
  </threadedComment>
  <threadedComment ref="M22" dT="2022-10-06T14:55:47.81" personId="{B6436149-9E4E-4FF2-A884-2766B4D2B8F3}" id="{6525F34A-5DFA-4FCD-AFC2-6AAC1554E3A2}">
    <text>Defra no longer supplying WTT electricity generation factors. Consider replacing with IEA or more granular eGrid?</text>
  </threadedComment>
  <threadedComment ref="O23" dT="2021-08-02T16:37:12.41" personId="{146A8BA2-D2F1-497D-BBF1-9F51AAA19A14}" id="{A31A36E3-EDF6-4685-92D8-0B475421C47E}">
    <text>WTT - UK &amp; overseas elec</text>
  </threadedComment>
  <threadedComment ref="M26" dT="2022-10-06T14:55:47.81" personId="{B6436149-9E4E-4FF2-A884-2766B4D2B8F3}" id="{4470C546-4A1D-49D2-80F7-B141F1838B24}">
    <text>Defra no longer supplying WTT electricity generation and T&amp;D factors. Consider replacing with IEA or more granular eGrid?</text>
  </threadedComment>
  <threadedComment ref="O27" dT="2021-08-02T16:37:12.41" personId="{146A8BA2-D2F1-497D-BBF1-9F51AAA19A14}" id="{51ACDBC7-347D-4D79-BB73-63BB862C4975}">
    <text>WTT - UK &amp; overseas elec</text>
  </threadedComment>
  <threadedComment ref="F383" dT="2021-08-31T21:25:15.34" personId="{3A6EA67F-5BA1-4A73-8CD5-ABD8C930DFC5}" id="{7AD8380D-5A56-4629-B67D-262CE5DD47DC}">
    <text>rename "pharmaceutical wholesaler" and regroup with Chemical Products above; EF should include pharma AND drugs &amp; druggists' sundries</text>
  </threadedComment>
  <threadedComment ref="F388" dT="2021-08-31T21:33:14.60" personId="{3A6EA67F-5BA1-4A73-8CD5-ABD8C930DFC5}" id="{74D2BF9E-2CC7-458E-94A4-FFD6D69D1C06}">
    <text>rename to "wholesale surgical appliance and supplies" and include with miscellanous manufacturing above (EFs to be combined)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epa.gov/egrid/summary-data" TargetMode="External"/><Relationship Id="rId3" Type="http://schemas.openxmlformats.org/officeDocument/2006/relationships/hyperlink" Target="https://ghgprotocol.org/calculation-tools" TargetMode="External"/><Relationship Id="rId7" Type="http://schemas.openxmlformats.org/officeDocument/2006/relationships/hyperlink" Target="https://www.epa.gov/ghgemissions/understanding-global-warming-potentials" TargetMode="External"/><Relationship Id="rId2" Type="http://schemas.openxmlformats.org/officeDocument/2006/relationships/hyperlink" Target="https://www.ipcc.ch/publications_and_data/ar4/wg1/en/ch2s2-10-2.html" TargetMode="External"/><Relationship Id="rId1" Type="http://schemas.openxmlformats.org/officeDocument/2006/relationships/hyperlink" Target="https://ghgprotocol.org/calculation-tools" TargetMode="External"/><Relationship Id="rId6" Type="http://schemas.openxmlformats.org/officeDocument/2006/relationships/hyperlink" Target="https://www.eia.gov/energyexplained/biofuels/biodiesel-rd-other-use-supply.php" TargetMode="External"/><Relationship Id="rId5" Type="http://schemas.openxmlformats.org/officeDocument/2006/relationships/hyperlink" Target="https://www.eia.gov/energyexplained/biofuels/ethanol-use.php" TargetMode="External"/><Relationship Id="rId10" Type="http://schemas.openxmlformats.org/officeDocument/2006/relationships/drawing" Target="../drawings/drawing9.xml"/><Relationship Id="rId4" Type="http://schemas.openxmlformats.org/officeDocument/2006/relationships/hyperlink" Target="https://www.bochealthcare.co.uk/en/images/HLC_506810-MGDS%20Medical%20carbon%20dioxide%28web%29_tcm409-61147.pdf"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www.bls.gov/data/inflation_calculator.ht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practicegreenhealth.org/membership" TargetMode="External"/><Relationship Id="rId2" Type="http://schemas.openxmlformats.org/officeDocument/2006/relationships/hyperlink" Target="https://ghgprotocol.org/" TargetMode="External"/><Relationship Id="rId1" Type="http://schemas.openxmlformats.org/officeDocument/2006/relationships/hyperlink" Target="https://www.epa.gov/ghgemissions/overview-greenhouse-gase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epa.gov/egrid/power-profile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ivotTable" Target="../pivotTables/pivotTable4.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8" Type="http://schemas.openxmlformats.org/officeDocument/2006/relationships/table" Target="../tables/table5.xml"/><Relationship Id="rId13" Type="http://schemas.microsoft.com/office/2017/10/relationships/threadedComment" Target="../threadedComments/threadedComment2.xml"/><Relationship Id="rId3" Type="http://schemas.openxmlformats.org/officeDocument/2006/relationships/vmlDrawing" Target="../drawings/vmlDrawing8.vml"/><Relationship Id="rId7" Type="http://schemas.openxmlformats.org/officeDocument/2006/relationships/table" Target="../tables/table4.xml"/><Relationship Id="rId12" Type="http://schemas.openxmlformats.org/officeDocument/2006/relationships/comments" Target="../comments2.xml"/><Relationship Id="rId2" Type="http://schemas.openxmlformats.org/officeDocument/2006/relationships/printerSettings" Target="../printerSettings/printerSettings20.bin"/><Relationship Id="rId1" Type="http://schemas.openxmlformats.org/officeDocument/2006/relationships/hyperlink" Target="https://www.epa.gov/system/files/documents/2022-04/ghg_emission_factors_hub.pdf" TargetMode="External"/><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pa.gov/climateleadership/determine-organizational-boundaries" TargetMode="Externa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eia.gov/consumption/commercial/data/2018/index.php?view=consumption" TargetMode="External"/><Relationship Id="rId2" Type="http://schemas.openxmlformats.org/officeDocument/2006/relationships/hyperlink" Target="https://www.epa.gov/system/files/documents/2022-04/ghg_emission_factors_hub.pdf" TargetMode="External"/><Relationship Id="rId1" Type="http://schemas.openxmlformats.org/officeDocument/2006/relationships/hyperlink" Target="https://www.epa.gov/system/files/documents/2022-04/ghg_emission_factors_hub.pdf" TargetMode="External"/><Relationship Id="rId6" Type="http://schemas.openxmlformats.org/officeDocument/2006/relationships/printerSettings" Target="../printerSettings/printerSettings24.bin"/><Relationship Id="rId5" Type="http://schemas.openxmlformats.org/officeDocument/2006/relationships/hyperlink" Target="https://www.eia.gov/consumption/commercial/data/2018/index.php?view=consumption" TargetMode="External"/><Relationship Id="rId4" Type="http://schemas.openxmlformats.org/officeDocument/2006/relationships/hyperlink" Target="https://www.eia.gov/consumption/commercial/data/2018/index.php?view=consumption"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bts.gov/browse-statistical-products-and-data/state-transportation-statistics/commute-mode" TargetMode="External"/><Relationship Id="rId1" Type="http://schemas.openxmlformats.org/officeDocument/2006/relationships/hyperlink" Target="https://www.streetlightdata.com/wp-content/uploads/2018/03/Commutes-Across-America_180201.pdf"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3.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census.gov/naics/?58967?yearbck=2017"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4E494"/>
  </sheetPr>
  <dimension ref="A1:G30"/>
  <sheetViews>
    <sheetView tabSelected="1" zoomScale="80" zoomScaleNormal="80" workbookViewId="0">
      <pane xSplit="1" ySplit="3" topLeftCell="B4" activePane="bottomRight" state="frozen"/>
      <selection activeCell="C4" sqref="C4"/>
      <selection pane="topRight" activeCell="C4" sqref="C4"/>
      <selection pane="bottomLeft" activeCell="C4" sqref="C4"/>
      <selection pane="bottomRight" activeCell="C15" sqref="C15"/>
    </sheetView>
  </sheetViews>
  <sheetFormatPr defaultColWidth="10.5" defaultRowHeight="14.25"/>
  <cols>
    <col min="1" max="1" width="6.625" style="667" customWidth="1"/>
    <col min="2" max="2" width="25.625" style="75" customWidth="1"/>
    <col min="3" max="3" width="115.875" style="75" customWidth="1"/>
    <col min="4" max="4" width="15.125" style="75" bestFit="1" customWidth="1"/>
    <col min="5" max="5" width="13.625" style="667" customWidth="1"/>
    <col min="6" max="6" width="67.875" style="75" bestFit="1" customWidth="1"/>
    <col min="7" max="7" width="69" style="75" customWidth="1"/>
    <col min="8" max="16384" width="10.5" style="75"/>
  </cols>
  <sheetData>
    <row r="1" spans="1:7" ht="118.5" customHeight="1">
      <c r="A1" s="861"/>
      <c r="B1" s="872" t="s">
        <v>5640</v>
      </c>
      <c r="C1" s="873" t="s">
        <v>4437</v>
      </c>
      <c r="D1" s="862"/>
      <c r="E1" s="863"/>
    </row>
    <row r="2" spans="1:7" ht="6" customHeight="1"/>
    <row r="3" spans="1:7" s="867" customFormat="1" ht="12.75">
      <c r="A3" s="864" t="s">
        <v>5428</v>
      </c>
      <c r="B3" s="865" t="s">
        <v>5432</v>
      </c>
      <c r="C3" s="866" t="s">
        <v>1521</v>
      </c>
      <c r="D3" s="866"/>
      <c r="E3" s="864"/>
      <c r="F3" s="866"/>
      <c r="G3" s="866"/>
    </row>
    <row r="4" spans="1:7" ht="20.25">
      <c r="B4" s="1006" t="s">
        <v>5741</v>
      </c>
    </row>
    <row r="5" spans="1:7">
      <c r="A5" s="996">
        <v>1.1000000000000001</v>
      </c>
      <c r="B5" s="1030" t="s">
        <v>5794</v>
      </c>
      <c r="C5" s="997" t="s">
        <v>5793</v>
      </c>
    </row>
    <row r="6" spans="1:7">
      <c r="A6" s="996">
        <v>1</v>
      </c>
      <c r="B6" s="1030" t="s">
        <v>5742</v>
      </c>
      <c r="C6" s="997" t="s">
        <v>5740</v>
      </c>
    </row>
    <row r="8" spans="1:7" ht="15.75">
      <c r="B8" s="1007" t="s">
        <v>5796</v>
      </c>
    </row>
    <row r="9" spans="1:7" ht="15.75">
      <c r="B9" s="1007" t="s">
        <v>5797</v>
      </c>
    </row>
    <row r="11" spans="1:7" ht="15.75">
      <c r="B11" s="1007" t="s">
        <v>5795</v>
      </c>
    </row>
    <row r="12" spans="1:7">
      <c r="A12" s="996">
        <v>3</v>
      </c>
      <c r="B12" s="997" t="s">
        <v>5645</v>
      </c>
      <c r="C12" s="997" t="s">
        <v>5646</v>
      </c>
    </row>
    <row r="14" spans="1:7">
      <c r="A14" s="996" t="s">
        <v>4425</v>
      </c>
      <c r="B14" s="1030" t="s">
        <v>5649</v>
      </c>
      <c r="C14" s="997" t="s">
        <v>5650</v>
      </c>
    </row>
    <row r="15" spans="1:7" ht="28.5">
      <c r="A15" s="996" t="s">
        <v>4424</v>
      </c>
      <c r="B15" s="997" t="s">
        <v>5647</v>
      </c>
      <c r="C15" s="998" t="s">
        <v>5648</v>
      </c>
    </row>
    <row r="16" spans="1:7" ht="57">
      <c r="A16" s="996">
        <v>2</v>
      </c>
      <c r="B16" s="997" t="s">
        <v>5643</v>
      </c>
      <c r="C16" s="998" t="s">
        <v>5644</v>
      </c>
    </row>
    <row r="17" spans="1:3" ht="128.25">
      <c r="A17" s="996">
        <v>1</v>
      </c>
      <c r="B17" s="1029" t="s">
        <v>5641</v>
      </c>
      <c r="C17" s="998" t="s">
        <v>5642</v>
      </c>
    </row>
    <row r="18" spans="1:3">
      <c r="A18" s="1243"/>
      <c r="B18" s="1244"/>
      <c r="C18" s="1245"/>
    </row>
    <row r="19" spans="1:3">
      <c r="A19" s="1243"/>
      <c r="B19" s="1244"/>
      <c r="C19" s="1245"/>
    </row>
    <row r="22" spans="1:3" ht="15">
      <c r="B22" s="93"/>
    </row>
    <row r="23" spans="1:3">
      <c r="A23" s="996"/>
      <c r="B23" s="997"/>
      <c r="C23" s="997"/>
    </row>
    <row r="24" spans="1:3">
      <c r="A24" s="996"/>
      <c r="B24" s="997"/>
      <c r="C24" s="997"/>
    </row>
    <row r="25" spans="1:3">
      <c r="A25" s="996"/>
      <c r="B25" s="997"/>
      <c r="C25" s="997"/>
    </row>
    <row r="26" spans="1:3">
      <c r="A26" s="996"/>
      <c r="B26" s="997"/>
      <c r="C26" s="997"/>
    </row>
    <row r="27" spans="1:3">
      <c r="A27" s="996"/>
      <c r="B27" s="997"/>
      <c r="C27" s="997"/>
    </row>
    <row r="28" spans="1:3">
      <c r="A28" s="996"/>
      <c r="B28" s="997"/>
      <c r="C28" s="997"/>
    </row>
    <row r="29" spans="1:3">
      <c r="A29" s="996"/>
      <c r="B29" s="997"/>
      <c r="C29" s="997"/>
    </row>
    <row r="30" spans="1:3">
      <c r="A30" s="996"/>
      <c r="B30" s="997"/>
      <c r="C30" s="997"/>
    </row>
  </sheetData>
  <sheetProtection algorithmName="SHA-512" hashValue="5/QYs0cpC4Q04fr88U1JrqALX3Ix25bfaRLjLXP+Wetn50VGNItfO0Y17yNZLVccZy/X34SlUpsDZyU4XabM5g==" saltValue="4K/CReZRwms3xHnLnX9DqA==" spinCount="100000" sheet="1" selectLockedCells="1"/>
  <pageMargins left="0.7" right="0.7" top="0.75" bottom="0.75" header="0.3" footer="0.3"/>
  <pageSetup paperSize="9" scale="3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94E494"/>
  </sheetPr>
  <dimension ref="A1:G359"/>
  <sheetViews>
    <sheetView showGridLines="0" zoomScale="70" zoomScaleNormal="70" workbookViewId="0">
      <selection activeCell="A8" sqref="A8:F8"/>
    </sheetView>
  </sheetViews>
  <sheetFormatPr defaultColWidth="10.5" defaultRowHeight="14.25"/>
  <cols>
    <col min="1" max="1" width="14.875" style="795" bestFit="1" customWidth="1"/>
    <col min="2" max="2" width="11.375" style="795" customWidth="1"/>
    <col min="3" max="3" width="11.875" style="795" customWidth="1"/>
    <col min="4" max="4" width="44.625" style="795" customWidth="1"/>
    <col min="5" max="5" width="11.25" style="795" bestFit="1" customWidth="1"/>
    <col min="6" max="6" width="34.125" style="795" customWidth="1"/>
    <col min="7" max="7" width="58.875" style="795" customWidth="1"/>
    <col min="8" max="16384" width="10.5" style="796"/>
  </cols>
  <sheetData>
    <row r="1" spans="1:7" s="4" customFormat="1" ht="23.25">
      <c r="D1" s="1022" t="str">
        <f>+Instructions!B2</f>
        <v>Health Care Emissions Impact Calculator-Facility</v>
      </c>
    </row>
    <row r="2" spans="1:7" s="4" customFormat="1"/>
    <row r="3" spans="1:7" s="4" customFormat="1"/>
    <row r="4" spans="1:7" s="4" customFormat="1"/>
    <row r="5" spans="1:7" s="4" customFormat="1"/>
    <row r="6" spans="1:7" s="4" customFormat="1" ht="15">
      <c r="A6" s="1" t="s">
        <v>4393</v>
      </c>
      <c r="B6" s="647"/>
      <c r="C6" s="328"/>
    </row>
    <row r="7" spans="1:7" s="4" customFormat="1">
      <c r="A7" s="1191" t="s">
        <v>5762</v>
      </c>
      <c r="B7" s="1191"/>
      <c r="C7" s="1191"/>
      <c r="D7" s="1191"/>
      <c r="E7" s="1191"/>
      <c r="F7" s="1191"/>
    </row>
    <row r="8" spans="1:7" s="4" customFormat="1" ht="30.6" customHeight="1">
      <c r="A8" s="1119" t="s">
        <v>5763</v>
      </c>
      <c r="B8" s="1119"/>
      <c r="C8" s="1119"/>
      <c r="D8" s="1119"/>
      <c r="E8" s="1119"/>
      <c r="F8" s="1119"/>
    </row>
    <row r="9" spans="1:7" s="4" customFormat="1"/>
    <row r="10" spans="1:7" s="790" customFormat="1" ht="25.5">
      <c r="A10" s="789" t="s">
        <v>4502</v>
      </c>
      <c r="B10" s="789" t="s">
        <v>4445</v>
      </c>
      <c r="C10" s="789" t="s">
        <v>2</v>
      </c>
      <c r="D10" s="789" t="s">
        <v>4503</v>
      </c>
      <c r="E10" s="789" t="s">
        <v>4504</v>
      </c>
      <c r="F10" s="789" t="s">
        <v>4505</v>
      </c>
      <c r="G10" s="789" t="s">
        <v>4506</v>
      </c>
    </row>
    <row r="11" spans="1:7" s="794" customFormat="1">
      <c r="A11" s="791"/>
      <c r="B11" s="792"/>
      <c r="C11" s="792"/>
      <c r="D11" s="792"/>
      <c r="E11" s="793"/>
      <c r="F11" s="792"/>
      <c r="G11" s="792"/>
    </row>
    <row r="12" spans="1:7" s="794" customFormat="1">
      <c r="A12" s="791"/>
      <c r="B12" s="792"/>
      <c r="C12" s="792"/>
      <c r="D12" s="792"/>
      <c r="E12" s="793"/>
      <c r="F12" s="792"/>
      <c r="G12" s="792"/>
    </row>
    <row r="13" spans="1:7" s="794" customFormat="1">
      <c r="A13" s="791"/>
      <c r="B13" s="792"/>
      <c r="C13" s="792"/>
      <c r="D13" s="792"/>
      <c r="E13" s="793"/>
      <c r="F13" s="792"/>
      <c r="G13" s="792"/>
    </row>
    <row r="14" spans="1:7">
      <c r="D14" s="792"/>
    </row>
    <row r="15" spans="1:7">
      <c r="D15" s="792"/>
    </row>
    <row r="16" spans="1:7">
      <c r="D16" s="792"/>
    </row>
    <row r="17" spans="4:4">
      <c r="D17" s="792"/>
    </row>
    <row r="18" spans="4:4">
      <c r="D18" s="792"/>
    </row>
    <row r="19" spans="4:4">
      <c r="D19" s="792"/>
    </row>
    <row r="20" spans="4:4">
      <c r="D20" s="792"/>
    </row>
    <row r="21" spans="4:4">
      <c r="D21" s="792"/>
    </row>
    <row r="22" spans="4:4">
      <c r="D22" s="792"/>
    </row>
    <row r="23" spans="4:4">
      <c r="D23" s="792"/>
    </row>
    <row r="24" spans="4:4">
      <c r="D24" s="792"/>
    </row>
    <row r="25" spans="4:4">
      <c r="D25" s="792"/>
    </row>
    <row r="26" spans="4:4">
      <c r="D26" s="792"/>
    </row>
    <row r="27" spans="4:4">
      <c r="D27" s="792"/>
    </row>
    <row r="28" spans="4:4">
      <c r="D28" s="792"/>
    </row>
    <row r="29" spans="4:4">
      <c r="D29" s="792"/>
    </row>
    <row r="30" spans="4:4">
      <c r="D30" s="792"/>
    </row>
    <row r="31" spans="4:4">
      <c r="D31" s="792"/>
    </row>
    <row r="32" spans="4:4">
      <c r="D32" s="792"/>
    </row>
    <row r="33" spans="4:4">
      <c r="D33" s="792"/>
    </row>
    <row r="34" spans="4:4">
      <c r="D34" s="792"/>
    </row>
    <row r="35" spans="4:4">
      <c r="D35" s="792"/>
    </row>
    <row r="36" spans="4:4">
      <c r="D36" s="792"/>
    </row>
    <row r="37" spans="4:4">
      <c r="D37" s="792"/>
    </row>
    <row r="38" spans="4:4">
      <c r="D38" s="792"/>
    </row>
    <row r="39" spans="4:4">
      <c r="D39" s="792"/>
    </row>
    <row r="40" spans="4:4">
      <c r="D40" s="792"/>
    </row>
    <row r="41" spans="4:4">
      <c r="D41" s="792"/>
    </row>
    <row r="42" spans="4:4">
      <c r="D42" s="792"/>
    </row>
    <row r="43" spans="4:4">
      <c r="D43" s="792"/>
    </row>
    <row r="44" spans="4:4">
      <c r="D44" s="792"/>
    </row>
    <row r="45" spans="4:4">
      <c r="D45" s="792"/>
    </row>
    <row r="46" spans="4:4">
      <c r="D46" s="792"/>
    </row>
    <row r="47" spans="4:4">
      <c r="D47" s="792"/>
    </row>
    <row r="48" spans="4:4">
      <c r="D48" s="792"/>
    </row>
    <row r="49" spans="4:4">
      <c r="D49" s="792"/>
    </row>
    <row r="50" spans="4:4">
      <c r="D50" s="792"/>
    </row>
    <row r="51" spans="4:4">
      <c r="D51" s="792"/>
    </row>
    <row r="52" spans="4:4">
      <c r="D52" s="792"/>
    </row>
    <row r="53" spans="4:4">
      <c r="D53" s="792"/>
    </row>
    <row r="54" spans="4:4">
      <c r="D54" s="792"/>
    </row>
    <row r="55" spans="4:4">
      <c r="D55" s="792"/>
    </row>
    <row r="56" spans="4:4">
      <c r="D56" s="792"/>
    </row>
    <row r="57" spans="4:4">
      <c r="D57" s="792"/>
    </row>
    <row r="58" spans="4:4">
      <c r="D58" s="792"/>
    </row>
    <row r="59" spans="4:4">
      <c r="D59" s="792"/>
    </row>
    <row r="60" spans="4:4">
      <c r="D60" s="792"/>
    </row>
    <row r="61" spans="4:4">
      <c r="D61" s="792"/>
    </row>
    <row r="62" spans="4:4">
      <c r="D62" s="792"/>
    </row>
    <row r="63" spans="4:4">
      <c r="D63" s="792"/>
    </row>
    <row r="64" spans="4:4">
      <c r="D64" s="792"/>
    </row>
    <row r="65" spans="4:4">
      <c r="D65" s="792"/>
    </row>
    <row r="66" spans="4:4">
      <c r="D66" s="792"/>
    </row>
    <row r="67" spans="4:4">
      <c r="D67" s="792"/>
    </row>
    <row r="68" spans="4:4">
      <c r="D68" s="792"/>
    </row>
    <row r="69" spans="4:4">
      <c r="D69" s="792"/>
    </row>
    <row r="70" spans="4:4">
      <c r="D70" s="792"/>
    </row>
    <row r="71" spans="4:4">
      <c r="D71" s="792"/>
    </row>
    <row r="72" spans="4:4">
      <c r="D72" s="792"/>
    </row>
    <row r="73" spans="4:4">
      <c r="D73" s="792"/>
    </row>
    <row r="74" spans="4:4">
      <c r="D74" s="792"/>
    </row>
    <row r="75" spans="4:4">
      <c r="D75" s="792"/>
    </row>
    <row r="76" spans="4:4">
      <c r="D76" s="792"/>
    </row>
    <row r="77" spans="4:4">
      <c r="D77" s="792"/>
    </row>
    <row r="78" spans="4:4">
      <c r="D78" s="792"/>
    </row>
    <row r="79" spans="4:4">
      <c r="D79" s="792"/>
    </row>
    <row r="80" spans="4:4">
      <c r="D80" s="792"/>
    </row>
    <row r="81" spans="4:4">
      <c r="D81" s="792"/>
    </row>
    <row r="82" spans="4:4">
      <c r="D82" s="792"/>
    </row>
    <row r="83" spans="4:4">
      <c r="D83" s="792"/>
    </row>
    <row r="84" spans="4:4">
      <c r="D84" s="792"/>
    </row>
    <row r="85" spans="4:4">
      <c r="D85" s="792"/>
    </row>
    <row r="86" spans="4:4">
      <c r="D86" s="792"/>
    </row>
    <row r="87" spans="4:4">
      <c r="D87" s="792"/>
    </row>
    <row r="88" spans="4:4">
      <c r="D88" s="792"/>
    </row>
    <row r="89" spans="4:4">
      <c r="D89" s="792"/>
    </row>
    <row r="90" spans="4:4">
      <c r="D90" s="792"/>
    </row>
    <row r="91" spans="4:4">
      <c r="D91" s="792"/>
    </row>
    <row r="92" spans="4:4">
      <c r="D92" s="792"/>
    </row>
    <row r="93" spans="4:4">
      <c r="D93" s="792"/>
    </row>
    <row r="94" spans="4:4">
      <c r="D94" s="792"/>
    </row>
    <row r="95" spans="4:4">
      <c r="D95" s="792"/>
    </row>
    <row r="96" spans="4:4">
      <c r="D96" s="792"/>
    </row>
    <row r="97" spans="4:4">
      <c r="D97" s="792"/>
    </row>
    <row r="98" spans="4:4">
      <c r="D98" s="792"/>
    </row>
    <row r="99" spans="4:4">
      <c r="D99" s="792"/>
    </row>
    <row r="100" spans="4:4">
      <c r="D100" s="792"/>
    </row>
    <row r="101" spans="4:4">
      <c r="D101" s="792"/>
    </row>
    <row r="102" spans="4:4">
      <c r="D102" s="792"/>
    </row>
    <row r="103" spans="4:4">
      <c r="D103" s="792"/>
    </row>
    <row r="104" spans="4:4">
      <c r="D104" s="792"/>
    </row>
    <row r="105" spans="4:4">
      <c r="D105" s="792"/>
    </row>
    <row r="106" spans="4:4">
      <c r="D106" s="792"/>
    </row>
    <row r="107" spans="4:4">
      <c r="D107" s="792"/>
    </row>
    <row r="108" spans="4:4">
      <c r="D108" s="792"/>
    </row>
    <row r="109" spans="4:4">
      <c r="D109" s="792"/>
    </row>
    <row r="110" spans="4:4">
      <c r="D110" s="792"/>
    </row>
    <row r="111" spans="4:4">
      <c r="D111" s="792"/>
    </row>
    <row r="112" spans="4:4">
      <c r="D112" s="792"/>
    </row>
    <row r="113" spans="4:4">
      <c r="D113" s="792"/>
    </row>
    <row r="114" spans="4:4">
      <c r="D114" s="792"/>
    </row>
    <row r="115" spans="4:4">
      <c r="D115" s="792"/>
    </row>
    <row r="116" spans="4:4">
      <c r="D116" s="792"/>
    </row>
    <row r="117" spans="4:4">
      <c r="D117" s="792"/>
    </row>
    <row r="118" spans="4:4">
      <c r="D118" s="792"/>
    </row>
    <row r="119" spans="4:4">
      <c r="D119" s="792"/>
    </row>
    <row r="120" spans="4:4">
      <c r="D120" s="792"/>
    </row>
    <row r="121" spans="4:4">
      <c r="D121" s="792"/>
    </row>
    <row r="122" spans="4:4">
      <c r="D122" s="792"/>
    </row>
    <row r="123" spans="4:4">
      <c r="D123" s="792"/>
    </row>
    <row r="124" spans="4:4">
      <c r="D124" s="792"/>
    </row>
    <row r="125" spans="4:4">
      <c r="D125" s="792"/>
    </row>
    <row r="126" spans="4:4">
      <c r="D126" s="792"/>
    </row>
    <row r="127" spans="4:4">
      <c r="D127" s="792"/>
    </row>
    <row r="128" spans="4:4">
      <c r="D128" s="792"/>
    </row>
    <row r="129" spans="4:4">
      <c r="D129" s="792"/>
    </row>
    <row r="130" spans="4:4">
      <c r="D130" s="792"/>
    </row>
    <row r="131" spans="4:4">
      <c r="D131" s="792"/>
    </row>
    <row r="132" spans="4:4">
      <c r="D132" s="792"/>
    </row>
    <row r="133" spans="4:4">
      <c r="D133" s="792"/>
    </row>
    <row r="134" spans="4:4">
      <c r="D134" s="792"/>
    </row>
    <row r="135" spans="4:4">
      <c r="D135" s="792"/>
    </row>
    <row r="136" spans="4:4">
      <c r="D136" s="792"/>
    </row>
    <row r="137" spans="4:4">
      <c r="D137" s="792"/>
    </row>
    <row r="138" spans="4:4">
      <c r="D138" s="792"/>
    </row>
    <row r="139" spans="4:4">
      <c r="D139" s="792"/>
    </row>
    <row r="140" spans="4:4">
      <c r="D140" s="792"/>
    </row>
    <row r="141" spans="4:4">
      <c r="D141" s="792"/>
    </row>
    <row r="142" spans="4:4">
      <c r="D142" s="792"/>
    </row>
    <row r="143" spans="4:4">
      <c r="D143" s="792"/>
    </row>
    <row r="144" spans="4:4">
      <c r="D144" s="792"/>
    </row>
    <row r="145" spans="4:4">
      <c r="D145" s="792"/>
    </row>
    <row r="146" spans="4:4">
      <c r="D146" s="792"/>
    </row>
    <row r="147" spans="4:4">
      <c r="D147" s="792"/>
    </row>
    <row r="148" spans="4:4">
      <c r="D148" s="792"/>
    </row>
    <row r="149" spans="4:4">
      <c r="D149" s="792"/>
    </row>
    <row r="150" spans="4:4">
      <c r="D150" s="792"/>
    </row>
    <row r="151" spans="4:4">
      <c r="D151" s="792"/>
    </row>
    <row r="152" spans="4:4">
      <c r="D152" s="792"/>
    </row>
    <row r="153" spans="4:4">
      <c r="D153" s="792"/>
    </row>
    <row r="154" spans="4:4">
      <c r="D154" s="792"/>
    </row>
    <row r="155" spans="4:4">
      <c r="D155" s="792"/>
    </row>
    <row r="156" spans="4:4">
      <c r="D156" s="792"/>
    </row>
    <row r="157" spans="4:4">
      <c r="D157" s="792"/>
    </row>
    <row r="158" spans="4:4">
      <c r="D158" s="792"/>
    </row>
    <row r="159" spans="4:4">
      <c r="D159" s="792"/>
    </row>
    <row r="160" spans="4:4">
      <c r="D160" s="792"/>
    </row>
    <row r="161" spans="4:4">
      <c r="D161" s="792"/>
    </row>
    <row r="162" spans="4:4">
      <c r="D162" s="792"/>
    </row>
    <row r="163" spans="4:4">
      <c r="D163" s="792"/>
    </row>
    <row r="164" spans="4:4">
      <c r="D164" s="792"/>
    </row>
    <row r="165" spans="4:4">
      <c r="D165" s="792"/>
    </row>
    <row r="166" spans="4:4">
      <c r="D166" s="792"/>
    </row>
    <row r="167" spans="4:4">
      <c r="D167" s="792"/>
    </row>
    <row r="168" spans="4:4">
      <c r="D168" s="792"/>
    </row>
    <row r="169" spans="4:4">
      <c r="D169" s="792"/>
    </row>
    <row r="170" spans="4:4">
      <c r="D170" s="792"/>
    </row>
    <row r="171" spans="4:4">
      <c r="D171" s="792"/>
    </row>
    <row r="172" spans="4:4">
      <c r="D172" s="792"/>
    </row>
    <row r="173" spans="4:4">
      <c r="D173" s="792"/>
    </row>
    <row r="174" spans="4:4">
      <c r="D174" s="792"/>
    </row>
    <row r="175" spans="4:4">
      <c r="D175" s="792"/>
    </row>
    <row r="176" spans="4:4">
      <c r="D176" s="792"/>
    </row>
    <row r="177" spans="4:4">
      <c r="D177" s="792"/>
    </row>
    <row r="178" spans="4:4">
      <c r="D178" s="792"/>
    </row>
    <row r="179" spans="4:4">
      <c r="D179" s="792"/>
    </row>
    <row r="180" spans="4:4">
      <c r="D180" s="792"/>
    </row>
    <row r="181" spans="4:4">
      <c r="D181" s="792"/>
    </row>
    <row r="182" spans="4:4">
      <c r="D182" s="792"/>
    </row>
    <row r="183" spans="4:4">
      <c r="D183" s="792"/>
    </row>
    <row r="184" spans="4:4">
      <c r="D184" s="792"/>
    </row>
    <row r="185" spans="4:4">
      <c r="D185" s="792"/>
    </row>
    <row r="186" spans="4:4">
      <c r="D186" s="792"/>
    </row>
    <row r="187" spans="4:4">
      <c r="D187" s="792"/>
    </row>
    <row r="188" spans="4:4">
      <c r="D188" s="792"/>
    </row>
    <row r="189" spans="4:4">
      <c r="D189" s="792"/>
    </row>
    <row r="190" spans="4:4">
      <c r="D190" s="792"/>
    </row>
    <row r="191" spans="4:4">
      <c r="D191" s="792"/>
    </row>
    <row r="192" spans="4:4">
      <c r="D192" s="792"/>
    </row>
    <row r="193" spans="4:4">
      <c r="D193" s="792"/>
    </row>
    <row r="194" spans="4:4">
      <c r="D194" s="792"/>
    </row>
    <row r="195" spans="4:4">
      <c r="D195" s="792"/>
    </row>
    <row r="196" spans="4:4">
      <c r="D196" s="792"/>
    </row>
    <row r="197" spans="4:4">
      <c r="D197" s="792"/>
    </row>
    <row r="198" spans="4:4">
      <c r="D198" s="792"/>
    </row>
    <row r="199" spans="4:4">
      <c r="D199" s="792"/>
    </row>
    <row r="200" spans="4:4">
      <c r="D200" s="792"/>
    </row>
    <row r="201" spans="4:4">
      <c r="D201" s="792"/>
    </row>
    <row r="202" spans="4:4">
      <c r="D202" s="792"/>
    </row>
    <row r="203" spans="4:4">
      <c r="D203" s="792"/>
    </row>
    <row r="204" spans="4:4">
      <c r="D204" s="792"/>
    </row>
    <row r="205" spans="4:4">
      <c r="D205" s="792"/>
    </row>
    <row r="206" spans="4:4">
      <c r="D206" s="792"/>
    </row>
    <row r="207" spans="4:4">
      <c r="D207" s="792"/>
    </row>
    <row r="208" spans="4:4">
      <c r="D208" s="792"/>
    </row>
    <row r="209" spans="4:4">
      <c r="D209" s="792"/>
    </row>
    <row r="210" spans="4:4">
      <c r="D210" s="792"/>
    </row>
    <row r="211" spans="4:4">
      <c r="D211" s="792"/>
    </row>
    <row r="212" spans="4:4">
      <c r="D212" s="792"/>
    </row>
    <row r="213" spans="4:4">
      <c r="D213" s="792"/>
    </row>
    <row r="214" spans="4:4">
      <c r="D214" s="792"/>
    </row>
    <row r="215" spans="4:4">
      <c r="D215" s="792"/>
    </row>
    <row r="216" spans="4:4">
      <c r="D216" s="792"/>
    </row>
    <row r="217" spans="4:4">
      <c r="D217" s="792"/>
    </row>
    <row r="218" spans="4:4">
      <c r="D218" s="792"/>
    </row>
    <row r="219" spans="4:4">
      <c r="D219" s="792"/>
    </row>
    <row r="220" spans="4:4">
      <c r="D220" s="792"/>
    </row>
    <row r="221" spans="4:4">
      <c r="D221" s="792"/>
    </row>
    <row r="222" spans="4:4">
      <c r="D222" s="792"/>
    </row>
    <row r="223" spans="4:4">
      <c r="D223" s="792"/>
    </row>
    <row r="224" spans="4:4">
      <c r="D224" s="792"/>
    </row>
    <row r="225" spans="4:4">
      <c r="D225" s="792"/>
    </row>
    <row r="226" spans="4:4">
      <c r="D226" s="792"/>
    </row>
    <row r="227" spans="4:4">
      <c r="D227" s="792"/>
    </row>
    <row r="228" spans="4:4">
      <c r="D228" s="792"/>
    </row>
    <row r="229" spans="4:4">
      <c r="D229" s="792"/>
    </row>
    <row r="230" spans="4:4">
      <c r="D230" s="792"/>
    </row>
    <row r="231" spans="4:4">
      <c r="D231" s="792"/>
    </row>
    <row r="232" spans="4:4">
      <c r="D232" s="792"/>
    </row>
    <row r="233" spans="4:4">
      <c r="D233" s="792"/>
    </row>
    <row r="234" spans="4:4">
      <c r="D234" s="792"/>
    </row>
    <row r="235" spans="4:4">
      <c r="D235" s="792"/>
    </row>
    <row r="236" spans="4:4">
      <c r="D236" s="792"/>
    </row>
    <row r="237" spans="4:4">
      <c r="D237" s="792"/>
    </row>
    <row r="238" spans="4:4">
      <c r="D238" s="792"/>
    </row>
    <row r="239" spans="4:4">
      <c r="D239" s="792"/>
    </row>
    <row r="240" spans="4:4">
      <c r="D240" s="792"/>
    </row>
    <row r="241" spans="4:4">
      <c r="D241" s="792"/>
    </row>
    <row r="242" spans="4:4">
      <c r="D242" s="792"/>
    </row>
    <row r="243" spans="4:4">
      <c r="D243" s="792"/>
    </row>
    <row r="244" spans="4:4">
      <c r="D244" s="792"/>
    </row>
    <row r="245" spans="4:4">
      <c r="D245" s="792"/>
    </row>
    <row r="246" spans="4:4">
      <c r="D246" s="792"/>
    </row>
    <row r="247" spans="4:4">
      <c r="D247" s="792"/>
    </row>
    <row r="248" spans="4:4">
      <c r="D248" s="792"/>
    </row>
    <row r="249" spans="4:4">
      <c r="D249" s="792"/>
    </row>
    <row r="250" spans="4:4">
      <c r="D250" s="792"/>
    </row>
    <row r="251" spans="4:4">
      <c r="D251" s="792"/>
    </row>
    <row r="252" spans="4:4">
      <c r="D252" s="792"/>
    </row>
    <row r="253" spans="4:4">
      <c r="D253" s="792"/>
    </row>
    <row r="254" spans="4:4">
      <c r="D254" s="792"/>
    </row>
    <row r="255" spans="4:4">
      <c r="D255" s="792"/>
    </row>
    <row r="256" spans="4:4">
      <c r="D256" s="792"/>
    </row>
    <row r="257" spans="4:4">
      <c r="D257" s="792"/>
    </row>
    <row r="258" spans="4:4">
      <c r="D258" s="792"/>
    </row>
    <row r="259" spans="4:4">
      <c r="D259" s="792"/>
    </row>
    <row r="260" spans="4:4">
      <c r="D260" s="792"/>
    </row>
    <row r="261" spans="4:4">
      <c r="D261" s="792"/>
    </row>
    <row r="262" spans="4:4">
      <c r="D262" s="792"/>
    </row>
    <row r="263" spans="4:4">
      <c r="D263" s="792"/>
    </row>
    <row r="264" spans="4:4">
      <c r="D264" s="792"/>
    </row>
    <row r="265" spans="4:4">
      <c r="D265" s="792"/>
    </row>
    <row r="266" spans="4:4">
      <c r="D266" s="792"/>
    </row>
    <row r="267" spans="4:4">
      <c r="D267" s="792"/>
    </row>
    <row r="268" spans="4:4">
      <c r="D268" s="792"/>
    </row>
    <row r="269" spans="4:4">
      <c r="D269" s="792"/>
    </row>
    <row r="270" spans="4:4">
      <c r="D270" s="792"/>
    </row>
    <row r="271" spans="4:4">
      <c r="D271" s="792"/>
    </row>
    <row r="272" spans="4:4">
      <c r="D272" s="792"/>
    </row>
    <row r="273" spans="4:4">
      <c r="D273" s="792"/>
    </row>
    <row r="274" spans="4:4">
      <c r="D274" s="792"/>
    </row>
    <row r="275" spans="4:4">
      <c r="D275" s="792"/>
    </row>
    <row r="276" spans="4:4">
      <c r="D276" s="792"/>
    </row>
    <row r="277" spans="4:4">
      <c r="D277" s="792"/>
    </row>
    <row r="278" spans="4:4">
      <c r="D278" s="792"/>
    </row>
    <row r="279" spans="4:4">
      <c r="D279" s="792"/>
    </row>
    <row r="280" spans="4:4">
      <c r="D280" s="792"/>
    </row>
    <row r="281" spans="4:4">
      <c r="D281" s="792"/>
    </row>
    <row r="282" spans="4:4">
      <c r="D282" s="792"/>
    </row>
    <row r="283" spans="4:4">
      <c r="D283" s="792"/>
    </row>
    <row r="284" spans="4:4">
      <c r="D284" s="792"/>
    </row>
    <row r="285" spans="4:4">
      <c r="D285" s="792"/>
    </row>
    <row r="286" spans="4:4">
      <c r="D286" s="792"/>
    </row>
    <row r="287" spans="4:4">
      <c r="D287" s="792"/>
    </row>
    <row r="288" spans="4:4">
      <c r="D288" s="792"/>
    </row>
    <row r="289" spans="4:4">
      <c r="D289" s="792"/>
    </row>
    <row r="290" spans="4:4">
      <c r="D290" s="792"/>
    </row>
    <row r="291" spans="4:4">
      <c r="D291" s="792"/>
    </row>
    <row r="292" spans="4:4">
      <c r="D292" s="792"/>
    </row>
    <row r="293" spans="4:4">
      <c r="D293" s="792"/>
    </row>
    <row r="294" spans="4:4">
      <c r="D294" s="792"/>
    </row>
    <row r="295" spans="4:4">
      <c r="D295" s="792"/>
    </row>
    <row r="296" spans="4:4">
      <c r="D296" s="792"/>
    </row>
    <row r="297" spans="4:4">
      <c r="D297" s="792"/>
    </row>
    <row r="298" spans="4:4">
      <c r="D298" s="792"/>
    </row>
    <row r="299" spans="4:4">
      <c r="D299" s="792"/>
    </row>
    <row r="300" spans="4:4">
      <c r="D300" s="792"/>
    </row>
    <row r="301" spans="4:4">
      <c r="D301" s="792"/>
    </row>
    <row r="302" spans="4:4">
      <c r="D302" s="792"/>
    </row>
    <row r="303" spans="4:4">
      <c r="D303" s="792"/>
    </row>
    <row r="304" spans="4:4">
      <c r="D304" s="792"/>
    </row>
    <row r="305" spans="4:4">
      <c r="D305" s="792"/>
    </row>
    <row r="306" spans="4:4">
      <c r="D306" s="792"/>
    </row>
    <row r="307" spans="4:4">
      <c r="D307" s="792"/>
    </row>
    <row r="308" spans="4:4">
      <c r="D308" s="792"/>
    </row>
    <row r="309" spans="4:4">
      <c r="D309" s="792"/>
    </row>
    <row r="310" spans="4:4">
      <c r="D310" s="792"/>
    </row>
    <row r="311" spans="4:4">
      <c r="D311" s="792"/>
    </row>
    <row r="312" spans="4:4">
      <c r="D312" s="792"/>
    </row>
    <row r="313" spans="4:4">
      <c r="D313" s="792"/>
    </row>
    <row r="314" spans="4:4">
      <c r="D314" s="792"/>
    </row>
    <row r="315" spans="4:4">
      <c r="D315" s="792"/>
    </row>
    <row r="316" spans="4:4">
      <c r="D316" s="792"/>
    </row>
    <row r="317" spans="4:4">
      <c r="D317" s="792"/>
    </row>
    <row r="318" spans="4:4">
      <c r="D318" s="792"/>
    </row>
    <row r="319" spans="4:4">
      <c r="D319" s="792"/>
    </row>
    <row r="320" spans="4:4">
      <c r="D320" s="792"/>
    </row>
    <row r="321" spans="4:4">
      <c r="D321" s="792"/>
    </row>
    <row r="322" spans="4:4">
      <c r="D322" s="792"/>
    </row>
    <row r="323" spans="4:4">
      <c r="D323" s="792"/>
    </row>
    <row r="324" spans="4:4">
      <c r="D324" s="792"/>
    </row>
    <row r="325" spans="4:4">
      <c r="D325" s="792"/>
    </row>
    <row r="326" spans="4:4">
      <c r="D326" s="792"/>
    </row>
    <row r="327" spans="4:4">
      <c r="D327" s="792"/>
    </row>
    <row r="328" spans="4:4">
      <c r="D328" s="792"/>
    </row>
    <row r="329" spans="4:4">
      <c r="D329" s="792"/>
    </row>
    <row r="330" spans="4:4">
      <c r="D330" s="792"/>
    </row>
    <row r="331" spans="4:4">
      <c r="D331" s="792"/>
    </row>
    <row r="332" spans="4:4">
      <c r="D332" s="792"/>
    </row>
    <row r="333" spans="4:4">
      <c r="D333" s="792"/>
    </row>
    <row r="334" spans="4:4">
      <c r="D334" s="792"/>
    </row>
    <row r="335" spans="4:4">
      <c r="D335" s="792"/>
    </row>
    <row r="336" spans="4:4">
      <c r="D336" s="792"/>
    </row>
    <row r="337" spans="4:4">
      <c r="D337" s="792"/>
    </row>
    <row r="338" spans="4:4">
      <c r="D338" s="792"/>
    </row>
    <row r="339" spans="4:4">
      <c r="D339" s="792"/>
    </row>
    <row r="340" spans="4:4">
      <c r="D340" s="792"/>
    </row>
    <row r="341" spans="4:4">
      <c r="D341" s="792"/>
    </row>
    <row r="342" spans="4:4">
      <c r="D342" s="792"/>
    </row>
    <row r="343" spans="4:4">
      <c r="D343" s="792"/>
    </row>
    <row r="344" spans="4:4">
      <c r="D344" s="792"/>
    </row>
    <row r="345" spans="4:4">
      <c r="D345" s="792"/>
    </row>
    <row r="346" spans="4:4">
      <c r="D346" s="792"/>
    </row>
    <row r="347" spans="4:4">
      <c r="D347" s="792"/>
    </row>
    <row r="348" spans="4:4">
      <c r="D348" s="792"/>
    </row>
    <row r="349" spans="4:4">
      <c r="D349" s="792"/>
    </row>
    <row r="350" spans="4:4">
      <c r="D350" s="792"/>
    </row>
    <row r="351" spans="4:4">
      <c r="D351" s="792"/>
    </row>
    <row r="352" spans="4:4">
      <c r="D352" s="792"/>
    </row>
    <row r="353" spans="4:4">
      <c r="D353" s="792"/>
    </row>
    <row r="354" spans="4:4">
      <c r="D354" s="792"/>
    </row>
    <row r="355" spans="4:4">
      <c r="D355" s="792"/>
    </row>
    <row r="356" spans="4:4">
      <c r="D356" s="792"/>
    </row>
    <row r="357" spans="4:4">
      <c r="D357" s="792"/>
    </row>
    <row r="358" spans="4:4">
      <c r="D358" s="792"/>
    </row>
    <row r="359" spans="4:4">
      <c r="D359" s="792"/>
    </row>
  </sheetData>
  <sheetProtection algorithmName="SHA-512" hashValue="BMb1Ldf1IG7/Fm3FXOjSear506OUX1lWjppHU9XriedKeXvJGGIMr5tah6o1uhDX7xkmsMNrUgKRaOAj2PHsHw==" saltValue="lf+X07yJiDPLPHf0hwZhMQ==" spinCount="100000" sheet="1" objects="1" scenarios="1"/>
  <mergeCells count="2">
    <mergeCell ref="A7:F7"/>
    <mergeCell ref="A8:F8"/>
  </mergeCells>
  <pageMargins left="0.7" right="0.7" top="0.82291666666666663" bottom="0.75" header="0.3" footer="0.3"/>
  <pageSetup orientation="portrait"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'S1&amp;2 Lists'!$CK$3:$CK$17</xm:f>
          </x14:formula1>
          <xm:sqref>D11:D359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94E494"/>
  </sheetPr>
  <dimension ref="A1:G58"/>
  <sheetViews>
    <sheetView showGridLines="0" zoomScaleNormal="100" workbookViewId="0">
      <pane xSplit="1" ySplit="3" topLeftCell="B28" activePane="bottomRight" state="frozen"/>
      <selection activeCell="C4" sqref="C4"/>
      <selection pane="topRight" activeCell="C4" sqref="C4"/>
      <selection pane="bottomLeft" activeCell="C4" sqref="C4"/>
      <selection pane="bottomRight" activeCell="F35" sqref="F35"/>
    </sheetView>
  </sheetViews>
  <sheetFormatPr defaultColWidth="10.5" defaultRowHeight="14.25"/>
  <cols>
    <col min="1" max="1" width="6.625" style="667" customWidth="1"/>
    <col min="2" max="2" width="25.625" style="75" customWidth="1"/>
    <col min="3" max="3" width="49" style="75" customWidth="1"/>
    <col min="4" max="4" width="15.125" style="75" bestFit="1" customWidth="1"/>
    <col min="5" max="5" width="13.625" style="667" customWidth="1"/>
    <col min="6" max="6" width="67.875" style="75" bestFit="1" customWidth="1"/>
    <col min="7" max="7" width="69" style="75" customWidth="1"/>
    <col min="8" max="16384" width="10.5" style="75"/>
  </cols>
  <sheetData>
    <row r="1" spans="1:7" ht="156" customHeight="1">
      <c r="A1" s="861"/>
      <c r="B1" s="861" t="s">
        <v>1380</v>
      </c>
      <c r="D1" s="1023" t="str">
        <f>+Instructions!B2</f>
        <v>Health Care Emissions Impact Calculator-Facility</v>
      </c>
      <c r="E1" s="863"/>
    </row>
    <row r="2" spans="1:7" ht="6" customHeight="1"/>
    <row r="3" spans="1:7" s="867" customFormat="1" ht="12.75">
      <c r="A3" s="1063" t="s">
        <v>5428</v>
      </c>
      <c r="B3" s="1064" t="s">
        <v>5429</v>
      </c>
      <c r="C3" s="1065" t="s">
        <v>5430</v>
      </c>
      <c r="D3" s="1065" t="s">
        <v>5431</v>
      </c>
      <c r="E3" s="1066" t="s">
        <v>5432</v>
      </c>
      <c r="F3" s="1065" t="s">
        <v>5433</v>
      </c>
      <c r="G3" s="1067" t="s">
        <v>4511</v>
      </c>
    </row>
    <row r="4" spans="1:7" s="867" customFormat="1" ht="12.75">
      <c r="A4" s="1068">
        <v>1</v>
      </c>
      <c r="B4" s="1069" t="s">
        <v>5434</v>
      </c>
      <c r="C4" s="1070" t="s">
        <v>5435</v>
      </c>
      <c r="D4" s="1070" t="s">
        <v>5436</v>
      </c>
      <c r="E4" s="1071">
        <v>2006</v>
      </c>
      <c r="F4" s="1072" t="s">
        <v>5437</v>
      </c>
      <c r="G4" s="1073"/>
    </row>
    <row r="5" spans="1:7" s="867" customFormat="1" ht="12.75">
      <c r="A5" s="1068">
        <v>2</v>
      </c>
      <c r="B5" s="1074" t="s">
        <v>5434</v>
      </c>
      <c r="C5" s="1070" t="s">
        <v>5438</v>
      </c>
      <c r="D5" s="1070" t="s">
        <v>5439</v>
      </c>
      <c r="E5" s="1071">
        <v>2006</v>
      </c>
      <c r="F5" s="1072" t="s">
        <v>5437</v>
      </c>
      <c r="G5" s="1073"/>
    </row>
    <row r="6" spans="1:7" s="867" customFormat="1" ht="12.75">
      <c r="A6" s="1068">
        <v>3</v>
      </c>
      <c r="B6" s="1074" t="s">
        <v>5434</v>
      </c>
      <c r="C6" s="1070" t="s">
        <v>5440</v>
      </c>
      <c r="D6" s="1070" t="s">
        <v>5441</v>
      </c>
      <c r="E6" s="1071">
        <v>2006</v>
      </c>
      <c r="F6" s="1072" t="s">
        <v>5437</v>
      </c>
      <c r="G6" s="1073"/>
    </row>
    <row r="7" spans="1:7" s="867" customFormat="1" ht="12.75">
      <c r="A7" s="1068">
        <v>4</v>
      </c>
      <c r="B7" s="1074" t="s">
        <v>5434</v>
      </c>
      <c r="C7" s="1070" t="s">
        <v>5440</v>
      </c>
      <c r="D7" s="1070" t="s">
        <v>5442</v>
      </c>
      <c r="E7" s="1071">
        <v>2006</v>
      </c>
      <c r="F7" s="1072" t="s">
        <v>5437</v>
      </c>
      <c r="G7" s="1073"/>
    </row>
    <row r="8" spans="1:7" s="867" customFormat="1" ht="12.75">
      <c r="A8" s="1068">
        <v>5</v>
      </c>
      <c r="B8" s="1074" t="s">
        <v>5434</v>
      </c>
      <c r="C8" s="1070" t="s">
        <v>5443</v>
      </c>
      <c r="D8" s="1070" t="s">
        <v>5444</v>
      </c>
      <c r="E8" s="1071">
        <v>2007</v>
      </c>
      <c r="F8" s="1075" t="s">
        <v>5445</v>
      </c>
      <c r="G8" s="1076" t="s">
        <v>5446</v>
      </c>
    </row>
    <row r="9" spans="1:7" s="867" customFormat="1" ht="12.75">
      <c r="A9" s="1068">
        <v>6</v>
      </c>
      <c r="B9" s="1074" t="s">
        <v>5447</v>
      </c>
      <c r="C9" s="1070" t="s">
        <v>5448</v>
      </c>
      <c r="D9" s="1070"/>
      <c r="E9" s="1071">
        <v>2010</v>
      </c>
      <c r="F9" s="1072"/>
      <c r="G9" s="1073"/>
    </row>
    <row r="10" spans="1:7" s="867" customFormat="1" ht="36.75" customHeight="1">
      <c r="A10" s="1068">
        <v>7</v>
      </c>
      <c r="B10" s="1074" t="s">
        <v>5449</v>
      </c>
      <c r="C10" s="1070" t="s">
        <v>5450</v>
      </c>
      <c r="D10" s="1070"/>
      <c r="E10" s="1077">
        <v>42236</v>
      </c>
      <c r="F10" s="1072" t="s">
        <v>5451</v>
      </c>
      <c r="G10" s="1073"/>
    </row>
    <row r="11" spans="1:7" s="867" customFormat="1" ht="25.5">
      <c r="A11" s="1068">
        <v>8</v>
      </c>
      <c r="B11" s="1074" t="s">
        <v>5452</v>
      </c>
      <c r="C11" s="1070" t="s">
        <v>5453</v>
      </c>
      <c r="D11" s="1070" t="s">
        <v>5454</v>
      </c>
      <c r="E11" s="1078">
        <v>42795</v>
      </c>
      <c r="F11" s="1075" t="s">
        <v>5455</v>
      </c>
      <c r="G11" s="1073"/>
    </row>
    <row r="12" spans="1:7" s="867" customFormat="1" ht="25.5">
      <c r="A12" s="1068">
        <v>9</v>
      </c>
      <c r="B12" s="1074" t="s">
        <v>5452</v>
      </c>
      <c r="C12" s="1070" t="s">
        <v>5453</v>
      </c>
      <c r="D12" s="1070" t="s">
        <v>5456</v>
      </c>
      <c r="E12" s="1078">
        <v>42795</v>
      </c>
      <c r="F12" s="1072" t="s">
        <v>5455</v>
      </c>
      <c r="G12" s="1073"/>
    </row>
    <row r="13" spans="1:7" s="867" customFormat="1" ht="102" customHeight="1">
      <c r="A13" s="1068">
        <v>10</v>
      </c>
      <c r="B13" s="1074" t="s">
        <v>5457</v>
      </c>
      <c r="C13" s="1070" t="s">
        <v>5458</v>
      </c>
      <c r="D13" s="1074" t="s">
        <v>5459</v>
      </c>
      <c r="E13" s="1071"/>
      <c r="F13" s="1072"/>
      <c r="G13" s="1079" t="s">
        <v>5460</v>
      </c>
    </row>
    <row r="14" spans="1:7" s="867" customFormat="1" ht="25.5">
      <c r="A14" s="1068">
        <v>11</v>
      </c>
      <c r="B14" s="1074" t="s">
        <v>5461</v>
      </c>
      <c r="C14" s="1074" t="s">
        <v>5462</v>
      </c>
      <c r="D14" s="1070"/>
      <c r="E14" s="1078">
        <v>42339</v>
      </c>
      <c r="F14" s="1072" t="s">
        <v>5463</v>
      </c>
      <c r="G14" s="1073"/>
    </row>
    <row r="15" spans="1:7" s="867" customFormat="1" ht="108.6" customHeight="1">
      <c r="A15" s="1068">
        <v>12</v>
      </c>
      <c r="B15" s="1074" t="s">
        <v>5434</v>
      </c>
      <c r="C15" s="1070" t="s">
        <v>5464</v>
      </c>
      <c r="D15" s="1070" t="s">
        <v>5465</v>
      </c>
      <c r="E15" s="1071">
        <v>2006</v>
      </c>
      <c r="F15" s="1072" t="s">
        <v>5437</v>
      </c>
      <c r="G15" s="1079" t="s">
        <v>5466</v>
      </c>
    </row>
    <row r="16" spans="1:7" s="867" customFormat="1" ht="12.75">
      <c r="A16" s="1068">
        <v>13</v>
      </c>
      <c r="B16" s="1074" t="s">
        <v>5467</v>
      </c>
      <c r="C16" s="1070" t="s">
        <v>5468</v>
      </c>
      <c r="D16" s="1070" t="s">
        <v>5469</v>
      </c>
      <c r="E16" s="1078">
        <v>42339</v>
      </c>
      <c r="F16" s="1072" t="s">
        <v>5470</v>
      </c>
      <c r="G16" s="1073"/>
    </row>
    <row r="17" spans="1:7" s="867" customFormat="1" ht="25.5">
      <c r="A17" s="1068">
        <v>14</v>
      </c>
      <c r="B17" s="1074" t="s">
        <v>5471</v>
      </c>
      <c r="C17" s="1074" t="s">
        <v>5472</v>
      </c>
      <c r="D17" s="1070"/>
      <c r="E17" s="1080">
        <v>2012</v>
      </c>
      <c r="F17" s="1072" t="s">
        <v>5473</v>
      </c>
      <c r="G17" s="1073"/>
    </row>
    <row r="18" spans="1:7" s="867" customFormat="1" ht="38.25">
      <c r="A18" s="1068">
        <v>15</v>
      </c>
      <c r="B18" s="1074" t="s">
        <v>5474</v>
      </c>
      <c r="C18" s="1074" t="s">
        <v>5475</v>
      </c>
      <c r="D18" s="1074" t="s">
        <v>5476</v>
      </c>
      <c r="E18" s="1081" t="s">
        <v>5477</v>
      </c>
      <c r="F18" s="1082" t="s">
        <v>5478</v>
      </c>
      <c r="G18" s="1079" t="s">
        <v>5479</v>
      </c>
    </row>
    <row r="19" spans="1:7" s="867" customFormat="1" ht="12.75">
      <c r="A19" s="1068">
        <v>16</v>
      </c>
      <c r="B19" s="1074" t="s">
        <v>5434</v>
      </c>
      <c r="C19" s="1070" t="s">
        <v>5480</v>
      </c>
      <c r="D19" s="1070" t="s">
        <v>5481</v>
      </c>
      <c r="E19" s="1071">
        <v>2006</v>
      </c>
      <c r="F19" s="1072" t="s">
        <v>5437</v>
      </c>
      <c r="G19" s="1073" t="s">
        <v>5482</v>
      </c>
    </row>
    <row r="20" spans="1:7" s="867" customFormat="1" ht="12.75">
      <c r="A20" s="1068">
        <v>17</v>
      </c>
      <c r="B20" s="1074" t="s">
        <v>5434</v>
      </c>
      <c r="C20" s="1070" t="s">
        <v>5483</v>
      </c>
      <c r="D20" s="1070" t="s">
        <v>5484</v>
      </c>
      <c r="E20" s="1071">
        <v>2006</v>
      </c>
      <c r="F20" s="1072" t="s">
        <v>5437</v>
      </c>
      <c r="G20" s="1073"/>
    </row>
    <row r="21" spans="1:7" s="867" customFormat="1" ht="25.5">
      <c r="A21" s="1068">
        <v>18</v>
      </c>
      <c r="B21" s="1074" t="s">
        <v>5434</v>
      </c>
      <c r="C21" s="1070" t="s">
        <v>5483</v>
      </c>
      <c r="D21" s="1070" t="s">
        <v>5485</v>
      </c>
      <c r="E21" s="1071">
        <v>2006</v>
      </c>
      <c r="F21" s="1072" t="s">
        <v>5437</v>
      </c>
      <c r="G21" s="1079" t="s">
        <v>5486</v>
      </c>
    </row>
    <row r="22" spans="1:7" s="867" customFormat="1" ht="12.75">
      <c r="A22" s="1068">
        <v>19</v>
      </c>
      <c r="B22" s="1074" t="s">
        <v>5434</v>
      </c>
      <c r="C22" s="1070" t="s">
        <v>5483</v>
      </c>
      <c r="D22" s="1070" t="s">
        <v>5487</v>
      </c>
      <c r="E22" s="1071">
        <v>2006</v>
      </c>
      <c r="F22" s="1072" t="s">
        <v>5437</v>
      </c>
      <c r="G22" s="1079"/>
    </row>
    <row r="23" spans="1:7" s="867" customFormat="1" ht="12.75">
      <c r="A23" s="1068">
        <v>20</v>
      </c>
      <c r="B23" s="1074" t="s">
        <v>5434</v>
      </c>
      <c r="C23" s="1070" t="s">
        <v>5464</v>
      </c>
      <c r="D23" s="1070" t="s">
        <v>5439</v>
      </c>
      <c r="E23" s="1071">
        <v>2006</v>
      </c>
      <c r="F23" s="1072" t="s">
        <v>5437</v>
      </c>
      <c r="G23" s="1079"/>
    </row>
    <row r="24" spans="1:7" s="867" customFormat="1" ht="12.75">
      <c r="A24" s="1068">
        <v>21</v>
      </c>
      <c r="B24" s="1074" t="s">
        <v>5434</v>
      </c>
      <c r="C24" s="1070" t="s">
        <v>5464</v>
      </c>
      <c r="D24" s="1070" t="s">
        <v>5488</v>
      </c>
      <c r="E24" s="1071">
        <v>2006</v>
      </c>
      <c r="F24" s="1072" t="s">
        <v>5437</v>
      </c>
      <c r="G24" s="1079"/>
    </row>
    <row r="25" spans="1:7" s="867" customFormat="1" ht="12.75">
      <c r="A25" s="1068">
        <v>22</v>
      </c>
      <c r="B25" s="1074" t="s">
        <v>5434</v>
      </c>
      <c r="C25" s="1070" t="s">
        <v>5464</v>
      </c>
      <c r="D25" s="1070" t="s">
        <v>5469</v>
      </c>
      <c r="E25" s="1071">
        <v>2006</v>
      </c>
      <c r="F25" s="1072" t="s">
        <v>5437</v>
      </c>
      <c r="G25" s="1079"/>
    </row>
    <row r="26" spans="1:7" s="867" customFormat="1" ht="12.75">
      <c r="A26" s="1068">
        <v>23</v>
      </c>
      <c r="B26" s="1070" t="s">
        <v>5489</v>
      </c>
      <c r="C26" s="1070" t="s">
        <v>5490</v>
      </c>
      <c r="D26" s="1070" t="s">
        <v>5491</v>
      </c>
      <c r="E26" s="1071">
        <v>2016</v>
      </c>
      <c r="F26" s="1072"/>
      <c r="G26" s="1073"/>
    </row>
    <row r="27" spans="1:7" s="867" customFormat="1" ht="25.5">
      <c r="A27" s="1068">
        <v>24</v>
      </c>
      <c r="B27" s="1074" t="s">
        <v>5452</v>
      </c>
      <c r="C27" s="1070" t="s">
        <v>5453</v>
      </c>
      <c r="D27" s="1070" t="s">
        <v>5492</v>
      </c>
      <c r="E27" s="1078">
        <v>42795</v>
      </c>
      <c r="F27" s="1075" t="s">
        <v>5455</v>
      </c>
      <c r="G27" s="1079"/>
    </row>
    <row r="28" spans="1:7" s="867" customFormat="1" ht="46.5" customHeight="1">
      <c r="A28" s="1068">
        <v>25</v>
      </c>
      <c r="B28" s="1074" t="s">
        <v>5449</v>
      </c>
      <c r="C28" s="1074" t="s">
        <v>5493</v>
      </c>
      <c r="D28" s="1074" t="s">
        <v>5494</v>
      </c>
      <c r="E28" s="1083">
        <v>2010</v>
      </c>
      <c r="F28" s="1082" t="s">
        <v>5495</v>
      </c>
      <c r="G28" s="1079" t="s">
        <v>5496</v>
      </c>
    </row>
    <row r="29" spans="1:7" s="867" customFormat="1" ht="27" customHeight="1">
      <c r="A29" s="1068">
        <v>26</v>
      </c>
      <c r="B29" s="1074" t="s">
        <v>5497</v>
      </c>
      <c r="C29" s="1074" t="s">
        <v>5498</v>
      </c>
      <c r="D29" s="1070"/>
      <c r="E29" s="1081"/>
      <c r="F29" s="1082" t="s">
        <v>5499</v>
      </c>
      <c r="G29" s="1079" t="s">
        <v>5446</v>
      </c>
    </row>
    <row r="30" spans="1:7" s="867" customFormat="1" ht="27" customHeight="1">
      <c r="A30" s="1068">
        <v>27</v>
      </c>
      <c r="B30" s="1074" t="s">
        <v>5500</v>
      </c>
      <c r="C30" s="1074" t="s">
        <v>5501</v>
      </c>
      <c r="D30" s="1070"/>
      <c r="E30" s="1081"/>
      <c r="F30" s="1082" t="s">
        <v>5502</v>
      </c>
      <c r="G30" s="1079"/>
    </row>
    <row r="31" spans="1:7" s="867" customFormat="1" ht="12.75">
      <c r="A31" s="1068">
        <v>28</v>
      </c>
      <c r="B31" s="1074" t="s">
        <v>5434</v>
      </c>
      <c r="C31" s="1070" t="s">
        <v>5503</v>
      </c>
      <c r="D31" s="1070" t="s">
        <v>5504</v>
      </c>
      <c r="E31" s="1071">
        <v>2007</v>
      </c>
      <c r="F31" s="1072" t="s">
        <v>5445</v>
      </c>
      <c r="G31" s="1079" t="s">
        <v>5446</v>
      </c>
    </row>
    <row r="32" spans="1:7" s="867" customFormat="1" ht="27" customHeight="1">
      <c r="A32" s="1068">
        <v>29</v>
      </c>
      <c r="B32" s="1074" t="s">
        <v>5505</v>
      </c>
      <c r="C32" s="1074" t="s">
        <v>5506</v>
      </c>
      <c r="D32" s="1074" t="s">
        <v>5507</v>
      </c>
      <c r="E32" s="1084">
        <v>41030</v>
      </c>
      <c r="F32" s="1082"/>
      <c r="G32" s="1079"/>
    </row>
    <row r="33" spans="1:7" s="867" customFormat="1" ht="27" customHeight="1">
      <c r="A33" s="1068">
        <v>30</v>
      </c>
      <c r="B33" s="1074" t="s">
        <v>5508</v>
      </c>
      <c r="C33" s="1074" t="s">
        <v>5509</v>
      </c>
      <c r="D33" s="1074"/>
      <c r="E33" s="1084"/>
      <c r="F33" s="1082" t="s">
        <v>5510</v>
      </c>
      <c r="G33" s="1079"/>
    </row>
    <row r="34" spans="1:7" s="867" customFormat="1" ht="27" customHeight="1">
      <c r="A34" s="1068">
        <v>31</v>
      </c>
      <c r="B34" s="1074" t="s">
        <v>5508</v>
      </c>
      <c r="C34" s="1074" t="s">
        <v>5511</v>
      </c>
      <c r="D34" s="1074"/>
      <c r="E34" s="1084"/>
      <c r="F34" s="1082" t="s">
        <v>5512</v>
      </c>
      <c r="G34" s="1079"/>
    </row>
    <row r="35" spans="1:7" s="867" customFormat="1" ht="25.5">
      <c r="A35" s="1085">
        <v>32</v>
      </c>
      <c r="B35" s="1074" t="s">
        <v>5513</v>
      </c>
      <c r="C35" s="1074" t="s">
        <v>5514</v>
      </c>
      <c r="D35" s="1074" t="s">
        <v>5515</v>
      </c>
      <c r="E35" s="1083">
        <v>2021</v>
      </c>
      <c r="F35" s="1074"/>
      <c r="G35" s="1079" t="s">
        <v>5516</v>
      </c>
    </row>
    <row r="36" spans="1:7" s="867" customFormat="1">
      <c r="A36" s="1085">
        <v>33</v>
      </c>
      <c r="B36" s="1074" t="s">
        <v>5513</v>
      </c>
      <c r="C36" s="1074" t="s">
        <v>5790</v>
      </c>
      <c r="D36" s="1074" t="s">
        <v>5791</v>
      </c>
      <c r="E36" s="1083">
        <v>2021</v>
      </c>
      <c r="F36" s="150" t="s">
        <v>5792</v>
      </c>
      <c r="G36" s="1079"/>
    </row>
    <row r="37" spans="1:7" s="867" customFormat="1" ht="45.75" customHeight="1">
      <c r="A37" s="1068">
        <v>33</v>
      </c>
      <c r="B37" s="1074" t="s">
        <v>5434</v>
      </c>
      <c r="C37" s="1070" t="s">
        <v>5464</v>
      </c>
      <c r="D37" s="1070" t="s">
        <v>5439</v>
      </c>
      <c r="E37" s="1071">
        <v>2006</v>
      </c>
      <c r="F37" s="1072" t="s">
        <v>5437</v>
      </c>
      <c r="G37" s="1079"/>
    </row>
    <row r="38" spans="1:7" s="867" customFormat="1" ht="45.75" customHeight="1">
      <c r="A38" s="1068">
        <v>34</v>
      </c>
      <c r="B38" s="1074" t="s">
        <v>5517</v>
      </c>
      <c r="C38" s="1070" t="s">
        <v>5518</v>
      </c>
      <c r="D38" s="1070"/>
      <c r="E38" s="1086">
        <v>44075</v>
      </c>
      <c r="F38" s="1087" t="s">
        <v>5519</v>
      </c>
      <c r="G38" s="1079"/>
    </row>
    <row r="39" spans="1:7" ht="42.75">
      <c r="A39" s="1088">
        <v>35</v>
      </c>
      <c r="B39" s="1089"/>
      <c r="C39" s="1089" t="s">
        <v>5768</v>
      </c>
      <c r="D39" s="1092" t="s">
        <v>5772</v>
      </c>
      <c r="E39" s="1090">
        <v>2021</v>
      </c>
      <c r="F39" s="1093" t="s">
        <v>5769</v>
      </c>
      <c r="G39" s="1091"/>
    </row>
    <row r="40" spans="1:7" ht="42.75">
      <c r="A40" s="1088">
        <v>36</v>
      </c>
      <c r="B40" s="1089"/>
      <c r="C40" s="1089" t="s">
        <v>5770</v>
      </c>
      <c r="D40" s="1092" t="s">
        <v>5772</v>
      </c>
      <c r="E40" s="1090">
        <v>2021</v>
      </c>
      <c r="F40" s="1093" t="s">
        <v>5771</v>
      </c>
      <c r="G40" s="1091"/>
    </row>
    <row r="41" spans="1:7">
      <c r="A41" s="1088">
        <v>37</v>
      </c>
      <c r="B41" s="1089"/>
      <c r="C41" s="1089"/>
      <c r="D41" s="1089"/>
      <c r="E41" s="1090"/>
      <c r="F41" s="1089"/>
      <c r="G41" s="1091"/>
    </row>
    <row r="42" spans="1:7" ht="57">
      <c r="A42" s="1088">
        <v>38</v>
      </c>
      <c r="B42" s="1089"/>
      <c r="C42" s="1089" t="s">
        <v>5786</v>
      </c>
      <c r="D42" s="1092" t="s">
        <v>5787</v>
      </c>
      <c r="E42" s="1090">
        <v>2021</v>
      </c>
      <c r="F42" s="1093" t="s">
        <v>5788</v>
      </c>
      <c r="G42" s="1091"/>
    </row>
    <row r="43" spans="1:7">
      <c r="A43" s="1088">
        <v>39</v>
      </c>
      <c r="B43" s="1089"/>
      <c r="C43" s="1089"/>
      <c r="D43" s="1089"/>
      <c r="E43" s="1090"/>
      <c r="F43" s="1089"/>
      <c r="G43" s="1091"/>
    </row>
    <row r="44" spans="1:7">
      <c r="A44" s="1088">
        <v>40</v>
      </c>
      <c r="B44" s="1089"/>
      <c r="C44" s="1089"/>
      <c r="D44" s="1089"/>
      <c r="E44" s="1090"/>
      <c r="F44" s="1089"/>
      <c r="G44" s="1091"/>
    </row>
    <row r="45" spans="1:7">
      <c r="A45" s="1088"/>
      <c r="B45" s="1089"/>
      <c r="C45" s="1089"/>
      <c r="D45" s="1089"/>
      <c r="E45" s="1090"/>
      <c r="F45" s="1089"/>
      <c r="G45" s="1091"/>
    </row>
    <row r="46" spans="1:7">
      <c r="A46" s="1088"/>
      <c r="B46" s="1089"/>
      <c r="C46" s="1089"/>
      <c r="D46" s="1089"/>
      <c r="E46" s="1090"/>
      <c r="F46" s="1089"/>
      <c r="G46" s="1091"/>
    </row>
    <row r="47" spans="1:7">
      <c r="A47" s="1088"/>
      <c r="B47" s="1089"/>
      <c r="C47" s="1089"/>
      <c r="D47" s="1089"/>
      <c r="E47" s="1090"/>
      <c r="F47" s="1089"/>
      <c r="G47" s="1091"/>
    </row>
    <row r="48" spans="1:7">
      <c r="A48" s="1088"/>
      <c r="B48" s="1089"/>
      <c r="C48" s="1089"/>
      <c r="D48" s="1089"/>
      <c r="E48" s="1090"/>
      <c r="F48" s="1089"/>
      <c r="G48" s="1091"/>
    </row>
    <row r="49" spans="1:7">
      <c r="A49" s="1088"/>
      <c r="B49" s="1089"/>
      <c r="C49" s="1089"/>
      <c r="D49" s="1089"/>
      <c r="E49" s="1090"/>
      <c r="F49" s="1089"/>
      <c r="G49" s="1091"/>
    </row>
    <row r="50" spans="1:7">
      <c r="A50" s="1088"/>
      <c r="B50" s="1089"/>
      <c r="C50" s="1089"/>
      <c r="D50" s="1089"/>
      <c r="E50" s="1090"/>
      <c r="F50" s="1089"/>
      <c r="G50" s="1091"/>
    </row>
    <row r="51" spans="1:7">
      <c r="A51" s="1088"/>
      <c r="B51" s="1089"/>
      <c r="C51" s="1089"/>
      <c r="D51" s="1089"/>
      <c r="E51" s="1090"/>
      <c r="F51" s="1089"/>
      <c r="G51" s="1091"/>
    </row>
    <row r="52" spans="1:7">
      <c r="A52" s="1088"/>
      <c r="B52" s="1089"/>
      <c r="C52" s="1089"/>
      <c r="D52" s="1089"/>
      <c r="E52" s="1090"/>
      <c r="F52" s="1089"/>
      <c r="G52" s="1091"/>
    </row>
    <row r="53" spans="1:7">
      <c r="A53" s="1088"/>
      <c r="B53" s="1089"/>
      <c r="C53" s="1089"/>
      <c r="D53" s="1089"/>
      <c r="E53" s="1090"/>
      <c r="F53" s="1089"/>
      <c r="G53" s="1091"/>
    </row>
    <row r="54" spans="1:7">
      <c r="A54" s="1088"/>
      <c r="B54" s="1089"/>
      <c r="C54" s="1089"/>
      <c r="D54" s="1089"/>
      <c r="E54" s="1090"/>
      <c r="F54" s="1089"/>
      <c r="G54" s="1091"/>
    </row>
    <row r="55" spans="1:7">
      <c r="A55" s="1088"/>
      <c r="B55" s="1089"/>
      <c r="C55" s="1089"/>
      <c r="D55" s="1089"/>
      <c r="E55" s="1090"/>
      <c r="F55" s="1089"/>
      <c r="G55" s="1091"/>
    </row>
    <row r="56" spans="1:7">
      <c r="A56" s="1088"/>
      <c r="B56" s="1089"/>
      <c r="C56" s="1089"/>
      <c r="D56" s="1089"/>
      <c r="E56" s="1090"/>
      <c r="F56" s="1089"/>
      <c r="G56" s="1091"/>
    </row>
    <row r="57" spans="1:7">
      <c r="A57" s="1088"/>
      <c r="B57" s="1089"/>
      <c r="C57" s="1089"/>
      <c r="D57" s="1089"/>
      <c r="E57" s="1090"/>
      <c r="F57" s="1089"/>
      <c r="G57" s="1091"/>
    </row>
    <row r="58" spans="1:7">
      <c r="A58" s="1094"/>
      <c r="B58" s="1095"/>
      <c r="C58" s="1095"/>
      <c r="D58" s="1095"/>
      <c r="E58" s="1096"/>
      <c r="F58" s="1095"/>
      <c r="G58" s="1097"/>
    </row>
  </sheetData>
  <sheetProtection algorithmName="SHA-512" hashValue="X3W9e8Y7rDbKcBCV2gic2HFBuQSFQta/5byBjw4teNlQWEdmGmIvZ/TUTdh2oCgiuAJstaRXQ6R3eyG0wr6cWg==" saltValue="DnejRIFIB6ycX/phKqfOBA==" spinCount="100000" sheet="1"/>
  <hyperlinks>
    <hyperlink ref="F11" r:id="rId1" xr:uid="{00000000-0004-0000-0A00-000000000000}"/>
    <hyperlink ref="F8" r:id="rId2" xr:uid="{00000000-0004-0000-0A00-000001000000}"/>
    <hyperlink ref="F27" r:id="rId3" xr:uid="{00000000-0004-0000-0A00-000002000000}"/>
    <hyperlink ref="F34" r:id="rId4" display="https://www.bochealthcare.co.uk/en/images/HLC_506810-MGDS Medical carbon dioxide%28web%29_tcm409-61147.pdf" xr:uid="{00000000-0004-0000-0A00-000003000000}"/>
    <hyperlink ref="F39" r:id="rId5" display="https://www.eia.gov/energyexplained/biofuels/ethanol-use.php" xr:uid="{00000000-0004-0000-0A00-000004000000}"/>
    <hyperlink ref="F40" r:id="rId6" display="https://www.eia.gov/energyexplained/biofuels/biodiesel-rd-other-use-supply.php" xr:uid="{00000000-0004-0000-0A00-000005000000}"/>
    <hyperlink ref="F42" r:id="rId7" display="https://www.epa.gov/ghgemissions/understanding-global-warming-potentials" xr:uid="{00000000-0004-0000-0A00-000006000000}"/>
    <hyperlink ref="F36" r:id="rId8" display="https://www.epa.gov/egrid/summary-data" xr:uid="{EDF4D2F1-4DB6-4B31-B123-E2B511AC059B}"/>
  </hyperlinks>
  <pageMargins left="0.7" right="0.7" top="0.75" bottom="0.75" header="0.3" footer="0.3"/>
  <pageSetup paperSize="9" scale="31" orientation="portrait"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94E494"/>
  </sheetPr>
  <dimension ref="A1:M58"/>
  <sheetViews>
    <sheetView zoomScale="120" zoomScaleNormal="120" workbookViewId="0">
      <selection activeCell="C4" sqref="C4"/>
    </sheetView>
  </sheetViews>
  <sheetFormatPr defaultColWidth="8" defaultRowHeight="14.25"/>
  <cols>
    <col min="2" max="2" width="55.375" customWidth="1"/>
    <col min="3" max="3" width="22.5" customWidth="1"/>
    <col min="8" max="8" width="46.5" customWidth="1"/>
    <col min="11" max="11" width="56.625" customWidth="1"/>
    <col min="13" max="13" width="9.375" customWidth="1"/>
  </cols>
  <sheetData>
    <row r="1" spans="1:11" ht="151.5" customHeight="1">
      <c r="A1" s="610" t="s">
        <v>5521</v>
      </c>
      <c r="B1" s="610" t="s">
        <v>5522</v>
      </c>
      <c r="C1" s="610" t="s">
        <v>5523</v>
      </c>
      <c r="D1" s="610" t="s">
        <v>5524</v>
      </c>
      <c r="E1" s="176"/>
      <c r="F1" s="176"/>
      <c r="G1" s="610" t="s">
        <v>5525</v>
      </c>
      <c r="H1" s="610" t="s">
        <v>5526</v>
      </c>
      <c r="I1" s="610" t="s">
        <v>5527</v>
      </c>
      <c r="J1" s="610" t="s">
        <v>5528</v>
      </c>
      <c r="K1" s="610" t="s">
        <v>5529</v>
      </c>
    </row>
    <row r="2" spans="1:11">
      <c r="A2" s="868" t="s">
        <v>1523</v>
      </c>
      <c r="B2" s="868" t="s">
        <v>5520</v>
      </c>
      <c r="C2" s="868" t="e">
        <f>VLOOKUP(Instructions!C$5,'S1&amp;2 Lists'!DH3:DL280,5)</f>
        <v>#REF!</v>
      </c>
      <c r="D2" s="868" t="s">
        <v>5530</v>
      </c>
      <c r="E2" s="176"/>
      <c r="F2" s="176"/>
      <c r="G2" s="868"/>
      <c r="H2" s="868" t="s">
        <v>5531</v>
      </c>
      <c r="I2" s="868" t="s">
        <v>5532</v>
      </c>
      <c r="J2" s="868" t="s">
        <v>5520</v>
      </c>
      <c r="K2" s="868" t="s">
        <v>4287</v>
      </c>
    </row>
    <row r="3" spans="1:11">
      <c r="A3" s="176">
        <v>1</v>
      </c>
      <c r="B3" s="176" t="s">
        <v>5533</v>
      </c>
      <c r="C3" s="869" t="e">
        <f>VLOOKUP(C$2&amp;B3,#REF!,2,FALSE)</f>
        <v>#REF!</v>
      </c>
      <c r="D3" s="176">
        <v>1</v>
      </c>
      <c r="E3" s="176"/>
      <c r="F3" s="176"/>
      <c r="G3" s="176">
        <v>1</v>
      </c>
      <c r="H3" s="176" t="s">
        <v>5534</v>
      </c>
      <c r="I3" s="869" t="e">
        <f>C3</f>
        <v>#REF!</v>
      </c>
      <c r="J3" s="176">
        <v>1</v>
      </c>
      <c r="K3" s="176"/>
    </row>
    <row r="4" spans="1:11">
      <c r="A4" s="176">
        <v>2</v>
      </c>
      <c r="B4" s="176" t="s">
        <v>5535</v>
      </c>
      <c r="C4" s="869" t="e">
        <f>VLOOKUP(C$2&amp;B4,#REF!,2,FALSE)</f>
        <v>#REF!</v>
      </c>
      <c r="D4" s="176"/>
      <c r="E4" s="176"/>
      <c r="F4" s="176"/>
      <c r="G4" s="176">
        <v>2</v>
      </c>
      <c r="H4" s="176" t="s">
        <v>5536</v>
      </c>
      <c r="I4" s="869" t="e">
        <f>C5</f>
        <v>#REF!</v>
      </c>
      <c r="J4" s="176">
        <v>3</v>
      </c>
      <c r="K4" s="176"/>
    </row>
    <row r="5" spans="1:11">
      <c r="A5" s="176">
        <v>3</v>
      </c>
      <c r="B5" s="176" t="s">
        <v>5537</v>
      </c>
      <c r="C5" s="869" t="e">
        <f>VLOOKUP(C$2&amp;B5,#REF!,2,FALSE)</f>
        <v>#REF!</v>
      </c>
      <c r="D5" s="176">
        <v>2</v>
      </c>
      <c r="E5" s="176"/>
      <c r="F5" s="176"/>
      <c r="G5" s="176">
        <v>3</v>
      </c>
      <c r="H5" s="176" t="s">
        <v>5538</v>
      </c>
      <c r="I5" s="869" t="e">
        <f>C6</f>
        <v>#REF!</v>
      </c>
      <c r="J5" s="176">
        <v>4</v>
      </c>
      <c r="K5" s="176"/>
    </row>
    <row r="6" spans="1:11">
      <c r="A6" s="176">
        <v>4</v>
      </c>
      <c r="B6" s="176" t="s">
        <v>5539</v>
      </c>
      <c r="C6" s="869" t="e">
        <f>VLOOKUP(C$2&amp;B6,#REF!,2,FALSE)</f>
        <v>#REF!</v>
      </c>
      <c r="D6" s="176">
        <v>3</v>
      </c>
      <c r="E6" s="176"/>
      <c r="F6" s="176"/>
      <c r="G6" s="176">
        <v>4</v>
      </c>
      <c r="H6" s="176" t="s">
        <v>5540</v>
      </c>
      <c r="I6" s="869" t="e">
        <f>C7</f>
        <v>#REF!</v>
      </c>
      <c r="J6" s="176">
        <v>5</v>
      </c>
      <c r="K6" s="176"/>
    </row>
    <row r="7" spans="1:11">
      <c r="A7" s="176">
        <v>5</v>
      </c>
      <c r="B7" s="176" t="s">
        <v>5541</v>
      </c>
      <c r="C7" s="869" t="e">
        <f>VLOOKUP(C$2&amp;B7,#REF!,2,FALSE)</f>
        <v>#REF!</v>
      </c>
      <c r="D7" s="176">
        <v>4</v>
      </c>
      <c r="E7" s="176"/>
      <c r="F7" s="176"/>
      <c r="G7" s="176">
        <v>5</v>
      </c>
      <c r="H7" s="176" t="s">
        <v>5542</v>
      </c>
      <c r="I7" s="869" t="e">
        <f>C8</f>
        <v>#REF!</v>
      </c>
      <c r="J7" s="176">
        <v>6</v>
      </c>
      <c r="K7" s="176"/>
    </row>
    <row r="8" spans="1:11">
      <c r="A8" s="176">
        <v>6</v>
      </c>
      <c r="B8" s="176" t="s">
        <v>5543</v>
      </c>
      <c r="C8" s="869" t="e">
        <f>VLOOKUP(C$2&amp;B8,#REF!,2,FALSE)</f>
        <v>#REF!</v>
      </c>
      <c r="D8" s="176" t="s">
        <v>5544</v>
      </c>
      <c r="E8" s="176"/>
      <c r="F8" s="176"/>
      <c r="G8" s="176">
        <v>6</v>
      </c>
      <c r="H8" s="176" t="s">
        <v>5545</v>
      </c>
      <c r="I8" s="869" t="e">
        <f>AVERAGEIF(C9:C10,"&lt;&gt;0")</f>
        <v>#REF!</v>
      </c>
      <c r="J8" s="176" t="s">
        <v>5546</v>
      </c>
      <c r="K8" s="176" t="s">
        <v>5547</v>
      </c>
    </row>
    <row r="9" spans="1:11">
      <c r="A9" s="176">
        <v>7</v>
      </c>
      <c r="B9" s="176" t="s">
        <v>5548</v>
      </c>
      <c r="C9" s="869" t="e">
        <f>VLOOKUP(C$2&amp;B9,#REF!,2,FALSE)</f>
        <v>#REF!</v>
      </c>
      <c r="D9" s="176">
        <v>6</v>
      </c>
      <c r="E9" s="176"/>
      <c r="F9" s="176"/>
      <c r="G9" s="176">
        <v>7</v>
      </c>
      <c r="H9" s="176" t="s">
        <v>5549</v>
      </c>
      <c r="I9" s="869" t="e">
        <f>(C12+C13+C16)/((C12&lt;&gt;0)+(C13&lt;&gt;0)+(C16&lt;&gt;0))</f>
        <v>#REF!</v>
      </c>
      <c r="J9" s="176" t="s">
        <v>5550</v>
      </c>
      <c r="K9" s="176" t="s">
        <v>5551</v>
      </c>
    </row>
    <row r="10" spans="1:11">
      <c r="A10" s="176">
        <v>8</v>
      </c>
      <c r="B10" s="176" t="s">
        <v>5552</v>
      </c>
      <c r="C10" s="869" t="e">
        <f>VLOOKUP(C$2&amp;B10,#REF!,2,FALSE)</f>
        <v>#REF!</v>
      </c>
      <c r="D10" s="176">
        <v>6</v>
      </c>
      <c r="E10" s="176"/>
      <c r="F10" s="176"/>
      <c r="G10" s="176">
        <v>8</v>
      </c>
      <c r="H10" s="176" t="s">
        <v>5553</v>
      </c>
      <c r="I10" s="869" t="e">
        <f>AVERAGEIF(C17:C18,"&lt;&gt;0")</f>
        <v>#REF!</v>
      </c>
      <c r="J10" s="176" t="s">
        <v>5554</v>
      </c>
      <c r="K10" s="176" t="s">
        <v>5555</v>
      </c>
    </row>
    <row r="11" spans="1:11">
      <c r="A11" s="176">
        <v>9</v>
      </c>
      <c r="B11" s="176" t="s">
        <v>5556</v>
      </c>
      <c r="C11" s="869" t="e">
        <f>VLOOKUP(C$2&amp;B11,#REF!,2,FALSE)</f>
        <v>#REF!</v>
      </c>
      <c r="D11" s="176"/>
      <c r="E11" s="176"/>
      <c r="F11" s="176"/>
      <c r="G11" s="176">
        <v>9</v>
      </c>
      <c r="H11" s="176" t="s">
        <v>5557</v>
      </c>
      <c r="I11" s="869" t="e">
        <f>AVERAGEIF(C19:C21,"&lt;&gt;0")</f>
        <v>#REF!</v>
      </c>
      <c r="J11" s="176" t="s">
        <v>5558</v>
      </c>
      <c r="K11" s="176" t="s">
        <v>5559</v>
      </c>
    </row>
    <row r="12" spans="1:11">
      <c r="A12" s="176">
        <v>10</v>
      </c>
      <c r="B12" s="176" t="s">
        <v>5560</v>
      </c>
      <c r="C12" s="869" t="e">
        <f>VLOOKUP(C$2&amp;B12,#REF!,2,FALSE)</f>
        <v>#REF!</v>
      </c>
      <c r="D12" s="176">
        <v>7</v>
      </c>
      <c r="E12" s="176"/>
      <c r="F12" s="176"/>
      <c r="G12" s="176">
        <v>10</v>
      </c>
      <c r="H12" s="176" t="s">
        <v>5561</v>
      </c>
      <c r="I12" s="869" t="e">
        <f>AVERAGEIF(C11:C12,"&lt;&gt;0")</f>
        <v>#REF!</v>
      </c>
      <c r="J12" s="176" t="s">
        <v>5562</v>
      </c>
      <c r="K12" s="176" t="s">
        <v>5563</v>
      </c>
    </row>
    <row r="13" spans="1:11">
      <c r="A13" s="176">
        <v>11</v>
      </c>
      <c r="B13" s="176" t="s">
        <v>5564</v>
      </c>
      <c r="C13" s="869" t="e">
        <f>VLOOKUP(C$2&amp;B13,#REF!,2,FALSE)</f>
        <v>#REF!</v>
      </c>
      <c r="D13" s="176">
        <v>7</v>
      </c>
      <c r="E13" s="176"/>
      <c r="F13" s="176"/>
      <c r="G13" s="176">
        <v>11</v>
      </c>
      <c r="H13" s="176" t="s">
        <v>5565</v>
      </c>
      <c r="I13" s="869" t="e">
        <f>C24</f>
        <v>#REF!</v>
      </c>
      <c r="J13" s="176">
        <v>22</v>
      </c>
      <c r="K13" s="176"/>
    </row>
    <row r="14" spans="1:11">
      <c r="A14" s="176">
        <v>12</v>
      </c>
      <c r="B14" s="176" t="s">
        <v>5566</v>
      </c>
      <c r="C14" s="869" t="e">
        <f>VLOOKUP(C$2&amp;B14,#REF!,2,FALSE)</f>
        <v>#REF!</v>
      </c>
      <c r="D14" s="176">
        <v>24</v>
      </c>
      <c r="E14" s="176"/>
      <c r="F14" s="176"/>
      <c r="G14" s="176">
        <v>12</v>
      </c>
      <c r="H14" s="176" t="s">
        <v>5567</v>
      </c>
      <c r="I14" s="869" t="e">
        <f>C28</f>
        <v>#REF!</v>
      </c>
      <c r="J14" s="176">
        <v>26</v>
      </c>
      <c r="K14" s="176"/>
    </row>
    <row r="15" spans="1:11">
      <c r="A15" s="176">
        <v>13</v>
      </c>
      <c r="B15" s="176" t="s">
        <v>5568</v>
      </c>
      <c r="C15" s="869" t="e">
        <f>VLOOKUP(C$2&amp;B15,#REF!,2,FALSE)</f>
        <v>#REF!</v>
      </c>
      <c r="D15" s="176" t="s">
        <v>5569</v>
      </c>
      <c r="E15" s="176"/>
      <c r="F15" s="176"/>
      <c r="G15" s="176">
        <v>13</v>
      </c>
      <c r="H15" s="176" t="s">
        <v>5570</v>
      </c>
      <c r="I15" s="869" t="e">
        <f>C26</f>
        <v>#REF!</v>
      </c>
      <c r="J15" s="176" t="s">
        <v>5571</v>
      </c>
      <c r="K15" s="176" t="s">
        <v>5572</v>
      </c>
    </row>
    <row r="16" spans="1:11">
      <c r="A16" s="176">
        <v>14</v>
      </c>
      <c r="B16" s="176" t="s">
        <v>5573</v>
      </c>
      <c r="C16" s="869" t="e">
        <f>VLOOKUP(C$2&amp;B16,#REF!,2,FALSE)</f>
        <v>#REF!</v>
      </c>
      <c r="D16" s="176">
        <v>7</v>
      </c>
      <c r="E16" s="176"/>
      <c r="F16" s="176"/>
      <c r="G16" s="176">
        <v>14</v>
      </c>
      <c r="H16" s="176" t="s">
        <v>42</v>
      </c>
      <c r="I16" s="869" t="e">
        <f>C29</f>
        <v>#REF!</v>
      </c>
      <c r="J16" s="176">
        <v>27</v>
      </c>
      <c r="K16" s="176"/>
    </row>
    <row r="17" spans="1:13">
      <c r="A17" s="176">
        <v>15</v>
      </c>
      <c r="B17" s="176" t="s">
        <v>5574</v>
      </c>
      <c r="C17" s="869" t="e">
        <f>VLOOKUP(C$2&amp;B17,#REF!,2,FALSE)</f>
        <v>#REF!</v>
      </c>
      <c r="D17" s="176">
        <v>8</v>
      </c>
      <c r="E17" s="176"/>
      <c r="F17" s="176"/>
      <c r="G17" s="176">
        <v>15</v>
      </c>
      <c r="H17" s="176" t="s">
        <v>5575</v>
      </c>
      <c r="I17" s="869" t="e">
        <f>C25</f>
        <v>#REF!</v>
      </c>
      <c r="J17" s="176">
        <v>23</v>
      </c>
      <c r="K17" s="176"/>
    </row>
    <row r="18" spans="1:13">
      <c r="A18" s="176">
        <v>16</v>
      </c>
      <c r="B18" s="176" t="s">
        <v>5576</v>
      </c>
      <c r="C18" s="869" t="e">
        <f>VLOOKUP(C$2&amp;B18,#REF!,2,FALSE)</f>
        <v>#REF!</v>
      </c>
      <c r="D18" s="176" t="s">
        <v>5577</v>
      </c>
      <c r="E18" s="176"/>
      <c r="F18" s="176"/>
      <c r="G18" s="176">
        <v>16</v>
      </c>
      <c r="H18" s="176" t="s">
        <v>5578</v>
      </c>
      <c r="I18" s="869" t="e">
        <f>AVERAGEIF(C30:C31,"&lt;&gt;0")</f>
        <v>#REF!</v>
      </c>
      <c r="J18" s="176" t="s">
        <v>5579</v>
      </c>
      <c r="K18" s="176" t="s">
        <v>5580</v>
      </c>
    </row>
    <row r="19" spans="1:13">
      <c r="A19" s="176">
        <v>17</v>
      </c>
      <c r="B19" s="176" t="s">
        <v>5581</v>
      </c>
      <c r="C19" s="869" t="e">
        <f>VLOOKUP(C$2&amp;B19,#REF!,2,FALSE)</f>
        <v>#REF!</v>
      </c>
      <c r="D19" s="176">
        <v>9</v>
      </c>
      <c r="E19" s="176"/>
      <c r="F19" s="176"/>
      <c r="G19" s="176">
        <v>17</v>
      </c>
      <c r="H19" s="176" t="s">
        <v>5582</v>
      </c>
      <c r="I19" s="869" t="e">
        <f>C32</f>
        <v>#REF!</v>
      </c>
      <c r="J19" s="176">
        <v>30</v>
      </c>
      <c r="K19" s="176"/>
    </row>
    <row r="20" spans="1:13">
      <c r="A20" s="176">
        <v>18</v>
      </c>
      <c r="B20" s="176" t="s">
        <v>5583</v>
      </c>
      <c r="C20" s="869" t="e">
        <f>VLOOKUP(C$2&amp;B20,#REF!,2,FALSE)</f>
        <v>#REF!</v>
      </c>
      <c r="D20" s="176">
        <v>9</v>
      </c>
      <c r="E20" s="176"/>
      <c r="F20" s="176"/>
      <c r="G20" s="176">
        <v>18</v>
      </c>
      <c r="H20" s="176" t="s">
        <v>5584</v>
      </c>
      <c r="I20" s="869" t="e">
        <f>C38</f>
        <v>#REF!</v>
      </c>
      <c r="J20" s="176">
        <v>36</v>
      </c>
      <c r="K20" s="176"/>
    </row>
    <row r="21" spans="1:13">
      <c r="A21" s="176">
        <v>19</v>
      </c>
      <c r="B21" s="176" t="s">
        <v>5585</v>
      </c>
      <c r="C21" s="869" t="e">
        <f>VLOOKUP(C$2&amp;B21,#REF!,2,FALSE)</f>
        <v>#REF!</v>
      </c>
      <c r="D21" s="176">
        <v>9</v>
      </c>
      <c r="E21" s="176"/>
      <c r="F21" s="176"/>
      <c r="G21" s="176">
        <v>19</v>
      </c>
      <c r="H21" s="176" t="s">
        <v>4423</v>
      </c>
      <c r="I21" s="869" t="e">
        <f>AVERAGEIF(C33:C35,"&lt;&gt;0")</f>
        <v>#REF!</v>
      </c>
      <c r="J21" s="176" t="s">
        <v>5586</v>
      </c>
      <c r="K21" s="176" t="s">
        <v>5587</v>
      </c>
    </row>
    <row r="22" spans="1:13">
      <c r="A22" s="176">
        <v>20</v>
      </c>
      <c r="B22" s="176" t="s">
        <v>5588</v>
      </c>
      <c r="C22" s="869" t="e">
        <f>VLOOKUP(C$2&amp;B22,#REF!,2,FALSE)</f>
        <v>#REF!</v>
      </c>
      <c r="D22" s="176">
        <v>10</v>
      </c>
      <c r="E22" s="176"/>
      <c r="F22" s="176"/>
      <c r="G22" s="176">
        <v>20</v>
      </c>
      <c r="H22" s="176" t="s">
        <v>5589</v>
      </c>
      <c r="I22" s="869" t="e">
        <f>(C37+C41)/((C37&lt;&gt;0)+(C41&lt;&gt;0))</f>
        <v>#REF!</v>
      </c>
      <c r="J22" s="176" t="s">
        <v>5590</v>
      </c>
      <c r="K22" s="176" t="s">
        <v>5591</v>
      </c>
    </row>
    <row r="23" spans="1:13">
      <c r="A23" s="176">
        <v>21</v>
      </c>
      <c r="B23" s="176" t="s">
        <v>5592</v>
      </c>
      <c r="C23" s="869" t="e">
        <f>VLOOKUP(C$2&amp;B23,#REF!,2,FALSE)</f>
        <v>#REF!</v>
      </c>
      <c r="D23" s="176">
        <v>10</v>
      </c>
      <c r="E23" s="176"/>
      <c r="F23" s="176"/>
      <c r="G23" s="176">
        <v>21</v>
      </c>
      <c r="H23" s="176" t="s">
        <v>5593</v>
      </c>
      <c r="I23" s="869" t="e">
        <f>AVERAGEIF(C43:C45,"&lt;&gt;0")</f>
        <v>#REF!</v>
      </c>
      <c r="J23" s="176" t="s">
        <v>5594</v>
      </c>
      <c r="K23" s="176" t="s">
        <v>5595</v>
      </c>
    </row>
    <row r="24" spans="1:13">
      <c r="A24" s="176">
        <v>22</v>
      </c>
      <c r="B24" s="176" t="s">
        <v>5596</v>
      </c>
      <c r="C24" s="869" t="e">
        <f>VLOOKUP(C$2&amp;B24,#REF!,2,FALSE)</f>
        <v>#REF!</v>
      </c>
      <c r="D24" s="176">
        <v>11</v>
      </c>
      <c r="E24" s="176"/>
      <c r="F24" s="176"/>
      <c r="G24" s="176">
        <v>22</v>
      </c>
      <c r="H24" s="176" t="s">
        <v>5597</v>
      </c>
      <c r="I24" s="869" t="e">
        <f>C53</f>
        <v>#REF!</v>
      </c>
      <c r="J24" s="176">
        <v>51</v>
      </c>
      <c r="K24" s="176"/>
    </row>
    <row r="25" spans="1:13" ht="15" customHeight="1">
      <c r="A25" s="176">
        <v>23</v>
      </c>
      <c r="B25" s="176" t="s">
        <v>5598</v>
      </c>
      <c r="C25" s="869" t="e">
        <f>VLOOKUP(C$2&amp;B25,#REF!,2,FALSE)</f>
        <v>#REF!</v>
      </c>
      <c r="D25" s="176">
        <v>15</v>
      </c>
      <c r="E25" s="176"/>
      <c r="F25" s="176"/>
      <c r="G25" s="176">
        <v>23</v>
      </c>
      <c r="H25" s="176" t="s">
        <v>5599</v>
      </c>
      <c r="I25" s="869" t="e">
        <f>AVERAGEIF(C54:C56,"&lt;&gt;0")</f>
        <v>#REF!</v>
      </c>
      <c r="J25" s="176" t="s">
        <v>5600</v>
      </c>
      <c r="K25" s="176" t="s">
        <v>5601</v>
      </c>
    </row>
    <row r="26" spans="1:13" ht="15" customHeight="1">
      <c r="A26" s="176">
        <v>24</v>
      </c>
      <c r="B26" s="176" t="s">
        <v>5602</v>
      </c>
      <c r="C26" s="869" t="e">
        <f>VLOOKUP(C$2&amp;B26,#REF!,2,FALSE)</f>
        <v>#REF!</v>
      </c>
      <c r="D26" s="176">
        <v>13</v>
      </c>
      <c r="E26" s="176"/>
      <c r="F26" s="176"/>
      <c r="G26" s="176">
        <v>24</v>
      </c>
      <c r="H26" s="176" t="s">
        <v>5603</v>
      </c>
      <c r="I26" s="869" t="e">
        <f>IF(C14&lt;&gt;0,C14,I30)</f>
        <v>#REF!</v>
      </c>
      <c r="J26" s="176">
        <v>12</v>
      </c>
      <c r="K26" s="176" t="s">
        <v>5604</v>
      </c>
      <c r="M26" s="870"/>
    </row>
    <row r="27" spans="1:13" ht="15" customHeight="1">
      <c r="A27" s="176">
        <v>25</v>
      </c>
      <c r="B27" s="176" t="s">
        <v>5605</v>
      </c>
      <c r="C27" s="869" t="e">
        <f>VLOOKUP(C$2&amp;B27,#REF!,2,FALSE)</f>
        <v>#REF!</v>
      </c>
      <c r="D27" s="176">
        <v>13</v>
      </c>
      <c r="E27" s="176"/>
      <c r="F27" s="176"/>
      <c r="G27" s="176">
        <v>25</v>
      </c>
      <c r="H27" s="176" t="s">
        <v>5606</v>
      </c>
      <c r="I27" s="871" t="e">
        <f>(C15+C19+C21)/((C15&lt;&gt;0)+(C19&lt;&gt;0)+(C21&lt;&gt;0))</f>
        <v>#REF!</v>
      </c>
      <c r="J27" s="176" t="s">
        <v>5607</v>
      </c>
      <c r="K27" s="176" t="s">
        <v>5608</v>
      </c>
      <c r="M27" s="870"/>
    </row>
    <row r="28" spans="1:13" ht="15" customHeight="1">
      <c r="A28" s="176">
        <v>26</v>
      </c>
      <c r="B28" s="176" t="s">
        <v>5609</v>
      </c>
      <c r="C28" s="869" t="e">
        <f>VLOOKUP(C$2&amp;B28,#REF!,2,FALSE)</f>
        <v>#REF!</v>
      </c>
      <c r="D28" s="176">
        <v>12</v>
      </c>
      <c r="E28" s="176"/>
      <c r="F28" s="176"/>
      <c r="G28" s="176">
        <v>26</v>
      </c>
      <c r="H28" s="176" t="s">
        <v>5610</v>
      </c>
      <c r="I28" s="871" t="e">
        <f>(C8+C15+C18)/((C8&lt;&gt;0)+(C15&lt;&gt;0)+(C18&lt;&gt;0))</f>
        <v>#REF!</v>
      </c>
      <c r="J28" s="176" t="s">
        <v>5611</v>
      </c>
      <c r="K28" s="176" t="s">
        <v>5612</v>
      </c>
      <c r="M28" s="870"/>
    </row>
    <row r="29" spans="1:13" ht="15" customHeight="1">
      <c r="A29" s="176">
        <v>27</v>
      </c>
      <c r="B29" s="176" t="s">
        <v>42</v>
      </c>
      <c r="C29" s="869" t="e">
        <f>VLOOKUP(C$2&amp;B29,#REF!,2,FALSE)</f>
        <v>#REF!</v>
      </c>
      <c r="D29" s="176">
        <v>14</v>
      </c>
      <c r="E29" s="176"/>
      <c r="F29" s="176"/>
      <c r="G29" s="176"/>
      <c r="H29" s="176"/>
      <c r="I29" s="176"/>
      <c r="J29" s="176"/>
      <c r="K29" s="176"/>
    </row>
    <row r="30" spans="1:13">
      <c r="A30" s="176">
        <v>28</v>
      </c>
      <c r="B30" s="176" t="s">
        <v>5613</v>
      </c>
      <c r="C30" s="869" t="e">
        <f>VLOOKUP(C$2&amp;B30,#REF!,2,FALSE)</f>
        <v>#REF!</v>
      </c>
      <c r="D30" s="176">
        <v>16</v>
      </c>
      <c r="E30" s="176"/>
      <c r="F30" s="176"/>
      <c r="G30" s="176" t="s">
        <v>4584</v>
      </c>
      <c r="H30" s="176" t="s">
        <v>5603</v>
      </c>
      <c r="I30" s="871" t="e">
        <f>VLOOKUP("ROW"&amp;B14,#REF!,2,FALSE)</f>
        <v>#REF!</v>
      </c>
      <c r="J30" s="176"/>
      <c r="K30" s="176" t="s">
        <v>5614</v>
      </c>
    </row>
    <row r="31" spans="1:13">
      <c r="A31" s="176">
        <v>29</v>
      </c>
      <c r="B31" s="176" t="s">
        <v>5615</v>
      </c>
      <c r="C31" s="869" t="e">
        <f>VLOOKUP(C$2&amp;B31,#REF!,2,FALSE)</f>
        <v>#REF!</v>
      </c>
      <c r="D31" s="176">
        <v>16</v>
      </c>
      <c r="E31" s="176"/>
      <c r="F31" s="176"/>
      <c r="G31" s="176"/>
      <c r="H31" s="176"/>
      <c r="I31" s="176"/>
      <c r="J31" s="176"/>
      <c r="K31" s="176"/>
    </row>
    <row r="32" spans="1:13">
      <c r="A32" s="176">
        <v>30</v>
      </c>
      <c r="B32" s="176" t="s">
        <v>5616</v>
      </c>
      <c r="C32" s="869" t="e">
        <f>VLOOKUP(C$2&amp;B32,#REF!,2,FALSE)</f>
        <v>#REF!</v>
      </c>
      <c r="D32" s="176">
        <v>17</v>
      </c>
      <c r="E32" s="176"/>
      <c r="F32" s="176"/>
      <c r="G32" s="176"/>
      <c r="H32" s="176"/>
      <c r="I32" s="176"/>
      <c r="J32" s="176"/>
      <c r="K32" s="176"/>
    </row>
    <row r="33" spans="1:11">
      <c r="A33" s="176">
        <v>31</v>
      </c>
      <c r="B33" s="176" t="s">
        <v>5617</v>
      </c>
      <c r="C33" s="869" t="e">
        <f>VLOOKUP(C$2&amp;B33,#REF!,2,FALSE)</f>
        <v>#REF!</v>
      </c>
      <c r="D33" s="176">
        <v>19</v>
      </c>
      <c r="E33" s="176"/>
      <c r="F33" s="176"/>
      <c r="G33" s="176"/>
      <c r="H33" s="176"/>
      <c r="I33" s="176"/>
      <c r="J33" s="176"/>
      <c r="K33" s="176"/>
    </row>
    <row r="34" spans="1:11">
      <c r="A34" s="176">
        <v>32</v>
      </c>
      <c r="B34" s="176" t="s">
        <v>5618</v>
      </c>
      <c r="C34" s="869" t="e">
        <f>VLOOKUP(C$2&amp;B34,#REF!,2,FALSE)</f>
        <v>#REF!</v>
      </c>
      <c r="D34" s="176">
        <v>19</v>
      </c>
      <c r="E34" s="176"/>
      <c r="F34" s="176"/>
      <c r="G34" s="176"/>
      <c r="H34" s="176"/>
      <c r="I34" s="176"/>
      <c r="J34" s="176"/>
      <c r="K34" s="176"/>
    </row>
    <row r="35" spans="1:11">
      <c r="A35" s="176">
        <v>33</v>
      </c>
      <c r="B35" s="176" t="s">
        <v>884</v>
      </c>
      <c r="C35" s="869" t="e">
        <f>VLOOKUP(C$2&amp;B35,#REF!,2,FALSE)</f>
        <v>#REF!</v>
      </c>
      <c r="D35" s="176">
        <v>19</v>
      </c>
      <c r="E35" s="176"/>
      <c r="F35" s="176"/>
      <c r="G35" s="176"/>
      <c r="H35" s="176"/>
      <c r="I35" s="176"/>
      <c r="J35" s="176"/>
      <c r="K35" s="176"/>
    </row>
    <row r="36" spans="1:11">
      <c r="A36" s="176">
        <v>34</v>
      </c>
      <c r="B36" s="176" t="s">
        <v>5619</v>
      </c>
      <c r="C36" s="869" t="e">
        <f>VLOOKUP(C$2&amp;B36,#REF!,2,FALSE)</f>
        <v>#REF!</v>
      </c>
      <c r="D36" s="176"/>
      <c r="E36" s="176"/>
      <c r="F36" s="176"/>
      <c r="G36" s="176"/>
      <c r="H36" s="176"/>
      <c r="I36" s="176"/>
      <c r="J36" s="176"/>
      <c r="K36" s="176"/>
    </row>
    <row r="37" spans="1:11">
      <c r="A37" s="176">
        <v>35</v>
      </c>
      <c r="B37" s="176" t="s">
        <v>5620</v>
      </c>
      <c r="C37" s="869" t="e">
        <f>VLOOKUP(C$2&amp;B37,#REF!,2,FALSE)</f>
        <v>#REF!</v>
      </c>
      <c r="D37" s="176">
        <v>20</v>
      </c>
      <c r="E37" s="176"/>
      <c r="F37" s="176"/>
      <c r="G37" s="176"/>
      <c r="H37" s="176"/>
      <c r="I37" s="176"/>
      <c r="J37" s="176"/>
      <c r="K37" s="176"/>
    </row>
    <row r="38" spans="1:11">
      <c r="A38" s="176">
        <v>36</v>
      </c>
      <c r="B38" s="176" t="s">
        <v>5621</v>
      </c>
      <c r="C38" s="869" t="e">
        <f>VLOOKUP(C$2&amp;B38,#REF!,2,FALSE)</f>
        <v>#REF!</v>
      </c>
      <c r="D38" s="176">
        <v>18</v>
      </c>
      <c r="E38" s="176"/>
      <c r="F38" s="176"/>
      <c r="G38" s="176"/>
      <c r="H38" s="176"/>
      <c r="I38" s="176"/>
      <c r="J38" s="176"/>
      <c r="K38" s="176"/>
    </row>
    <row r="39" spans="1:11">
      <c r="A39" s="176">
        <v>37</v>
      </c>
      <c r="B39" s="176" t="s">
        <v>5622</v>
      </c>
      <c r="C39" s="869" t="e">
        <f>VLOOKUP(C$2&amp;B39,#REF!,2,FALSE)</f>
        <v>#REF!</v>
      </c>
      <c r="D39" s="176"/>
      <c r="E39" s="176"/>
      <c r="F39" s="176"/>
      <c r="G39" s="176"/>
      <c r="H39" s="176"/>
      <c r="I39" s="176"/>
      <c r="J39" s="176"/>
      <c r="K39" s="176"/>
    </row>
    <row r="40" spans="1:11">
      <c r="A40" s="176">
        <v>38</v>
      </c>
      <c r="B40" s="176" t="s">
        <v>5623</v>
      </c>
      <c r="C40" s="869" t="e">
        <f>VLOOKUP(C$2&amp;B40,#REF!,2,FALSE)</f>
        <v>#REF!</v>
      </c>
      <c r="D40" s="176"/>
      <c r="E40" s="176"/>
      <c r="F40" s="176"/>
      <c r="G40" s="176"/>
      <c r="H40" s="176"/>
      <c r="I40" s="176"/>
      <c r="J40" s="176"/>
      <c r="K40" s="176"/>
    </row>
    <row r="41" spans="1:11">
      <c r="A41" s="176">
        <v>39</v>
      </c>
      <c r="B41" s="176" t="s">
        <v>924</v>
      </c>
      <c r="C41" s="869" t="e">
        <f>VLOOKUP(C$2&amp;B41,#REF!,2,FALSE)</f>
        <v>#REF!</v>
      </c>
      <c r="D41" s="176">
        <v>20</v>
      </c>
      <c r="E41" s="176"/>
      <c r="F41" s="176"/>
      <c r="G41" s="176"/>
      <c r="H41" s="176"/>
      <c r="I41" s="176"/>
      <c r="J41" s="176"/>
      <c r="K41" s="176"/>
    </row>
    <row r="42" spans="1:11">
      <c r="A42" s="176">
        <v>40</v>
      </c>
      <c r="B42" s="176" t="s">
        <v>5624</v>
      </c>
      <c r="C42" s="869" t="e">
        <f>VLOOKUP(C$2&amp;B42,#REF!,2,FALSE)</f>
        <v>#REF!</v>
      </c>
      <c r="D42" s="176"/>
      <c r="E42" s="176"/>
      <c r="F42" s="176"/>
      <c r="G42" s="176"/>
      <c r="H42" s="176"/>
      <c r="I42" s="176"/>
      <c r="J42" s="176"/>
      <c r="K42" s="176"/>
    </row>
    <row r="43" spans="1:11">
      <c r="A43" s="176">
        <v>41</v>
      </c>
      <c r="B43" s="176" t="s">
        <v>5625</v>
      </c>
      <c r="C43" s="869" t="e">
        <f>VLOOKUP(C$2&amp;B43,#REF!,2,FALSE)</f>
        <v>#REF!</v>
      </c>
      <c r="D43" s="176">
        <v>21</v>
      </c>
      <c r="E43" s="176"/>
      <c r="F43" s="176"/>
      <c r="G43" s="176"/>
      <c r="H43" s="176"/>
      <c r="I43" s="176"/>
      <c r="J43" s="176"/>
      <c r="K43" s="176"/>
    </row>
    <row r="44" spans="1:11">
      <c r="A44" s="176">
        <v>42</v>
      </c>
      <c r="B44" s="176" t="s">
        <v>5626</v>
      </c>
      <c r="C44" s="869" t="e">
        <f>VLOOKUP(C$2&amp;B44,#REF!,2,FALSE)</f>
        <v>#REF!</v>
      </c>
      <c r="D44" s="176">
        <v>21</v>
      </c>
      <c r="E44" s="176"/>
      <c r="F44" s="176"/>
      <c r="G44" s="176"/>
      <c r="H44" s="176"/>
      <c r="I44" s="176"/>
      <c r="J44" s="176"/>
      <c r="K44" s="176"/>
    </row>
    <row r="45" spans="1:11">
      <c r="A45" s="176">
        <v>43</v>
      </c>
      <c r="B45" s="176" t="s">
        <v>5627</v>
      </c>
      <c r="C45" s="869" t="e">
        <f>VLOOKUP(C$2&amp;B45,#REF!,2,FALSE)</f>
        <v>#REF!</v>
      </c>
      <c r="D45" s="176">
        <v>21</v>
      </c>
      <c r="E45" s="176"/>
      <c r="F45" s="176"/>
      <c r="G45" s="176"/>
      <c r="H45" s="176"/>
      <c r="I45" s="176"/>
      <c r="J45" s="176"/>
      <c r="K45" s="176"/>
    </row>
    <row r="46" spans="1:11">
      <c r="A46" s="176">
        <v>44</v>
      </c>
      <c r="B46" s="176" t="s">
        <v>5628</v>
      </c>
      <c r="C46" s="869" t="e">
        <f>VLOOKUP(C$2&amp;B46,#REF!,2,FALSE)</f>
        <v>#REF!</v>
      </c>
      <c r="D46" s="176"/>
      <c r="E46" s="176"/>
      <c r="F46" s="176"/>
      <c r="G46" s="176"/>
      <c r="H46" s="176"/>
      <c r="I46" s="176"/>
      <c r="J46" s="176"/>
      <c r="K46" s="176"/>
    </row>
    <row r="47" spans="1:11">
      <c r="A47" s="176">
        <v>45</v>
      </c>
      <c r="B47" s="176" t="s">
        <v>5629</v>
      </c>
      <c r="C47" s="869" t="e">
        <f>VLOOKUP(C$2&amp;B47,#REF!,2,FALSE)</f>
        <v>#REF!</v>
      </c>
      <c r="D47" s="176"/>
      <c r="E47" s="176"/>
      <c r="F47" s="176"/>
      <c r="G47" s="176"/>
      <c r="H47" s="176"/>
      <c r="I47" s="176"/>
      <c r="J47" s="176"/>
      <c r="K47" s="176"/>
    </row>
    <row r="48" spans="1:11">
      <c r="A48" s="176">
        <v>46</v>
      </c>
      <c r="B48" s="176" t="s">
        <v>5630</v>
      </c>
      <c r="C48" s="869" t="e">
        <f>VLOOKUP(C$2&amp;B48,#REF!,2,FALSE)</f>
        <v>#REF!</v>
      </c>
      <c r="D48" s="176"/>
      <c r="E48" s="176"/>
      <c r="F48" s="176"/>
      <c r="G48" s="176"/>
      <c r="H48" s="176"/>
      <c r="I48" s="176"/>
      <c r="J48" s="176"/>
      <c r="K48" s="176"/>
    </row>
    <row r="49" spans="1:11">
      <c r="A49" s="176">
        <v>47</v>
      </c>
      <c r="B49" s="176" t="s">
        <v>982</v>
      </c>
      <c r="C49" s="869" t="e">
        <f>VLOOKUP(C$2&amp;B49,#REF!,2,FALSE)</f>
        <v>#REF!</v>
      </c>
      <c r="D49" s="176"/>
      <c r="E49" s="176"/>
      <c r="F49" s="176"/>
      <c r="G49" s="176"/>
      <c r="H49" s="176"/>
      <c r="I49" s="176"/>
      <c r="J49" s="176"/>
      <c r="K49" s="176"/>
    </row>
    <row r="50" spans="1:11">
      <c r="A50" s="176">
        <v>48</v>
      </c>
      <c r="B50" s="176" t="s">
        <v>5631</v>
      </c>
      <c r="C50" s="869" t="e">
        <f>VLOOKUP(C$2&amp;B50,#REF!,2,FALSE)</f>
        <v>#REF!</v>
      </c>
      <c r="D50" s="176"/>
      <c r="E50" s="176"/>
      <c r="F50" s="176"/>
      <c r="G50" s="176"/>
      <c r="H50" s="176"/>
      <c r="I50" s="176"/>
      <c r="J50" s="176"/>
      <c r="K50" s="176"/>
    </row>
    <row r="51" spans="1:11">
      <c r="A51" s="176">
        <v>49</v>
      </c>
      <c r="B51" s="176" t="s">
        <v>5632</v>
      </c>
      <c r="C51" s="869" t="e">
        <f>VLOOKUP(C$2&amp;B51,#REF!,2,FALSE)</f>
        <v>#REF!</v>
      </c>
      <c r="D51" s="176"/>
      <c r="E51" s="176"/>
      <c r="F51" s="176"/>
      <c r="G51" s="176"/>
      <c r="H51" s="176"/>
      <c r="I51" s="176"/>
      <c r="J51" s="176"/>
      <c r="K51" s="176"/>
    </row>
    <row r="52" spans="1:11">
      <c r="A52" s="176">
        <v>50</v>
      </c>
      <c r="B52" s="176" t="s">
        <v>5633</v>
      </c>
      <c r="C52" s="869" t="e">
        <f>VLOOKUP(C$2&amp;B52,#REF!,2,FALSE)</f>
        <v>#REF!</v>
      </c>
      <c r="D52" s="176"/>
      <c r="E52" s="176"/>
      <c r="F52" s="176"/>
      <c r="G52" s="176"/>
      <c r="H52" s="176"/>
      <c r="I52" s="176"/>
      <c r="J52" s="176"/>
      <c r="K52" s="176"/>
    </row>
    <row r="53" spans="1:11">
      <c r="A53" s="176">
        <v>51</v>
      </c>
      <c r="B53" s="176" t="s">
        <v>5634</v>
      </c>
      <c r="C53" s="869" t="e">
        <f>VLOOKUP(C$2&amp;B53,#REF!,2,FALSE)</f>
        <v>#REF!</v>
      </c>
      <c r="D53" s="176">
        <v>22</v>
      </c>
      <c r="E53" s="176"/>
      <c r="F53" s="176"/>
      <c r="G53" s="176"/>
      <c r="H53" s="176"/>
      <c r="I53" s="176"/>
      <c r="J53" s="176"/>
      <c r="K53" s="176"/>
    </row>
    <row r="54" spans="1:11">
      <c r="A54" s="176">
        <v>52</v>
      </c>
      <c r="B54" s="176" t="s">
        <v>5635</v>
      </c>
      <c r="C54" s="869" t="e">
        <f>VLOOKUP(C$2&amp;B54,#REF!,2,FALSE)</f>
        <v>#REF!</v>
      </c>
      <c r="D54" s="176">
        <v>23</v>
      </c>
      <c r="E54" s="176"/>
      <c r="F54" s="176"/>
      <c r="G54" s="176"/>
      <c r="H54" s="176"/>
      <c r="I54" s="176"/>
      <c r="J54" s="176"/>
      <c r="K54" s="176"/>
    </row>
    <row r="55" spans="1:11">
      <c r="A55" s="176">
        <v>53</v>
      </c>
      <c r="B55" s="176" t="s">
        <v>5636</v>
      </c>
      <c r="C55" s="869" t="e">
        <f>VLOOKUP(C$2&amp;B55,#REF!,2,FALSE)</f>
        <v>#REF!</v>
      </c>
      <c r="D55" s="176">
        <v>23</v>
      </c>
      <c r="E55" s="176"/>
      <c r="F55" s="176"/>
      <c r="G55" s="176"/>
      <c r="H55" s="176"/>
      <c r="I55" s="176"/>
      <c r="J55" s="176"/>
      <c r="K55" s="176"/>
    </row>
    <row r="56" spans="1:11">
      <c r="A56" s="176">
        <v>54</v>
      </c>
      <c r="B56" s="176" t="s">
        <v>5637</v>
      </c>
      <c r="C56" s="869" t="e">
        <f>VLOOKUP(C$2&amp;B56,#REF!,2,FALSE)</f>
        <v>#REF!</v>
      </c>
      <c r="D56" s="176">
        <v>23</v>
      </c>
      <c r="E56" s="176"/>
      <c r="F56" s="176"/>
      <c r="G56" s="176"/>
      <c r="H56" s="176"/>
      <c r="I56" s="176"/>
      <c r="J56" s="176"/>
      <c r="K56" s="176"/>
    </row>
    <row r="57" spans="1:11">
      <c r="A57" s="176">
        <v>55</v>
      </c>
      <c r="B57" s="176" t="s">
        <v>5638</v>
      </c>
      <c r="C57" s="869" t="e">
        <f>VLOOKUP(C$2&amp;B57,#REF!,2,FALSE)</f>
        <v>#REF!</v>
      </c>
      <c r="D57" s="176"/>
      <c r="E57" s="176"/>
      <c r="F57" s="176"/>
      <c r="G57" s="176"/>
      <c r="H57" s="176"/>
      <c r="I57" s="176"/>
      <c r="J57" s="176"/>
      <c r="K57" s="176"/>
    </row>
    <row r="58" spans="1:11">
      <c r="A58" s="176">
        <v>56</v>
      </c>
      <c r="B58" s="176" t="s">
        <v>5639</v>
      </c>
      <c r="C58" s="869" t="e">
        <f>VLOOKUP(C$2&amp;B58,#REF!,2,FALSE)</f>
        <v>#REF!</v>
      </c>
      <c r="D58" s="176"/>
      <c r="E58" s="176"/>
      <c r="F58" s="176"/>
      <c r="G58" s="176"/>
      <c r="H58" s="176"/>
      <c r="I58" s="176"/>
      <c r="J58" s="176"/>
      <c r="K58" s="176"/>
    </row>
  </sheetData>
  <sheetProtection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theme="3" tint="0.59999389629810485"/>
  </sheetPr>
  <dimension ref="B1:B18"/>
  <sheetViews>
    <sheetView showGridLines="0" workbookViewId="0">
      <selection activeCell="E25" sqref="E25"/>
    </sheetView>
  </sheetViews>
  <sheetFormatPr defaultRowHeight="14.25"/>
  <sheetData>
    <row r="1" spans="2:2" ht="17.25">
      <c r="B1" s="401" t="s">
        <v>3644</v>
      </c>
    </row>
    <row r="2" spans="2:2">
      <c r="B2" s="399" t="s">
        <v>3640</v>
      </c>
    </row>
    <row r="3" spans="2:2">
      <c r="B3" s="398"/>
    </row>
    <row r="4" spans="2:2" ht="15">
      <c r="B4" s="400" t="s">
        <v>3645</v>
      </c>
    </row>
    <row r="5" spans="2:2">
      <c r="B5" s="399" t="s">
        <v>3641</v>
      </c>
    </row>
    <row r="6" spans="2:2">
      <c r="B6" s="399" t="s">
        <v>3642</v>
      </c>
    </row>
    <row r="7" spans="2:2">
      <c r="B7" s="399" t="s">
        <v>3643</v>
      </c>
    </row>
    <row r="9" spans="2:2" ht="15">
      <c r="B9" s="399" t="s">
        <v>3646</v>
      </c>
    </row>
    <row r="10" spans="2:2">
      <c r="B10" s="403" t="s">
        <v>3648</v>
      </c>
    </row>
    <row r="11" spans="2:2">
      <c r="B11" s="403" t="s">
        <v>3647</v>
      </c>
    </row>
    <row r="13" spans="2:2" ht="15">
      <c r="B13" t="s">
        <v>4359</v>
      </c>
    </row>
    <row r="14" spans="2:2">
      <c r="B14" s="356" t="s">
        <v>4353</v>
      </c>
    </row>
    <row r="15" spans="2:2">
      <c r="B15" s="356" t="s">
        <v>4354</v>
      </c>
    </row>
    <row r="16" spans="2:2">
      <c r="B16" s="356" t="s">
        <v>4355</v>
      </c>
    </row>
    <row r="17" spans="2:2">
      <c r="B17" s="356" t="s">
        <v>4326</v>
      </c>
    </row>
    <row r="18" spans="2:2">
      <c r="B18" s="356" t="s">
        <v>4358</v>
      </c>
    </row>
  </sheetData>
  <sheetProtection algorithmName="SHA-512" hashValue="5S1l01KGWSZ5+J2S0EnDkeXMD804mdo9Kx8Bpr7RSyrNRZQNuS9MDZfh4pYXai2FIBLhKCgjSFH0pNBZr3syIg==" saltValue="k0RrR/jII0NvnJUiVf4HDA==" spinCount="100000" sheet="1" objects="1" scenarios="1"/>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tabColor theme="3" tint="0.59999389629810485"/>
  </sheetPr>
  <dimension ref="A3:H30"/>
  <sheetViews>
    <sheetView showGridLines="0" zoomScale="90" zoomScaleNormal="90" workbookViewId="0">
      <selection activeCell="E25" sqref="E25"/>
    </sheetView>
  </sheetViews>
  <sheetFormatPr defaultColWidth="9.125" defaultRowHeight="14.25"/>
  <cols>
    <col min="1" max="1" width="9.125" style="22"/>
    <col min="2" max="2" width="62.875" style="22" customWidth="1"/>
    <col min="3" max="3" width="27.5" style="22" customWidth="1"/>
    <col min="4" max="4" width="86.5" style="177" customWidth="1"/>
    <col min="5" max="5" width="33" style="22" customWidth="1"/>
    <col min="6" max="6" width="78.625" style="22" customWidth="1"/>
    <col min="7" max="19" width="9.125" style="22"/>
    <col min="20" max="20" width="9.125" style="22" customWidth="1"/>
    <col min="21" max="16384" width="9.125" style="22"/>
  </cols>
  <sheetData>
    <row r="3" spans="1:8">
      <c r="D3" s="176"/>
      <c r="E3"/>
    </row>
    <row r="4" spans="1:8" ht="15" customHeight="1">
      <c r="D4" s="176"/>
      <c r="E4"/>
    </row>
    <row r="5" spans="1:8" ht="15" customHeight="1">
      <c r="D5" s="176"/>
      <c r="E5"/>
    </row>
    <row r="6" spans="1:8">
      <c r="D6" s="176"/>
      <c r="E6"/>
    </row>
    <row r="7" spans="1:8">
      <c r="D7" s="176"/>
      <c r="E7"/>
    </row>
    <row r="8" spans="1:8">
      <c r="D8" s="176"/>
      <c r="E8"/>
    </row>
    <row r="10" spans="1:8" s="75" customFormat="1" ht="39" customHeight="1">
      <c r="A10" s="189"/>
      <c r="B10" s="190" t="s">
        <v>3638</v>
      </c>
      <c r="C10" s="189"/>
      <c r="D10" s="393" t="s">
        <v>4360</v>
      </c>
      <c r="E10" s="189"/>
      <c r="F10" s="189"/>
      <c r="G10" s="76"/>
      <c r="H10" s="76"/>
    </row>
    <row r="11" spans="1:8" ht="15" customHeight="1">
      <c r="C11" s="76"/>
    </row>
    <row r="12" spans="1:8" ht="15" customHeight="1" thickBot="1">
      <c r="B12" s="93" t="s">
        <v>1094</v>
      </c>
      <c r="C12" s="76"/>
      <c r="D12" s="182"/>
    </row>
    <row r="13" spans="1:8" s="77" customFormat="1" ht="87" customHeight="1" thickBot="1">
      <c r="B13" s="1192" t="s">
        <v>1520</v>
      </c>
      <c r="C13" s="1193"/>
      <c r="D13" s="1193"/>
      <c r="E13" s="1193"/>
      <c r="F13" s="1194"/>
    </row>
    <row r="14" spans="1:8" ht="26.25" customHeight="1">
      <c r="B14" s="173" t="s">
        <v>163</v>
      </c>
      <c r="C14" s="80" t="s">
        <v>1101</v>
      </c>
      <c r="D14" s="80" t="s">
        <v>1110</v>
      </c>
      <c r="E14" s="80" t="s">
        <v>1136</v>
      </c>
      <c r="F14" s="80" t="s">
        <v>1109</v>
      </c>
    </row>
    <row r="15" spans="1:8" s="78" customFormat="1" ht="35.1" customHeight="1">
      <c r="A15" s="1195" t="s">
        <v>214</v>
      </c>
      <c r="B15" s="192" t="s">
        <v>1354</v>
      </c>
      <c r="C15" s="181" t="s">
        <v>1266</v>
      </c>
      <c r="D15" s="175" t="s">
        <v>1362</v>
      </c>
      <c r="E15" s="175" t="s">
        <v>1135</v>
      </c>
      <c r="F15" s="175" t="s">
        <v>4327</v>
      </c>
    </row>
    <row r="16" spans="1:8" s="78" customFormat="1" ht="35.1" customHeight="1">
      <c r="A16" s="1195"/>
      <c r="B16" s="193" t="s">
        <v>1355</v>
      </c>
      <c r="C16" s="181" t="s">
        <v>1266</v>
      </c>
      <c r="D16" s="175" t="s">
        <v>1363</v>
      </c>
      <c r="E16" s="175" t="s">
        <v>1135</v>
      </c>
      <c r="F16" s="175" t="s">
        <v>4327</v>
      </c>
    </row>
    <row r="17" spans="1:6" s="78" customFormat="1" ht="35.1" customHeight="1">
      <c r="A17" s="1195"/>
      <c r="B17" s="194" t="s">
        <v>1356</v>
      </c>
      <c r="C17" s="181" t="s">
        <v>1102</v>
      </c>
      <c r="D17" s="178" t="s">
        <v>1118</v>
      </c>
      <c r="E17" s="178" t="s">
        <v>1137</v>
      </c>
      <c r="F17" s="178"/>
    </row>
    <row r="18" spans="1:6" s="78" customFormat="1" ht="80.25" customHeight="1">
      <c r="A18" s="1195"/>
      <c r="B18" s="194" t="s">
        <v>1357</v>
      </c>
      <c r="C18" s="181" t="s">
        <v>1103</v>
      </c>
      <c r="D18" s="178" t="s">
        <v>1112</v>
      </c>
      <c r="E18" s="178" t="s">
        <v>1135</v>
      </c>
      <c r="F18" s="178"/>
    </row>
    <row r="19" spans="1:6" s="78" customFormat="1" ht="35.1" customHeight="1">
      <c r="A19" s="1195"/>
      <c r="B19" s="194" t="s">
        <v>303</v>
      </c>
      <c r="C19" s="181" t="s">
        <v>1104</v>
      </c>
      <c r="D19" s="178" t="s">
        <v>1113</v>
      </c>
      <c r="E19" s="178" t="s">
        <v>1137</v>
      </c>
      <c r="F19" s="178"/>
    </row>
    <row r="20" spans="1:6" s="78" customFormat="1" ht="35.1" customHeight="1">
      <c r="A20" s="1195"/>
      <c r="B20" s="194" t="s">
        <v>304</v>
      </c>
      <c r="C20" s="181" t="s">
        <v>1111</v>
      </c>
      <c r="D20" s="178" t="s">
        <v>1119</v>
      </c>
      <c r="E20" s="178" t="s">
        <v>1135</v>
      </c>
      <c r="F20" s="178"/>
    </row>
    <row r="21" spans="1:6" s="78" customFormat="1" ht="35.1" customHeight="1">
      <c r="A21" s="1195"/>
      <c r="B21" s="194" t="s">
        <v>1358</v>
      </c>
      <c r="C21" s="181" t="s">
        <v>1105</v>
      </c>
      <c r="D21" s="178" t="s">
        <v>1120</v>
      </c>
      <c r="E21" s="178" t="s">
        <v>1137</v>
      </c>
      <c r="F21" s="178"/>
    </row>
    <row r="22" spans="1:6" s="78" customFormat="1" ht="35.1" customHeight="1">
      <c r="A22" s="1196"/>
      <c r="B22" s="195" t="s">
        <v>1359</v>
      </c>
      <c r="C22" s="181" t="s">
        <v>1106</v>
      </c>
      <c r="D22" s="178" t="s">
        <v>1364</v>
      </c>
      <c r="E22" s="178" t="s">
        <v>1137</v>
      </c>
      <c r="F22" s="178"/>
    </row>
    <row r="23" spans="1:6" s="78" customFormat="1" ht="48" customHeight="1">
      <c r="A23" s="1195" t="s">
        <v>215</v>
      </c>
      <c r="B23" s="196" t="s">
        <v>1360</v>
      </c>
      <c r="C23" s="181" t="s">
        <v>1107</v>
      </c>
      <c r="D23" s="178" t="s">
        <v>1114</v>
      </c>
      <c r="E23" s="178" t="s">
        <v>1137</v>
      </c>
      <c r="F23" s="178"/>
    </row>
    <row r="24" spans="1:6" s="78" customFormat="1" ht="25.5">
      <c r="A24" s="1195"/>
      <c r="B24" s="245" t="s">
        <v>1095</v>
      </c>
      <c r="C24" s="180" t="s">
        <v>1258</v>
      </c>
      <c r="D24" s="178" t="s">
        <v>1115</v>
      </c>
      <c r="E24" s="180" t="s">
        <v>1258</v>
      </c>
      <c r="F24" s="180" t="s">
        <v>1506</v>
      </c>
    </row>
    <row r="25" spans="1:6" s="78" customFormat="1" ht="35.1" customHeight="1">
      <c r="A25" s="1195"/>
      <c r="B25" s="197" t="s">
        <v>307</v>
      </c>
      <c r="C25" s="181" t="s">
        <v>1108</v>
      </c>
      <c r="D25" s="178" t="s">
        <v>1116</v>
      </c>
      <c r="E25" s="178" t="s">
        <v>1138</v>
      </c>
      <c r="F25" s="178" t="s">
        <v>1376</v>
      </c>
    </row>
    <row r="26" spans="1:6" s="78" customFormat="1" ht="25.5">
      <c r="A26" s="1195"/>
      <c r="B26" s="245" t="s">
        <v>1096</v>
      </c>
      <c r="C26" s="180" t="s">
        <v>1258</v>
      </c>
      <c r="D26" s="178" t="s">
        <v>1121</v>
      </c>
      <c r="E26" s="180" t="s">
        <v>1258</v>
      </c>
      <c r="F26" s="180" t="s">
        <v>1506</v>
      </c>
    </row>
    <row r="27" spans="1:6" s="78" customFormat="1" ht="35.1" customHeight="1">
      <c r="A27" s="1195"/>
      <c r="B27" s="197" t="s">
        <v>1361</v>
      </c>
      <c r="C27" s="181" t="s">
        <v>1106</v>
      </c>
      <c r="D27" s="179" t="s">
        <v>1365</v>
      </c>
      <c r="E27" s="178" t="s">
        <v>1137</v>
      </c>
      <c r="F27" s="178"/>
    </row>
    <row r="28" spans="1:6" s="78" customFormat="1" ht="25.5">
      <c r="A28" s="1195"/>
      <c r="B28" s="245" t="s">
        <v>1097</v>
      </c>
      <c r="C28" s="180" t="s">
        <v>1258</v>
      </c>
      <c r="D28" s="178" t="s">
        <v>1117</v>
      </c>
      <c r="E28" s="180" t="s">
        <v>1258</v>
      </c>
      <c r="F28" s="180" t="s">
        <v>1506</v>
      </c>
    </row>
    <row r="29" spans="1:6" s="78" customFormat="1" ht="25.5">
      <c r="A29" s="1195"/>
      <c r="B29" s="191" t="s">
        <v>1098</v>
      </c>
      <c r="C29" s="181" t="s">
        <v>1139</v>
      </c>
      <c r="D29" s="178" t="s">
        <v>1122</v>
      </c>
      <c r="E29" s="178" t="s">
        <v>1259</v>
      </c>
      <c r="F29" s="178"/>
    </row>
    <row r="30" spans="1:6" ht="22.5" customHeight="1">
      <c r="C30" s="174"/>
      <c r="E30" s="174"/>
      <c r="F30" s="79"/>
    </row>
  </sheetData>
  <sheetProtection algorithmName="SHA-512" hashValue="q/ysgDr4rPzYP68Z6J5ez1ZHQ91FfISNautCgsIspalhFHofPOrA/f0NDmcZbeM/PNrJJYoOeJufx8GOizsH3Q==" saltValue="wakPY167vrdiI8PGpr0OHg==" spinCount="100000" sheet="1" objects="1" scenarios="1"/>
  <mergeCells count="3">
    <mergeCell ref="B13:F13"/>
    <mergeCell ref="A23:A29"/>
    <mergeCell ref="A15:A22"/>
  </mergeCells>
  <hyperlinks>
    <hyperlink ref="B15" location="'Cat 1 and 2 (Goods &amp; Services)'!A1" display="Category 1: Purchased Goods and Services" xr:uid="{00000000-0004-0000-0D00-000000000000}"/>
    <hyperlink ref="B16" location="'Cat 1 and 2 (Goods &amp; Services)'!A1" display="Category 2: Capital Goods" xr:uid="{00000000-0004-0000-0D00-000001000000}"/>
    <hyperlink ref="B19" location="'Cat 5 Waste'!A1" display="Category 5: Waste Generated in Operations" xr:uid="{00000000-0004-0000-0D00-000002000000}"/>
    <hyperlink ref="B20" location="'Cat 6 Business Travel'!A1" display="Category 6: Business Travel" xr:uid="{00000000-0004-0000-0D00-000003000000}"/>
    <hyperlink ref="B21" location="'Cat 7 Employee Commuting'!A1" display="Category 7: Employee commuting" xr:uid="{00000000-0004-0000-0D00-000004000000}"/>
    <hyperlink ref="B29" location="'Cat 15 Investments'!A1" display="Category 15: Investments" xr:uid="{00000000-0004-0000-0D00-000005000000}"/>
    <hyperlink ref="B18" location="'Cat 4 Upstream T&amp;D'!A1" display="Category 4: Upstream transportation and distribution" xr:uid="{00000000-0004-0000-0D00-000006000000}"/>
    <hyperlink ref="B25" location="'Cat 11 Use of Sold Products'!A1" display="Category 11: Use of Sold Products" xr:uid="{00000000-0004-0000-0D00-000007000000}"/>
    <hyperlink ref="B17" location="'Cat 3 Fuel &amp; Energy'!A1" display="Category 3: Fuel- and energy related activities" xr:uid="{00000000-0004-0000-0D00-000008000000}"/>
    <hyperlink ref="B23" location="'Cat 9 Downstream T&amp;D'!A1" display="Category 9: Downstream Transportation and Distribution" xr:uid="{00000000-0004-0000-0D00-000009000000}"/>
    <hyperlink ref="B22" location="'Cat 8 &amp; Cat 13 Leased Assets'!A1" display="Category 8: Upstream Leased Assets" xr:uid="{00000000-0004-0000-0D00-00000A000000}"/>
    <hyperlink ref="B27" location="'Cat 8 &amp; Cat 13 Leased Assets'!A1" display="Category 13: Downstream leased assets" xr:uid="{00000000-0004-0000-0D00-00000B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theme="3" tint="0.59999389629810485"/>
  </sheetPr>
  <dimension ref="A1:AB42"/>
  <sheetViews>
    <sheetView showGridLines="0" zoomScale="90" zoomScaleNormal="90" workbookViewId="0">
      <selection activeCell="B10" sqref="B10"/>
    </sheetView>
  </sheetViews>
  <sheetFormatPr defaultColWidth="8.875" defaultRowHeight="14.25"/>
  <cols>
    <col min="1" max="1" width="17.875" customWidth="1"/>
    <col min="2" max="2" width="37" customWidth="1"/>
    <col min="3" max="3" width="12" customWidth="1"/>
    <col min="15" max="15" width="13.125" customWidth="1"/>
  </cols>
  <sheetData>
    <row r="1" spans="1:21" ht="25.7" customHeight="1">
      <c r="A1" s="71" t="s">
        <v>1254</v>
      </c>
      <c r="B1" s="71"/>
      <c r="C1" s="71"/>
      <c r="D1" s="71"/>
      <c r="E1" s="71"/>
      <c r="F1" s="71"/>
      <c r="G1" s="71"/>
      <c r="H1" s="71"/>
      <c r="I1" s="71"/>
      <c r="J1" s="71"/>
      <c r="K1" s="71"/>
      <c r="L1" s="71"/>
      <c r="M1" s="71"/>
      <c r="N1" s="71"/>
      <c r="O1" s="71"/>
      <c r="P1" s="206"/>
    </row>
    <row r="2" spans="1:21" ht="15.95" customHeight="1">
      <c r="A2" s="1197" t="s">
        <v>1255</v>
      </c>
      <c r="B2" s="1197"/>
      <c r="C2" s="1197"/>
      <c r="D2" s="1197"/>
      <c r="E2" s="1197"/>
      <c r="F2" s="1197"/>
      <c r="G2" s="1197"/>
      <c r="H2" s="1197"/>
      <c r="I2" s="1197"/>
      <c r="J2" s="1197"/>
      <c r="K2" s="1197"/>
      <c r="L2" s="1197"/>
      <c r="M2" s="1197"/>
      <c r="N2" s="1197"/>
      <c r="O2" s="1197"/>
    </row>
    <row r="3" spans="1:21" ht="15.95" customHeight="1">
      <c r="A3" s="1197"/>
      <c r="B3" s="1197"/>
      <c r="C3" s="1197"/>
      <c r="D3" s="1197"/>
      <c r="E3" s="1197"/>
      <c r="F3" s="1197"/>
      <c r="G3" s="1197"/>
      <c r="H3" s="1197"/>
      <c r="I3" s="1197"/>
      <c r="J3" s="1197"/>
      <c r="K3" s="1197"/>
      <c r="L3" s="1197"/>
      <c r="M3" s="1197"/>
      <c r="N3" s="1197"/>
      <c r="O3" s="1197"/>
    </row>
    <row r="4" spans="1:21" ht="15.95" customHeight="1">
      <c r="A4" s="1197"/>
      <c r="B4" s="1197"/>
      <c r="C4" s="1197"/>
      <c r="D4" s="1197"/>
      <c r="E4" s="1197"/>
      <c r="F4" s="1197"/>
      <c r="G4" s="1197"/>
      <c r="H4" s="1197"/>
      <c r="I4" s="1197"/>
      <c r="J4" s="1197"/>
      <c r="K4" s="1197"/>
      <c r="L4" s="1197"/>
      <c r="M4" s="1197"/>
      <c r="N4" s="1197"/>
      <c r="O4" s="1197"/>
    </row>
    <row r="5" spans="1:21" ht="15.95" customHeight="1" thickBot="1">
      <c r="A5" s="1197"/>
      <c r="B5" s="1197"/>
      <c r="C5" s="1197"/>
      <c r="D5" s="1197"/>
      <c r="E5" s="1197"/>
      <c r="F5" s="1197"/>
      <c r="G5" s="1197"/>
      <c r="H5" s="1197"/>
      <c r="I5" s="1197"/>
      <c r="J5" s="1197"/>
      <c r="K5" s="1197"/>
      <c r="L5" s="1197"/>
      <c r="M5" s="1197"/>
      <c r="N5" s="1197"/>
      <c r="O5" s="1197"/>
    </row>
    <row r="6" spans="1:21" ht="15" customHeight="1" thickBot="1">
      <c r="A6" s="91"/>
      <c r="B6" s="4"/>
      <c r="D6" s="90"/>
      <c r="E6" s="81" t="s">
        <v>1131</v>
      </c>
      <c r="F6" s="248">
        <v>2022</v>
      </c>
      <c r="G6" s="121"/>
      <c r="H6" s="90"/>
      <c r="I6" s="90"/>
      <c r="J6" s="90"/>
      <c r="K6" s="90"/>
      <c r="M6" s="4"/>
      <c r="N6" s="4"/>
      <c r="O6" s="4"/>
      <c r="P6" s="4"/>
      <c r="Q6" s="4"/>
      <c r="R6" s="4"/>
      <c r="S6" s="4"/>
      <c r="T6" s="4"/>
      <c r="U6" s="4"/>
    </row>
    <row r="7" spans="1:21" ht="15" customHeight="1">
      <c r="A7" s="91"/>
      <c r="B7" s="4"/>
      <c r="D7" s="90"/>
      <c r="E7" s="90"/>
      <c r="F7" s="90"/>
      <c r="G7" s="90"/>
      <c r="H7" s="90"/>
      <c r="I7" s="90"/>
      <c r="J7" s="90"/>
      <c r="K7" s="90"/>
      <c r="M7" s="4"/>
      <c r="N7" s="4"/>
      <c r="O7" s="4"/>
      <c r="P7" s="4"/>
      <c r="Q7" s="4"/>
      <c r="R7" s="4"/>
      <c r="S7" s="4"/>
      <c r="T7" s="4"/>
      <c r="U7" s="4"/>
    </row>
    <row r="8" spans="1:21" ht="15" customHeight="1">
      <c r="A8" s="94" t="s">
        <v>1128</v>
      </c>
      <c r="B8" s="4"/>
      <c r="D8" s="90"/>
      <c r="E8" s="90"/>
      <c r="F8" s="90"/>
      <c r="G8" s="90"/>
      <c r="H8" s="90"/>
      <c r="I8" s="90"/>
      <c r="J8" s="90"/>
      <c r="K8" s="90"/>
      <c r="M8" s="4"/>
      <c r="N8" s="4"/>
      <c r="O8" s="4"/>
      <c r="P8" s="4"/>
      <c r="Q8" s="4"/>
      <c r="R8" s="4"/>
      <c r="S8" s="4"/>
      <c r="T8" s="4"/>
      <c r="U8" s="4"/>
    </row>
    <row r="9" spans="1:21">
      <c r="A9" s="91"/>
      <c r="B9" s="82" t="s">
        <v>1256</v>
      </c>
      <c r="D9" s="90"/>
      <c r="E9" s="90"/>
      <c r="F9" s="90"/>
      <c r="G9" s="90"/>
      <c r="H9" s="90"/>
      <c r="I9" s="90"/>
      <c r="J9" s="90"/>
      <c r="K9" s="90"/>
      <c r="M9" s="4"/>
      <c r="N9" s="4"/>
      <c r="O9" s="4"/>
      <c r="P9" s="4"/>
      <c r="Q9" s="4"/>
      <c r="R9" s="4"/>
      <c r="S9" s="4"/>
      <c r="T9" s="4"/>
      <c r="U9" s="4"/>
    </row>
    <row r="10" spans="1:21" ht="18">
      <c r="A10" s="91"/>
      <c r="B10" s="83" t="s">
        <v>1099</v>
      </c>
      <c r="D10" s="91"/>
      <c r="E10" s="90"/>
      <c r="F10" s="90"/>
      <c r="G10" s="90"/>
      <c r="H10" s="90"/>
      <c r="I10" s="90"/>
      <c r="J10" s="90"/>
      <c r="K10" s="90"/>
      <c r="M10" s="4"/>
      <c r="N10" s="4"/>
      <c r="O10" s="4"/>
      <c r="P10" s="4"/>
      <c r="Q10" s="4"/>
      <c r="R10" s="4"/>
      <c r="S10" s="4"/>
      <c r="T10" s="4"/>
      <c r="U10" s="4"/>
    </row>
    <row r="11" spans="1:21">
      <c r="A11" s="91"/>
      <c r="D11" s="90"/>
      <c r="E11" s="90"/>
      <c r="F11" s="90"/>
      <c r="G11" s="90"/>
      <c r="H11" s="90"/>
      <c r="I11" s="90"/>
      <c r="J11" s="90"/>
      <c r="K11" s="90"/>
    </row>
    <row r="12" spans="1:21">
      <c r="A12" s="90"/>
      <c r="B12" s="82" t="s">
        <v>3652</v>
      </c>
      <c r="D12" s="90"/>
      <c r="E12" s="90"/>
      <c r="F12" s="90"/>
      <c r="G12" s="90"/>
      <c r="H12" s="90"/>
      <c r="I12" s="90"/>
      <c r="J12" s="90"/>
      <c r="K12" s="90"/>
    </row>
    <row r="13" spans="1:21" ht="40.5" customHeight="1">
      <c r="A13" s="90"/>
      <c r="B13" s="1198" t="s">
        <v>4275</v>
      </c>
      <c r="C13" s="1198"/>
      <c r="D13" s="1198"/>
      <c r="E13" s="1198"/>
      <c r="F13" s="1198"/>
      <c r="G13" s="1198"/>
      <c r="H13" s="1198"/>
      <c r="I13" s="1198"/>
      <c r="J13" s="1198"/>
      <c r="K13" s="1198"/>
    </row>
    <row r="14" spans="1:21">
      <c r="A14" s="90"/>
      <c r="B14" s="82" t="s">
        <v>4276</v>
      </c>
      <c r="D14" s="90"/>
      <c r="E14" s="90"/>
      <c r="F14" s="90"/>
      <c r="G14" s="90"/>
      <c r="H14" s="90"/>
      <c r="I14" s="90"/>
      <c r="J14" s="90"/>
      <c r="K14" s="90"/>
    </row>
    <row r="15" spans="1:21">
      <c r="A15" s="90"/>
      <c r="B15" s="82" t="s">
        <v>1513</v>
      </c>
      <c r="D15" s="90"/>
      <c r="E15" s="90"/>
      <c r="F15" s="90"/>
      <c r="G15" s="90"/>
      <c r="H15" s="90"/>
      <c r="I15" s="90"/>
      <c r="J15" s="90"/>
      <c r="K15" s="90"/>
    </row>
    <row r="16" spans="1:21">
      <c r="A16" s="90"/>
      <c r="B16" s="90"/>
      <c r="D16" s="90"/>
      <c r="E16" s="90"/>
      <c r="F16" s="90"/>
      <c r="G16" s="90"/>
      <c r="H16" s="90"/>
      <c r="I16" s="90"/>
      <c r="J16" s="90"/>
      <c r="K16" s="90"/>
    </row>
    <row r="17" spans="1:28" ht="15" thickBot="1">
      <c r="A17" s="90"/>
      <c r="B17" s="90"/>
      <c r="C17" s="90"/>
      <c r="D17" s="90"/>
      <c r="E17" s="90"/>
      <c r="F17" s="90"/>
      <c r="G17" s="90"/>
      <c r="H17" s="90"/>
      <c r="I17" s="90"/>
      <c r="J17" s="90"/>
      <c r="K17" s="90"/>
      <c r="N17" s="4"/>
      <c r="O17" s="4"/>
      <c r="P17" s="4"/>
      <c r="Q17" s="4"/>
      <c r="R17" s="4"/>
      <c r="S17" s="4"/>
      <c r="T17" s="4"/>
      <c r="U17" s="4"/>
      <c r="V17" s="4"/>
      <c r="W17" s="4"/>
      <c r="X17" s="4"/>
      <c r="Y17" s="4"/>
      <c r="Z17" s="4"/>
      <c r="AA17" s="4"/>
      <c r="AB17" s="4"/>
    </row>
    <row r="18" spans="1:28" ht="15" thickBot="1">
      <c r="A18" s="90"/>
      <c r="B18" s="90"/>
      <c r="C18" s="90"/>
      <c r="D18" s="90"/>
      <c r="E18" s="90"/>
      <c r="F18" s="90"/>
      <c r="I18" s="81" t="s">
        <v>1100</v>
      </c>
      <c r="J18" s="249">
        <v>0.85</v>
      </c>
      <c r="K18" s="90"/>
    </row>
    <row r="19" spans="1:28">
      <c r="A19" s="90"/>
      <c r="B19" s="90"/>
      <c r="C19" s="90"/>
      <c r="D19" s="90"/>
      <c r="E19" s="90"/>
      <c r="F19" s="90"/>
      <c r="G19" s="90"/>
      <c r="H19" s="90"/>
      <c r="I19" s="90"/>
      <c r="J19" s="90"/>
      <c r="K19" s="90"/>
    </row>
    <row r="20" spans="1:28">
      <c r="A20" s="90"/>
      <c r="B20" s="90"/>
      <c r="C20" s="90"/>
      <c r="D20" s="90"/>
      <c r="E20" s="90"/>
      <c r="F20" s="90"/>
      <c r="G20" s="90"/>
      <c r="H20" s="90"/>
      <c r="I20" s="90"/>
      <c r="J20" s="90"/>
      <c r="K20" s="90"/>
    </row>
    <row r="21" spans="1:28">
      <c r="A21" s="90"/>
      <c r="B21" s="90"/>
      <c r="C21" s="90"/>
      <c r="D21" s="90"/>
      <c r="E21" s="90"/>
      <c r="F21" s="90"/>
      <c r="G21" s="90"/>
      <c r="H21" s="90"/>
      <c r="I21" s="90"/>
      <c r="J21" s="90"/>
      <c r="K21" s="90"/>
    </row>
    <row r="28" spans="1:28">
      <c r="A28" s="90"/>
      <c r="B28" s="95" t="s">
        <v>1133</v>
      </c>
    </row>
    <row r="29" spans="1:28">
      <c r="A29" s="90"/>
    </row>
    <row r="30" spans="1:28">
      <c r="A30" s="90"/>
    </row>
    <row r="31" spans="1:28">
      <c r="A31" s="90"/>
    </row>
    <row r="32" spans="1:28">
      <c r="A32" s="90"/>
    </row>
    <row r="33" spans="1:1">
      <c r="A33" s="90"/>
    </row>
    <row r="34" spans="1:1">
      <c r="A34" s="90"/>
    </row>
    <row r="35" spans="1:1">
      <c r="A35" s="90"/>
    </row>
    <row r="36" spans="1:1">
      <c r="A36" s="90"/>
    </row>
    <row r="37" spans="1:1">
      <c r="A37" s="90"/>
    </row>
    <row r="38" spans="1:1">
      <c r="A38" s="90"/>
    </row>
    <row r="39" spans="1:1">
      <c r="A39" s="90"/>
    </row>
    <row r="40" spans="1:1">
      <c r="A40" s="90"/>
    </row>
    <row r="41" spans="1:1">
      <c r="A41" s="90"/>
    </row>
    <row r="42" spans="1:1">
      <c r="A42" s="90"/>
    </row>
  </sheetData>
  <sheetProtection algorithmName="SHA-512" hashValue="dZwum707tR0ChM0YM38hNN83HfWpC4LkExFvkmshNKXqyECQQHbB6abr/IDAzvpiEkPS/BRQb4nwfqmnKM/JaA==" saltValue="lsTctkwW4+ws5V8c3ucInw==" spinCount="100000" sheet="1" objects="1" scenarios="1"/>
  <mergeCells count="2">
    <mergeCell ref="A2:O5"/>
    <mergeCell ref="B13:K13"/>
  </mergeCells>
  <hyperlinks>
    <hyperlink ref="B10" r:id="rId1" xr:uid="{00000000-0004-0000-0E00-000000000000}"/>
  </hyperlinks>
  <pageMargins left="0.7" right="0.7" top="0.75" bottom="0.75" header="0.3" footer="0.3"/>
  <pageSetup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theme="3" tint="0.59999389629810485"/>
  </sheetPr>
  <dimension ref="A1:R35"/>
  <sheetViews>
    <sheetView showGridLines="0" zoomScale="90" zoomScaleNormal="90" workbookViewId="0">
      <selection activeCell="B15" sqref="B15"/>
    </sheetView>
  </sheetViews>
  <sheetFormatPr defaultColWidth="8.875" defaultRowHeight="14.25"/>
  <cols>
    <col min="1" max="1" width="16.375" customWidth="1"/>
    <col min="2" max="2" width="14.875" bestFit="1" customWidth="1"/>
    <col min="3" max="3" width="40.5" customWidth="1"/>
    <col min="4" max="4" width="11.875" customWidth="1"/>
  </cols>
  <sheetData>
    <row r="1" spans="1:18" s="22" customFormat="1">
      <c r="D1" s="177"/>
    </row>
    <row r="2" spans="1:18" s="22" customFormat="1">
      <c r="D2"/>
      <c r="E2"/>
      <c r="F2"/>
      <c r="G2"/>
      <c r="H2"/>
    </row>
    <row r="3" spans="1:18" s="22" customFormat="1">
      <c r="D3"/>
      <c r="E3"/>
      <c r="F3"/>
      <c r="G3"/>
      <c r="H3"/>
    </row>
    <row r="4" spans="1:18" s="22" customFormat="1" ht="15" customHeight="1">
      <c r="D4"/>
      <c r="E4"/>
      <c r="F4"/>
      <c r="G4"/>
      <c r="H4"/>
    </row>
    <row r="5" spans="1:18" s="22" customFormat="1" ht="15" customHeight="1">
      <c r="D5"/>
      <c r="E5"/>
      <c r="F5"/>
      <c r="G5"/>
      <c r="H5"/>
    </row>
    <row r="6" spans="1:18" s="22" customFormat="1">
      <c r="D6"/>
      <c r="E6"/>
      <c r="F6"/>
      <c r="G6"/>
      <c r="H6"/>
    </row>
    <row r="7" spans="1:18" s="22" customFormat="1">
      <c r="D7"/>
      <c r="E7"/>
      <c r="F7"/>
      <c r="G7"/>
      <c r="H7"/>
    </row>
    <row r="8" spans="1:18" s="22" customFormat="1">
      <c r="D8"/>
      <c r="E8"/>
      <c r="F8"/>
      <c r="G8"/>
      <c r="H8"/>
    </row>
    <row r="9" spans="1:18" s="22" customFormat="1">
      <c r="D9" s="177"/>
    </row>
    <row r="10" spans="1:18" ht="20.25">
      <c r="A10" s="198" t="s">
        <v>1368</v>
      </c>
      <c r="B10" s="199"/>
      <c r="C10" s="199"/>
      <c r="D10" s="199"/>
      <c r="E10" s="199"/>
      <c r="F10" s="199"/>
      <c r="G10" s="199"/>
      <c r="H10" s="199"/>
      <c r="I10" s="199"/>
      <c r="J10" s="199"/>
      <c r="K10" s="199"/>
      <c r="L10" s="199"/>
      <c r="M10" s="199"/>
      <c r="N10" s="199"/>
      <c r="O10" s="199"/>
      <c r="P10" s="199"/>
      <c r="Q10" s="199"/>
      <c r="R10" s="199"/>
    </row>
    <row r="12" spans="1:18" ht="30">
      <c r="A12" s="124" t="s">
        <v>227</v>
      </c>
      <c r="B12" s="126" t="s">
        <v>1280</v>
      </c>
    </row>
    <row r="13" spans="1:18">
      <c r="A13" s="185" t="s">
        <v>216</v>
      </c>
      <c r="B13" s="247">
        <f>'Results &amp; Summary'!E7</f>
        <v>0</v>
      </c>
      <c r="C13" s="307"/>
    </row>
    <row r="14" spans="1:18">
      <c r="A14" s="185" t="s">
        <v>217</v>
      </c>
      <c r="B14" s="247">
        <f>'Results &amp; Summary'!E20</f>
        <v>0</v>
      </c>
      <c r="C14" s="307"/>
    </row>
    <row r="15" spans="1:18">
      <c r="A15" s="185" t="s">
        <v>218</v>
      </c>
      <c r="B15" s="125">
        <f>$D$35</f>
        <v>0</v>
      </c>
    </row>
    <row r="16" spans="1:18" ht="15">
      <c r="A16" s="123" t="s">
        <v>228</v>
      </c>
      <c r="B16" s="184">
        <f>SUM(B13:B15)</f>
        <v>0</v>
      </c>
    </row>
    <row r="18" spans="1:4">
      <c r="A18" s="172" t="s">
        <v>1373</v>
      </c>
    </row>
    <row r="19" spans="1:4" ht="45">
      <c r="A19" s="246" t="s">
        <v>1279</v>
      </c>
      <c r="B19" s="246"/>
      <c r="C19" s="246" t="s">
        <v>3589</v>
      </c>
      <c r="D19" s="126" t="s">
        <v>1281</v>
      </c>
    </row>
    <row r="20" spans="1:4" ht="15.75">
      <c r="A20" s="1201" t="s">
        <v>214</v>
      </c>
      <c r="B20" s="243" t="s">
        <v>196</v>
      </c>
      <c r="C20" s="70" t="s">
        <v>232</v>
      </c>
      <c r="D20" s="125">
        <f>SUM('Cat 1 and 2 (Goods &amp; Services)'!G134,'Cat 1 and 2 (Goods &amp; Services)'!O44,'Cat 1 and 2 (Goods &amp; Services)'!O61)</f>
        <v>0</v>
      </c>
    </row>
    <row r="21" spans="1:4" ht="15.75">
      <c r="A21" s="1202"/>
      <c r="B21" s="243" t="s">
        <v>197</v>
      </c>
      <c r="C21" s="70" t="s">
        <v>233</v>
      </c>
      <c r="D21" s="125">
        <f>SUM('Cat 1 and 2 (Goods &amp; Services)'!G135,'Cat 1 and 2 (Goods &amp; Services)'!O45,'Cat 1 and 2 (Goods &amp; Services)'!O62)</f>
        <v>0</v>
      </c>
    </row>
    <row r="22" spans="1:4" ht="15.75">
      <c r="A22" s="1202"/>
      <c r="B22" s="243" t="s">
        <v>198</v>
      </c>
      <c r="C22" s="70" t="s">
        <v>234</v>
      </c>
      <c r="D22" s="125">
        <f>SUM('Cat 3 Fuel &amp; Energy'!H37,'Cat 3 Fuel &amp; Energy'!E62,'Cat 3 Fuel &amp; Energy'!F87)</f>
        <v>0</v>
      </c>
    </row>
    <row r="23" spans="1:4" ht="15.75">
      <c r="A23" s="1202"/>
      <c r="B23" s="243" t="s">
        <v>199</v>
      </c>
      <c r="C23" s="70" t="s">
        <v>231</v>
      </c>
      <c r="D23" s="125">
        <f>SUM('Cat 4 Upstream Trans &amp; Dist'!F41,'Cat 4 Upstream Trans &amp; Dist'!H53)</f>
        <v>0</v>
      </c>
    </row>
    <row r="24" spans="1:4" ht="15.75">
      <c r="A24" s="1202"/>
      <c r="B24" s="243" t="s">
        <v>202</v>
      </c>
      <c r="C24" s="70" t="s">
        <v>204</v>
      </c>
      <c r="D24" s="125">
        <f>SUM('Cat 5 Waste'!G40,'Cat 5 Waste'!H55)</f>
        <v>0</v>
      </c>
    </row>
    <row r="25" spans="1:4" ht="15.75">
      <c r="A25" s="1202"/>
      <c r="B25" s="243" t="s">
        <v>201</v>
      </c>
      <c r="C25" s="70" t="s">
        <v>235</v>
      </c>
      <c r="D25" s="125">
        <f>SUM('Cat 6 Business Travel'!F46,'Cat 6 Business Travel'!H58)</f>
        <v>0</v>
      </c>
    </row>
    <row r="26" spans="1:4" ht="15.75">
      <c r="A26" s="1202"/>
      <c r="B26" s="243" t="s">
        <v>219</v>
      </c>
      <c r="C26" s="70" t="s">
        <v>236</v>
      </c>
      <c r="D26" s="125">
        <f>IF('Cat 7 Employee Commuting'!G38=0,'Cat 7 Employee Commuting'!G39,'Cat 7 Employee Commuting'!G38)+IF('Cat 7 Employee Commuting'!G63=0,'Cat 7 Employee Commuting'!G64,'Cat 7 Employee Commuting'!G63)</f>
        <v>0</v>
      </c>
    </row>
    <row r="27" spans="1:4" ht="15.75">
      <c r="A27" s="1203"/>
      <c r="B27" s="243" t="s">
        <v>220</v>
      </c>
      <c r="C27" s="70" t="s">
        <v>237</v>
      </c>
      <c r="D27" s="125">
        <f>SUM('Cat 8 &amp; Cat 13 Leased Assets'!F44,'Cat 8 &amp; Cat 13 Leased Assets'!N44,'Cat 8 &amp; Cat 13 Leased Assets'!G70,'Cat 8 &amp; Cat 13 Leased Assets'!O70)</f>
        <v>0</v>
      </c>
    </row>
    <row r="28" spans="1:4" ht="15.75">
      <c r="A28" s="1199" t="s">
        <v>215</v>
      </c>
      <c r="B28" s="244" t="s">
        <v>200</v>
      </c>
      <c r="C28" s="70" t="s">
        <v>230</v>
      </c>
      <c r="D28" s="125">
        <f>IF('Cat 9 Downstream Trans &amp; Dist'!E39=0,'Cat 9 Downstream Trans &amp; Dist'!E40,'Cat 9 Downstream Trans &amp; Dist'!E39)+IF('Cat 9 Downstream Trans &amp; Dist'!E66=0,'Cat 9 Downstream Trans &amp; Dist'!E67,'Cat 9 Downstream Trans &amp; Dist'!E66)+IF('Cat 9 Downstream Trans &amp; Dist'!F82=0,'Cat 9 Downstream Trans &amp; Dist'!F83,'Cat 9 Downstream Trans &amp; Dist'!F82)</f>
        <v>0</v>
      </c>
    </row>
    <row r="29" spans="1:4" ht="15.75">
      <c r="A29" s="1200"/>
      <c r="B29" s="244" t="s">
        <v>221</v>
      </c>
      <c r="C29" s="70" t="s">
        <v>166</v>
      </c>
      <c r="D29" s="305" t="s">
        <v>1267</v>
      </c>
    </row>
    <row r="30" spans="1:4" ht="15.75">
      <c r="A30" s="1200"/>
      <c r="B30" s="244" t="s">
        <v>222</v>
      </c>
      <c r="C30" s="70" t="s">
        <v>167</v>
      </c>
      <c r="D30" s="125">
        <f>SUM('Cat 11 Use of Sold Products'!F41,'Cat 11 Use of Sold Products'!F66)</f>
        <v>0</v>
      </c>
    </row>
    <row r="31" spans="1:4" ht="15.75">
      <c r="A31" s="1200"/>
      <c r="B31" s="244" t="s">
        <v>223</v>
      </c>
      <c r="C31" s="70" t="s">
        <v>168</v>
      </c>
      <c r="D31" s="305" t="s">
        <v>1267</v>
      </c>
    </row>
    <row r="32" spans="1:4" ht="15.75">
      <c r="A32" s="1200"/>
      <c r="B32" s="244" t="s">
        <v>224</v>
      </c>
      <c r="C32" s="70" t="s">
        <v>169</v>
      </c>
      <c r="D32" s="125">
        <f>SUM('Cat 8 &amp; Cat 13 Leased Assets'!F96,'Cat 8 &amp; Cat 13 Leased Assets'!N96,'Cat 8 &amp; Cat 13 Leased Assets'!G122,'Cat 8 &amp; Cat 13 Leased Assets'!O122)</f>
        <v>0</v>
      </c>
    </row>
    <row r="33" spans="1:4" ht="15.75">
      <c r="A33" s="1200"/>
      <c r="B33" s="244" t="s">
        <v>225</v>
      </c>
      <c r="C33" s="70" t="s">
        <v>170</v>
      </c>
      <c r="D33" s="305" t="s">
        <v>1267</v>
      </c>
    </row>
    <row r="34" spans="1:4" ht="15.75">
      <c r="A34" s="372"/>
      <c r="B34" s="244" t="s">
        <v>226</v>
      </c>
      <c r="C34" s="70" t="s">
        <v>171</v>
      </c>
      <c r="D34" s="125">
        <f>IF('Cat 15 Investments'!J67=0,'Cat 15 Investments'!J68,'Cat 15 Investments'!J67)</f>
        <v>0</v>
      </c>
    </row>
    <row r="35" spans="1:4" ht="15">
      <c r="C35" s="187" t="s">
        <v>228</v>
      </c>
      <c r="D35" s="306">
        <f>SUM($D$20:$D$34)</f>
        <v>0</v>
      </c>
    </row>
  </sheetData>
  <sheetProtection algorithmName="SHA-512" hashValue="olf37F2hOt9JbUd1r+cKDc5ePzjK+MH9kAq6YZE63jHiYIhtsTbmr46LZ4jf+GrNKTDmDjzD1JlAWKxUxl91DQ==" saltValue="K+ob4t2i6iYnMdE7B/k0GQ==" spinCount="100000" sheet="1" objects="1" scenarios="1"/>
  <mergeCells count="2">
    <mergeCell ref="A28:A33"/>
    <mergeCell ref="A20:A27"/>
  </mergeCells>
  <phoneticPr fontId="6"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tabColor theme="3" tint="0.59999389629810485"/>
  </sheetPr>
  <dimension ref="A1:AC135"/>
  <sheetViews>
    <sheetView showGridLines="0" zoomScale="85" zoomScaleNormal="85" workbookViewId="0">
      <pane ySplit="23" topLeftCell="A132" activePane="bottomLeft" state="frozen"/>
      <selection activeCell="E25" sqref="E25"/>
      <selection pane="bottomLeft" activeCell="E25" sqref="E25"/>
    </sheetView>
  </sheetViews>
  <sheetFormatPr defaultColWidth="8.875" defaultRowHeight="14.25"/>
  <cols>
    <col min="2" max="2" width="26.375" customWidth="1"/>
    <col min="3" max="3" width="25.25" customWidth="1"/>
    <col min="4" max="4" width="85.125" style="4" customWidth="1"/>
    <col min="5" max="5" width="16.625" customWidth="1"/>
    <col min="6" max="6" width="27.875" customWidth="1"/>
    <col min="7" max="7" width="19.5" style="19" customWidth="1"/>
    <col min="9" max="9" width="16.375" customWidth="1"/>
    <col min="10" max="10" width="30" customWidth="1"/>
    <col min="11" max="11" width="31.375" customWidth="1"/>
    <col min="12" max="12" width="40.5" customWidth="1"/>
    <col min="13" max="13" width="16.375" customWidth="1"/>
    <col min="14" max="14" width="30.125" customWidth="1"/>
    <col min="15" max="15" width="21.5" customWidth="1"/>
  </cols>
  <sheetData>
    <row r="1" spans="1:29" ht="27.6" customHeight="1">
      <c r="A1" s="198" t="s">
        <v>301</v>
      </c>
      <c r="B1" s="199"/>
      <c r="C1" s="199"/>
      <c r="D1" s="358"/>
      <c r="E1" s="199"/>
      <c r="F1" s="199"/>
      <c r="G1" s="365"/>
    </row>
    <row r="2" spans="1:29">
      <c r="A2" s="200" t="s">
        <v>1263</v>
      </c>
      <c r="B2" s="201"/>
      <c r="C2" s="201"/>
      <c r="D2" s="212"/>
      <c r="E2" s="201"/>
      <c r="F2" s="201"/>
      <c r="G2" s="366"/>
    </row>
    <row r="3" spans="1:29" ht="16.350000000000001" customHeight="1">
      <c r="A3" s="202" t="s">
        <v>1386</v>
      </c>
      <c r="B3" s="201"/>
      <c r="C3" s="201"/>
      <c r="D3" s="212"/>
      <c r="E3" s="201"/>
      <c r="F3" s="201"/>
      <c r="G3" s="366"/>
    </row>
    <row r="4" spans="1:29">
      <c r="A4" s="202" t="s">
        <v>1518</v>
      </c>
      <c r="B4" s="201"/>
      <c r="C4" s="201"/>
      <c r="D4" s="212"/>
      <c r="E4" s="201"/>
      <c r="F4" s="201"/>
      <c r="G4" s="366"/>
    </row>
    <row r="5" spans="1:29">
      <c r="A5" s="202" t="s">
        <v>3615</v>
      </c>
      <c r="B5" s="201"/>
      <c r="C5" s="201"/>
      <c r="D5" s="212"/>
      <c r="E5" s="201"/>
      <c r="F5" s="201"/>
      <c r="G5" s="366"/>
    </row>
    <row r="6" spans="1:29">
      <c r="A6" s="202" t="s">
        <v>1511</v>
      </c>
      <c r="B6" s="201"/>
      <c r="C6" s="201"/>
      <c r="D6" s="212"/>
      <c r="E6" s="201"/>
      <c r="F6" s="201"/>
      <c r="G6" s="366"/>
    </row>
    <row r="10" spans="1:29">
      <c r="I10" s="22"/>
      <c r="L10" s="87"/>
      <c r="M10" s="87"/>
      <c r="N10" s="22"/>
      <c r="O10" s="22"/>
      <c r="P10" s="22"/>
      <c r="Q10" s="22"/>
      <c r="R10" s="22"/>
      <c r="S10" s="22"/>
      <c r="T10" s="22"/>
      <c r="U10" s="22"/>
      <c r="V10" s="22"/>
      <c r="W10" s="22"/>
      <c r="X10" s="22"/>
      <c r="Y10" s="22"/>
      <c r="Z10" s="22"/>
      <c r="AA10" s="22"/>
      <c r="AB10" s="22"/>
      <c r="AC10" s="22"/>
    </row>
    <row r="11" spans="1:29">
      <c r="I11" s="22"/>
      <c r="L11" s="87"/>
      <c r="M11" s="87"/>
      <c r="N11" s="22"/>
      <c r="O11" s="22"/>
      <c r="P11" s="22"/>
      <c r="Q11" s="22"/>
      <c r="R11" s="22"/>
      <c r="S11" s="22"/>
      <c r="T11" s="22"/>
      <c r="U11" s="22"/>
      <c r="V11" s="22"/>
      <c r="W11" s="22"/>
      <c r="X11" s="22"/>
      <c r="Y11" s="22"/>
      <c r="Z11" s="22"/>
      <c r="AA11" s="22"/>
      <c r="AB11" s="22"/>
      <c r="AC11" s="22"/>
    </row>
    <row r="12" spans="1:29" ht="18.75" customHeight="1">
      <c r="G12" s="367"/>
    </row>
    <row r="13" spans="1:29">
      <c r="F13" s="22"/>
      <c r="G13" s="368"/>
      <c r="H13" s="22"/>
      <c r="I13" s="22"/>
      <c r="J13" s="22"/>
      <c r="K13" s="22"/>
      <c r="L13" s="87"/>
      <c r="M13" s="87"/>
      <c r="N13" s="22"/>
      <c r="O13" s="22"/>
      <c r="P13" s="22"/>
      <c r="Q13" s="22"/>
      <c r="R13" s="22"/>
      <c r="S13" s="22"/>
      <c r="T13" s="22"/>
      <c r="U13" s="22"/>
      <c r="V13" s="22"/>
      <c r="W13" s="22"/>
      <c r="X13" s="22"/>
      <c r="Y13" s="22"/>
      <c r="Z13" s="22"/>
      <c r="AA13" s="22"/>
      <c r="AB13" s="22"/>
      <c r="AC13" s="22"/>
    </row>
    <row r="14" spans="1:29">
      <c r="F14" s="22"/>
      <c r="G14" s="368"/>
      <c r="H14" s="22"/>
      <c r="I14" s="22"/>
      <c r="J14" s="22"/>
      <c r="K14" s="22"/>
      <c r="L14" s="87"/>
      <c r="M14" s="87"/>
      <c r="N14" s="22"/>
      <c r="O14" s="22"/>
      <c r="P14" s="22"/>
      <c r="Q14" s="22"/>
      <c r="R14" s="22"/>
      <c r="S14" s="22"/>
      <c r="T14" s="22"/>
      <c r="U14" s="22"/>
      <c r="V14" s="22"/>
      <c r="W14" s="22"/>
      <c r="X14" s="22"/>
      <c r="Y14" s="22"/>
      <c r="Z14" s="22"/>
      <c r="AA14" s="22"/>
      <c r="AB14" s="22"/>
      <c r="AC14" s="22"/>
    </row>
    <row r="18" spans="1:15">
      <c r="A18" s="267" t="s">
        <v>1371</v>
      </c>
    </row>
    <row r="19" spans="1:15">
      <c r="A19" s="267"/>
    </row>
    <row r="20" spans="1:15" ht="15">
      <c r="A20" s="267" t="s">
        <v>4284</v>
      </c>
      <c r="I20" s="10" t="s">
        <v>4283</v>
      </c>
    </row>
    <row r="21" spans="1:15">
      <c r="B21" s="9" t="s">
        <v>188</v>
      </c>
      <c r="C21" s="9" t="s">
        <v>188</v>
      </c>
      <c r="D21" s="359"/>
      <c r="E21" s="9" t="s">
        <v>188</v>
      </c>
      <c r="J21" s="9" t="s">
        <v>188</v>
      </c>
      <c r="K21" s="9" t="s">
        <v>188</v>
      </c>
      <c r="L21" t="s">
        <v>188</v>
      </c>
      <c r="M21" s="9" t="s">
        <v>188</v>
      </c>
      <c r="N21" s="9" t="s">
        <v>188</v>
      </c>
    </row>
    <row r="22" spans="1:15" ht="45">
      <c r="A22" s="360" t="s">
        <v>155</v>
      </c>
      <c r="B22" s="361" t="s">
        <v>1134</v>
      </c>
      <c r="C22" s="361" t="s">
        <v>156</v>
      </c>
      <c r="D22" s="362" t="s">
        <v>1512</v>
      </c>
      <c r="E22" s="362" t="s">
        <v>1367</v>
      </c>
      <c r="F22" s="362" t="s">
        <v>1130</v>
      </c>
      <c r="G22" s="369" t="s">
        <v>160</v>
      </c>
      <c r="I22" s="360" t="s">
        <v>155</v>
      </c>
      <c r="J22" s="361" t="s">
        <v>1134</v>
      </c>
      <c r="K22" s="361" t="s">
        <v>156</v>
      </c>
      <c r="L22" s="362" t="s">
        <v>4285</v>
      </c>
      <c r="M22" s="362" t="s">
        <v>1367</v>
      </c>
      <c r="N22" s="362" t="s">
        <v>1130</v>
      </c>
      <c r="O22" s="369" t="s">
        <v>160</v>
      </c>
    </row>
    <row r="23" spans="1:15" ht="34.5" customHeight="1" thickBot="1">
      <c r="A23" s="354">
        <v>1</v>
      </c>
      <c r="B23" s="385" t="s">
        <v>1372</v>
      </c>
      <c r="C23" s="385" t="s">
        <v>232</v>
      </c>
      <c r="D23" s="386" t="s">
        <v>1465</v>
      </c>
      <c r="E23" s="387">
        <v>10000000</v>
      </c>
      <c r="F23" s="286">
        <f>IFERROR(VLOOKUP($D23,EF!$C$2:$D$102,2,FALSE),"")</f>
        <v>0.14000000000000001</v>
      </c>
      <c r="G23" s="388">
        <f>IFERROR(E23*F23*'inventory year and inflation'!$J$18/1000,"")</f>
        <v>1190.0000000000002</v>
      </c>
      <c r="I23" s="354">
        <v>1</v>
      </c>
      <c r="J23" s="385" t="s">
        <v>1372</v>
      </c>
      <c r="K23" s="385" t="s">
        <v>232</v>
      </c>
      <c r="L23" s="512" t="s">
        <v>4289</v>
      </c>
      <c r="M23" s="387">
        <v>10000000</v>
      </c>
      <c r="N23" s="510" t="s">
        <v>4286</v>
      </c>
      <c r="O23" s="388" t="str">
        <f>IFERROR(M23*N23,"")</f>
        <v/>
      </c>
    </row>
    <row r="24" spans="1:15" ht="15.75" thickBot="1">
      <c r="A24" s="1206" t="s">
        <v>136</v>
      </c>
      <c r="B24" s="1207"/>
      <c r="C24" s="1207"/>
      <c r="D24" s="1207"/>
      <c r="E24" s="1207"/>
      <c r="F24" s="1207"/>
      <c r="G24" s="1208"/>
      <c r="I24" s="354">
        <v>2</v>
      </c>
      <c r="J24" s="528"/>
      <c r="K24" s="250"/>
      <c r="L24" s="530"/>
      <c r="M24" s="531"/>
      <c r="N24" s="532"/>
      <c r="O24" s="511">
        <f t="shared" ref="O24:O42" si="0">IFERROR(M24*N24,"")</f>
        <v>0</v>
      </c>
    </row>
    <row r="25" spans="1:15" ht="15">
      <c r="A25" s="186">
        <f>A23+1</f>
        <v>2</v>
      </c>
      <c r="B25" s="250"/>
      <c r="C25" s="250"/>
      <c r="D25" s="373" t="s">
        <v>1434</v>
      </c>
      <c r="E25" s="251"/>
      <c r="F25" s="286">
        <f>IFERROR(VLOOKUP($D25,EF!$C$2:$D$102,2,FALSE),"")</f>
        <v>0.13</v>
      </c>
      <c r="G25" s="274">
        <f>IFERROR(E25*F25*'inventory year and inflation'!$J$18/1000,"")</f>
        <v>0</v>
      </c>
      <c r="I25" s="354">
        <v>3</v>
      </c>
      <c r="J25" s="528"/>
      <c r="K25" s="250"/>
      <c r="L25" s="530"/>
      <c r="M25" s="531"/>
      <c r="N25" s="532"/>
      <c r="O25" s="511">
        <f>IFERROR(M25*N25,"")</f>
        <v>0</v>
      </c>
    </row>
    <row r="26" spans="1:15" ht="15">
      <c r="A26" s="186">
        <f t="shared" ref="A26:A31" si="1">A25+1</f>
        <v>3</v>
      </c>
      <c r="B26" s="250"/>
      <c r="C26" s="250"/>
      <c r="D26" s="373" t="s">
        <v>1451</v>
      </c>
      <c r="E26" s="251"/>
      <c r="F26" s="286">
        <f>IFERROR(VLOOKUP($D26,EF!$C$2:$D$102,2,FALSE),"")</f>
        <v>0.19</v>
      </c>
      <c r="G26" s="274">
        <f>IFERROR(E26*F26*'inventory year and inflation'!$J$18/1000,"")</f>
        <v>0</v>
      </c>
      <c r="I26" s="354">
        <v>4</v>
      </c>
      <c r="J26" s="528"/>
      <c r="K26" s="250"/>
      <c r="L26" s="530"/>
      <c r="M26" s="531"/>
      <c r="N26" s="532"/>
      <c r="O26" s="511">
        <f t="shared" si="0"/>
        <v>0</v>
      </c>
    </row>
    <row r="27" spans="1:15" ht="15">
      <c r="A27" s="186">
        <f t="shared" si="1"/>
        <v>4</v>
      </c>
      <c r="B27" s="250"/>
      <c r="C27" s="250"/>
      <c r="D27" s="373" t="s">
        <v>1452</v>
      </c>
      <c r="E27" s="251"/>
      <c r="F27" s="286">
        <f>IFERROR(VLOOKUP($D27,EF!$C$2:$D$102,2,FALSE),"")</f>
        <v>0.10400000000000001</v>
      </c>
      <c r="G27" s="274">
        <f>IFERROR(E27*F27*'inventory year and inflation'!$J$18/1000,"")</f>
        <v>0</v>
      </c>
      <c r="I27" s="354">
        <v>5</v>
      </c>
      <c r="J27" s="528"/>
      <c r="K27" s="250"/>
      <c r="L27" s="530"/>
      <c r="M27" s="531"/>
      <c r="N27" s="532"/>
      <c r="O27" s="511">
        <f t="shared" si="0"/>
        <v>0</v>
      </c>
    </row>
    <row r="28" spans="1:15" ht="15">
      <c r="A28" s="186">
        <f t="shared" si="1"/>
        <v>5</v>
      </c>
      <c r="B28" s="250"/>
      <c r="C28" s="250"/>
      <c r="D28" s="373" t="s">
        <v>1453</v>
      </c>
      <c r="E28" s="251"/>
      <c r="F28" s="286">
        <f>IFERROR(VLOOKUP($D28,EF!$C$2:$D$102,2,FALSE),"")</f>
        <v>0.13200000000000001</v>
      </c>
      <c r="G28" s="274">
        <f>IFERROR(E28*F28*'inventory year and inflation'!$J$18/1000,"")</f>
        <v>0</v>
      </c>
      <c r="I28" s="354">
        <v>6</v>
      </c>
      <c r="J28" s="528"/>
      <c r="K28" s="250"/>
      <c r="L28" s="530"/>
      <c r="M28" s="531"/>
      <c r="N28" s="532"/>
      <c r="O28" s="511">
        <f t="shared" si="0"/>
        <v>0</v>
      </c>
    </row>
    <row r="29" spans="1:15" ht="15">
      <c r="A29" s="186">
        <f t="shared" si="1"/>
        <v>6</v>
      </c>
      <c r="B29" s="250"/>
      <c r="C29" s="250"/>
      <c r="D29" s="373" t="s">
        <v>1454</v>
      </c>
      <c r="E29" s="251"/>
      <c r="F29" s="286">
        <f>IFERROR(VLOOKUP($D29,EF!$C$2:$D$102,2,FALSE),"")</f>
        <v>0.10200000000000001</v>
      </c>
      <c r="G29" s="274">
        <f>IFERROR(E29*F29*'inventory year and inflation'!$J$18/1000,"")</f>
        <v>0</v>
      </c>
      <c r="I29" s="354">
        <v>7</v>
      </c>
      <c r="J29" s="528"/>
      <c r="K29" s="250"/>
      <c r="L29" s="530"/>
      <c r="M29" s="531"/>
      <c r="N29" s="532"/>
      <c r="O29" s="511">
        <f t="shared" si="0"/>
        <v>0</v>
      </c>
    </row>
    <row r="30" spans="1:15" ht="15">
      <c r="A30" s="186">
        <f t="shared" si="1"/>
        <v>7</v>
      </c>
      <c r="B30" s="250"/>
      <c r="C30" s="250"/>
      <c r="D30" s="373" t="s">
        <v>1455</v>
      </c>
      <c r="E30" s="251"/>
      <c r="F30" s="286">
        <f>IFERROR(VLOOKUP($D30,EF!$C$2:$D$102,2,FALSE),"")</f>
        <v>0.14600000000000002</v>
      </c>
      <c r="G30" s="274">
        <f>IFERROR(E30*F30*'inventory year and inflation'!$J$18/1000,"")</f>
        <v>0</v>
      </c>
      <c r="I30" s="354">
        <v>8</v>
      </c>
      <c r="J30" s="528"/>
      <c r="K30" s="250"/>
      <c r="L30" s="530"/>
      <c r="M30" s="531"/>
      <c r="N30" s="532"/>
      <c r="O30" s="511">
        <f t="shared" si="0"/>
        <v>0</v>
      </c>
    </row>
    <row r="31" spans="1:15" ht="15.75" thickBot="1">
      <c r="A31" s="186">
        <f t="shared" si="1"/>
        <v>8</v>
      </c>
      <c r="B31" s="353"/>
      <c r="C31" s="353"/>
      <c r="D31" s="374" t="s">
        <v>1456</v>
      </c>
      <c r="E31" s="251"/>
      <c r="F31" s="286">
        <f>IFERROR(VLOOKUP($D31,EF!$C$2:$D$102,2,FALSE),"")</f>
        <v>8.2000000000000003E-2</v>
      </c>
      <c r="G31" s="274">
        <f>IFERROR(E31*F31*'inventory year and inflation'!$J$18/1000,"")</f>
        <v>0</v>
      </c>
      <c r="I31" s="354">
        <v>9</v>
      </c>
      <c r="J31" s="528"/>
      <c r="K31" s="250"/>
      <c r="L31" s="530"/>
      <c r="M31" s="531"/>
      <c r="N31" s="532"/>
      <c r="O31" s="511">
        <f t="shared" si="0"/>
        <v>0</v>
      </c>
    </row>
    <row r="32" spans="1:15" ht="15.75" thickBot="1">
      <c r="A32" s="1206" t="s">
        <v>48</v>
      </c>
      <c r="B32" s="1207"/>
      <c r="C32" s="1207"/>
      <c r="D32" s="1207"/>
      <c r="E32" s="1207"/>
      <c r="F32" s="1207"/>
      <c r="G32" s="1208"/>
      <c r="I32" s="354">
        <v>10</v>
      </c>
      <c r="J32" s="528"/>
      <c r="K32" s="250"/>
      <c r="L32" s="530"/>
      <c r="M32" s="531"/>
      <c r="N32" s="532"/>
      <c r="O32" s="511">
        <f t="shared" si="0"/>
        <v>0</v>
      </c>
    </row>
    <row r="33" spans="1:15" ht="15">
      <c r="A33" s="186">
        <f>A31+1</f>
        <v>9</v>
      </c>
      <c r="B33" s="250"/>
      <c r="C33" s="250"/>
      <c r="D33" s="373" t="s">
        <v>1435</v>
      </c>
      <c r="E33" s="251"/>
      <c r="F33" s="286">
        <f>IFERROR(VLOOKUP($D33,EF!$C$2:$D$102,2,FALSE),"")</f>
        <v>0.115</v>
      </c>
      <c r="G33" s="274">
        <f>IFERROR(E33*F33*'inventory year and inflation'!$J$18/1000,"")</f>
        <v>0</v>
      </c>
      <c r="I33" s="354">
        <v>11</v>
      </c>
      <c r="J33" s="528"/>
      <c r="K33" s="250"/>
      <c r="L33" s="530"/>
      <c r="M33" s="531"/>
      <c r="N33" s="532"/>
      <c r="O33" s="511">
        <f t="shared" si="0"/>
        <v>0</v>
      </c>
    </row>
    <row r="34" spans="1:15" ht="15.75" thickBot="1">
      <c r="A34" s="186">
        <f>A33+1</f>
        <v>10</v>
      </c>
      <c r="B34" s="250"/>
      <c r="C34" s="250"/>
      <c r="D34" s="373" t="s">
        <v>1457</v>
      </c>
      <c r="E34" s="251"/>
      <c r="F34" s="286">
        <f>IFERROR(VLOOKUP($D34,EF!$C$2:$D$102,2,FALSE),"")</f>
        <v>0.19</v>
      </c>
      <c r="G34" s="274">
        <f>IFERROR(E34*F34*'inventory year and inflation'!$J$18/1000,"")</f>
        <v>0</v>
      </c>
      <c r="I34" s="354">
        <v>12</v>
      </c>
      <c r="J34" s="528"/>
      <c r="K34" s="250"/>
      <c r="L34" s="530"/>
      <c r="M34" s="531"/>
      <c r="N34" s="532"/>
      <c r="O34" s="511">
        <f t="shared" si="0"/>
        <v>0</v>
      </c>
    </row>
    <row r="35" spans="1:15" ht="15.75" thickBot="1">
      <c r="A35" s="1206" t="s">
        <v>3567</v>
      </c>
      <c r="B35" s="1207"/>
      <c r="C35" s="1207"/>
      <c r="D35" s="1207"/>
      <c r="E35" s="1207"/>
      <c r="F35" s="1207"/>
      <c r="G35" s="1208"/>
      <c r="I35" s="354">
        <v>13</v>
      </c>
      <c r="J35" s="528"/>
      <c r="K35" s="250"/>
      <c r="L35" s="530"/>
      <c r="M35" s="531"/>
      <c r="N35" s="532"/>
      <c r="O35" s="511">
        <f t="shared" si="0"/>
        <v>0</v>
      </c>
    </row>
    <row r="36" spans="1:15" ht="15">
      <c r="A36" s="186">
        <f>A34+1</f>
        <v>11</v>
      </c>
      <c r="B36" s="250"/>
      <c r="C36" s="250"/>
      <c r="D36" s="373" t="s">
        <v>1436</v>
      </c>
      <c r="E36" s="251"/>
      <c r="F36" s="286">
        <f>IFERROR(VLOOKUP($D36,EF!$C$2:$D$102,2,FALSE),"")</f>
        <v>0.54300000000000004</v>
      </c>
      <c r="G36" s="274">
        <f>IFERROR(E36*F36*'inventory year and inflation'!$J$18/1000,"")</f>
        <v>0</v>
      </c>
      <c r="I36" s="354">
        <v>14</v>
      </c>
      <c r="J36" s="528"/>
      <c r="K36" s="250"/>
      <c r="L36" s="530"/>
      <c r="M36" s="531"/>
      <c r="N36" s="532"/>
      <c r="O36" s="511">
        <f t="shared" si="0"/>
        <v>0</v>
      </c>
    </row>
    <row r="37" spans="1:15" ht="15">
      <c r="A37" s="186">
        <f t="shared" ref="A37:A47" si="2">A36+1</f>
        <v>12</v>
      </c>
      <c r="B37" s="250"/>
      <c r="C37" s="250"/>
      <c r="D37" s="373" t="s">
        <v>1458</v>
      </c>
      <c r="E37" s="251"/>
      <c r="F37" s="286">
        <f>IFERROR(VLOOKUP($D37,EF!$C$2:$D$102,2,FALSE),"")</f>
        <v>0.76500000000000001</v>
      </c>
      <c r="G37" s="274">
        <f>IFERROR(E37*F37*'inventory year and inflation'!$J$18/1000,"")</f>
        <v>0</v>
      </c>
      <c r="I37" s="354">
        <v>15</v>
      </c>
      <c r="J37" s="528"/>
      <c r="K37" s="250"/>
      <c r="L37" s="530"/>
      <c r="M37" s="531"/>
      <c r="N37" s="532"/>
      <c r="O37" s="511">
        <f t="shared" si="0"/>
        <v>0</v>
      </c>
    </row>
    <row r="38" spans="1:15" ht="15">
      <c r="A38" s="186">
        <f t="shared" si="2"/>
        <v>13</v>
      </c>
      <c r="B38" s="250"/>
      <c r="C38" s="250"/>
      <c r="D38" s="373" t="s">
        <v>1459</v>
      </c>
      <c r="E38" s="251"/>
      <c r="F38" s="286">
        <f>IFERROR(VLOOKUP($D38,EF!$C$2:$D$102,2,FALSE),"")</f>
        <v>0.152</v>
      </c>
      <c r="G38" s="274">
        <f>IFERROR(E38*F38*'inventory year and inflation'!$J$18/1000,"")</f>
        <v>0</v>
      </c>
      <c r="I38" s="354">
        <v>16</v>
      </c>
      <c r="J38" s="528"/>
      <c r="K38" s="250"/>
      <c r="L38" s="530"/>
      <c r="M38" s="531"/>
      <c r="N38" s="532"/>
      <c r="O38" s="511">
        <f t="shared" si="0"/>
        <v>0</v>
      </c>
    </row>
    <row r="39" spans="1:15" ht="29.25">
      <c r="A39" s="186">
        <f t="shared" si="2"/>
        <v>14</v>
      </c>
      <c r="B39" s="250"/>
      <c r="C39" s="250"/>
      <c r="D39" s="373" t="s">
        <v>3592</v>
      </c>
      <c r="E39" s="251"/>
      <c r="F39" s="286">
        <f>IFERROR(VLOOKUP($D39,EF!$C$2:$D$102,2,FALSE),"")</f>
        <v>0.56800000000000006</v>
      </c>
      <c r="G39" s="274">
        <f>IFERROR(E39*F39*'inventory year and inflation'!$J$18/1000,"")</f>
        <v>0</v>
      </c>
      <c r="I39" s="354">
        <v>17</v>
      </c>
      <c r="J39" s="528"/>
      <c r="K39" s="250"/>
      <c r="L39" s="530"/>
      <c r="M39" s="531"/>
      <c r="N39" s="532"/>
      <c r="O39" s="511">
        <f t="shared" si="0"/>
        <v>0</v>
      </c>
    </row>
    <row r="40" spans="1:15" ht="15">
      <c r="A40" s="186">
        <f t="shared" si="2"/>
        <v>15</v>
      </c>
      <c r="B40" s="250"/>
      <c r="C40" s="250"/>
      <c r="D40" s="373" t="s">
        <v>1461</v>
      </c>
      <c r="E40" s="251"/>
      <c r="F40" s="286">
        <f>IFERROR(VLOOKUP($D40,EF!$C$2:$D$102,2,FALSE),"")</f>
        <v>1.4259999999999999</v>
      </c>
      <c r="G40" s="274">
        <f>IFERROR(E40*F40*'inventory year and inflation'!$J$18/1000,"")</f>
        <v>0</v>
      </c>
      <c r="I40" s="354">
        <v>18</v>
      </c>
      <c r="J40" s="528"/>
      <c r="K40" s="250"/>
      <c r="L40" s="530"/>
      <c r="M40" s="531"/>
      <c r="N40" s="532"/>
      <c r="O40" s="511">
        <f t="shared" si="0"/>
        <v>0</v>
      </c>
    </row>
    <row r="41" spans="1:15" ht="15">
      <c r="A41" s="186">
        <f t="shared" si="2"/>
        <v>16</v>
      </c>
      <c r="B41" s="250"/>
      <c r="C41" s="250"/>
      <c r="D41" s="373" t="s">
        <v>1462</v>
      </c>
      <c r="E41" s="251"/>
      <c r="F41" s="286">
        <f>IFERROR(VLOOKUP($D41,EF!$C$2:$D$102,2,FALSE),"")</f>
        <v>0.48700000000000004</v>
      </c>
      <c r="G41" s="274">
        <f>IFERROR(E41*F41*'inventory year and inflation'!$J$18/1000,"")</f>
        <v>0</v>
      </c>
      <c r="I41" s="354">
        <v>19</v>
      </c>
      <c r="J41" s="528"/>
      <c r="K41" s="250"/>
      <c r="L41" s="530"/>
      <c r="M41" s="531"/>
      <c r="N41" s="532"/>
      <c r="O41" s="511">
        <f t="shared" si="0"/>
        <v>0</v>
      </c>
    </row>
    <row r="42" spans="1:15" ht="15">
      <c r="A42" s="186">
        <f t="shared" si="2"/>
        <v>17</v>
      </c>
      <c r="B42" s="250"/>
      <c r="C42" s="250"/>
      <c r="D42" s="373" t="s">
        <v>1463</v>
      </c>
      <c r="E42" s="251"/>
      <c r="F42" s="286">
        <f>IFERROR(VLOOKUP($D42,EF!$C$2:$D$102,2,FALSE),"")</f>
        <v>0.76700000000000002</v>
      </c>
      <c r="G42" s="274">
        <f>IFERROR(E42*F42*'inventory year and inflation'!$J$18/1000,"")</f>
        <v>0</v>
      </c>
      <c r="I42" s="354">
        <v>20</v>
      </c>
      <c r="J42" s="528"/>
      <c r="K42" s="250"/>
      <c r="L42" s="530"/>
      <c r="M42" s="531"/>
      <c r="N42" s="532"/>
      <c r="O42" s="511">
        <f t="shared" si="0"/>
        <v>0</v>
      </c>
    </row>
    <row r="43" spans="1:15" ht="15.75" thickBot="1">
      <c r="A43" s="186">
        <f t="shared" si="2"/>
        <v>18</v>
      </c>
      <c r="B43" s="250"/>
      <c r="C43" s="250"/>
      <c r="D43" s="373" t="s">
        <v>1464</v>
      </c>
      <c r="E43" s="251"/>
      <c r="F43" s="286">
        <f>IFERROR(VLOOKUP($D43,EF!$C$2:$D$102,2,FALSE),"")</f>
        <v>1.6649999999999998</v>
      </c>
      <c r="G43" s="274">
        <f>IFERROR(E43*F43*'inventory year and inflation'!$J$18/1000,"")</f>
        <v>0</v>
      </c>
    </row>
    <row r="44" spans="1:15" ht="15.75" thickBot="1">
      <c r="A44" s="186">
        <f t="shared" si="2"/>
        <v>19</v>
      </c>
      <c r="B44" s="250"/>
      <c r="C44" s="250"/>
      <c r="D44" s="373" t="s">
        <v>1465</v>
      </c>
      <c r="E44" s="251"/>
      <c r="F44" s="286">
        <f>IFERROR(VLOOKUP($D44,EF!$C$2:$D$102,2,FALSE),"")</f>
        <v>0.14000000000000001</v>
      </c>
      <c r="G44" s="274">
        <f>IFERROR(E44*F44*'inventory year and inflation'!$J$18/1000,"")</f>
        <v>0</v>
      </c>
      <c r="M44" s="1204" t="s">
        <v>1262</v>
      </c>
      <c r="N44" s="548" t="s">
        <v>164</v>
      </c>
      <c r="O44" s="546">
        <f>SUMIF($K$24:$K$42,"Purchased Goods &amp; Services",$O$24:$O$42)</f>
        <v>0</v>
      </c>
    </row>
    <row r="45" spans="1:15" ht="15.75" thickBot="1">
      <c r="A45" s="186">
        <f t="shared" si="2"/>
        <v>20</v>
      </c>
      <c r="B45" s="250"/>
      <c r="C45" s="250"/>
      <c r="D45" s="373" t="s">
        <v>1466</v>
      </c>
      <c r="E45" s="251"/>
      <c r="F45" s="286">
        <f>IFERROR(VLOOKUP($D45,EF!$C$2:$D$102,2,FALSE),"")</f>
        <v>0.49100000000000005</v>
      </c>
      <c r="G45" s="274">
        <f>IFERROR(E45*F45*'inventory year and inflation'!$J$18/1000,"")</f>
        <v>0</v>
      </c>
      <c r="M45" s="1205"/>
      <c r="N45" s="549" t="s">
        <v>165</v>
      </c>
      <c r="O45" s="547">
        <f>SUMIF($K$24:$K$42,"Capital Goods",$O$24:$O$42)</f>
        <v>0</v>
      </c>
    </row>
    <row r="46" spans="1:15" ht="15">
      <c r="A46" s="186">
        <f t="shared" si="2"/>
        <v>21</v>
      </c>
      <c r="B46" s="250"/>
      <c r="C46" s="250"/>
      <c r="D46" s="373" t="s">
        <v>1467</v>
      </c>
      <c r="E46" s="251"/>
      <c r="F46" s="286">
        <f>IFERROR(VLOOKUP($D46,EF!$C$2:$D$102,2,FALSE),"")</f>
        <v>0.24399999999999999</v>
      </c>
      <c r="G46" s="274">
        <f>IFERROR(E46*F46*'inventory year and inflation'!$J$18/1000,"")</f>
        <v>0</v>
      </c>
    </row>
    <row r="47" spans="1:15" ht="15.75" thickBot="1">
      <c r="A47" s="186">
        <f t="shared" si="2"/>
        <v>22</v>
      </c>
      <c r="B47" s="250"/>
      <c r="C47" s="250"/>
      <c r="D47" s="373" t="s">
        <v>1468</v>
      </c>
      <c r="E47" s="251"/>
      <c r="F47" s="286">
        <f>IFERROR(VLOOKUP($D47,EF!$C$2:$D$102,2,FALSE),"")</f>
        <v>8.6000000000000007E-2</v>
      </c>
      <c r="G47" s="274">
        <f>IFERROR(E47*F47*'inventory year and inflation'!$J$18/1000,"")</f>
        <v>0</v>
      </c>
      <c r="I47" s="10" t="s">
        <v>4288</v>
      </c>
    </row>
    <row r="48" spans="1:15" ht="15.75" thickBot="1">
      <c r="A48" s="1206" t="s">
        <v>70</v>
      </c>
      <c r="B48" s="1207"/>
      <c r="C48" s="1207"/>
      <c r="D48" s="1207"/>
      <c r="E48" s="1207"/>
      <c r="F48" s="1207"/>
      <c r="G48" s="1208"/>
      <c r="J48" s="9" t="s">
        <v>188</v>
      </c>
      <c r="K48" s="9" t="s">
        <v>188</v>
      </c>
      <c r="L48" s="1213" t="s">
        <v>188</v>
      </c>
      <c r="M48" s="1213"/>
      <c r="N48" s="1213"/>
      <c r="O48" s="9" t="s">
        <v>188</v>
      </c>
    </row>
    <row r="49" spans="1:15" ht="15">
      <c r="A49" s="186">
        <f>A47+1</f>
        <v>23</v>
      </c>
      <c r="B49" s="250"/>
      <c r="C49" s="250"/>
      <c r="D49" s="373" t="s">
        <v>1437</v>
      </c>
      <c r="E49" s="251"/>
      <c r="F49" s="286">
        <f>IFERROR(VLOOKUP($D49,EF!$C$2:$D$102,2,FALSE),"")</f>
        <v>0.1</v>
      </c>
      <c r="G49" s="274">
        <f>IFERROR(E49*F49*'inventory year and inflation'!$J$18/1000,"")</f>
        <v>0</v>
      </c>
      <c r="I49" s="360" t="s">
        <v>155</v>
      </c>
      <c r="J49" s="204" t="s">
        <v>1134</v>
      </c>
      <c r="K49" s="204" t="s">
        <v>156</v>
      </c>
      <c r="L49" s="1212" t="s">
        <v>4287</v>
      </c>
      <c r="M49" s="1212"/>
      <c r="N49" s="1212"/>
      <c r="O49" s="369" t="s">
        <v>160</v>
      </c>
    </row>
    <row r="50" spans="1:15" ht="15">
      <c r="A50" s="186">
        <f t="shared" ref="A50:A58" si="3">A49+1</f>
        <v>24</v>
      </c>
      <c r="B50" s="250"/>
      <c r="C50" s="250"/>
      <c r="D50" s="373" t="s">
        <v>1469</v>
      </c>
      <c r="E50" s="251"/>
      <c r="F50" s="286">
        <f>IFERROR(VLOOKUP($D50,EF!$C$2:$D$102,2,FALSE),"")</f>
        <v>8.7999999999999995E-2</v>
      </c>
      <c r="G50" s="274">
        <f>IFERROR(E50*F50*'inventory year and inflation'!$J$18/1000,"")</f>
        <v>0</v>
      </c>
      <c r="I50" s="354">
        <v>1</v>
      </c>
      <c r="J50" s="528"/>
      <c r="K50" s="250"/>
      <c r="L50" s="1209"/>
      <c r="M50" s="1210"/>
      <c r="N50" s="1211"/>
      <c r="O50" s="529"/>
    </row>
    <row r="51" spans="1:15" ht="15">
      <c r="A51" s="186">
        <f t="shared" si="3"/>
        <v>25</v>
      </c>
      <c r="B51" s="250"/>
      <c r="C51" s="250"/>
      <c r="D51" s="373" t="s">
        <v>1470</v>
      </c>
      <c r="E51" s="251"/>
      <c r="F51" s="286">
        <f>IFERROR(VLOOKUP($D51,EF!$C$2:$D$102,2,FALSE),"")</f>
        <v>0.17199999999999999</v>
      </c>
      <c r="G51" s="274">
        <f>IFERROR(E51*F51*'inventory year and inflation'!$J$18/1000,"")</f>
        <v>0</v>
      </c>
      <c r="I51" s="354">
        <v>2</v>
      </c>
      <c r="J51" s="528"/>
      <c r="K51" s="250"/>
      <c r="L51" s="1209"/>
      <c r="M51" s="1210"/>
      <c r="N51" s="1211"/>
      <c r="O51" s="529"/>
    </row>
    <row r="52" spans="1:15" ht="15">
      <c r="A52" s="186">
        <f t="shared" si="3"/>
        <v>26</v>
      </c>
      <c r="B52" s="250"/>
      <c r="C52" s="250"/>
      <c r="D52" s="373" t="s">
        <v>1471</v>
      </c>
      <c r="E52" s="251"/>
      <c r="F52" s="286">
        <f>IFERROR(VLOOKUP($D52,EF!$C$2:$D$102,2,FALSE),"")</f>
        <v>0.16900000000000001</v>
      </c>
      <c r="G52" s="274">
        <f>IFERROR(E52*F52*'inventory year and inflation'!$J$18/1000,"")</f>
        <v>0</v>
      </c>
      <c r="I52" s="354">
        <v>3</v>
      </c>
      <c r="J52" s="528"/>
      <c r="K52" s="250"/>
      <c r="L52" s="1209"/>
      <c r="M52" s="1210"/>
      <c r="N52" s="1211"/>
      <c r="O52" s="529"/>
    </row>
    <row r="53" spans="1:15" ht="15">
      <c r="A53" s="186">
        <f t="shared" si="3"/>
        <v>27</v>
      </c>
      <c r="B53" s="250"/>
      <c r="C53" s="250"/>
      <c r="D53" s="373" t="s">
        <v>1472</v>
      </c>
      <c r="E53" s="251"/>
      <c r="F53" s="286">
        <f>IFERROR(VLOOKUP($D53,EF!$C$2:$D$102,2,FALSE),"")</f>
        <v>0.19900000000000001</v>
      </c>
      <c r="G53" s="274">
        <f>IFERROR(E53*F53*'inventory year and inflation'!$J$18/1000,"")</f>
        <v>0</v>
      </c>
      <c r="I53" s="354">
        <v>4</v>
      </c>
      <c r="J53" s="528"/>
      <c r="K53" s="250"/>
      <c r="L53" s="1209"/>
      <c r="M53" s="1210"/>
      <c r="N53" s="1211"/>
      <c r="O53" s="529"/>
    </row>
    <row r="54" spans="1:15" ht="15">
      <c r="A54" s="186">
        <f t="shared" si="3"/>
        <v>28</v>
      </c>
      <c r="B54" s="250"/>
      <c r="C54" s="250"/>
      <c r="D54" s="373" t="s">
        <v>1473</v>
      </c>
      <c r="E54" s="251"/>
      <c r="F54" s="286">
        <f>IFERROR(VLOOKUP($D54,EF!$C$2:$D$102,2,FALSE),"")</f>
        <v>0.109</v>
      </c>
      <c r="G54" s="274">
        <f>IFERROR(E54*F54*'inventory year and inflation'!$J$18/1000,"")</f>
        <v>0</v>
      </c>
      <c r="I54" s="354">
        <v>5</v>
      </c>
      <c r="J54" s="528"/>
      <c r="K54" s="250"/>
      <c r="L54" s="1209"/>
      <c r="M54" s="1210"/>
      <c r="N54" s="1211"/>
      <c r="O54" s="529"/>
    </row>
    <row r="55" spans="1:15" ht="15">
      <c r="A55" s="186">
        <f t="shared" si="3"/>
        <v>29</v>
      </c>
      <c r="B55" s="250"/>
      <c r="C55" s="250"/>
      <c r="D55" s="373" t="s">
        <v>3591</v>
      </c>
      <c r="E55" s="251"/>
      <c r="F55" s="286">
        <f>IFERROR(VLOOKUP($D55,EF!$C$2:$D$102,2,FALSE),"")</f>
        <v>0.16700000000000001</v>
      </c>
      <c r="G55" s="274">
        <f>IFERROR(E55*F55*'inventory year and inflation'!$J$18/1000,"")</f>
        <v>0</v>
      </c>
      <c r="I55" s="354">
        <v>6</v>
      </c>
      <c r="J55" s="528"/>
      <c r="K55" s="250"/>
      <c r="L55" s="1209"/>
      <c r="M55" s="1210"/>
      <c r="N55" s="1211"/>
      <c r="O55" s="529"/>
    </row>
    <row r="56" spans="1:15" ht="29.25">
      <c r="A56" s="186">
        <f t="shared" si="3"/>
        <v>30</v>
      </c>
      <c r="B56" s="250"/>
      <c r="C56" s="250"/>
      <c r="D56" s="373" t="s">
        <v>1475</v>
      </c>
      <c r="E56" s="251"/>
      <c r="F56" s="286">
        <f>IFERROR(VLOOKUP($D56,EF!$C$2:$D$102,2,FALSE),"")</f>
        <v>0.20700000000000002</v>
      </c>
      <c r="G56" s="274">
        <f>IFERROR(E56*F56*'inventory year and inflation'!$J$18/1000,"")</f>
        <v>0</v>
      </c>
      <c r="I56" s="354">
        <v>7</v>
      </c>
      <c r="J56" s="528"/>
      <c r="K56" s="250"/>
      <c r="L56" s="1209"/>
      <c r="M56" s="1210"/>
      <c r="N56" s="1211"/>
      <c r="O56" s="529"/>
    </row>
    <row r="57" spans="1:15" ht="15">
      <c r="A57" s="186">
        <f t="shared" si="3"/>
        <v>31</v>
      </c>
      <c r="B57" s="250"/>
      <c r="C57" s="250"/>
      <c r="D57" s="373" t="s">
        <v>1476</v>
      </c>
      <c r="E57" s="251"/>
      <c r="F57" s="286">
        <f>IFERROR(VLOOKUP($D57,EF!$C$2:$D$102,2,FALSE),"")</f>
        <v>0.19700000000000001</v>
      </c>
      <c r="G57" s="274">
        <f>IFERROR(E57*F57*'inventory year and inflation'!$J$18/1000,"")</f>
        <v>0</v>
      </c>
      <c r="I57" s="354">
        <v>8</v>
      </c>
      <c r="J57" s="528"/>
      <c r="K57" s="250"/>
      <c r="L57" s="1209"/>
      <c r="M57" s="1210"/>
      <c r="N57" s="1211"/>
      <c r="O57" s="529"/>
    </row>
    <row r="58" spans="1:15" ht="15.75" thickBot="1">
      <c r="A58" s="186">
        <f t="shared" si="3"/>
        <v>32</v>
      </c>
      <c r="B58" s="250"/>
      <c r="C58" s="250"/>
      <c r="D58" s="373" t="s">
        <v>1477</v>
      </c>
      <c r="E58" s="251"/>
      <c r="F58" s="286">
        <f>IFERROR(VLOOKUP($D58,EF!$C$2:$D$102,2,FALSE),"")</f>
        <v>0.19400000000000001</v>
      </c>
      <c r="G58" s="274">
        <f>IFERROR(E58*F58*'inventory year and inflation'!$J$18/1000,"")</f>
        <v>0</v>
      </c>
      <c r="I58" s="354">
        <v>9</v>
      </c>
      <c r="J58" s="528"/>
      <c r="K58" s="250"/>
      <c r="L58" s="1209"/>
      <c r="M58" s="1210"/>
      <c r="N58" s="1211"/>
      <c r="O58" s="529"/>
    </row>
    <row r="59" spans="1:15" ht="15.75" thickBot="1">
      <c r="A59" s="1206" t="s">
        <v>126</v>
      </c>
      <c r="B59" s="1207"/>
      <c r="C59" s="1207"/>
      <c r="D59" s="1207"/>
      <c r="E59" s="1207"/>
      <c r="F59" s="1207"/>
      <c r="G59" s="1208"/>
      <c r="I59" s="354">
        <v>10</v>
      </c>
      <c r="J59" s="528"/>
      <c r="K59" s="250"/>
      <c r="L59" s="1209"/>
      <c r="M59" s="1210"/>
      <c r="N59" s="1211"/>
      <c r="O59" s="529"/>
    </row>
    <row r="60" spans="1:15" ht="15.75" thickBot="1">
      <c r="A60" s="186">
        <f>A58+1</f>
        <v>33</v>
      </c>
      <c r="B60" s="250"/>
      <c r="C60" s="250"/>
      <c r="D60" s="373" t="s">
        <v>1438</v>
      </c>
      <c r="E60" s="251"/>
      <c r="F60" s="286">
        <f>IFERROR(VLOOKUP($D60,EF!$C$2:$D$102,2,FALSE),"")</f>
        <v>7.9000000000000001E-2</v>
      </c>
      <c r="G60" s="274">
        <f>IFERROR(E60*F60*'inventory year and inflation'!$J$18/1000,"")</f>
        <v>0</v>
      </c>
    </row>
    <row r="61" spans="1:15" ht="15.75" thickBot="1">
      <c r="A61" s="186">
        <f>A60+1</f>
        <v>34</v>
      </c>
      <c r="B61" s="250"/>
      <c r="C61" s="250"/>
      <c r="D61" s="373" t="s">
        <v>1478</v>
      </c>
      <c r="E61" s="251"/>
      <c r="F61" s="286">
        <f>IFERROR(VLOOKUP($D61,EF!$C$2:$D$102,2,FALSE),"")</f>
        <v>6.8000000000000005E-2</v>
      </c>
      <c r="G61" s="274">
        <f>IFERROR(E61*F61*'inventory year and inflation'!$J$18/1000,"")</f>
        <v>0</v>
      </c>
      <c r="M61" s="1204" t="s">
        <v>1262</v>
      </c>
      <c r="N61" s="548" t="s">
        <v>164</v>
      </c>
      <c r="O61" s="546">
        <f>SUMIF($K$50:$K$59,"Purchased Goods &amp; Services",$O$50:$O$59)</f>
        <v>0</v>
      </c>
    </row>
    <row r="62" spans="1:15" ht="15.75" thickBot="1">
      <c r="A62" s="186">
        <f>A61+1</f>
        <v>35</v>
      </c>
      <c r="B62" s="250"/>
      <c r="C62" s="250"/>
      <c r="D62" s="373" t="s">
        <v>1479</v>
      </c>
      <c r="E62" s="251"/>
      <c r="F62" s="286">
        <f>IFERROR(VLOOKUP($D62,EF!$C$2:$D$102,2,FALSE),"")</f>
        <v>9.1999999999999998E-2</v>
      </c>
      <c r="G62" s="274">
        <f>IFERROR(E62*F62*'inventory year and inflation'!$J$18/1000,"")</f>
        <v>0</v>
      </c>
      <c r="M62" s="1205"/>
      <c r="N62" s="549" t="s">
        <v>165</v>
      </c>
      <c r="O62" s="547">
        <f>SUMIF($K$50:$K$59,"Capital Goods",$O$50:$O$59)</f>
        <v>0</v>
      </c>
    </row>
    <row r="63" spans="1:15" ht="30" thickBot="1">
      <c r="A63" s="186">
        <f>A62+1</f>
        <v>36</v>
      </c>
      <c r="B63" s="250"/>
      <c r="C63" s="250"/>
      <c r="D63" s="373" t="s">
        <v>1480</v>
      </c>
      <c r="E63" s="251"/>
      <c r="F63" s="286">
        <f>IFERROR(VLOOKUP($D63,EF!$C$2:$D$102,2,FALSE),"")</f>
        <v>0.08</v>
      </c>
      <c r="G63" s="274">
        <f>IFERROR(E63*F63*'inventory year and inflation'!$J$18/1000,"")</f>
        <v>0</v>
      </c>
    </row>
    <row r="64" spans="1:15" ht="15.75" thickBot="1">
      <c r="A64" s="1206" t="s">
        <v>42</v>
      </c>
      <c r="B64" s="1207"/>
      <c r="C64" s="1207"/>
      <c r="D64" s="1207"/>
      <c r="E64" s="1207"/>
      <c r="F64" s="1207"/>
      <c r="G64" s="1208"/>
    </row>
    <row r="65" spans="1:7" ht="15">
      <c r="A65" s="186">
        <f>A63+1</f>
        <v>37</v>
      </c>
      <c r="B65" s="250"/>
      <c r="C65" s="250"/>
      <c r="D65" s="373" t="s">
        <v>1439</v>
      </c>
      <c r="E65" s="251"/>
      <c r="F65" s="286">
        <f>IFERROR(VLOOKUP($D65,EF!$C$2:$D$102,2,FALSE),"")</f>
        <v>0.317</v>
      </c>
      <c r="G65" s="274">
        <f>IFERROR(E65*F65*'inventory year and inflation'!$J$18/1000,"")</f>
        <v>0</v>
      </c>
    </row>
    <row r="66" spans="1:7" ht="15.75" thickBot="1">
      <c r="A66" s="186">
        <f>A65+1</f>
        <v>38</v>
      </c>
      <c r="B66" s="250"/>
      <c r="C66" s="250"/>
      <c r="D66" s="373" t="s">
        <v>4294</v>
      </c>
      <c r="E66" s="251"/>
      <c r="F66" s="286">
        <f>IFERROR(VLOOKUP($D66,EF!$C$2:$D$102,2,FALSE),"")</f>
        <v>0.28599999999999998</v>
      </c>
      <c r="G66" s="274">
        <f>IFERROR(E66*F66*'inventory year and inflation'!$J$18/1000,"")</f>
        <v>0</v>
      </c>
    </row>
    <row r="67" spans="1:7" ht="15.75" thickBot="1">
      <c r="A67" s="1206" t="s">
        <v>111</v>
      </c>
      <c r="B67" s="1207"/>
      <c r="C67" s="1207"/>
      <c r="D67" s="1207"/>
      <c r="E67" s="1207"/>
      <c r="F67" s="1207"/>
      <c r="G67" s="1208"/>
    </row>
    <row r="68" spans="1:7" ht="15">
      <c r="A68" s="186">
        <f>A66+1</f>
        <v>39</v>
      </c>
      <c r="B68" s="250"/>
      <c r="C68" s="250"/>
      <c r="D68" s="373" t="s">
        <v>1440</v>
      </c>
      <c r="E68" s="251"/>
      <c r="F68" s="286">
        <f>IFERROR(VLOOKUP($D68,EF!$C$2:$D$102,2,FALSE),"")</f>
        <v>0.156</v>
      </c>
      <c r="G68" s="274">
        <f>IFERROR(E68*F68*'inventory year and inflation'!$J$18/1000,"")</f>
        <v>0</v>
      </c>
    </row>
    <row r="69" spans="1:7" ht="15.75" thickBot="1">
      <c r="A69" s="186">
        <f>A68+1</f>
        <v>40</v>
      </c>
      <c r="B69" s="250"/>
      <c r="C69" s="250"/>
      <c r="D69" s="373" t="s">
        <v>1482</v>
      </c>
      <c r="E69" s="251"/>
      <c r="F69" s="286">
        <f>IFERROR(VLOOKUP($D69,EF!$C$2:$D$102,2,FALSE),"")</f>
        <v>0.17500000000000002</v>
      </c>
      <c r="G69" s="274">
        <f>IFERROR(E69*F69*'inventory year and inflation'!$J$18/1000,"")</f>
        <v>0</v>
      </c>
    </row>
    <row r="70" spans="1:7" ht="15.75" thickBot="1">
      <c r="A70" s="1206" t="s">
        <v>3575</v>
      </c>
      <c r="B70" s="1207"/>
      <c r="C70" s="1207"/>
      <c r="D70" s="1207"/>
      <c r="E70" s="1207"/>
      <c r="F70" s="1207"/>
      <c r="G70" s="1208"/>
    </row>
    <row r="71" spans="1:7" ht="15">
      <c r="A71" s="186">
        <f>A69+1</f>
        <v>41</v>
      </c>
      <c r="B71" s="250"/>
      <c r="C71" s="250"/>
      <c r="D71" s="373" t="s">
        <v>3571</v>
      </c>
      <c r="E71" s="251"/>
      <c r="F71" s="286">
        <f>IFERROR(VLOOKUP($D71,EF!$C$2:$D$102,2,FALSE),"")</f>
        <v>0.56600000000000006</v>
      </c>
      <c r="G71" s="274">
        <f>IFERROR(E71*F71*'inventory year and inflation'!$J$18/1000,"")</f>
        <v>0</v>
      </c>
    </row>
    <row r="72" spans="1:7" ht="15">
      <c r="A72" s="186">
        <f t="shared" ref="A72:A92" si="4">A71+1</f>
        <v>42</v>
      </c>
      <c r="B72" s="250"/>
      <c r="C72" s="250"/>
      <c r="D72" s="373" t="s">
        <v>3572</v>
      </c>
      <c r="E72" s="251"/>
      <c r="F72" s="286">
        <f>IFERROR(VLOOKUP($D72,EF!$C$2:$D$102,2,FALSE),"")</f>
        <v>0.58799999999999997</v>
      </c>
      <c r="G72" s="274">
        <f>IFERROR(E72*F72*'inventory year and inflation'!$J$18/1000,"")</f>
        <v>0</v>
      </c>
    </row>
    <row r="73" spans="1:7" ht="15">
      <c r="A73" s="186">
        <f t="shared" si="4"/>
        <v>43</v>
      </c>
      <c r="B73" s="250"/>
      <c r="C73" s="250"/>
      <c r="D73" s="373" t="s">
        <v>3541</v>
      </c>
      <c r="E73" s="251"/>
      <c r="F73" s="286">
        <f>IFERROR(VLOOKUP($D73,EF!$C$2:$D$102,2,FALSE),"")</f>
        <v>0.747</v>
      </c>
      <c r="G73" s="274">
        <f>IFERROR(E73*F73*'inventory year and inflation'!$J$18/1000,"")</f>
        <v>0</v>
      </c>
    </row>
    <row r="74" spans="1:7" ht="15">
      <c r="A74" s="186">
        <f t="shared" si="4"/>
        <v>44</v>
      </c>
      <c r="B74" s="250"/>
      <c r="C74" s="250"/>
      <c r="D74" s="373" t="s">
        <v>3568</v>
      </c>
      <c r="E74" s="251"/>
      <c r="F74" s="286">
        <f>IFERROR(VLOOKUP($D74,EF!$C$2:$D$102,2,FALSE),"")</f>
        <v>2.0049999999999999</v>
      </c>
      <c r="G74" s="274">
        <f>IFERROR(E74*F74*'inventory year and inflation'!$J$18/1000,"")</f>
        <v>0</v>
      </c>
    </row>
    <row r="75" spans="1:7" ht="15">
      <c r="A75" s="186">
        <f t="shared" si="4"/>
        <v>45</v>
      </c>
      <c r="B75" s="250"/>
      <c r="C75" s="250"/>
      <c r="D75" s="373" t="s">
        <v>3542</v>
      </c>
      <c r="E75" s="251"/>
      <c r="F75" s="286">
        <f>IFERROR(VLOOKUP($D75,EF!$C$2:$D$102,2,FALSE),"")</f>
        <v>0.96099999999999997</v>
      </c>
      <c r="G75" s="274">
        <f>IFERROR(E75*F75*'inventory year and inflation'!$J$18/1000,"")</f>
        <v>0</v>
      </c>
    </row>
    <row r="76" spans="1:7" ht="15">
      <c r="A76" s="186">
        <f t="shared" si="4"/>
        <v>46</v>
      </c>
      <c r="B76" s="250"/>
      <c r="C76" s="250"/>
      <c r="D76" s="373" t="s">
        <v>3543</v>
      </c>
      <c r="E76" s="251"/>
      <c r="F76" s="286">
        <f>IFERROR(VLOOKUP($D76,EF!$C$2:$D$102,2,FALSE),"")</f>
        <v>0.42899999999999999</v>
      </c>
      <c r="G76" s="274">
        <f>IFERROR(E76*F76*'inventory year and inflation'!$J$18/1000,"")</f>
        <v>0</v>
      </c>
    </row>
    <row r="77" spans="1:7" ht="15">
      <c r="A77" s="186">
        <f t="shared" si="4"/>
        <v>47</v>
      </c>
      <c r="B77" s="250"/>
      <c r="C77" s="250"/>
      <c r="D77" s="373" t="s">
        <v>3544</v>
      </c>
      <c r="E77" s="251"/>
      <c r="F77" s="286">
        <f>IFERROR(VLOOKUP($D77,EF!$C$2:$D$102,2,FALSE),"")</f>
        <v>0.53400000000000003</v>
      </c>
      <c r="G77" s="274">
        <f>IFERROR(E77*F77*'inventory year and inflation'!$J$18/1000,"")</f>
        <v>0</v>
      </c>
    </row>
    <row r="78" spans="1:7" ht="15">
      <c r="A78" s="186">
        <f t="shared" si="4"/>
        <v>48</v>
      </c>
      <c r="B78" s="250"/>
      <c r="C78" s="250"/>
      <c r="D78" s="373" t="s">
        <v>3545</v>
      </c>
      <c r="E78" s="251"/>
      <c r="F78" s="286">
        <f>IFERROR(VLOOKUP($D78,EF!$C$2:$D$102,2,FALSE),"")</f>
        <v>0.82800000000000007</v>
      </c>
      <c r="G78" s="274">
        <f>IFERROR(E78*F78*'inventory year and inflation'!$J$18/1000,"")</f>
        <v>0</v>
      </c>
    </row>
    <row r="79" spans="1:7" ht="15">
      <c r="A79" s="186">
        <f t="shared" si="4"/>
        <v>49</v>
      </c>
      <c r="B79" s="250"/>
      <c r="C79" s="250"/>
      <c r="D79" s="373" t="s">
        <v>3546</v>
      </c>
      <c r="E79" s="251"/>
      <c r="F79" s="286">
        <f>IFERROR(VLOOKUP($D79,EF!$C$2:$D$102,2,FALSE),"")</f>
        <v>0.55600000000000005</v>
      </c>
      <c r="G79" s="274">
        <f>IFERROR(E79*F79*'inventory year and inflation'!$J$18/1000,"")</f>
        <v>0</v>
      </c>
    </row>
    <row r="80" spans="1:7" ht="15">
      <c r="A80" s="186">
        <f t="shared" si="4"/>
        <v>50</v>
      </c>
      <c r="B80" s="250"/>
      <c r="C80" s="250"/>
      <c r="D80" s="373" t="s">
        <v>3547</v>
      </c>
      <c r="E80" s="251"/>
      <c r="F80" s="286">
        <f>IFERROR(VLOOKUP($D80,EF!$C$2:$D$102,2,FALSE),"")</f>
        <v>1.651</v>
      </c>
      <c r="G80" s="274">
        <f>IFERROR(E80*F80*'inventory year and inflation'!$J$18/1000,"")</f>
        <v>0</v>
      </c>
    </row>
    <row r="81" spans="1:7" ht="15">
      <c r="A81" s="186">
        <f t="shared" si="4"/>
        <v>51</v>
      </c>
      <c r="B81" s="250"/>
      <c r="C81" s="250"/>
      <c r="D81" s="373" t="s">
        <v>3548</v>
      </c>
      <c r="E81" s="251"/>
      <c r="F81" s="286">
        <f>IFERROR(VLOOKUP($D81,EF!$C$2:$D$102,2,FALSE),"")</f>
        <v>1.3559999999999999</v>
      </c>
      <c r="G81" s="274">
        <f>IFERROR(E81*F81*'inventory year and inflation'!$J$18/1000,"")</f>
        <v>0</v>
      </c>
    </row>
    <row r="82" spans="1:7" ht="15">
      <c r="A82" s="186">
        <f t="shared" si="4"/>
        <v>52</v>
      </c>
      <c r="B82" s="250"/>
      <c r="C82" s="250"/>
      <c r="D82" s="373" t="s">
        <v>3549</v>
      </c>
      <c r="E82" s="251"/>
      <c r="F82" s="286">
        <f>IFERROR(VLOOKUP($D82,EF!$C$2:$D$102,2,FALSE),"")</f>
        <v>1.365</v>
      </c>
      <c r="G82" s="274">
        <f>IFERROR(E82*F82*'inventory year and inflation'!$J$18/1000,"")</f>
        <v>0</v>
      </c>
    </row>
    <row r="83" spans="1:7" ht="15">
      <c r="A83" s="186">
        <f t="shared" si="4"/>
        <v>53</v>
      </c>
      <c r="B83" s="250"/>
      <c r="C83" s="250"/>
      <c r="D83" s="373" t="s">
        <v>3550</v>
      </c>
      <c r="E83" s="251"/>
      <c r="F83" s="286">
        <f>IFERROR(VLOOKUP($D83,EF!$C$2:$D$102,2,FALSE),"")</f>
        <v>0.65500000000000003</v>
      </c>
      <c r="G83" s="274">
        <f>IFERROR(E83*F83*'inventory year and inflation'!$J$18/1000,"")</f>
        <v>0</v>
      </c>
    </row>
    <row r="84" spans="1:7" ht="15">
      <c r="A84" s="186">
        <f t="shared" si="4"/>
        <v>54</v>
      </c>
      <c r="B84" s="250"/>
      <c r="C84" s="250"/>
      <c r="D84" s="373" t="s">
        <v>3551</v>
      </c>
      <c r="E84" s="251"/>
      <c r="F84" s="286">
        <f>IFERROR(VLOOKUP($D84,EF!$C$2:$D$102,2,FALSE),"")</f>
        <v>0.96300000000000008</v>
      </c>
      <c r="G84" s="274">
        <f>IFERROR(E84*F84*'inventory year and inflation'!$J$18/1000,"")</f>
        <v>0</v>
      </c>
    </row>
    <row r="85" spans="1:7" ht="15">
      <c r="A85" s="186">
        <f t="shared" si="4"/>
        <v>55</v>
      </c>
      <c r="B85" s="250"/>
      <c r="C85" s="250"/>
      <c r="D85" s="373" t="s">
        <v>3552</v>
      </c>
      <c r="E85" s="251"/>
      <c r="F85" s="286">
        <f>IFERROR(VLOOKUP($D85,EF!$C$2:$D$102,2,FALSE),"")</f>
        <v>2.0470000000000002</v>
      </c>
      <c r="G85" s="274">
        <f>IFERROR(E85*F85*'inventory year and inflation'!$J$18/1000,"")</f>
        <v>0</v>
      </c>
    </row>
    <row r="86" spans="1:7" ht="15">
      <c r="A86" s="186">
        <f t="shared" si="4"/>
        <v>56</v>
      </c>
      <c r="B86" s="250"/>
      <c r="C86" s="250"/>
      <c r="D86" s="373" t="s">
        <v>3553</v>
      </c>
      <c r="E86" s="251"/>
      <c r="F86" s="286">
        <f>IFERROR(VLOOKUP($D86,EF!$C$2:$D$102,2,FALSE),"")</f>
        <v>0.41899999999999998</v>
      </c>
      <c r="G86" s="274">
        <f>IFERROR(E86*F86*'inventory year and inflation'!$J$18/1000,"")</f>
        <v>0</v>
      </c>
    </row>
    <row r="87" spans="1:7" ht="15">
      <c r="A87" s="186">
        <f t="shared" si="4"/>
        <v>57</v>
      </c>
      <c r="B87" s="250"/>
      <c r="C87" s="250"/>
      <c r="D87" s="373" t="s">
        <v>3554</v>
      </c>
      <c r="E87" s="251"/>
      <c r="F87" s="286">
        <f>IFERROR(VLOOKUP($D87,EF!$C$2:$D$102,2,FALSE),"")</f>
        <v>0.316</v>
      </c>
      <c r="G87" s="274">
        <f>IFERROR(E87*F87*'inventory year and inflation'!$J$18/1000,"")</f>
        <v>0</v>
      </c>
    </row>
    <row r="88" spans="1:7" ht="15">
      <c r="A88" s="186">
        <f t="shared" si="4"/>
        <v>58</v>
      </c>
      <c r="B88" s="250"/>
      <c r="C88" s="250"/>
      <c r="D88" s="373" t="s">
        <v>3555</v>
      </c>
      <c r="E88" s="251"/>
      <c r="F88" s="286">
        <f>IFERROR(VLOOKUP($D88,EF!$C$2:$D$102,2,FALSE),"")</f>
        <v>0.72400000000000009</v>
      </c>
      <c r="G88" s="274">
        <f>IFERROR(E88*F88*'inventory year and inflation'!$J$18/1000,"")</f>
        <v>0</v>
      </c>
    </row>
    <row r="89" spans="1:7" ht="15">
      <c r="A89" s="186">
        <f t="shared" si="4"/>
        <v>59</v>
      </c>
      <c r="B89" s="250"/>
      <c r="C89" s="250"/>
      <c r="D89" s="373" t="s">
        <v>3556</v>
      </c>
      <c r="E89" s="251"/>
      <c r="F89" s="286">
        <f>IFERROR(VLOOKUP($D89,EF!$C$2:$D$102,2,FALSE),"")</f>
        <v>0.41399999999999998</v>
      </c>
      <c r="G89" s="274">
        <f>IFERROR(E89*F89*'inventory year and inflation'!$J$18/1000,"")</f>
        <v>0</v>
      </c>
    </row>
    <row r="90" spans="1:7" ht="15">
      <c r="A90" s="186">
        <f t="shared" si="4"/>
        <v>60</v>
      </c>
      <c r="B90" s="250"/>
      <c r="C90" s="250"/>
      <c r="D90" s="373" t="s">
        <v>3557</v>
      </c>
      <c r="E90" s="251"/>
      <c r="F90" s="286">
        <f>IFERROR(VLOOKUP($D90,EF!$C$2:$D$102,2,FALSE),"")</f>
        <v>0.42299999999999999</v>
      </c>
      <c r="G90" s="274">
        <f>IFERROR(E90*F90*'inventory year and inflation'!$J$18/1000,"")</f>
        <v>0</v>
      </c>
    </row>
    <row r="91" spans="1:7" ht="15">
      <c r="A91" s="186">
        <f t="shared" si="4"/>
        <v>61</v>
      </c>
      <c r="B91" s="250"/>
      <c r="C91" s="250"/>
      <c r="D91" s="373" t="s">
        <v>3569</v>
      </c>
      <c r="E91" s="251"/>
      <c r="F91" s="286">
        <f>IFERROR(VLOOKUP($D91,EF!$C$2:$D$102,2,FALSE),"")</f>
        <v>0.44400000000000001</v>
      </c>
      <c r="G91" s="274">
        <f>IFERROR(E91*F91*'inventory year and inflation'!$J$18/1000,"")</f>
        <v>0</v>
      </c>
    </row>
    <row r="92" spans="1:7" ht="15.75" thickBot="1">
      <c r="A92" s="186">
        <f t="shared" si="4"/>
        <v>62</v>
      </c>
      <c r="B92" s="250"/>
      <c r="C92" s="250"/>
      <c r="D92" s="373" t="s">
        <v>3570</v>
      </c>
      <c r="E92" s="251"/>
      <c r="F92" s="286">
        <f>IFERROR(VLOOKUP($D92,EF!$C$2:$D$102,2,FALSE),"")</f>
        <v>0.40900000000000003</v>
      </c>
      <c r="G92" s="274">
        <f>IFERROR(E92*F92*'inventory year and inflation'!$J$18/1000,"")</f>
        <v>0</v>
      </c>
    </row>
    <row r="93" spans="1:7" ht="15.75" thickBot="1">
      <c r="A93" s="1206" t="s">
        <v>3576</v>
      </c>
      <c r="B93" s="1207"/>
      <c r="C93" s="1207"/>
      <c r="D93" s="1207"/>
      <c r="E93" s="1207"/>
      <c r="F93" s="1207"/>
      <c r="G93" s="1208"/>
    </row>
    <row r="94" spans="1:7" ht="15">
      <c r="A94" s="186">
        <f>A92+1</f>
        <v>63</v>
      </c>
      <c r="B94" s="250"/>
      <c r="C94" s="250"/>
      <c r="D94" s="373" t="s">
        <v>1442</v>
      </c>
      <c r="E94" s="251"/>
      <c r="F94" s="286">
        <f>IFERROR(VLOOKUP($D94,EF!$C$2:$D$102,2,FALSE),"")</f>
        <v>0.22999999999999998</v>
      </c>
      <c r="G94" s="274">
        <f>IFERROR(E94*F94*'inventory year and inflation'!$J$18/1000,"")</f>
        <v>0</v>
      </c>
    </row>
    <row r="95" spans="1:7" ht="15">
      <c r="A95" s="186">
        <f>A94+1</f>
        <v>64</v>
      </c>
      <c r="B95" s="250"/>
      <c r="C95" s="250"/>
      <c r="D95" s="373" t="s">
        <v>1484</v>
      </c>
      <c r="E95" s="251"/>
      <c r="F95" s="286">
        <f>IFERROR(VLOOKUP($D95,EF!$C$2:$D$102,2,FALSE),"")</f>
        <v>0.375</v>
      </c>
      <c r="G95" s="274">
        <f>IFERROR(E95*F95*'inventory year and inflation'!$J$18/1000,"")</f>
        <v>0</v>
      </c>
    </row>
    <row r="96" spans="1:7" ht="15.75" thickBot="1">
      <c r="A96" s="186">
        <f>A95+1</f>
        <v>65</v>
      </c>
      <c r="B96" s="250"/>
      <c r="C96" s="250"/>
      <c r="D96" s="373" t="s">
        <v>1485</v>
      </c>
      <c r="E96" s="251"/>
      <c r="F96" s="286">
        <f>IFERROR(VLOOKUP($D96,EF!$C$2:$D$102,2,FALSE),"")</f>
        <v>0.371</v>
      </c>
      <c r="G96" s="274">
        <f>IFERROR(E96*F96*'inventory year and inflation'!$J$18/1000,"")</f>
        <v>0</v>
      </c>
    </row>
    <row r="97" spans="1:7" ht="15.75" thickBot="1">
      <c r="A97" s="1206" t="s">
        <v>68</v>
      </c>
      <c r="B97" s="1207"/>
      <c r="C97" s="1207"/>
      <c r="D97" s="1207"/>
      <c r="E97" s="1207"/>
      <c r="F97" s="1207"/>
      <c r="G97" s="1208"/>
    </row>
    <row r="98" spans="1:7" ht="15.75" thickBot="1">
      <c r="A98" s="186">
        <f>A96+1</f>
        <v>66</v>
      </c>
      <c r="B98" s="250"/>
      <c r="C98" s="250"/>
      <c r="D98" s="373" t="s">
        <v>3617</v>
      </c>
      <c r="E98" s="363"/>
      <c r="F98" s="286">
        <f>IFERROR(VLOOKUP($D98,EF!$C$2:$D$102,2,FALSE),"")</f>
        <v>0.65800000000000003</v>
      </c>
      <c r="G98" s="364">
        <f>IFERROR(E98*F98*'inventory year and inflation'!$J$18/1000,"")</f>
        <v>0</v>
      </c>
    </row>
    <row r="99" spans="1:7" ht="15.75" thickBot="1">
      <c r="A99" s="1206" t="s">
        <v>79</v>
      </c>
      <c r="B99" s="1207"/>
      <c r="C99" s="1207"/>
      <c r="D99" s="1207"/>
      <c r="E99" s="1207"/>
      <c r="F99" s="1207"/>
      <c r="G99" s="1208"/>
    </row>
    <row r="100" spans="1:7" ht="15">
      <c r="A100" s="186">
        <f>A98+1</f>
        <v>67</v>
      </c>
      <c r="B100" s="250"/>
      <c r="C100" s="250"/>
      <c r="D100" s="373" t="s">
        <v>1443</v>
      </c>
      <c r="E100" s="251"/>
      <c r="F100" s="286">
        <f>IFERROR(VLOOKUP($D100,EF!$C$2:$D$102,2,FALSE),"")</f>
        <v>0.157</v>
      </c>
      <c r="G100" s="274">
        <f>IFERROR(E100*F100*'inventory year and inflation'!$J$18/1000,"")</f>
        <v>0</v>
      </c>
    </row>
    <row r="101" spans="1:7" ht="15">
      <c r="A101" s="186">
        <f>A100+1</f>
        <v>68</v>
      </c>
      <c r="B101" s="250"/>
      <c r="C101" s="250"/>
      <c r="D101" s="373" t="s">
        <v>1486</v>
      </c>
      <c r="E101" s="251"/>
      <c r="F101" s="286">
        <f>IFERROR(VLOOKUP($D101,EF!$C$2:$D$102,2,FALSE),"")</f>
        <v>0.34899999999999998</v>
      </c>
      <c r="G101" s="274">
        <f>IFERROR(E101*F101*'inventory year and inflation'!$J$18/1000,"")</f>
        <v>0</v>
      </c>
    </row>
    <row r="102" spans="1:7" ht="15">
      <c r="A102" s="186">
        <f>A101+1</f>
        <v>69</v>
      </c>
      <c r="B102" s="250"/>
      <c r="C102" s="250"/>
      <c r="D102" s="373" t="s">
        <v>1487</v>
      </c>
      <c r="E102" s="251"/>
      <c r="F102" s="286">
        <f>IFERROR(VLOOKUP($D102,EF!$C$2:$D$102,2,FALSE),"")</f>
        <v>0.20799999999999999</v>
      </c>
      <c r="G102" s="274">
        <f>IFERROR(E102*F102*'inventory year and inflation'!$J$18/1000,"")</f>
        <v>0</v>
      </c>
    </row>
    <row r="103" spans="1:7" ht="15.75" thickBot="1">
      <c r="A103" s="186">
        <f>A102+1</f>
        <v>70</v>
      </c>
      <c r="B103" s="250"/>
      <c r="C103" s="250"/>
      <c r="D103" s="373" t="s">
        <v>1488</v>
      </c>
      <c r="E103" s="251"/>
      <c r="F103" s="286">
        <f>IFERROR(VLOOKUP($D103,EF!$C$2:$D$102,2,FALSE),"")</f>
        <v>0.20599999999999999</v>
      </c>
      <c r="G103" s="274">
        <f>IFERROR(E103*F103*'inventory year and inflation'!$J$18/1000,"")</f>
        <v>0</v>
      </c>
    </row>
    <row r="104" spans="1:7" ht="15.75" thickBot="1">
      <c r="A104" s="1206" t="s">
        <v>124</v>
      </c>
      <c r="B104" s="1207"/>
      <c r="C104" s="1207"/>
      <c r="D104" s="1207"/>
      <c r="E104" s="1207"/>
      <c r="F104" s="1207"/>
      <c r="G104" s="1208"/>
    </row>
    <row r="105" spans="1:7" ht="15">
      <c r="A105" s="186">
        <f>A103+1</f>
        <v>71</v>
      </c>
      <c r="B105" s="250"/>
      <c r="C105" s="250"/>
      <c r="D105" s="373" t="s">
        <v>1444</v>
      </c>
      <c r="E105" s="251"/>
      <c r="F105" s="286">
        <f>IFERROR(VLOOKUP($D105,EF!$C$2:$D$102,2,FALSE),"")</f>
        <v>0.14900000000000002</v>
      </c>
      <c r="G105" s="274">
        <f>IFERROR(E105*F105*'inventory year and inflation'!$J$18/1000,"")</f>
        <v>0</v>
      </c>
    </row>
    <row r="106" spans="1:7" ht="29.25">
      <c r="A106" s="186">
        <f>A105+1</f>
        <v>72</v>
      </c>
      <c r="B106" s="250"/>
      <c r="C106" s="250"/>
      <c r="D106" s="373" t="s">
        <v>1489</v>
      </c>
      <c r="E106" s="251"/>
      <c r="F106" s="286">
        <f>IFERROR(VLOOKUP($D106,EF!$C$2:$D$102,2,FALSE),"")</f>
        <v>0.11800000000000001</v>
      </c>
      <c r="G106" s="274">
        <f>IFERROR(E106*F106*'inventory year and inflation'!$J$18/1000,"")</f>
        <v>0</v>
      </c>
    </row>
    <row r="107" spans="1:7" ht="29.25">
      <c r="A107" s="186">
        <f>A106+1</f>
        <v>73</v>
      </c>
      <c r="B107" s="250"/>
      <c r="C107" s="250"/>
      <c r="D107" s="373" t="s">
        <v>1490</v>
      </c>
      <c r="E107" s="251"/>
      <c r="F107" s="286">
        <f>IFERROR(VLOOKUP($D107,EF!$C$2:$D$102,2,FALSE),"")</f>
        <v>7.1000000000000008E-2</v>
      </c>
      <c r="G107" s="274">
        <f>IFERROR(E107*F107*'inventory year and inflation'!$J$18/1000,"")</f>
        <v>0</v>
      </c>
    </row>
    <row r="108" spans="1:7" ht="15.75" thickBot="1">
      <c r="A108" s="186">
        <f>A107+1</f>
        <v>74</v>
      </c>
      <c r="B108" s="250"/>
      <c r="C108" s="250"/>
      <c r="D108" s="373" t="s">
        <v>1491</v>
      </c>
      <c r="E108" s="251"/>
      <c r="F108" s="286">
        <f>IFERROR(VLOOKUP($D108,EF!$C$2:$D$102,2,FALSE),"")</f>
        <v>0.186</v>
      </c>
      <c r="G108" s="274">
        <f>IFERROR(E108*F108*'inventory year and inflation'!$J$18/1000,"")</f>
        <v>0</v>
      </c>
    </row>
    <row r="109" spans="1:7" ht="15.75" thickBot="1">
      <c r="A109" s="1206" t="s">
        <v>3577</v>
      </c>
      <c r="B109" s="1207"/>
      <c r="C109" s="1207"/>
      <c r="D109" s="1207"/>
      <c r="E109" s="1207"/>
      <c r="F109" s="1207"/>
      <c r="G109" s="1208"/>
    </row>
    <row r="110" spans="1:7" ht="15">
      <c r="A110" s="186">
        <f>A108+1</f>
        <v>75</v>
      </c>
      <c r="B110" s="250"/>
      <c r="C110" s="250"/>
      <c r="D110" s="373" t="s">
        <v>1445</v>
      </c>
      <c r="E110" s="251"/>
      <c r="F110" s="286">
        <f>IFERROR(VLOOKUP($D110,EF!$C$2:$D$102,2,FALSE),"")</f>
        <v>0.16700000000000001</v>
      </c>
      <c r="G110" s="274">
        <f>IFERROR(E110*F110*'inventory year and inflation'!$J$18/1000,"")</f>
        <v>0</v>
      </c>
    </row>
    <row r="111" spans="1:7" ht="15">
      <c r="A111" s="186">
        <f>A110+1</f>
        <v>76</v>
      </c>
      <c r="B111" s="250"/>
      <c r="C111" s="250"/>
      <c r="D111" s="373" t="s">
        <v>1492</v>
      </c>
      <c r="E111" s="251"/>
      <c r="F111" s="286">
        <f>IFERROR(VLOOKUP($D111,EF!$C$2:$D$102,2,FALSE),"")</f>
        <v>0.17200000000000001</v>
      </c>
      <c r="G111" s="274">
        <f>IFERROR(E111*F111*'inventory year and inflation'!$J$18/1000,"")</f>
        <v>0</v>
      </c>
    </row>
    <row r="112" spans="1:7" ht="30" thickBot="1">
      <c r="A112" s="186">
        <f>A111+1</f>
        <v>77</v>
      </c>
      <c r="B112" s="250"/>
      <c r="C112" s="250"/>
      <c r="D112" s="373" t="s">
        <v>1493</v>
      </c>
      <c r="E112" s="251"/>
      <c r="F112" s="286">
        <f>IFERROR(VLOOKUP($D112,EF!$C$2:$D$102,2,FALSE),"")</f>
        <v>0.17100000000000001</v>
      </c>
      <c r="G112" s="274">
        <f>IFERROR(E112*F112*'inventory year and inflation'!$J$18/1000,"")</f>
        <v>0</v>
      </c>
    </row>
    <row r="113" spans="1:7" ht="15.75" thickBot="1">
      <c r="A113" s="1206" t="s">
        <v>3578</v>
      </c>
      <c r="B113" s="1207"/>
      <c r="C113" s="1207"/>
      <c r="D113" s="1207"/>
      <c r="E113" s="1207"/>
      <c r="F113" s="1207"/>
      <c r="G113" s="1208"/>
    </row>
    <row r="114" spans="1:7" ht="15">
      <c r="A114" s="186">
        <f>A112+1</f>
        <v>78</v>
      </c>
      <c r="B114" s="250"/>
      <c r="C114" s="250"/>
      <c r="D114" s="373" t="s">
        <v>1446</v>
      </c>
      <c r="E114" s="251"/>
      <c r="F114" s="286">
        <f>IFERROR(VLOOKUP($D114,EF!$C$2:$D$102,2,FALSE),"")</f>
        <v>0.154</v>
      </c>
      <c r="G114" s="274">
        <f>IFERROR(E114*F114*'inventory year and inflation'!$J$18/1000,"")</f>
        <v>0</v>
      </c>
    </row>
    <row r="115" spans="1:7" ht="15">
      <c r="A115" s="186">
        <f>A114+1</f>
        <v>79</v>
      </c>
      <c r="B115" s="250"/>
      <c r="C115" s="250"/>
      <c r="D115" s="373" t="s">
        <v>1494</v>
      </c>
      <c r="E115" s="251"/>
      <c r="F115" s="286">
        <f>IFERROR(VLOOKUP($D115,EF!$C$2:$D$102,2,FALSE),"")</f>
        <v>0.13900000000000001</v>
      </c>
      <c r="G115" s="274">
        <f>IFERROR(E115*F115*'inventory year and inflation'!$J$18/1000,"")</f>
        <v>0</v>
      </c>
    </row>
    <row r="116" spans="1:7" ht="15">
      <c r="A116" s="186">
        <f>A115+1</f>
        <v>80</v>
      </c>
      <c r="B116" s="250"/>
      <c r="C116" s="250"/>
      <c r="D116" s="373" t="s">
        <v>1495</v>
      </c>
      <c r="E116" s="251"/>
      <c r="F116" s="286">
        <f>IFERROR(VLOOKUP($D116,EF!$C$2:$D$102,2,FALSE),"")</f>
        <v>0.193</v>
      </c>
      <c r="G116" s="274">
        <f>IFERROR(E116*F116*'inventory year and inflation'!$J$18/1000,"")</f>
        <v>0</v>
      </c>
    </row>
    <row r="117" spans="1:7" ht="15.75" thickBot="1">
      <c r="A117" s="186">
        <f>A116+1</f>
        <v>81</v>
      </c>
      <c r="B117" s="250"/>
      <c r="C117" s="250"/>
      <c r="D117" s="373" t="s">
        <v>1496</v>
      </c>
      <c r="E117" s="251"/>
      <c r="F117" s="286">
        <f>IFERROR(VLOOKUP($D117,EF!$C$2:$D$102,2,FALSE),"")</f>
        <v>9.7000000000000003E-2</v>
      </c>
      <c r="G117" s="274">
        <f>IFERROR(E117*F117*'inventory year and inflation'!$J$18/1000,"")</f>
        <v>0</v>
      </c>
    </row>
    <row r="118" spans="1:7" ht="15.75" thickBot="1">
      <c r="A118" s="1206" t="s">
        <v>3579</v>
      </c>
      <c r="B118" s="1207"/>
      <c r="C118" s="1207"/>
      <c r="D118" s="1207"/>
      <c r="E118" s="1207"/>
      <c r="F118" s="1207"/>
      <c r="G118" s="1208"/>
    </row>
    <row r="119" spans="1:7" ht="15">
      <c r="A119" s="186">
        <f>A117+1</f>
        <v>82</v>
      </c>
      <c r="B119" s="250"/>
      <c r="C119" s="250"/>
      <c r="D119" s="373" t="s">
        <v>1447</v>
      </c>
      <c r="E119" s="251"/>
      <c r="F119" s="286">
        <f>IFERROR(VLOOKUP($D119,EF!$C$2:$D$102,2,FALSE),"")</f>
        <v>0.55600000000000005</v>
      </c>
      <c r="G119" s="274">
        <f>IFERROR(E119*F119*'inventory year and inflation'!$J$18/1000,"")</f>
        <v>0</v>
      </c>
    </row>
    <row r="120" spans="1:7" ht="15">
      <c r="A120" s="186">
        <f>A119+1</f>
        <v>83</v>
      </c>
      <c r="B120" s="250"/>
      <c r="C120" s="250"/>
      <c r="D120" s="373" t="s">
        <v>1498</v>
      </c>
      <c r="E120" s="251"/>
      <c r="F120" s="286">
        <f>IFERROR(VLOOKUP($D120,EF!$C$2:$D$102,2,FALSE),"")</f>
        <v>0.79400000000000004</v>
      </c>
      <c r="G120" s="274">
        <f>IFERROR(E120*F120*'inventory year and inflation'!$J$18/1000,"")</f>
        <v>0</v>
      </c>
    </row>
    <row r="121" spans="1:7" ht="15">
      <c r="A121" s="186">
        <f>A120+1</f>
        <v>84</v>
      </c>
      <c r="B121" s="250"/>
      <c r="C121" s="250"/>
      <c r="D121" s="373" t="s">
        <v>1499</v>
      </c>
      <c r="E121" s="251"/>
      <c r="F121" s="286">
        <f>IFERROR(VLOOKUP($D121,EF!$C$2:$D$102,2,FALSE),"")</f>
        <v>0.504</v>
      </c>
      <c r="G121" s="274">
        <f>IFERROR(E121*F121*'inventory year and inflation'!$J$18/1000,"")</f>
        <v>0</v>
      </c>
    </row>
    <row r="122" spans="1:7" ht="15.75" thickBot="1">
      <c r="A122" s="186">
        <f>A121+1</f>
        <v>85</v>
      </c>
      <c r="B122" s="250"/>
      <c r="C122" s="250"/>
      <c r="D122" s="373" t="s">
        <v>1497</v>
      </c>
      <c r="E122" s="251"/>
      <c r="F122" s="286">
        <f>IFERROR(VLOOKUP($D122,EF!$C$2:$D$102,2,FALSE),"")</f>
        <v>0.54900000000000004</v>
      </c>
      <c r="G122" s="274">
        <f>IFERROR(E122*F122*'inventory year and inflation'!$J$18/1000,"")</f>
        <v>0</v>
      </c>
    </row>
    <row r="123" spans="1:7" ht="15.75" thickBot="1">
      <c r="A123" s="1206" t="s">
        <v>3580</v>
      </c>
      <c r="B123" s="1207"/>
      <c r="C123" s="1207"/>
      <c r="D123" s="1207"/>
      <c r="E123" s="1207"/>
      <c r="F123" s="1207"/>
      <c r="G123" s="1208"/>
    </row>
    <row r="124" spans="1:7" ht="15">
      <c r="A124" s="186">
        <f>A122+1</f>
        <v>86</v>
      </c>
      <c r="B124" s="250"/>
      <c r="C124" s="250"/>
      <c r="D124" s="373" t="s">
        <v>1448</v>
      </c>
      <c r="E124" s="251"/>
      <c r="F124" s="286">
        <f>IFERROR(VLOOKUP($D124,EF!$C$2:$D$102,2,FALSE),"")</f>
        <v>6.7000000000000004E-2</v>
      </c>
      <c r="G124" s="274">
        <f>IFERROR(E124*F124*'inventory year and inflation'!$J$18/1000,"")</f>
        <v>0</v>
      </c>
    </row>
    <row r="125" spans="1:7" ht="15.75" thickBot="1">
      <c r="A125" s="186">
        <f>A124+1</f>
        <v>87</v>
      </c>
      <c r="B125" s="250"/>
      <c r="C125" s="250"/>
      <c r="D125" s="373" t="s">
        <v>1500</v>
      </c>
      <c r="E125" s="251"/>
      <c r="F125" s="286">
        <f>IFERROR(VLOOKUP($D125,EF!$C$2:$D$102,2,FALSE),"")</f>
        <v>0.159</v>
      </c>
      <c r="G125" s="274">
        <f>IFERROR(E125*F125*'inventory year and inflation'!$J$18/1000,"")</f>
        <v>0</v>
      </c>
    </row>
    <row r="126" spans="1:7" ht="15.75" thickBot="1">
      <c r="A126" s="1206" t="s">
        <v>3581</v>
      </c>
      <c r="B126" s="1207"/>
      <c r="C126" s="1207"/>
      <c r="D126" s="1207"/>
      <c r="E126" s="1207"/>
      <c r="F126" s="1207"/>
      <c r="G126" s="1208"/>
    </row>
    <row r="127" spans="1:7" ht="15">
      <c r="A127" s="186">
        <f>A125+1</f>
        <v>88</v>
      </c>
      <c r="B127" s="250"/>
      <c r="C127" s="250"/>
      <c r="D127" s="373" t="s">
        <v>1449</v>
      </c>
      <c r="E127" s="251"/>
      <c r="F127" s="286">
        <f>IFERROR(VLOOKUP($D127,EF!$C$2:$D$102,2,FALSE),"")</f>
        <v>0.28500000000000003</v>
      </c>
      <c r="G127" s="274">
        <f>IFERROR(E127*F127*'inventory year and inflation'!$J$18/1000,"")</f>
        <v>0</v>
      </c>
    </row>
    <row r="128" spans="1:7" ht="15">
      <c r="A128" s="186">
        <f>A127+1</f>
        <v>89</v>
      </c>
      <c r="B128" s="250"/>
      <c r="C128" s="250"/>
      <c r="D128" s="373" t="s">
        <v>1501</v>
      </c>
      <c r="E128" s="251"/>
      <c r="F128" s="286">
        <f>IFERROR(VLOOKUP($D128,EF!$C$2:$D$102,2,FALSE),"")</f>
        <v>0.35100000000000003</v>
      </c>
      <c r="G128" s="274">
        <f>IFERROR(E128*F128*'inventory year and inflation'!$J$18/1000,"")</f>
        <v>0</v>
      </c>
    </row>
    <row r="129" spans="1:7" ht="15">
      <c r="A129" s="186">
        <f>A128+1</f>
        <v>90</v>
      </c>
      <c r="B129" s="250"/>
      <c r="C129" s="250"/>
      <c r="D129" s="373" t="s">
        <v>1502</v>
      </c>
      <c r="E129" s="251"/>
      <c r="F129" s="286">
        <f>IFERROR(VLOOKUP($D129,EF!$C$2:$D$102,2,FALSE),"")</f>
        <v>0.27</v>
      </c>
      <c r="G129" s="274">
        <f>IFERROR(E129*F129*'inventory year and inflation'!$J$18/1000,"")</f>
        <v>0</v>
      </c>
    </row>
    <row r="130" spans="1:7" ht="15">
      <c r="A130" s="186">
        <f>A129+1</f>
        <v>91</v>
      </c>
      <c r="B130" s="250"/>
      <c r="C130" s="250"/>
      <c r="D130" s="373" t="s">
        <v>1503</v>
      </c>
      <c r="E130" s="251"/>
      <c r="F130" s="286">
        <f>IFERROR(VLOOKUP($D130,EF!$C$2:$D$102,2,FALSE),"")</f>
        <v>0.63200000000000001</v>
      </c>
      <c r="G130" s="274">
        <f>IFERROR(E130*F130*'inventory year and inflation'!$J$18/1000,"")</f>
        <v>0</v>
      </c>
    </row>
    <row r="131" spans="1:7" ht="15.75" thickBot="1">
      <c r="A131" s="186">
        <f>A130+1</f>
        <v>92</v>
      </c>
      <c r="B131" s="250"/>
      <c r="C131" s="250"/>
      <c r="D131" s="373" t="s">
        <v>1504</v>
      </c>
      <c r="E131" s="251"/>
      <c r="F131" s="286">
        <f>IFERROR(VLOOKUP($D131,EF!$C$2:$D$102,2,FALSE),"")</f>
        <v>0.31100000000000005</v>
      </c>
      <c r="G131" s="274">
        <f>IFERROR(E131*F131*'inventory year and inflation'!$J$18/1000,"")</f>
        <v>0</v>
      </c>
    </row>
    <row r="132" spans="1:7" ht="15.75" thickBot="1">
      <c r="A132" s="1206" t="s">
        <v>3582</v>
      </c>
      <c r="B132" s="1207"/>
      <c r="C132" s="1207"/>
      <c r="D132" s="1207"/>
      <c r="E132" s="1207"/>
      <c r="F132" s="1207"/>
      <c r="G132" s="1208"/>
    </row>
    <row r="133" spans="1:7" ht="15.75" thickBot="1">
      <c r="A133" s="186">
        <f>A131+1</f>
        <v>93</v>
      </c>
      <c r="B133" s="250"/>
      <c r="C133" s="250"/>
      <c r="D133" s="373" t="s">
        <v>1010</v>
      </c>
      <c r="E133" s="363"/>
      <c r="F133" s="545">
        <f>IFERROR(VLOOKUP($D133,EF!$C$2:$D$102,2,FALSE),"")</f>
        <v>1.4430000000000001</v>
      </c>
      <c r="G133" s="364">
        <f>IFERROR(E133*F133*'inventory year and inflation'!$J$18/1000,"")</f>
        <v>0</v>
      </c>
    </row>
    <row r="134" spans="1:7" ht="15" thickBot="1">
      <c r="E134" s="1204" t="s">
        <v>1262</v>
      </c>
      <c r="F134" s="548" t="s">
        <v>164</v>
      </c>
      <c r="G134" s="546">
        <f>SUMIF($C$25:$C$133,"Purchased Goods &amp; Services",$G$25:$G$133)</f>
        <v>0</v>
      </c>
    </row>
    <row r="135" spans="1:7" ht="15" thickBot="1">
      <c r="E135" s="1205"/>
      <c r="F135" s="549" t="s">
        <v>165</v>
      </c>
      <c r="G135" s="547">
        <f>SUMIF($C$25:$C$133,"Capital Goods",$G$25:$G$133)</f>
        <v>0</v>
      </c>
    </row>
  </sheetData>
  <sheetProtection algorithmName="SHA-512" hashValue="kzDrZA8mrVscPQF7ilAHZ1L03cnYt8B90gcnN2NduZNlLxffkrDb8X+WvS6rOuylgv6UveJ0tMGlV4DfqmRMWQ==" saltValue="lQdVtrRy0yh270QvuGcuQg==" spinCount="100000" sheet="1" objects="1" scenarios="1"/>
  <mergeCells count="33">
    <mergeCell ref="A123:G123"/>
    <mergeCell ref="A24:G24"/>
    <mergeCell ref="A32:G32"/>
    <mergeCell ref="A35:G35"/>
    <mergeCell ref="A48:G48"/>
    <mergeCell ref="A59:G59"/>
    <mergeCell ref="M44:M45"/>
    <mergeCell ref="L49:N49"/>
    <mergeCell ref="L50:N50"/>
    <mergeCell ref="L56:N56"/>
    <mergeCell ref="L57:N57"/>
    <mergeCell ref="L48:N48"/>
    <mergeCell ref="L51:N51"/>
    <mergeCell ref="L52:N52"/>
    <mergeCell ref="L53:N53"/>
    <mergeCell ref="L54:N54"/>
    <mergeCell ref="L55:N55"/>
    <mergeCell ref="E134:E135"/>
    <mergeCell ref="A132:G132"/>
    <mergeCell ref="L58:N58"/>
    <mergeCell ref="L59:N59"/>
    <mergeCell ref="M61:M62"/>
    <mergeCell ref="A64:G64"/>
    <mergeCell ref="A67:G67"/>
    <mergeCell ref="A70:G70"/>
    <mergeCell ref="A93:G93"/>
    <mergeCell ref="A126:G126"/>
    <mergeCell ref="A99:G99"/>
    <mergeCell ref="A104:G104"/>
    <mergeCell ref="A109:G109"/>
    <mergeCell ref="A113:G113"/>
    <mergeCell ref="A97:G97"/>
    <mergeCell ref="A118:G11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List!$G$2:$G$3</xm:f>
          </x14:formula1>
          <xm:sqref>C25:C31 C33:C34 C36:C47 C49:C58 C60:C63 K50:K59 C68:C69 C71:C92 C100:C103 C105:C108 C110:C112 C114:C117 C119:C122 C124:C125 C127:C131 C133 C94:C98 K24:K42 C65:C66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theme="3" tint="0.59999389629810485"/>
  </sheetPr>
  <dimension ref="A1:B96"/>
  <sheetViews>
    <sheetView zoomScale="85" zoomScaleNormal="85" workbookViewId="0">
      <pane ySplit="3" topLeftCell="A4" activePane="bottomLeft" state="frozen"/>
      <selection activeCell="E25" sqref="E25"/>
      <selection pane="bottomLeft" activeCell="E25" sqref="E25"/>
    </sheetView>
  </sheetViews>
  <sheetFormatPr defaultColWidth="8.875" defaultRowHeight="14.25"/>
  <cols>
    <col min="1" max="1" width="81" style="4" customWidth="1"/>
    <col min="2" max="2" width="156.25" style="4" customWidth="1"/>
    <col min="3" max="3" width="33.5" customWidth="1"/>
    <col min="4" max="4" width="8" customWidth="1"/>
    <col min="5" max="5" width="33.5" customWidth="1"/>
    <col min="6" max="6" width="29.875" customWidth="1"/>
    <col min="7" max="7" width="33.5" customWidth="1"/>
    <col min="8" max="8" width="69.5" customWidth="1"/>
    <col min="9" max="9" width="33.5" customWidth="1"/>
    <col min="11" max="12" width="62.875" customWidth="1"/>
    <col min="16" max="16" width="14.375" customWidth="1"/>
    <col min="17" max="17" width="13" customWidth="1"/>
    <col min="19" max="19" width="14.5" customWidth="1"/>
    <col min="21" max="21" width="24.375" customWidth="1"/>
    <col min="23" max="23" width="23.625" customWidth="1"/>
    <col min="25" max="25" width="16.375" customWidth="1"/>
  </cols>
  <sheetData>
    <row r="1" spans="1:2" ht="15.75">
      <c r="A1" s="317" t="s">
        <v>3450</v>
      </c>
    </row>
    <row r="3" spans="1:2" ht="15">
      <c r="A3" s="287" t="s">
        <v>3384</v>
      </c>
      <c r="B3" s="287" t="s">
        <v>3385</v>
      </c>
    </row>
    <row r="4" spans="1:2" ht="53.25" customHeight="1">
      <c r="A4" s="300" t="s">
        <v>1434</v>
      </c>
      <c r="B4" s="301" t="s">
        <v>3387</v>
      </c>
    </row>
    <row r="5" spans="1:2" ht="36.75" customHeight="1">
      <c r="A5" s="289" t="s">
        <v>1451</v>
      </c>
      <c r="B5" s="226" t="s">
        <v>3355</v>
      </c>
    </row>
    <row r="6" spans="1:2" ht="24" customHeight="1">
      <c r="A6" s="289" t="s">
        <v>1452</v>
      </c>
      <c r="B6" s="226" t="s">
        <v>2991</v>
      </c>
    </row>
    <row r="7" spans="1:2" ht="52.5" customHeight="1">
      <c r="A7" s="289" t="s">
        <v>1453</v>
      </c>
      <c r="B7" s="226" t="s">
        <v>3418</v>
      </c>
    </row>
    <row r="8" spans="1:2" ht="36.75" customHeight="1">
      <c r="A8" s="289" t="s">
        <v>1454</v>
      </c>
      <c r="B8" s="226" t="s">
        <v>3354</v>
      </c>
    </row>
    <row r="9" spans="1:2" ht="40.5" customHeight="1">
      <c r="A9" s="289" t="s">
        <v>1455</v>
      </c>
      <c r="B9" s="226" t="s">
        <v>3419</v>
      </c>
    </row>
    <row r="10" spans="1:2" ht="56.25" customHeight="1">
      <c r="A10" s="289" t="s">
        <v>1456</v>
      </c>
      <c r="B10" s="226" t="s">
        <v>3352</v>
      </c>
    </row>
    <row r="11" spans="1:2" ht="99" customHeight="1">
      <c r="A11" s="300" t="s">
        <v>1435</v>
      </c>
      <c r="B11" s="301" t="s">
        <v>3388</v>
      </c>
    </row>
    <row r="12" spans="1:2" ht="78" customHeight="1">
      <c r="A12" s="289" t="s">
        <v>1457</v>
      </c>
      <c r="B12" s="226" t="s">
        <v>3389</v>
      </c>
    </row>
    <row r="13" spans="1:2" ht="136.5" customHeight="1">
      <c r="A13" s="300" t="s">
        <v>1436</v>
      </c>
      <c r="B13" s="301" t="s">
        <v>3390</v>
      </c>
    </row>
    <row r="14" spans="1:2" ht="17.25" customHeight="1">
      <c r="A14" s="289" t="s">
        <v>1458</v>
      </c>
      <c r="B14" s="226" t="s">
        <v>3271</v>
      </c>
    </row>
    <row r="15" spans="1:2" ht="35.25" customHeight="1">
      <c r="A15" s="289" t="s">
        <v>1459</v>
      </c>
      <c r="B15" s="226" t="s">
        <v>3267</v>
      </c>
    </row>
    <row r="16" spans="1:2" ht="48.75" customHeight="1">
      <c r="A16" s="289" t="s">
        <v>3592</v>
      </c>
      <c r="B16" s="226" t="s">
        <v>3393</v>
      </c>
    </row>
    <row r="17" spans="1:2" ht="18.75" customHeight="1">
      <c r="A17" s="289" t="s">
        <v>1461</v>
      </c>
      <c r="B17" s="226" t="s">
        <v>3261</v>
      </c>
    </row>
    <row r="18" spans="1:2" ht="39.75" customHeight="1">
      <c r="A18" s="289" t="s">
        <v>1462</v>
      </c>
      <c r="B18" s="226" t="s">
        <v>3265</v>
      </c>
    </row>
    <row r="19" spans="1:2" ht="36.75" customHeight="1">
      <c r="A19" s="289" t="s">
        <v>1463</v>
      </c>
      <c r="B19" s="226" t="s">
        <v>2725</v>
      </c>
    </row>
    <row r="20" spans="1:2" ht="24" customHeight="1">
      <c r="A20" s="289" t="s">
        <v>1464</v>
      </c>
      <c r="B20" s="226" t="s">
        <v>3263</v>
      </c>
    </row>
    <row r="21" spans="1:2" ht="38.25" customHeight="1">
      <c r="A21" s="289" t="s">
        <v>1465</v>
      </c>
      <c r="B21" s="226" t="s">
        <v>3266</v>
      </c>
    </row>
    <row r="22" spans="1:2" ht="36.75" customHeight="1">
      <c r="A22" s="289" t="s">
        <v>1466</v>
      </c>
      <c r="B22" s="226" t="s">
        <v>3272</v>
      </c>
    </row>
    <row r="23" spans="1:2" ht="42.75" customHeight="1">
      <c r="A23" s="289" t="s">
        <v>1467</v>
      </c>
      <c r="B23" s="226" t="s">
        <v>3273</v>
      </c>
    </row>
    <row r="24" spans="1:2" ht="25.5" customHeight="1">
      <c r="A24" s="289" t="s">
        <v>1468</v>
      </c>
      <c r="B24" s="226" t="s">
        <v>3268</v>
      </c>
    </row>
    <row r="25" spans="1:2" ht="162" customHeight="1">
      <c r="A25" s="300" t="s">
        <v>1437</v>
      </c>
      <c r="B25" s="301" t="s">
        <v>3420</v>
      </c>
    </row>
    <row r="26" spans="1:2" ht="33.75" customHeight="1">
      <c r="A26" s="289" t="s">
        <v>1469</v>
      </c>
      <c r="B26" s="226" t="s">
        <v>3185</v>
      </c>
    </row>
    <row r="27" spans="1:2" ht="51" customHeight="1">
      <c r="A27" s="289" t="s">
        <v>1470</v>
      </c>
      <c r="B27" s="226" t="s">
        <v>3188</v>
      </c>
    </row>
    <row r="28" spans="1:2" ht="38.25" customHeight="1">
      <c r="A28" s="289" t="s">
        <v>1471</v>
      </c>
      <c r="B28" s="226" t="s">
        <v>3173</v>
      </c>
    </row>
    <row r="29" spans="1:2" ht="36.75" customHeight="1">
      <c r="A29" s="289" t="s">
        <v>1472</v>
      </c>
      <c r="B29" s="226" t="s">
        <v>2437</v>
      </c>
    </row>
    <row r="30" spans="1:2" ht="94.5" customHeight="1">
      <c r="A30" s="289" t="s">
        <v>1473</v>
      </c>
      <c r="B30" s="226" t="s">
        <v>3391</v>
      </c>
    </row>
    <row r="31" spans="1:2" ht="39" customHeight="1">
      <c r="A31" s="289" t="s">
        <v>3591</v>
      </c>
      <c r="B31" s="226" t="s">
        <v>3179</v>
      </c>
    </row>
    <row r="32" spans="1:2" ht="36" customHeight="1">
      <c r="A32" s="289" t="s">
        <v>1475</v>
      </c>
      <c r="B32" s="226" t="s">
        <v>3392</v>
      </c>
    </row>
    <row r="33" spans="1:2" ht="31.5" customHeight="1">
      <c r="A33" s="289" t="s">
        <v>1476</v>
      </c>
      <c r="B33" s="226" t="s">
        <v>3186</v>
      </c>
    </row>
    <row r="34" spans="1:2" ht="53.25" customHeight="1">
      <c r="A34" s="289" t="s">
        <v>1477</v>
      </c>
      <c r="B34" s="226" t="s">
        <v>3174</v>
      </c>
    </row>
    <row r="35" spans="1:2" ht="67.5" customHeight="1">
      <c r="A35" s="300" t="s">
        <v>1438</v>
      </c>
      <c r="B35" s="301" t="s">
        <v>3421</v>
      </c>
    </row>
    <row r="36" spans="1:2" ht="49.5" customHeight="1">
      <c r="A36" s="289" t="s">
        <v>1478</v>
      </c>
      <c r="B36" s="226" t="s">
        <v>3328</v>
      </c>
    </row>
    <row r="37" spans="1:2" ht="21.75" customHeight="1">
      <c r="A37" s="289" t="s">
        <v>1479</v>
      </c>
      <c r="B37" s="226" t="s">
        <v>3327</v>
      </c>
    </row>
    <row r="38" spans="1:2" ht="68.25" customHeight="1">
      <c r="A38" s="289" t="s">
        <v>1480</v>
      </c>
      <c r="B38" s="226" t="s">
        <v>3408</v>
      </c>
    </row>
    <row r="39" spans="1:2" ht="81" customHeight="1">
      <c r="A39" s="300" t="s">
        <v>1439</v>
      </c>
      <c r="B39" s="301" t="s">
        <v>3409</v>
      </c>
    </row>
    <row r="40" spans="1:2" ht="22.5" customHeight="1">
      <c r="A40" s="289" t="s">
        <v>1481</v>
      </c>
      <c r="B40" s="226" t="s">
        <v>3093</v>
      </c>
    </row>
    <row r="41" spans="1:2" ht="42.75" customHeight="1">
      <c r="A41" s="288" t="s">
        <v>1440</v>
      </c>
      <c r="B41" s="226" t="s">
        <v>3410</v>
      </c>
    </row>
    <row r="42" spans="1:2" ht="72" customHeight="1">
      <c r="A42" s="289" t="s">
        <v>1482</v>
      </c>
      <c r="B42" s="226" t="s">
        <v>3313</v>
      </c>
    </row>
    <row r="43" spans="1:2" ht="68.25" customHeight="1">
      <c r="A43" s="351" t="s">
        <v>3541</v>
      </c>
      <c r="B43" s="352" t="s">
        <v>3565</v>
      </c>
    </row>
    <row r="44" spans="1:2" ht="36" customHeight="1">
      <c r="A44" s="348" t="s">
        <v>3568</v>
      </c>
      <c r="B44" s="289" t="s">
        <v>2614</v>
      </c>
    </row>
    <row r="45" spans="1:2" ht="37.5" customHeight="1">
      <c r="A45" s="288" t="s">
        <v>3542</v>
      </c>
      <c r="B45" s="226" t="s">
        <v>3564</v>
      </c>
    </row>
    <row r="46" spans="1:2" ht="25.5" customHeight="1">
      <c r="A46" s="288" t="s">
        <v>3543</v>
      </c>
      <c r="B46" s="226" t="s">
        <v>3566</v>
      </c>
    </row>
    <row r="47" spans="1:2" ht="38.25" customHeight="1">
      <c r="A47" s="288" t="s">
        <v>3544</v>
      </c>
      <c r="B47" s="226" t="s">
        <v>3234</v>
      </c>
    </row>
    <row r="48" spans="1:2" ht="39.75" customHeight="1">
      <c r="A48" s="288" t="s">
        <v>3545</v>
      </c>
      <c r="B48" s="226" t="s">
        <v>3235</v>
      </c>
    </row>
    <row r="49" spans="1:2" ht="68.25" customHeight="1">
      <c r="A49" s="288" t="s">
        <v>3546</v>
      </c>
      <c r="B49" s="226" t="s">
        <v>3236</v>
      </c>
    </row>
    <row r="50" spans="1:2" ht="39.75" customHeight="1">
      <c r="A50" s="288" t="s">
        <v>3547</v>
      </c>
      <c r="B50" s="226" t="s">
        <v>3563</v>
      </c>
    </row>
    <row r="51" spans="1:2" ht="22.5" customHeight="1">
      <c r="A51" s="288" t="s">
        <v>3548</v>
      </c>
      <c r="B51" s="226" t="s">
        <v>3237</v>
      </c>
    </row>
    <row r="52" spans="1:2" ht="21.75" customHeight="1">
      <c r="A52" s="288" t="s">
        <v>3549</v>
      </c>
      <c r="B52" s="226" t="s">
        <v>3400</v>
      </c>
    </row>
    <row r="53" spans="1:2" ht="40.5" customHeight="1">
      <c r="A53" s="288" t="s">
        <v>3550</v>
      </c>
      <c r="B53" s="226" t="s">
        <v>3238</v>
      </c>
    </row>
    <row r="54" spans="1:2" ht="38.25" customHeight="1">
      <c r="A54" s="288" t="s">
        <v>3551</v>
      </c>
      <c r="B54" s="226" t="s">
        <v>3558</v>
      </c>
    </row>
    <row r="55" spans="1:2" ht="49.5" customHeight="1">
      <c r="A55" s="288" t="s">
        <v>3552</v>
      </c>
      <c r="B55" s="226" t="s">
        <v>3559</v>
      </c>
    </row>
    <row r="56" spans="1:2" ht="53.25" customHeight="1">
      <c r="A56" s="288" t="s">
        <v>3553</v>
      </c>
      <c r="B56" s="226" t="s">
        <v>3560</v>
      </c>
    </row>
    <row r="57" spans="1:2" ht="24.75" customHeight="1">
      <c r="A57" s="288" t="s">
        <v>3554</v>
      </c>
      <c r="B57" s="226" t="s">
        <v>2644</v>
      </c>
    </row>
    <row r="58" spans="1:2" ht="53.25" customHeight="1">
      <c r="A58" s="288" t="s">
        <v>3555</v>
      </c>
      <c r="B58" s="226" t="s">
        <v>3561</v>
      </c>
    </row>
    <row r="59" spans="1:2" ht="70.5" customHeight="1">
      <c r="A59" s="288" t="s">
        <v>3556</v>
      </c>
      <c r="B59" s="226" t="s">
        <v>3240</v>
      </c>
    </row>
    <row r="60" spans="1:2" ht="42" customHeight="1">
      <c r="A60" s="288" t="s">
        <v>3557</v>
      </c>
      <c r="B60" s="226" t="s">
        <v>3562</v>
      </c>
    </row>
    <row r="61" spans="1:2" ht="40.5" customHeight="1">
      <c r="A61" s="355" t="s">
        <v>3569</v>
      </c>
      <c r="B61" s="226" t="s">
        <v>2653</v>
      </c>
    </row>
    <row r="62" spans="1:2" ht="72" customHeight="1">
      <c r="A62" s="355" t="s">
        <v>3570</v>
      </c>
      <c r="B62" s="226" t="s">
        <v>3435</v>
      </c>
    </row>
    <row r="63" spans="1:2" ht="38.25" customHeight="1">
      <c r="A63" s="355" t="s">
        <v>3571</v>
      </c>
      <c r="B63" s="226" t="s">
        <v>3573</v>
      </c>
    </row>
    <row r="64" spans="1:2" ht="72" customHeight="1">
      <c r="A64" s="355" t="s">
        <v>3572</v>
      </c>
      <c r="B64" s="226" t="s">
        <v>3574</v>
      </c>
    </row>
    <row r="65" spans="1:2" ht="75.75" customHeight="1">
      <c r="A65" s="300" t="s">
        <v>1442</v>
      </c>
      <c r="B65" s="301" t="s">
        <v>3411</v>
      </c>
    </row>
    <row r="66" spans="1:2" ht="52.5" customHeight="1">
      <c r="A66" s="289" t="s">
        <v>1484</v>
      </c>
      <c r="B66" s="226" t="s">
        <v>3217</v>
      </c>
    </row>
    <row r="67" spans="1:2" ht="39.75" customHeight="1">
      <c r="A67" s="289" t="s">
        <v>1485</v>
      </c>
      <c r="B67" s="226" t="s">
        <v>3394</v>
      </c>
    </row>
    <row r="68" spans="1:2" ht="43.5" customHeight="1">
      <c r="A68" s="289" t="s">
        <v>3617</v>
      </c>
      <c r="B68" s="4" t="s">
        <v>3156</v>
      </c>
    </row>
    <row r="69" spans="1:2" ht="63.75" customHeight="1">
      <c r="A69" s="300" t="s">
        <v>1443</v>
      </c>
      <c r="B69" s="301" t="s">
        <v>3416</v>
      </c>
    </row>
    <row r="70" spans="1:2" ht="44.25" customHeight="1">
      <c r="A70" s="289" t="s">
        <v>1486</v>
      </c>
      <c r="B70" s="226" t="s">
        <v>3227</v>
      </c>
    </row>
    <row r="71" spans="1:2" ht="57.75" customHeight="1">
      <c r="A71" s="289" t="s">
        <v>1487</v>
      </c>
      <c r="B71" s="226" t="s">
        <v>3221</v>
      </c>
    </row>
    <row r="72" spans="1:2" ht="45.75" customHeight="1">
      <c r="A72" s="289" t="s">
        <v>1488</v>
      </c>
      <c r="B72" s="226" t="s">
        <v>3222</v>
      </c>
    </row>
    <row r="73" spans="1:2" ht="66.75" customHeight="1">
      <c r="A73" s="288" t="s">
        <v>1444</v>
      </c>
      <c r="B73" s="226" t="s">
        <v>3417</v>
      </c>
    </row>
    <row r="74" spans="1:2" ht="44.25" customHeight="1">
      <c r="A74" s="289" t="s">
        <v>1489</v>
      </c>
      <c r="B74" s="226" t="s">
        <v>3330</v>
      </c>
    </row>
    <row r="75" spans="1:2" ht="28.5">
      <c r="A75" s="289" t="s">
        <v>1490</v>
      </c>
      <c r="B75" s="226" t="s">
        <v>3395</v>
      </c>
    </row>
    <row r="76" spans="1:2" ht="56.25" customHeight="1">
      <c r="A76" s="289" t="s">
        <v>1491</v>
      </c>
      <c r="B76" s="226" t="s">
        <v>3333</v>
      </c>
    </row>
    <row r="77" spans="1:2" ht="58.5" customHeight="1">
      <c r="A77" s="300" t="s">
        <v>1445</v>
      </c>
      <c r="B77" s="301" t="s">
        <v>3423</v>
      </c>
    </row>
    <row r="78" spans="1:2" ht="111.75" customHeight="1">
      <c r="A78" s="289" t="s">
        <v>1492</v>
      </c>
      <c r="B78" s="226" t="s">
        <v>3396</v>
      </c>
    </row>
    <row r="79" spans="1:2" ht="115.5" customHeight="1">
      <c r="A79" s="289" t="s">
        <v>1493</v>
      </c>
      <c r="B79" s="226" t="s">
        <v>3397</v>
      </c>
    </row>
    <row r="80" spans="1:2" ht="63" customHeight="1">
      <c r="A80" s="300" t="s">
        <v>1446</v>
      </c>
      <c r="B80" s="301" t="s">
        <v>3422</v>
      </c>
    </row>
    <row r="81" spans="1:2" ht="63.75" customHeight="1">
      <c r="A81" s="289" t="s">
        <v>1494</v>
      </c>
      <c r="B81" s="226" t="s">
        <v>3373</v>
      </c>
    </row>
    <row r="82" spans="1:2" ht="27.75" customHeight="1">
      <c r="A82" s="289" t="s">
        <v>1495</v>
      </c>
      <c r="B82" s="226" t="s">
        <v>3377</v>
      </c>
    </row>
    <row r="83" spans="1:2" ht="39.75" customHeight="1">
      <c r="A83" s="289" t="s">
        <v>1496</v>
      </c>
      <c r="B83" s="226" t="s">
        <v>3372</v>
      </c>
    </row>
    <row r="84" spans="1:2" ht="74.25" customHeight="1">
      <c r="A84" s="300" t="s">
        <v>1447</v>
      </c>
      <c r="B84" s="301" t="s">
        <v>3425</v>
      </c>
    </row>
    <row r="85" spans="1:2" ht="34.5" customHeight="1">
      <c r="A85" s="289" t="s">
        <v>1498</v>
      </c>
      <c r="B85" s="226" t="s">
        <v>3251</v>
      </c>
    </row>
    <row r="86" spans="1:2" ht="36" customHeight="1">
      <c r="A86" s="289" t="s">
        <v>1499</v>
      </c>
      <c r="B86" s="226" t="s">
        <v>3255</v>
      </c>
    </row>
    <row r="87" spans="1:2" ht="38.25" customHeight="1">
      <c r="A87" s="289" t="s">
        <v>1497</v>
      </c>
      <c r="B87" s="226" t="s">
        <v>3256</v>
      </c>
    </row>
    <row r="88" spans="1:2" ht="79.5" customHeight="1">
      <c r="A88" s="300" t="s">
        <v>1448</v>
      </c>
      <c r="B88" s="301" t="s">
        <v>3424</v>
      </c>
    </row>
    <row r="89" spans="1:2" ht="51" customHeight="1">
      <c r="A89" s="289" t="s">
        <v>1500</v>
      </c>
      <c r="B89" s="226" t="s">
        <v>3302</v>
      </c>
    </row>
    <row r="90" spans="1:2" ht="96.75" customHeight="1">
      <c r="A90" s="300" t="s">
        <v>1449</v>
      </c>
      <c r="B90" s="301" t="s">
        <v>3426</v>
      </c>
    </row>
    <row r="91" spans="1:2" ht="35.25" customHeight="1">
      <c r="A91" s="289" t="s">
        <v>1501</v>
      </c>
      <c r="B91" s="226" t="s">
        <v>3246</v>
      </c>
    </row>
    <row r="92" spans="1:2" ht="38.25" customHeight="1">
      <c r="A92" s="289" t="s">
        <v>1502</v>
      </c>
      <c r="B92" s="226" t="s">
        <v>3247</v>
      </c>
    </row>
    <row r="93" spans="1:2" ht="24" customHeight="1">
      <c r="A93" s="289" t="s">
        <v>1503</v>
      </c>
      <c r="B93" s="226" t="s">
        <v>3244</v>
      </c>
    </row>
    <row r="94" spans="1:2" ht="38.25" customHeight="1">
      <c r="A94" s="289" t="s">
        <v>1504</v>
      </c>
      <c r="B94" s="226" t="s">
        <v>3248</v>
      </c>
    </row>
    <row r="95" spans="1:2" ht="81.75" customHeight="1">
      <c r="A95" s="289" t="s">
        <v>132</v>
      </c>
      <c r="B95" s="226" t="s">
        <v>3383</v>
      </c>
    </row>
    <row r="96" spans="1:2">
      <c r="A96"/>
      <c r="B96"/>
    </row>
  </sheetData>
  <sheetProtection algorithmName="SHA-512" hashValue="uO2V8BRfARmuWsRAGtwFpHpD9sPTQgufmaZ8Oq8ZJM1dtsa19yBa2qELrGGcRfXz6tF2vxP1h4u4v82lnZpRtQ==" saltValue="CpI9xp3gPsnBidXClk0DE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theme="3" tint="0.59999389629810485"/>
  </sheetPr>
  <dimension ref="A1:AD87"/>
  <sheetViews>
    <sheetView showGridLines="0" topLeftCell="A79" zoomScaleNormal="100" workbookViewId="0">
      <selection activeCell="C68" sqref="C68"/>
    </sheetView>
  </sheetViews>
  <sheetFormatPr defaultColWidth="8.875" defaultRowHeight="14.25"/>
  <cols>
    <col min="2" max="2" width="31.625" customWidth="1"/>
    <col min="3" max="3" width="19" customWidth="1"/>
    <col min="4" max="4" width="20" customWidth="1"/>
    <col min="5" max="5" width="20.5" customWidth="1"/>
    <col min="6" max="6" width="25.875" customWidth="1"/>
    <col min="7" max="7" width="19.625" customWidth="1"/>
    <col min="8" max="8" width="24.625" customWidth="1"/>
    <col min="9" max="9" width="22.625" customWidth="1"/>
    <col min="10" max="10" width="19.625" customWidth="1"/>
    <col min="11" max="11" width="19.5" customWidth="1"/>
  </cols>
  <sheetData>
    <row r="1" spans="1:30" ht="26.25" customHeight="1">
      <c r="A1" s="198" t="s">
        <v>302</v>
      </c>
      <c r="B1" s="199"/>
      <c r="C1" s="199"/>
      <c r="D1" s="199"/>
      <c r="E1" s="199"/>
      <c r="F1" s="199"/>
      <c r="G1" s="199"/>
      <c r="H1" s="199"/>
      <c r="I1" s="199"/>
    </row>
    <row r="2" spans="1:30" ht="18.75" customHeight="1">
      <c r="A2" s="208" t="s">
        <v>1263</v>
      </c>
      <c r="B2" s="201"/>
      <c r="C2" s="201"/>
      <c r="D2" s="201"/>
      <c r="E2" s="201"/>
      <c r="F2" s="201"/>
      <c r="G2" s="201"/>
      <c r="H2" s="201"/>
      <c r="I2" s="201"/>
    </row>
    <row r="3" spans="1:30" ht="18.75" customHeight="1">
      <c r="A3" s="202" t="s">
        <v>1387</v>
      </c>
      <c r="B3" s="201"/>
      <c r="C3" s="201"/>
      <c r="D3" s="201"/>
      <c r="E3" s="201"/>
      <c r="F3" s="201"/>
      <c r="G3" s="201"/>
      <c r="H3" s="201"/>
      <c r="I3" s="201"/>
    </row>
    <row r="4" spans="1:30" ht="18.75" customHeight="1">
      <c r="A4" s="202" t="s">
        <v>1264</v>
      </c>
      <c r="B4" s="201"/>
      <c r="C4" s="201"/>
      <c r="D4" s="201"/>
      <c r="E4" s="201"/>
      <c r="F4" s="201"/>
      <c r="G4" s="201"/>
      <c r="H4" s="201"/>
      <c r="I4" s="201"/>
    </row>
    <row r="5" spans="1:30" ht="18.75" customHeight="1">
      <c r="A5" s="202" t="s">
        <v>1369</v>
      </c>
      <c r="B5" s="201"/>
      <c r="C5" s="201"/>
      <c r="D5" s="201"/>
      <c r="E5" s="201"/>
      <c r="F5" s="201"/>
      <c r="G5" s="201"/>
      <c r="H5" s="201"/>
      <c r="I5" s="201"/>
    </row>
    <row r="6" spans="1:30" ht="18.75" customHeight="1">
      <c r="A6" s="202" t="s">
        <v>1265</v>
      </c>
      <c r="B6" s="201"/>
      <c r="C6" s="201"/>
      <c r="D6" s="201"/>
      <c r="E6" s="201"/>
      <c r="F6" s="201"/>
      <c r="G6" s="201"/>
      <c r="H6" s="201"/>
      <c r="I6" s="201"/>
    </row>
    <row r="7" spans="1:30" ht="18.75" customHeight="1"/>
    <row r="8" spans="1:30">
      <c r="A8" s="86"/>
      <c r="B8" s="22"/>
      <c r="C8" s="22"/>
      <c r="D8" s="22"/>
      <c r="E8" s="22"/>
      <c r="F8" s="22"/>
      <c r="G8" s="22"/>
      <c r="H8" s="22"/>
      <c r="I8" s="22"/>
      <c r="J8" s="22"/>
      <c r="K8" s="22"/>
      <c r="L8" s="22"/>
      <c r="M8" s="87"/>
      <c r="N8" s="87"/>
      <c r="O8" s="22"/>
      <c r="P8" s="22"/>
      <c r="Q8" s="22"/>
      <c r="R8" s="22"/>
      <c r="S8" s="22"/>
      <c r="T8" s="22"/>
      <c r="U8" s="22"/>
      <c r="V8" s="22"/>
      <c r="W8" s="22"/>
      <c r="X8" s="22"/>
      <c r="Y8" s="22"/>
      <c r="Z8" s="22"/>
      <c r="AA8" s="22"/>
      <c r="AB8" s="22"/>
      <c r="AC8" s="22"/>
      <c r="AD8" s="22"/>
    </row>
    <row r="9" spans="1:30">
      <c r="A9" s="88"/>
      <c r="B9" s="22"/>
      <c r="C9" s="22"/>
      <c r="D9" s="22"/>
      <c r="E9" s="22"/>
      <c r="F9" s="22"/>
      <c r="G9" s="22"/>
      <c r="H9" s="22"/>
      <c r="I9" s="22"/>
      <c r="J9" s="22"/>
      <c r="K9" s="22"/>
      <c r="L9" s="22"/>
      <c r="M9" s="87"/>
      <c r="N9" s="87"/>
      <c r="O9" s="22"/>
      <c r="P9" s="22"/>
      <c r="Q9" s="22"/>
      <c r="R9" s="22"/>
      <c r="S9" s="22"/>
      <c r="T9" s="22"/>
      <c r="U9" s="22"/>
      <c r="V9" s="22"/>
      <c r="W9" s="22"/>
      <c r="X9" s="22"/>
      <c r="Y9" s="22"/>
      <c r="Z9" s="22"/>
      <c r="AA9" s="22"/>
      <c r="AB9" s="22"/>
      <c r="AC9" s="22"/>
      <c r="AD9" s="22"/>
    </row>
    <row r="10" spans="1:30">
      <c r="A10" s="88"/>
      <c r="B10" s="22"/>
      <c r="C10" s="22"/>
      <c r="D10" s="22"/>
      <c r="E10" s="22"/>
      <c r="F10" s="22"/>
      <c r="G10" s="22"/>
      <c r="H10" s="22"/>
      <c r="I10" s="22"/>
      <c r="J10" s="22"/>
      <c r="K10" s="22"/>
      <c r="L10" s="22"/>
      <c r="M10" s="87"/>
      <c r="N10" s="87"/>
      <c r="O10" s="22"/>
      <c r="P10" s="22"/>
      <c r="Q10" s="22"/>
      <c r="R10" s="22"/>
      <c r="S10" s="22"/>
      <c r="T10" s="22"/>
      <c r="U10" s="22"/>
      <c r="V10" s="22"/>
      <c r="W10" s="22"/>
      <c r="X10" s="22"/>
      <c r="Y10" s="22"/>
      <c r="Z10" s="22"/>
      <c r="AA10" s="22"/>
      <c r="AB10" s="22"/>
      <c r="AC10" s="22"/>
      <c r="AD10" s="22"/>
    </row>
    <row r="11" spans="1:30">
      <c r="A11" s="89"/>
      <c r="B11" s="22"/>
      <c r="C11" s="22"/>
      <c r="D11" s="22"/>
      <c r="E11" s="22"/>
      <c r="F11" s="22"/>
      <c r="G11" s="22"/>
      <c r="H11" s="22"/>
      <c r="I11" s="22"/>
      <c r="J11" s="22"/>
      <c r="K11" s="22"/>
      <c r="L11" s="22"/>
      <c r="M11" s="87"/>
      <c r="N11" s="87"/>
      <c r="O11" s="22"/>
      <c r="P11" s="22"/>
      <c r="Q11" s="22"/>
      <c r="R11" s="22"/>
      <c r="S11" s="22"/>
      <c r="T11" s="22"/>
      <c r="U11" s="22"/>
      <c r="V11" s="22"/>
      <c r="W11" s="22"/>
      <c r="X11" s="22"/>
      <c r="Y11" s="22"/>
      <c r="Z11" s="22"/>
      <c r="AA11" s="22"/>
      <c r="AB11" s="22"/>
      <c r="AC11" s="22"/>
      <c r="AD11" s="22"/>
    </row>
    <row r="13" spans="1:30" ht="18.75" customHeight="1">
      <c r="A13" s="16" t="s">
        <v>3603</v>
      </c>
    </row>
    <row r="14" spans="1:30">
      <c r="A14" s="267" t="s">
        <v>1371</v>
      </c>
    </row>
    <row r="15" spans="1:30" ht="18.75">
      <c r="A15" s="16"/>
      <c r="B15" s="9" t="s">
        <v>188</v>
      </c>
      <c r="C15" s="9" t="s">
        <v>188</v>
      </c>
      <c r="D15" s="9" t="s">
        <v>188</v>
      </c>
      <c r="E15" s="9"/>
    </row>
    <row r="16" spans="1:30" ht="21.75" customHeight="1">
      <c r="A16" s="203" t="s">
        <v>155</v>
      </c>
      <c r="B16" s="204" t="s">
        <v>1134</v>
      </c>
      <c r="C16" s="204" t="s">
        <v>239</v>
      </c>
      <c r="D16" s="204" t="s">
        <v>229</v>
      </c>
      <c r="E16" s="204" t="s">
        <v>1370</v>
      </c>
      <c r="F16" s="203" t="s">
        <v>158</v>
      </c>
      <c r="G16" s="204" t="s">
        <v>159</v>
      </c>
      <c r="H16" s="204" t="s">
        <v>160</v>
      </c>
    </row>
    <row r="17" spans="1:8" ht="15">
      <c r="A17" s="186">
        <v>1</v>
      </c>
      <c r="B17" s="216" t="s">
        <v>1372</v>
      </c>
      <c r="C17" s="216" t="s">
        <v>249</v>
      </c>
      <c r="D17" s="217">
        <v>2500000</v>
      </c>
      <c r="E17" s="284" t="str">
        <f>IF(ISBLANK($C17),"",VLOOKUP($C17,EF!$Q$12:$T$20,2,FALSE))</f>
        <v>therms</v>
      </c>
      <c r="F17" s="285">
        <f>IF(ISBLANK($C17),"",VLOOKUP($C17,EF!$Q$12:$T$20,3,FALSE))</f>
        <v>0.91145106921466035</v>
      </c>
      <c r="G17" s="285" t="str">
        <f>IF(ISBLANK($C17),"",VLOOKUP($C17,EF!$Q$12:$T$20,4,FALSE))</f>
        <v>kg CO2e/therms</v>
      </c>
      <c r="H17" s="273">
        <f>IFERROR(D17*F17/1000,"")</f>
        <v>2278.6276730366508</v>
      </c>
    </row>
    <row r="18" spans="1:8" ht="15">
      <c r="A18" s="186">
        <v>2</v>
      </c>
      <c r="B18" s="250"/>
      <c r="C18" s="250"/>
      <c r="D18" s="383"/>
      <c r="E18" s="384" t="str">
        <f>IF(ISBLANK($C18),"",VLOOKUP($C18,EF!$Q$12:$T$20,2,FALSE))</f>
        <v/>
      </c>
      <c r="F18" s="286" t="str">
        <f>IF(ISBLANK($C18),"",VLOOKUP($C18,EF!$Q$12:$T$20,3,FALSE))</f>
        <v/>
      </c>
      <c r="G18" s="286" t="str">
        <f>IF(ISBLANK($C18),"",VLOOKUP($C18,EF!$Q$12:$T$20,4,FALSE))</f>
        <v/>
      </c>
      <c r="H18" s="274" t="str">
        <f t="shared" ref="H18:H31" si="0">IFERROR(D18*F18/1000,"")</f>
        <v/>
      </c>
    </row>
    <row r="19" spans="1:8" ht="15">
      <c r="A19" s="186">
        <v>3</v>
      </c>
      <c r="B19" s="250"/>
      <c r="C19" s="250"/>
      <c r="D19" s="383"/>
      <c r="E19" s="384" t="str">
        <f>IF(ISBLANK($C19),"",VLOOKUP($C19,EF!$Q$12:$T$20,2,FALSE))</f>
        <v/>
      </c>
      <c r="F19" s="286" t="str">
        <f>IF(ISBLANK($C19),"",VLOOKUP($C19,EF!$Q$12:$T$20,3,FALSE))</f>
        <v/>
      </c>
      <c r="G19" s="286" t="str">
        <f>IF(ISBLANK($C19),"",VLOOKUP($C19,EF!$Q$12:$T$20,4,FALSE))</f>
        <v/>
      </c>
      <c r="H19" s="274" t="str">
        <f t="shared" si="0"/>
        <v/>
      </c>
    </row>
    <row r="20" spans="1:8" ht="15">
      <c r="A20" s="186">
        <v>4</v>
      </c>
      <c r="B20" s="250"/>
      <c r="C20" s="250"/>
      <c r="D20" s="383"/>
      <c r="E20" s="384" t="str">
        <f>IF(ISBLANK($C20),"",VLOOKUP($C20,EF!$Q$12:$T$20,2,FALSE))</f>
        <v/>
      </c>
      <c r="F20" s="286" t="str">
        <f>IF(ISBLANK($C20),"",VLOOKUP($C20,EF!$Q$12:$T$20,3,FALSE))</f>
        <v/>
      </c>
      <c r="G20" s="286" t="str">
        <f>IF(ISBLANK($C20),"",VLOOKUP($C20,EF!$Q$12:$T$20,4,FALSE))</f>
        <v/>
      </c>
      <c r="H20" s="274" t="str">
        <f t="shared" si="0"/>
        <v/>
      </c>
    </row>
    <row r="21" spans="1:8" ht="15">
      <c r="A21" s="186">
        <v>5</v>
      </c>
      <c r="B21" s="250"/>
      <c r="C21" s="250"/>
      <c r="D21" s="383"/>
      <c r="E21" s="384" t="str">
        <f>IF(ISBLANK($C21),"",VLOOKUP($C21,EF!$Q$12:$T$20,2,FALSE))</f>
        <v/>
      </c>
      <c r="F21" s="286" t="str">
        <f>IF(ISBLANK($C21),"",VLOOKUP($C21,EF!$Q$12:$T$20,3,FALSE))</f>
        <v/>
      </c>
      <c r="G21" s="286" t="str">
        <f>IF(ISBLANK($C21),"",VLOOKUP($C21,EF!$Q$12:$T$20,4,FALSE))</f>
        <v/>
      </c>
      <c r="H21" s="274" t="str">
        <f t="shared" si="0"/>
        <v/>
      </c>
    </row>
    <row r="22" spans="1:8" ht="15">
      <c r="A22" s="186">
        <v>6</v>
      </c>
      <c r="B22" s="250"/>
      <c r="C22" s="250"/>
      <c r="D22" s="383"/>
      <c r="E22" s="384" t="str">
        <f>IF(ISBLANK($C22),"",VLOOKUP($C22,EF!$Q$12:$T$20,2,FALSE))</f>
        <v/>
      </c>
      <c r="F22" s="286" t="str">
        <f>IF(ISBLANK($C22),"",VLOOKUP($C22,EF!$Q$12:$T$20,3,FALSE))</f>
        <v/>
      </c>
      <c r="G22" s="286" t="str">
        <f>IF(ISBLANK($C22),"",VLOOKUP($C22,EF!$Q$12:$T$20,4,FALSE))</f>
        <v/>
      </c>
      <c r="H22" s="274" t="str">
        <f t="shared" si="0"/>
        <v/>
      </c>
    </row>
    <row r="23" spans="1:8" ht="15">
      <c r="A23" s="186">
        <v>7</v>
      </c>
      <c r="B23" s="250"/>
      <c r="C23" s="250"/>
      <c r="D23" s="383"/>
      <c r="E23" s="384" t="str">
        <f>IF(ISBLANK($C23),"",VLOOKUP($C23,EF!$Q$12:$T$20,2,FALSE))</f>
        <v/>
      </c>
      <c r="F23" s="286" t="str">
        <f>IF(ISBLANK($C23),"",VLOOKUP($C23,EF!$Q$12:$T$20,3,FALSE))</f>
        <v/>
      </c>
      <c r="G23" s="286" t="str">
        <f>IF(ISBLANK($C23),"",VLOOKUP($C23,EF!$Q$12:$T$20,4,FALSE))</f>
        <v/>
      </c>
      <c r="H23" s="274" t="str">
        <f t="shared" si="0"/>
        <v/>
      </c>
    </row>
    <row r="24" spans="1:8" ht="15">
      <c r="A24" s="186">
        <v>8</v>
      </c>
      <c r="B24" s="250"/>
      <c r="C24" s="250"/>
      <c r="D24" s="383"/>
      <c r="E24" s="384" t="str">
        <f>IF(ISBLANK($C24),"",VLOOKUP($C24,EF!$Q$12:$T$20,2,FALSE))</f>
        <v/>
      </c>
      <c r="F24" s="286" t="str">
        <f>IF(ISBLANK($C24),"",VLOOKUP($C24,EF!$Q$12:$T$20,3,FALSE))</f>
        <v/>
      </c>
      <c r="G24" s="286" t="str">
        <f>IF(ISBLANK($C24),"",VLOOKUP($C24,EF!$Q$12:$T$20,4,FALSE))</f>
        <v/>
      </c>
      <c r="H24" s="274" t="str">
        <f t="shared" si="0"/>
        <v/>
      </c>
    </row>
    <row r="25" spans="1:8" ht="15">
      <c r="A25" s="186">
        <v>9</v>
      </c>
      <c r="B25" s="250"/>
      <c r="C25" s="250"/>
      <c r="D25" s="383"/>
      <c r="E25" s="384" t="str">
        <f>IF(ISBLANK($C25),"",VLOOKUP($C25,EF!$Q$12:$T$20,2,FALSE))</f>
        <v/>
      </c>
      <c r="F25" s="286" t="str">
        <f>IF(ISBLANK($C25),"",VLOOKUP($C25,EF!$Q$12:$T$20,3,FALSE))</f>
        <v/>
      </c>
      <c r="G25" s="286" t="str">
        <f>IF(ISBLANK($C25),"",VLOOKUP($C25,EF!$Q$12:$T$20,4,FALSE))</f>
        <v/>
      </c>
      <c r="H25" s="274" t="str">
        <f t="shared" si="0"/>
        <v/>
      </c>
    </row>
    <row r="26" spans="1:8" ht="15">
      <c r="A26" s="186">
        <v>10</v>
      </c>
      <c r="B26" s="250"/>
      <c r="C26" s="250"/>
      <c r="D26" s="383"/>
      <c r="E26" s="384" t="str">
        <f>IF(ISBLANK($C26),"",VLOOKUP($C26,EF!$Q$12:$T$20,2,FALSE))</f>
        <v/>
      </c>
      <c r="F26" s="286" t="str">
        <f>IF(ISBLANK($C26),"",VLOOKUP($C26,EF!$Q$12:$T$20,3,FALSE))</f>
        <v/>
      </c>
      <c r="G26" s="286" t="str">
        <f>IF(ISBLANK($C26),"",VLOOKUP($C26,EF!$Q$12:$T$20,4,FALSE))</f>
        <v/>
      </c>
      <c r="H26" s="274" t="str">
        <f t="shared" si="0"/>
        <v/>
      </c>
    </row>
    <row r="27" spans="1:8" ht="15">
      <c r="A27" s="186">
        <v>11</v>
      </c>
      <c r="B27" s="250"/>
      <c r="C27" s="250"/>
      <c r="D27" s="383"/>
      <c r="E27" s="384" t="str">
        <f>IF(ISBLANK($C27),"",VLOOKUP($C27,EF!$Q$12:$T$20,2,FALSE))</f>
        <v/>
      </c>
      <c r="F27" s="286" t="str">
        <f>IF(ISBLANK($C27),"",VLOOKUP($C27,EF!$Q$12:$T$20,3,FALSE))</f>
        <v/>
      </c>
      <c r="G27" s="286" t="str">
        <f>IF(ISBLANK($C27),"",VLOOKUP($C27,EF!$Q$12:$T$20,4,FALSE))</f>
        <v/>
      </c>
      <c r="H27" s="274" t="str">
        <f t="shared" si="0"/>
        <v/>
      </c>
    </row>
    <row r="28" spans="1:8" ht="15">
      <c r="A28" s="186">
        <v>12</v>
      </c>
      <c r="B28" s="250"/>
      <c r="C28" s="250"/>
      <c r="D28" s="383"/>
      <c r="E28" s="384" t="str">
        <f>IF(ISBLANK($C28),"",VLOOKUP($C28,EF!$Q$12:$T$20,2,FALSE))</f>
        <v/>
      </c>
      <c r="F28" s="286" t="str">
        <f>IF(ISBLANK($C28),"",VLOOKUP($C28,EF!$Q$12:$T$20,3,FALSE))</f>
        <v/>
      </c>
      <c r="G28" s="286" t="str">
        <f>IF(ISBLANK($C28),"",VLOOKUP($C28,EF!$Q$12:$T$20,4,FALSE))</f>
        <v/>
      </c>
      <c r="H28" s="274" t="str">
        <f t="shared" si="0"/>
        <v/>
      </c>
    </row>
    <row r="29" spans="1:8" ht="15">
      <c r="A29" s="186">
        <v>13</v>
      </c>
      <c r="B29" s="250"/>
      <c r="C29" s="250"/>
      <c r="D29" s="383"/>
      <c r="E29" s="384" t="str">
        <f>IF(ISBLANK($C29),"",VLOOKUP($C29,EF!$Q$12:$T$20,2,FALSE))</f>
        <v/>
      </c>
      <c r="F29" s="286" t="str">
        <f>IF(ISBLANK($C29),"",VLOOKUP($C29,EF!$Q$12:$T$20,3,FALSE))</f>
        <v/>
      </c>
      <c r="G29" s="286" t="str">
        <f>IF(ISBLANK($C29),"",VLOOKUP($C29,EF!$Q$12:$T$20,4,FALSE))</f>
        <v/>
      </c>
      <c r="H29" s="274" t="str">
        <f t="shared" si="0"/>
        <v/>
      </c>
    </row>
    <row r="30" spans="1:8" ht="15">
      <c r="A30" s="186">
        <v>14</v>
      </c>
      <c r="B30" s="250"/>
      <c r="C30" s="250"/>
      <c r="D30" s="383"/>
      <c r="E30" s="384" t="str">
        <f>IF(ISBLANK($C30),"",VLOOKUP($C30,EF!$Q$12:$T$20,2,FALSE))</f>
        <v/>
      </c>
      <c r="F30" s="286" t="str">
        <f>IF(ISBLANK($C30),"",VLOOKUP($C30,EF!$Q$12:$T$20,3,FALSE))</f>
        <v/>
      </c>
      <c r="G30" s="286" t="str">
        <f>IF(ISBLANK($C30),"",VLOOKUP($C30,EF!$Q$12:$T$20,4,FALSE))</f>
        <v/>
      </c>
      <c r="H30" s="274" t="str">
        <f t="shared" si="0"/>
        <v/>
      </c>
    </row>
    <row r="31" spans="1:8" ht="15">
      <c r="A31" s="186">
        <v>15</v>
      </c>
      <c r="B31" s="250"/>
      <c r="C31" s="250"/>
      <c r="D31" s="383"/>
      <c r="E31" s="384" t="str">
        <f>IF(ISBLANK($C31),"",VLOOKUP($C31,EF!$Q$12:$T$20,2,FALSE))</f>
        <v/>
      </c>
      <c r="F31" s="286" t="str">
        <f>IF(ISBLANK($C31),"",VLOOKUP($C31,EF!$Q$12:$T$20,3,FALSE))</f>
        <v/>
      </c>
      <c r="G31" s="286" t="str">
        <f>IF(ISBLANK($C31),"",VLOOKUP($C31,EF!$Q$12:$T$20,4,FALSE))</f>
        <v/>
      </c>
      <c r="H31" s="274" t="str">
        <f t="shared" si="0"/>
        <v/>
      </c>
    </row>
    <row r="32" spans="1:8" ht="15">
      <c r="A32" s="186">
        <v>16</v>
      </c>
      <c r="B32" s="250"/>
      <c r="C32" s="250"/>
      <c r="D32" s="383"/>
      <c r="E32" s="384" t="str">
        <f>IF(ISBLANK($C32),"",VLOOKUP($C32,EF!$Q$12:$T$20,2,FALSE))</f>
        <v/>
      </c>
      <c r="F32" s="286" t="str">
        <f>IF(ISBLANK($C32),"",VLOOKUP($C32,EF!$Q$12:$T$20,3,FALSE))</f>
        <v/>
      </c>
      <c r="G32" s="286" t="str">
        <f>IF(ISBLANK($C32),"",VLOOKUP($C32,EF!$Q$12:$T$20,4,FALSE))</f>
        <v/>
      </c>
      <c r="H32" s="274" t="str">
        <f>IFERROR(D32*F32/1000,"")</f>
        <v/>
      </c>
    </row>
    <row r="33" spans="1:8" ht="15">
      <c r="A33" s="186">
        <v>17</v>
      </c>
      <c r="B33" s="250"/>
      <c r="C33" s="250"/>
      <c r="D33" s="383"/>
      <c r="E33" s="384" t="str">
        <f>IF(ISBLANK($C33),"",VLOOKUP($C33,EF!$Q$12:$T$20,2,FALSE))</f>
        <v/>
      </c>
      <c r="F33" s="286" t="str">
        <f>IF(ISBLANK($C33),"",VLOOKUP($C33,EF!$Q$12:$T$20,3,FALSE))</f>
        <v/>
      </c>
      <c r="G33" s="286" t="str">
        <f>IF(ISBLANK($C33),"",VLOOKUP($C33,EF!$Q$12:$T$20,4,FALSE))</f>
        <v/>
      </c>
      <c r="H33" s="274" t="str">
        <f>IFERROR(D33*F33/1000,"")</f>
        <v/>
      </c>
    </row>
    <row r="34" spans="1:8" ht="15">
      <c r="A34" s="186">
        <v>18</v>
      </c>
      <c r="B34" s="250"/>
      <c r="C34" s="250"/>
      <c r="D34" s="383"/>
      <c r="E34" s="384" t="str">
        <f>IF(ISBLANK($C34),"",VLOOKUP($C34,EF!$Q$12:$T$20,2,FALSE))</f>
        <v/>
      </c>
      <c r="F34" s="286" t="str">
        <f>IF(ISBLANK($C34),"",VLOOKUP($C34,EF!$Q$12:$T$20,3,FALSE))</f>
        <v/>
      </c>
      <c r="G34" s="286" t="str">
        <f>IF(ISBLANK($C34),"",VLOOKUP($C34,EF!$Q$12:$T$20,4,FALSE))</f>
        <v/>
      </c>
      <c r="H34" s="274" t="str">
        <f>IFERROR(D34*F34/1000,"")</f>
        <v/>
      </c>
    </row>
    <row r="35" spans="1:8" ht="15">
      <c r="A35" s="186">
        <v>19</v>
      </c>
      <c r="B35" s="250"/>
      <c r="C35" s="250"/>
      <c r="D35" s="383"/>
      <c r="E35" s="384" t="str">
        <f>IF(ISBLANK($C35),"",VLOOKUP($C35,EF!$Q$12:$T$20,2,FALSE))</f>
        <v/>
      </c>
      <c r="F35" s="286" t="str">
        <f>IF(ISBLANK($C35),"",VLOOKUP($C35,EF!$Q$12:$T$20,3,FALSE))</f>
        <v/>
      </c>
      <c r="G35" s="286" t="str">
        <f>IF(ISBLANK($C35),"",VLOOKUP($C35,EF!$Q$12:$T$20,4,FALSE))</f>
        <v/>
      </c>
      <c r="H35" s="274" t="str">
        <f>IFERROR(D35*F35/1000,"")</f>
        <v/>
      </c>
    </row>
    <row r="36" spans="1:8" ht="15.75" thickBot="1">
      <c r="A36" s="186">
        <v>20</v>
      </c>
      <c r="B36" s="250"/>
      <c r="C36" s="250"/>
      <c r="D36" s="383"/>
      <c r="E36" s="384" t="str">
        <f>IF(ISBLANK($C36),"",VLOOKUP($C36,EF!$Q$12:$T$20,2,FALSE))</f>
        <v/>
      </c>
      <c r="F36" s="286" t="str">
        <f>IF(ISBLANK($C36),"",VLOOKUP($C36,EF!$Q$12:$T$20,3,FALSE))</f>
        <v/>
      </c>
      <c r="G36" s="286" t="str">
        <f>IF(ISBLANK($C36),"",VLOOKUP($C36,EF!$Q$12:$T$20,4,FALSE))</f>
        <v/>
      </c>
      <c r="H36" s="274" t="str">
        <f>IFERROR(D36*F36/1000,"")</f>
        <v/>
      </c>
    </row>
    <row r="37" spans="1:8" ht="15.75" thickBot="1">
      <c r="G37" s="394" t="s">
        <v>1129</v>
      </c>
      <c r="H37" s="122">
        <f>SUM(H18:H36)</f>
        <v>0</v>
      </c>
    </row>
    <row r="38" spans="1:8" ht="18.75">
      <c r="A38" s="16" t="s">
        <v>3604</v>
      </c>
    </row>
    <row r="39" spans="1:8">
      <c r="A39" s="267" t="s">
        <v>1371</v>
      </c>
    </row>
    <row r="40" spans="1:8" ht="18.75">
      <c r="A40" s="16"/>
      <c r="B40" t="s">
        <v>188</v>
      </c>
      <c r="C40" t="s">
        <v>188</v>
      </c>
    </row>
    <row r="41" spans="1:8" ht="45">
      <c r="A41" s="203" t="s">
        <v>155</v>
      </c>
      <c r="B41" s="204" t="s">
        <v>1134</v>
      </c>
      <c r="C41" s="204" t="s">
        <v>207</v>
      </c>
      <c r="D41" s="209" t="s">
        <v>1261</v>
      </c>
      <c r="E41" s="203" t="s">
        <v>160</v>
      </c>
    </row>
    <row r="42" spans="1:8" ht="15">
      <c r="A42" s="186">
        <v>1</v>
      </c>
      <c r="B42" s="216" t="s">
        <v>1372</v>
      </c>
      <c r="C42" s="217">
        <v>500000000</v>
      </c>
      <c r="D42" s="285">
        <f>IF(ISBLANK(C42),"",EF!$O$24)</f>
        <v>0.10657110155510501</v>
      </c>
      <c r="E42" s="276">
        <f>IFERROR(C42*D42/1000,"")</f>
        <v>53285.550777552504</v>
      </c>
    </row>
    <row r="43" spans="1:8" ht="15">
      <c r="A43" s="186">
        <v>2</v>
      </c>
      <c r="B43" s="250"/>
      <c r="C43" s="383"/>
      <c r="D43" s="286" t="str">
        <f>IF(ISBLANK(C43),"",EF!$O$24)</f>
        <v/>
      </c>
      <c r="E43" s="277" t="str">
        <f>IFERROR(C43*D43/1000,"")</f>
        <v/>
      </c>
    </row>
    <row r="44" spans="1:8" ht="15">
      <c r="A44" s="186">
        <v>3</v>
      </c>
      <c r="B44" s="250"/>
      <c r="C44" s="383"/>
      <c r="D44" s="286" t="str">
        <f>IF(ISBLANK(C44),"",EF!$O$24)</f>
        <v/>
      </c>
      <c r="E44" s="277" t="str">
        <f>IFERROR(C44*D44/1000,"")</f>
        <v/>
      </c>
    </row>
    <row r="45" spans="1:8" ht="15">
      <c r="A45" s="186">
        <v>4</v>
      </c>
      <c r="B45" s="250"/>
      <c r="C45" s="383"/>
      <c r="D45" s="286" t="str">
        <f>IF(ISBLANK(C45),"",EF!$O$24)</f>
        <v/>
      </c>
      <c r="E45" s="277" t="str">
        <f>IFERROR(C45*D45/1000,"")</f>
        <v/>
      </c>
    </row>
    <row r="46" spans="1:8" ht="15">
      <c r="A46" s="186">
        <v>5</v>
      </c>
      <c r="B46" s="250"/>
      <c r="C46" s="383"/>
      <c r="D46" s="286" t="str">
        <f>IF(ISBLANK(C46),"",EF!$O$24)</f>
        <v/>
      </c>
      <c r="E46" s="277" t="str">
        <f>IFERROR(C46*D46/1000,"")</f>
        <v/>
      </c>
    </row>
    <row r="47" spans="1:8" ht="15">
      <c r="A47" s="186">
        <v>6</v>
      </c>
      <c r="B47" s="250"/>
      <c r="C47" s="250"/>
      <c r="D47" s="286" t="str">
        <f>IF(ISBLANK(C47),"",EF!$O$24)</f>
        <v/>
      </c>
      <c r="E47" s="277" t="str">
        <f t="shared" ref="E47:E61" si="1">IFERROR(C47*D47/1000,"")</f>
        <v/>
      </c>
    </row>
    <row r="48" spans="1:8" ht="15">
      <c r="A48" s="186">
        <v>7</v>
      </c>
      <c r="B48" s="250"/>
      <c r="C48" s="250"/>
      <c r="D48" s="286" t="str">
        <f>IF(ISBLANK(C48),"",EF!$O$24)</f>
        <v/>
      </c>
      <c r="E48" s="277" t="str">
        <f t="shared" si="1"/>
        <v/>
      </c>
    </row>
    <row r="49" spans="1:5" ht="15">
      <c r="A49" s="186">
        <v>8</v>
      </c>
      <c r="B49" s="250"/>
      <c r="C49" s="250"/>
      <c r="D49" s="286" t="str">
        <f>IF(ISBLANK(C49),"",EF!$O$24)</f>
        <v/>
      </c>
      <c r="E49" s="277" t="str">
        <f t="shared" si="1"/>
        <v/>
      </c>
    </row>
    <row r="50" spans="1:5" ht="15">
      <c r="A50" s="186">
        <v>9</v>
      </c>
      <c r="B50" s="250"/>
      <c r="C50" s="250"/>
      <c r="D50" s="286" t="str">
        <f>IF(ISBLANK(C50),"",EF!$O$24)</f>
        <v/>
      </c>
      <c r="E50" s="277" t="str">
        <f t="shared" si="1"/>
        <v/>
      </c>
    </row>
    <row r="51" spans="1:5" ht="15">
      <c r="A51" s="186">
        <v>10</v>
      </c>
      <c r="B51" s="250"/>
      <c r="C51" s="250"/>
      <c r="D51" s="286" t="str">
        <f>IF(ISBLANK(C51),"",EF!$O$24)</f>
        <v/>
      </c>
      <c r="E51" s="277" t="str">
        <f t="shared" si="1"/>
        <v/>
      </c>
    </row>
    <row r="52" spans="1:5" ht="15">
      <c r="A52" s="186">
        <v>11</v>
      </c>
      <c r="B52" s="250"/>
      <c r="C52" s="250"/>
      <c r="D52" s="286" t="str">
        <f>IF(ISBLANK(C52),"",EF!$O$24)</f>
        <v/>
      </c>
      <c r="E52" s="277" t="str">
        <f t="shared" si="1"/>
        <v/>
      </c>
    </row>
    <row r="53" spans="1:5" ht="15">
      <c r="A53" s="186">
        <v>12</v>
      </c>
      <c r="B53" s="250"/>
      <c r="C53" s="250"/>
      <c r="D53" s="286" t="str">
        <f>IF(ISBLANK(C53),"",EF!$O$24)</f>
        <v/>
      </c>
      <c r="E53" s="277" t="str">
        <f t="shared" si="1"/>
        <v/>
      </c>
    </row>
    <row r="54" spans="1:5" ht="15">
      <c r="A54" s="186">
        <v>13</v>
      </c>
      <c r="B54" s="250"/>
      <c r="C54" s="250"/>
      <c r="D54" s="286" t="str">
        <f>IF(ISBLANK(C54),"",EF!$O$24)</f>
        <v/>
      </c>
      <c r="E54" s="277" t="str">
        <f t="shared" si="1"/>
        <v/>
      </c>
    </row>
    <row r="55" spans="1:5" ht="15">
      <c r="A55" s="186">
        <v>14</v>
      </c>
      <c r="B55" s="250"/>
      <c r="C55" s="250"/>
      <c r="D55" s="286" t="str">
        <f>IF(ISBLANK(C55),"",EF!$O$24)</f>
        <v/>
      </c>
      <c r="E55" s="277" t="str">
        <f t="shared" si="1"/>
        <v/>
      </c>
    </row>
    <row r="56" spans="1:5" ht="15">
      <c r="A56" s="186">
        <v>15</v>
      </c>
      <c r="B56" s="250"/>
      <c r="C56" s="250"/>
      <c r="D56" s="286" t="str">
        <f>IF(ISBLANK(C56),"",EF!$O$24)</f>
        <v/>
      </c>
      <c r="E56" s="277" t="str">
        <f t="shared" si="1"/>
        <v/>
      </c>
    </row>
    <row r="57" spans="1:5" ht="15">
      <c r="A57" s="186">
        <v>16</v>
      </c>
      <c r="B57" s="250"/>
      <c r="C57" s="250"/>
      <c r="D57" s="286" t="str">
        <f>IF(ISBLANK(C57),"",EF!$O$24)</f>
        <v/>
      </c>
      <c r="E57" s="277" t="str">
        <f t="shared" si="1"/>
        <v/>
      </c>
    </row>
    <row r="58" spans="1:5" ht="15">
      <c r="A58" s="186">
        <v>17</v>
      </c>
      <c r="B58" s="250"/>
      <c r="C58" s="250"/>
      <c r="D58" s="286" t="str">
        <f>IF(ISBLANK(C58),"",EF!$O$24)</f>
        <v/>
      </c>
      <c r="E58" s="277" t="str">
        <f t="shared" si="1"/>
        <v/>
      </c>
    </row>
    <row r="59" spans="1:5" ht="15">
      <c r="A59" s="186">
        <v>18</v>
      </c>
      <c r="B59" s="250"/>
      <c r="C59" s="250"/>
      <c r="D59" s="286" t="str">
        <f>IF(ISBLANK(C59),"",EF!$O$24)</f>
        <v/>
      </c>
      <c r="E59" s="277" t="str">
        <f t="shared" si="1"/>
        <v/>
      </c>
    </row>
    <row r="60" spans="1:5" ht="15">
      <c r="A60" s="186">
        <v>19</v>
      </c>
      <c r="B60" s="250"/>
      <c r="C60" s="250"/>
      <c r="D60" s="286" t="str">
        <f>IF(ISBLANK(C60),"",EF!$O$24)</f>
        <v/>
      </c>
      <c r="E60" s="277" t="str">
        <f t="shared" si="1"/>
        <v/>
      </c>
    </row>
    <row r="61" spans="1:5" ht="15.75" thickBot="1">
      <c r="A61" s="186">
        <v>20</v>
      </c>
      <c r="B61" s="250"/>
      <c r="C61" s="250"/>
      <c r="D61" s="286" t="str">
        <f>IF(ISBLANK(C61),"",EF!$O$24)</f>
        <v/>
      </c>
      <c r="E61" s="277" t="str">
        <f t="shared" si="1"/>
        <v/>
      </c>
    </row>
    <row r="62" spans="1:5" ht="15.75" thickBot="1">
      <c r="D62" s="394" t="s">
        <v>1129</v>
      </c>
      <c r="E62" s="122">
        <f>SUM(E43:E61)</f>
        <v>0</v>
      </c>
    </row>
    <row r="63" spans="1:5" ht="18.75">
      <c r="A63" s="16" t="s">
        <v>1126</v>
      </c>
    </row>
    <row r="64" spans="1:5">
      <c r="A64" s="267" t="s">
        <v>1371</v>
      </c>
    </row>
    <row r="65" spans="1:6">
      <c r="B65" t="s">
        <v>188</v>
      </c>
      <c r="C65" t="s">
        <v>188</v>
      </c>
    </row>
    <row r="66" spans="1:6" ht="45">
      <c r="A66" s="204" t="s">
        <v>155</v>
      </c>
      <c r="B66" s="204" t="s">
        <v>1134</v>
      </c>
      <c r="C66" s="204" t="s">
        <v>207</v>
      </c>
      <c r="D66" s="209" t="s">
        <v>3588</v>
      </c>
      <c r="E66" s="205" t="s">
        <v>1261</v>
      </c>
      <c r="F66" s="204" t="s">
        <v>160</v>
      </c>
    </row>
    <row r="67" spans="1:6" ht="15">
      <c r="A67" s="18">
        <v>1</v>
      </c>
      <c r="B67" s="216" t="s">
        <v>1372</v>
      </c>
      <c r="C67" s="217">
        <v>100000000</v>
      </c>
      <c r="D67" s="285">
        <f>IF(ISBLANK(C67),"",EF!R3)</f>
        <v>1.7000000000000001E-2</v>
      </c>
      <c r="E67" s="375">
        <f>EF!O28</f>
        <v>5.7681912812502702E-3</v>
      </c>
      <c r="F67" s="309">
        <f>IFERROR((C67*(D67+E67)/1000),"")</f>
        <v>2276.8191281250274</v>
      </c>
    </row>
    <row r="68" spans="1:6" ht="15">
      <c r="A68" s="18">
        <v>2</v>
      </c>
      <c r="B68" s="250"/>
      <c r="C68" s="383"/>
      <c r="D68" s="286" t="str">
        <f>IF(ISBLANK(C68),"",EF!$R$3)</f>
        <v/>
      </c>
      <c r="E68" s="378" t="str">
        <f>IF(ISBLANK(C68),"",EF!$O$28)</f>
        <v/>
      </c>
      <c r="F68" s="379" t="str">
        <f t="shared" ref="F68:F86" si="2">IFERROR((C68*(D68+E68)/1000),"")</f>
        <v/>
      </c>
    </row>
    <row r="69" spans="1:6" ht="15">
      <c r="A69" s="18">
        <v>3</v>
      </c>
      <c r="B69" s="250"/>
      <c r="C69" s="383"/>
      <c r="D69" s="286" t="str">
        <f>IF(ISBLANK(C69),"",EF!$R$3)</f>
        <v/>
      </c>
      <c r="E69" s="378" t="str">
        <f>IF(ISBLANK(C69),"",EF!$O$28)</f>
        <v/>
      </c>
      <c r="F69" s="379" t="str">
        <f t="shared" si="2"/>
        <v/>
      </c>
    </row>
    <row r="70" spans="1:6" ht="15">
      <c r="A70" s="18">
        <v>4</v>
      </c>
      <c r="B70" s="250"/>
      <c r="C70" s="383"/>
      <c r="D70" s="286" t="str">
        <f>IF(ISBLANK(C70),"",EF!$R$3)</f>
        <v/>
      </c>
      <c r="E70" s="378" t="str">
        <f>IF(ISBLANK(C70),"",EF!$O$28)</f>
        <v/>
      </c>
      <c r="F70" s="379" t="str">
        <f t="shared" si="2"/>
        <v/>
      </c>
    </row>
    <row r="71" spans="1:6" ht="15">
      <c r="A71" s="18">
        <v>5</v>
      </c>
      <c r="B71" s="250"/>
      <c r="C71" s="383"/>
      <c r="D71" s="286" t="str">
        <f>IF(ISBLANK(C71),"",EF!$R$3)</f>
        <v/>
      </c>
      <c r="E71" s="378" t="str">
        <f>IF(ISBLANK(C71),"",EF!$O$28)</f>
        <v/>
      </c>
      <c r="F71" s="379" t="str">
        <f t="shared" si="2"/>
        <v/>
      </c>
    </row>
    <row r="72" spans="1:6" ht="15">
      <c r="A72" s="18">
        <v>6</v>
      </c>
      <c r="B72" s="250"/>
      <c r="C72" s="250"/>
      <c r="D72" s="286" t="str">
        <f>IF(ISBLANK(C72),"",EF!$R$3)</f>
        <v/>
      </c>
      <c r="E72" s="378" t="str">
        <f>IF(ISBLANK(C72),"",EF!$O$28)</f>
        <v/>
      </c>
      <c r="F72" s="379" t="str">
        <f t="shared" si="2"/>
        <v/>
      </c>
    </row>
    <row r="73" spans="1:6" ht="15">
      <c r="A73" s="18">
        <v>7</v>
      </c>
      <c r="B73" s="250"/>
      <c r="C73" s="250"/>
      <c r="D73" s="286" t="str">
        <f>IF(ISBLANK(C73),"",EF!$R$3)</f>
        <v/>
      </c>
      <c r="E73" s="378" t="str">
        <f>IF(ISBLANK(C73),"",EF!$O$28)</f>
        <v/>
      </c>
      <c r="F73" s="379" t="str">
        <f t="shared" si="2"/>
        <v/>
      </c>
    </row>
    <row r="74" spans="1:6" ht="15">
      <c r="A74" s="18">
        <v>8</v>
      </c>
      <c r="B74" s="250"/>
      <c r="C74" s="250"/>
      <c r="D74" s="286" t="str">
        <f>IF(ISBLANK(C74),"",EF!$R$3)</f>
        <v/>
      </c>
      <c r="E74" s="378" t="str">
        <f>IF(ISBLANK(C74),"",EF!$O$28)</f>
        <v/>
      </c>
      <c r="F74" s="379" t="str">
        <f t="shared" si="2"/>
        <v/>
      </c>
    </row>
    <row r="75" spans="1:6" ht="15">
      <c r="A75" s="18">
        <v>9</v>
      </c>
      <c r="B75" s="250"/>
      <c r="C75" s="250"/>
      <c r="D75" s="286" t="str">
        <f>IF(ISBLANK(C75),"",EF!$R$3)</f>
        <v/>
      </c>
      <c r="E75" s="378" t="str">
        <f>IF(ISBLANK(C75),"",EF!$O$28)</f>
        <v/>
      </c>
      <c r="F75" s="379" t="str">
        <f t="shared" si="2"/>
        <v/>
      </c>
    </row>
    <row r="76" spans="1:6" ht="15">
      <c r="A76" s="18">
        <v>10</v>
      </c>
      <c r="B76" s="250"/>
      <c r="C76" s="250"/>
      <c r="D76" s="286" t="str">
        <f>IF(ISBLANK(C76),"",EF!$R$3)</f>
        <v/>
      </c>
      <c r="E76" s="378" t="str">
        <f>IF(ISBLANK(C76),"",EF!$O$28)</f>
        <v/>
      </c>
      <c r="F76" s="379" t="str">
        <f t="shared" si="2"/>
        <v/>
      </c>
    </row>
    <row r="77" spans="1:6" ht="15">
      <c r="A77" s="18">
        <v>11</v>
      </c>
      <c r="B77" s="250"/>
      <c r="C77" s="250"/>
      <c r="D77" s="286" t="str">
        <f>IF(ISBLANK(C77),"",EF!$R$3)</f>
        <v/>
      </c>
      <c r="E77" s="378" t="str">
        <f>IF(ISBLANK(C77),"",EF!$O$28)</f>
        <v/>
      </c>
      <c r="F77" s="379" t="str">
        <f t="shared" si="2"/>
        <v/>
      </c>
    </row>
    <row r="78" spans="1:6" ht="15">
      <c r="A78" s="18">
        <v>12</v>
      </c>
      <c r="B78" s="250"/>
      <c r="C78" s="250"/>
      <c r="D78" s="286" t="str">
        <f>IF(ISBLANK(C78),"",EF!$R$3)</f>
        <v/>
      </c>
      <c r="E78" s="378" t="str">
        <f>IF(ISBLANK(C78),"",EF!$O$28)</f>
        <v/>
      </c>
      <c r="F78" s="379" t="str">
        <f t="shared" si="2"/>
        <v/>
      </c>
    </row>
    <row r="79" spans="1:6" ht="15">
      <c r="A79" s="18">
        <v>13</v>
      </c>
      <c r="B79" s="250"/>
      <c r="C79" s="250"/>
      <c r="D79" s="286" t="str">
        <f>IF(ISBLANK(C79),"",EF!$R$3)</f>
        <v/>
      </c>
      <c r="E79" s="378" t="str">
        <f>IF(ISBLANK(C79),"",EF!$O$28)</f>
        <v/>
      </c>
      <c r="F79" s="379" t="str">
        <f t="shared" si="2"/>
        <v/>
      </c>
    </row>
    <row r="80" spans="1:6" ht="15">
      <c r="A80" s="18">
        <v>14</v>
      </c>
      <c r="B80" s="250"/>
      <c r="C80" s="250"/>
      <c r="D80" s="286" t="str">
        <f>IF(ISBLANK(C80),"",EF!$R$3)</f>
        <v/>
      </c>
      <c r="E80" s="378" t="str">
        <f>IF(ISBLANK(C80),"",EF!$O$28)</f>
        <v/>
      </c>
      <c r="F80" s="379" t="str">
        <f t="shared" si="2"/>
        <v/>
      </c>
    </row>
    <row r="81" spans="1:6" ht="15">
      <c r="A81" s="18">
        <v>15</v>
      </c>
      <c r="B81" s="250"/>
      <c r="C81" s="250"/>
      <c r="D81" s="286" t="str">
        <f>IF(ISBLANK(C81),"",EF!$R$3)</f>
        <v/>
      </c>
      <c r="E81" s="378" t="str">
        <f>IF(ISBLANK(C81),"",EF!$O$28)</f>
        <v/>
      </c>
      <c r="F81" s="379" t="str">
        <f t="shared" si="2"/>
        <v/>
      </c>
    </row>
    <row r="82" spans="1:6" ht="15">
      <c r="A82" s="18">
        <v>16</v>
      </c>
      <c r="B82" s="250"/>
      <c r="C82" s="250"/>
      <c r="D82" s="286" t="str">
        <f>IF(ISBLANK(C82),"",EF!$R$3)</f>
        <v/>
      </c>
      <c r="E82" s="378" t="str">
        <f>IF(ISBLANK(C82),"",EF!$O$28)</f>
        <v/>
      </c>
      <c r="F82" s="379" t="str">
        <f t="shared" si="2"/>
        <v/>
      </c>
    </row>
    <row r="83" spans="1:6" ht="15">
      <c r="A83" s="18">
        <v>17</v>
      </c>
      <c r="B83" s="250"/>
      <c r="C83" s="250"/>
      <c r="D83" s="286" t="str">
        <f>IF(ISBLANK(C83),"",EF!$R$3)</f>
        <v/>
      </c>
      <c r="E83" s="378" t="str">
        <f>IF(ISBLANK(C83),"",EF!$O$28)</f>
        <v/>
      </c>
      <c r="F83" s="379" t="str">
        <f t="shared" si="2"/>
        <v/>
      </c>
    </row>
    <row r="84" spans="1:6" ht="15">
      <c r="A84" s="18">
        <v>18</v>
      </c>
      <c r="B84" s="250"/>
      <c r="C84" s="250"/>
      <c r="D84" s="286" t="str">
        <f>IF(ISBLANK(C84),"",EF!$R$3)</f>
        <v/>
      </c>
      <c r="E84" s="378" t="str">
        <f>IF(ISBLANK(C84),"",EF!$O$28)</f>
        <v/>
      </c>
      <c r="F84" s="379" t="str">
        <f t="shared" si="2"/>
        <v/>
      </c>
    </row>
    <row r="85" spans="1:6" ht="15">
      <c r="A85" s="18">
        <v>19</v>
      </c>
      <c r="B85" s="250"/>
      <c r="C85" s="250"/>
      <c r="D85" s="286" t="str">
        <f>IF(ISBLANK(C85),"",EF!$R$3)</f>
        <v/>
      </c>
      <c r="E85" s="378" t="str">
        <f>IF(ISBLANK(C85),"",EF!$O$28)</f>
        <v/>
      </c>
      <c r="F85" s="379" t="str">
        <f t="shared" si="2"/>
        <v/>
      </c>
    </row>
    <row r="86" spans="1:6" ht="15.75" thickBot="1">
      <c r="A86" s="18">
        <v>20</v>
      </c>
      <c r="B86" s="250"/>
      <c r="C86" s="250"/>
      <c r="D86" s="286" t="str">
        <f>IF(ISBLANK(C86),"",EF!$R$3)</f>
        <v/>
      </c>
      <c r="E86" s="378" t="str">
        <f>IF(ISBLANK(C86),"",EF!$O$28)</f>
        <v/>
      </c>
      <c r="F86" s="379" t="str">
        <f t="shared" si="2"/>
        <v/>
      </c>
    </row>
    <row r="87" spans="1:6" ht="15" thickBot="1">
      <c r="E87" s="183" t="s">
        <v>1129</v>
      </c>
      <c r="F87" s="122">
        <f>SUM(F68:F86)</f>
        <v>0</v>
      </c>
    </row>
  </sheetData>
  <sheetProtection algorithmName="SHA-512" hashValue="BPKS7kr4R2pFY5l/83KRf27vJp1jmm3jOSguLPyHLG8NhQeddv9gCTmgFFXv0I9plmqVkNB3af8xyn513xRFEQ==" saltValue="DbtjUxEpgd4jYPZW03B+yw=="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EF!$Q$12:$Q$20</xm:f>
          </x14:formula1>
          <xm:sqref>C17:C36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4E494"/>
  </sheetPr>
  <dimension ref="A1:K29"/>
  <sheetViews>
    <sheetView showGridLines="0" zoomScale="80" zoomScaleNormal="80" workbookViewId="0">
      <pane ySplit="2" topLeftCell="A3" activePane="bottomLeft" state="frozen"/>
      <selection activeCell="C4" sqref="C4"/>
      <selection pane="bottomLeft" activeCell="C5" sqref="C5"/>
    </sheetView>
  </sheetViews>
  <sheetFormatPr defaultColWidth="10.5" defaultRowHeight="14.25"/>
  <cols>
    <col min="1" max="1" width="8.125" style="22" customWidth="1"/>
    <col min="2" max="2" width="64.375" style="22" customWidth="1"/>
    <col min="3" max="3" width="45.875" style="22" customWidth="1"/>
    <col min="4" max="4" width="5.25" style="22" customWidth="1"/>
    <col min="5" max="16384" width="10.5" style="22"/>
  </cols>
  <sheetData>
    <row r="1" spans="1:11" ht="90" customHeight="1">
      <c r="A1" s="572"/>
    </row>
    <row r="2" spans="1:11" s="983" customFormat="1" ht="29.25" customHeight="1">
      <c r="A2" s="981"/>
      <c r="B2" s="982" t="s">
        <v>5651</v>
      </c>
      <c r="C2" s="981"/>
      <c r="D2" s="981"/>
    </row>
    <row r="3" spans="1:11" ht="57" customHeight="1">
      <c r="A3" s="572"/>
      <c r="B3" s="1100" t="s">
        <v>5748</v>
      </c>
      <c r="C3" s="1101"/>
      <c r="D3" s="573"/>
    </row>
    <row r="4" spans="1:11" ht="50.25" customHeight="1">
      <c r="A4" s="572"/>
      <c r="B4" s="1100" t="s">
        <v>4437</v>
      </c>
      <c r="C4" s="1100"/>
    </row>
    <row r="5" spans="1:11" ht="18" customHeight="1">
      <c r="A5" s="575"/>
      <c r="B5" s="75" t="s">
        <v>5749</v>
      </c>
      <c r="C5" s="972"/>
      <c r="E5" s="1031" t="s">
        <v>5774</v>
      </c>
      <c r="J5" s="1032"/>
      <c r="K5" s="1032"/>
    </row>
    <row r="6" spans="1:11" ht="24.95" customHeight="1">
      <c r="A6" s="575"/>
      <c r="B6" s="581" t="s">
        <v>5692</v>
      </c>
      <c r="C6" s="972"/>
      <c r="D6"/>
      <c r="E6" s="1033" t="s">
        <v>5773</v>
      </c>
      <c r="J6" s="1032"/>
      <c r="K6" s="1032"/>
    </row>
    <row r="7" spans="1:11" ht="18" customHeight="1">
      <c r="A7" s="575"/>
      <c r="B7" s="75" t="s">
        <v>5655</v>
      </c>
      <c r="C7" s="576"/>
      <c r="E7" s="317" t="s">
        <v>5775</v>
      </c>
      <c r="J7" s="1032"/>
      <c r="K7" s="1032"/>
    </row>
    <row r="8" spans="1:11" ht="14.25" customHeight="1">
      <c r="A8" s="577" t="s">
        <v>1524</v>
      </c>
      <c r="B8" s="1102"/>
      <c r="C8" s="1102"/>
      <c r="E8" s="317" t="s">
        <v>5776</v>
      </c>
      <c r="F8" s="1032"/>
      <c r="G8" s="1032"/>
      <c r="H8" s="1032"/>
      <c r="I8" s="1032"/>
      <c r="J8" s="1032"/>
      <c r="K8" s="1032"/>
    </row>
    <row r="9" spans="1:11">
      <c r="A9" s="577" t="s">
        <v>5691</v>
      </c>
      <c r="B9" s="1102"/>
      <c r="C9" s="1102"/>
      <c r="E9" s="1032"/>
      <c r="F9" s="1032"/>
      <c r="G9" s="1032"/>
      <c r="H9" s="1032"/>
      <c r="I9" s="1032"/>
      <c r="J9" s="1032"/>
      <c r="K9" s="1032"/>
    </row>
    <row r="10" spans="1:11">
      <c r="A10" s="577" t="s">
        <v>4364</v>
      </c>
      <c r="B10" s="1103"/>
      <c r="C10" s="1102"/>
      <c r="F10" s="1032"/>
      <c r="G10" s="1032"/>
      <c r="H10" s="1032"/>
      <c r="I10" s="1032"/>
      <c r="J10" s="1032"/>
      <c r="K10" s="1032"/>
    </row>
    <row r="11" spans="1:11" ht="24.95" customHeight="1">
      <c r="B11" s="1100" t="s">
        <v>4365</v>
      </c>
      <c r="C11" s="1100"/>
      <c r="F11" s="1032"/>
      <c r="G11" s="1032"/>
      <c r="H11" s="1032"/>
      <c r="I11" s="1032"/>
      <c r="J11" s="1034"/>
      <c r="K11" s="1034"/>
    </row>
    <row r="12" spans="1:11" customFormat="1" ht="14.25" customHeight="1">
      <c r="B12" s="1104" t="s">
        <v>5656</v>
      </c>
      <c r="C12" s="1104"/>
      <c r="E12" s="22"/>
      <c r="F12" s="1032"/>
      <c r="G12" s="1032"/>
      <c r="H12" s="1032"/>
      <c r="I12" s="1032"/>
    </row>
    <row r="13" spans="1:11" customFormat="1" ht="14.25" customHeight="1">
      <c r="B13" s="1104" t="s">
        <v>5750</v>
      </c>
      <c r="C13" s="1104"/>
      <c r="E13" s="22"/>
    </row>
    <row r="14" spans="1:11" customFormat="1" ht="27.6" customHeight="1">
      <c r="B14" s="1104" t="s">
        <v>5751</v>
      </c>
      <c r="C14" s="1104"/>
    </row>
    <row r="15" spans="1:11" ht="14.25" customHeight="1">
      <c r="B15" s="574"/>
      <c r="C15" s="574"/>
    </row>
    <row r="16" spans="1:11" ht="15">
      <c r="B16" s="1105" t="s">
        <v>4366</v>
      </c>
      <c r="C16" s="1105"/>
    </row>
    <row r="17" spans="2:3">
      <c r="B17" s="578" t="s">
        <v>5693</v>
      </c>
      <c r="C17" s="1050"/>
    </row>
    <row r="18" spans="2:3">
      <c r="B18" s="578" t="s">
        <v>5694</v>
      </c>
      <c r="C18" s="579"/>
    </row>
    <row r="19" spans="2:3" ht="20.100000000000001" customHeight="1">
      <c r="B19" s="993" t="s">
        <v>5783</v>
      </c>
      <c r="C19" s="1051" t="s">
        <v>5733</v>
      </c>
    </row>
    <row r="20" spans="2:3" ht="20.100000000000001" customHeight="1">
      <c r="B20" s="993" t="s">
        <v>5784</v>
      </c>
      <c r="C20" s="1052" t="s">
        <v>5734</v>
      </c>
    </row>
    <row r="22" spans="2:3" ht="141.75">
      <c r="B22" s="995" t="s">
        <v>5789</v>
      </c>
    </row>
    <row r="24" spans="2:3" ht="31.5">
      <c r="B24" s="995" t="s">
        <v>5735</v>
      </c>
    </row>
    <row r="25" spans="2:3" ht="15.75">
      <c r="B25" s="994" t="s">
        <v>5736</v>
      </c>
    </row>
    <row r="26" spans="2:3" ht="15.75">
      <c r="B26" s="994" t="s">
        <v>5737</v>
      </c>
    </row>
    <row r="28" spans="2:3" ht="47.25">
      <c r="B28" s="995" t="s">
        <v>5782</v>
      </c>
    </row>
    <row r="29" spans="2:3" ht="15.75">
      <c r="B29" s="1024" t="s">
        <v>5764</v>
      </c>
    </row>
  </sheetData>
  <sheetProtection algorithmName="SHA-512" hashValue="6T51SzBBOoSlPlkW1AEBrzqq6eoeZ5IJb78PJ1lbNCEHRgNV9ovlWvY9/XZL49mP2deNdy4Kurxpzm/+QI8qGw==" saltValue="G3V4GCeHB0nbasmSrvmm1g==" spinCount="100000" sheet="1" objects="1" scenarios="1"/>
  <mergeCells count="10">
    <mergeCell ref="B12:C12"/>
    <mergeCell ref="B13:C13"/>
    <mergeCell ref="B14:C14"/>
    <mergeCell ref="B16:C16"/>
    <mergeCell ref="B11:C11"/>
    <mergeCell ref="B3:C3"/>
    <mergeCell ref="B4:C4"/>
    <mergeCell ref="B8:C8"/>
    <mergeCell ref="B9:C9"/>
    <mergeCell ref="B10:C10"/>
  </mergeCells>
  <hyperlinks>
    <hyperlink ref="B25" r:id="rId1" xr:uid="{00000000-0004-0000-0100-000000000000}"/>
    <hyperlink ref="B26" r:id="rId2" xr:uid="{00000000-0004-0000-0100-000001000000}"/>
    <hyperlink ref="B29" r:id="rId3" xr:uid="{00000000-0004-0000-0100-000002000000}"/>
    <hyperlink ref="E6" r:id="rId4" location="/%22,%22https://www.epa.gov/egrid/power-profiler" xr:uid="{00000000-0004-0000-0100-000003000000}"/>
  </hyperlinks>
  <pageMargins left="0.25" right="0.25" top="0.75" bottom="0.75" header="0.3" footer="0.3"/>
  <pageSetup paperSize="9" orientation="landscape" horizontalDpi="1200" verticalDpi="1200"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'S1&amp;2 Lists'!$A$3:$A$13</xm:f>
          </x14:formula1>
          <xm:sqref>C6</xm:sqref>
        </x14:dataValidation>
        <x14:dataValidation type="list" allowBlank="1" showInputMessage="1" showErrorMessage="1" xr:uid="{00000000-0002-0000-0100-000001000000}">
          <x14:formula1>
            <xm:f>'S1&amp;2 Lists'!$AW$16:$AW$41</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A2:O11"/>
  <sheetViews>
    <sheetView showGridLines="0" workbookViewId="0">
      <selection activeCell="B2" sqref="B2"/>
    </sheetView>
  </sheetViews>
  <sheetFormatPr defaultColWidth="9.125" defaultRowHeight="14.25"/>
  <cols>
    <col min="1" max="1" width="21" style="22" customWidth="1"/>
    <col min="2" max="2" width="25.625" style="22" customWidth="1"/>
    <col min="3" max="3" width="12.625" style="96" customWidth="1"/>
    <col min="4" max="12" width="9.125" style="22"/>
    <col min="13" max="15" width="9.125" style="22" customWidth="1"/>
    <col min="16" max="16384" width="9.125" style="22"/>
  </cols>
  <sheetData>
    <row r="2" spans="1:15" ht="41.45" customHeight="1">
      <c r="A2" s="113" t="s">
        <v>1232</v>
      </c>
      <c r="B2" s="114" t="s">
        <v>1233</v>
      </c>
      <c r="C2" s="115" t="s">
        <v>1234</v>
      </c>
    </row>
    <row r="3" spans="1:15">
      <c r="B3" s="78" t="s">
        <v>11</v>
      </c>
      <c r="C3" s="96">
        <f t="array" ref="C3">_xlfn.IFS($B$2="SAR",M4,$B$2="AR4",N4,$B$2="AR5",O4)</f>
        <v>1</v>
      </c>
      <c r="M3" s="22" t="s">
        <v>1235</v>
      </c>
      <c r="N3" s="22" t="s">
        <v>1236</v>
      </c>
      <c r="O3" s="22" t="s">
        <v>1233</v>
      </c>
    </row>
    <row r="4" spans="1:15">
      <c r="B4" s="78" t="s">
        <v>13</v>
      </c>
      <c r="C4" s="96">
        <f t="array" ref="C4">_xlfn.IFS($B$2="SAR",M5,$B$2="AR4",N5,$B$2="AR5",O5)</f>
        <v>28</v>
      </c>
      <c r="M4" s="22">
        <v>1</v>
      </c>
      <c r="N4" s="22">
        <v>1</v>
      </c>
      <c r="O4" s="22">
        <v>1</v>
      </c>
    </row>
    <row r="5" spans="1:15">
      <c r="B5" s="78" t="s">
        <v>14</v>
      </c>
      <c r="C5" s="96">
        <f t="array" ref="C5">_xlfn.IFS($B$2="SAR",M6,$B$2="AR4",N6,$B$2="AR5",O6)</f>
        <v>265</v>
      </c>
      <c r="M5" s="22">
        <v>21</v>
      </c>
      <c r="N5" s="22">
        <v>25</v>
      </c>
      <c r="O5" s="22">
        <v>28</v>
      </c>
    </row>
    <row r="6" spans="1:15">
      <c r="B6" s="78" t="s">
        <v>15</v>
      </c>
      <c r="C6" s="96">
        <v>1</v>
      </c>
      <c r="M6" s="22">
        <v>310</v>
      </c>
      <c r="N6" s="22">
        <v>298</v>
      </c>
      <c r="O6" s="22">
        <v>265</v>
      </c>
    </row>
    <row r="7" spans="1:15" ht="46.5" customHeight="1"/>
    <row r="8" spans="1:15" ht="15">
      <c r="A8" s="116" t="s">
        <v>1237</v>
      </c>
      <c r="B8" s="117"/>
      <c r="C8" s="118"/>
    </row>
    <row r="9" spans="1:15">
      <c r="A9" s="22" t="s">
        <v>1238</v>
      </c>
    </row>
    <row r="10" spans="1:15">
      <c r="A10" s="22" t="s">
        <v>1239</v>
      </c>
    </row>
    <row r="11" spans="1:15">
      <c r="A11" s="119" t="s">
        <v>1240</v>
      </c>
    </row>
  </sheetData>
  <dataValidations count="1">
    <dataValidation type="list" showInputMessage="1" showErrorMessage="1" sqref="B2" xr:uid="{00000000-0002-0000-1300-000000000000}">
      <formula1>$M$3:$O$3</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FF00"/>
  </sheetPr>
  <dimension ref="A1:AC1577"/>
  <sheetViews>
    <sheetView topLeftCell="M1" zoomScale="60" zoomScaleNormal="60" workbookViewId="0">
      <selection activeCell="A6" sqref="A6"/>
    </sheetView>
  </sheetViews>
  <sheetFormatPr defaultColWidth="8.875" defaultRowHeight="14.25"/>
  <cols>
    <col min="2" max="2" width="11.875" style="3" customWidth="1"/>
    <col min="3" max="3" width="53.5" style="3" customWidth="1"/>
    <col min="4" max="4" width="12.5" style="3" customWidth="1"/>
    <col min="5" max="5" width="28.375" style="3" customWidth="1"/>
    <col min="6" max="6" width="16.625" style="3" customWidth="1"/>
    <col min="7" max="7" width="19.5" style="3" customWidth="1"/>
    <col min="8" max="8" width="16.625" style="3" customWidth="1"/>
    <col min="9" max="9" width="19.5" style="3" customWidth="1"/>
    <col min="10" max="10" width="16.625" style="3" customWidth="1"/>
    <col min="11" max="11" width="19.5" style="3" customWidth="1"/>
    <col min="12" max="12" width="3.5" style="3" customWidth="1"/>
    <col min="13" max="17" width="16.125" style="3" customWidth="1"/>
    <col min="18" max="18" width="4.875" style="3" customWidth="1"/>
    <col min="19" max="19" width="4.875" customWidth="1"/>
    <col min="20" max="20" width="129.75" bestFit="1" customWidth="1"/>
    <col min="21" max="21" width="18.75" bestFit="1" customWidth="1"/>
    <col min="22" max="22" width="6.625" customWidth="1"/>
    <col min="24" max="24" width="129.75" bestFit="1" customWidth="1"/>
    <col min="25" max="25" width="18.875" bestFit="1" customWidth="1"/>
    <col min="26" max="26" width="11.375" customWidth="1"/>
    <col min="27" max="27" width="129.75" bestFit="1" customWidth="1"/>
    <col min="28" max="28" width="18.875" style="405" bestFit="1" customWidth="1"/>
    <col min="29" max="29" width="56.875" bestFit="1" customWidth="1"/>
  </cols>
  <sheetData>
    <row r="1" spans="1:29" s="72" customFormat="1" ht="75">
      <c r="A1" s="404" t="s">
        <v>3656</v>
      </c>
      <c r="B1" s="2" t="s">
        <v>308</v>
      </c>
      <c r="C1" s="2" t="s">
        <v>309</v>
      </c>
      <c r="D1" s="2" t="s">
        <v>1</v>
      </c>
      <c r="E1" s="2" t="s">
        <v>2</v>
      </c>
      <c r="F1" s="1" t="s">
        <v>3</v>
      </c>
      <c r="G1" s="282" t="s">
        <v>2179</v>
      </c>
      <c r="H1" s="1" t="s">
        <v>4</v>
      </c>
      <c r="I1" s="283" t="s">
        <v>2180</v>
      </c>
      <c r="J1" s="1" t="s">
        <v>5</v>
      </c>
      <c r="K1" s="73" t="s">
        <v>181</v>
      </c>
      <c r="L1" s="2"/>
      <c r="M1" s="1" t="s">
        <v>6</v>
      </c>
      <c r="N1" s="1" t="s">
        <v>7</v>
      </c>
      <c r="O1" s="1" t="s">
        <v>8</v>
      </c>
      <c r="P1" s="1" t="s">
        <v>9</v>
      </c>
      <c r="Q1" s="1" t="s">
        <v>10</v>
      </c>
      <c r="R1" s="1"/>
      <c r="T1" s="302" t="s">
        <v>309</v>
      </c>
      <c r="U1" s="302" t="s">
        <v>1092</v>
      </c>
      <c r="V1"/>
      <c r="W1"/>
      <c r="X1" s="527" t="s">
        <v>309</v>
      </c>
      <c r="Y1" s="527" t="s">
        <v>2181</v>
      </c>
      <c r="Z1"/>
      <c r="AA1" s="525" t="s">
        <v>309</v>
      </c>
      <c r="AB1" s="526" t="s">
        <v>2182</v>
      </c>
      <c r="AC1"/>
    </row>
    <row r="2" spans="1:29">
      <c r="A2" t="s">
        <v>1429</v>
      </c>
      <c r="B2" s="3" t="s">
        <v>310</v>
      </c>
      <c r="C2" s="3" t="s">
        <v>311</v>
      </c>
      <c r="D2" s="3" t="s">
        <v>11</v>
      </c>
      <c r="E2" s="3" t="s">
        <v>12</v>
      </c>
      <c r="F2" s="3">
        <v>0.32300000000000001</v>
      </c>
      <c r="G2" s="74">
        <f>F2*VLOOKUP(D2,GWPs!$B$3:$C$6,2,FALSE)</f>
        <v>0.32300000000000001</v>
      </c>
      <c r="H2" s="3">
        <v>6.6000000000000003E-2</v>
      </c>
      <c r="I2" s="74">
        <f>H2*VLOOKUP(D2,GWPs!$B$3:$C$6,2,FALSE)</f>
        <v>6.6000000000000003E-2</v>
      </c>
      <c r="J2" s="3">
        <v>0.38900000000000001</v>
      </c>
      <c r="K2" s="74">
        <f>J2*VLOOKUP(D2,GWPs!$B$3:$C$6,2,FALSE)</f>
        <v>0.38900000000000001</v>
      </c>
      <c r="M2" s="3">
        <v>3</v>
      </c>
      <c r="N2" s="3">
        <v>2</v>
      </c>
      <c r="O2" s="3">
        <v>1</v>
      </c>
      <c r="P2" s="3">
        <v>4</v>
      </c>
      <c r="Q2" s="3">
        <v>1</v>
      </c>
      <c r="T2" s="70" t="s">
        <v>564</v>
      </c>
      <c r="U2" s="70">
        <v>0.372</v>
      </c>
      <c r="X2" s="70" t="s">
        <v>564</v>
      </c>
      <c r="Y2" s="70">
        <v>0.23599999999999999</v>
      </c>
      <c r="AA2" s="70" t="s">
        <v>564</v>
      </c>
      <c r="AB2" s="406">
        <v>0.13600000000000001</v>
      </c>
    </row>
    <row r="3" spans="1:29">
      <c r="A3" t="s">
        <v>1429</v>
      </c>
      <c r="B3" s="3" t="s">
        <v>310</v>
      </c>
      <c r="C3" s="3" t="s">
        <v>311</v>
      </c>
      <c r="D3" s="3" t="s">
        <v>13</v>
      </c>
      <c r="E3" s="3" t="s">
        <v>12</v>
      </c>
      <c r="F3" s="3">
        <v>1E-3</v>
      </c>
      <c r="G3" s="74">
        <f>F3*VLOOKUP(D3,GWPs!$B$3:$C$6,2,FALSE)</f>
        <v>2.8000000000000001E-2</v>
      </c>
      <c r="H3" s="3">
        <v>1E-3</v>
      </c>
      <c r="I3" s="74">
        <f>H3*VLOOKUP(D3,GWPs!$B$3:$C$6,2,FALSE)</f>
        <v>2.8000000000000001E-2</v>
      </c>
      <c r="J3" s="3">
        <v>2E-3</v>
      </c>
      <c r="K3" s="74">
        <f>J3*VLOOKUP(D3,GWPs!$B$3:$C$6,2,FALSE)</f>
        <v>5.6000000000000001E-2</v>
      </c>
      <c r="M3" s="3">
        <v>4</v>
      </c>
      <c r="N3" s="3">
        <v>2</v>
      </c>
      <c r="O3" s="3">
        <v>1</v>
      </c>
      <c r="P3" s="3">
        <v>1</v>
      </c>
      <c r="Q3" s="3">
        <v>1</v>
      </c>
      <c r="T3" s="70" t="s">
        <v>966</v>
      </c>
      <c r="U3" s="70">
        <v>5.1999999999999998E-2</v>
      </c>
      <c r="X3" s="70" t="s">
        <v>966</v>
      </c>
      <c r="Y3" s="70">
        <v>5.1999999999999998E-2</v>
      </c>
      <c r="AA3" s="70" t="s">
        <v>966</v>
      </c>
      <c r="AB3" s="406">
        <v>0</v>
      </c>
    </row>
    <row r="4" spans="1:29">
      <c r="A4" t="s">
        <v>1429</v>
      </c>
      <c r="B4" s="3" t="s">
        <v>310</v>
      </c>
      <c r="C4" s="3" t="s">
        <v>311</v>
      </c>
      <c r="D4" s="3" t="s">
        <v>14</v>
      </c>
      <c r="E4" s="3" t="s">
        <v>12</v>
      </c>
      <c r="F4" s="3">
        <v>2E-3</v>
      </c>
      <c r="G4" s="74">
        <f>F4*VLOOKUP(D4,GWPs!$B$3:$C$6,2,FALSE)</f>
        <v>0.53</v>
      </c>
      <c r="H4" s="3">
        <v>0</v>
      </c>
      <c r="I4" s="74">
        <f>H4*VLOOKUP(D4,GWPs!$B$3:$C$6,2,FALSE)</f>
        <v>0</v>
      </c>
      <c r="J4" s="3">
        <v>2E-3</v>
      </c>
      <c r="K4" s="74">
        <f>J4*VLOOKUP(D4,GWPs!$B$3:$C$6,2,FALSE)</f>
        <v>0.53</v>
      </c>
      <c r="M4" s="3">
        <v>4</v>
      </c>
      <c r="N4" s="3">
        <v>2</v>
      </c>
      <c r="O4" s="3">
        <v>1</v>
      </c>
      <c r="P4" s="3">
        <v>4</v>
      </c>
      <c r="Q4" s="3">
        <v>1</v>
      </c>
      <c r="T4" s="70" t="s">
        <v>520</v>
      </c>
      <c r="U4" s="70">
        <v>0.247</v>
      </c>
      <c r="X4" s="70" t="s">
        <v>520</v>
      </c>
      <c r="Y4" s="70">
        <v>0.23800000000000002</v>
      </c>
      <c r="AA4" s="70" t="s">
        <v>520</v>
      </c>
      <c r="AB4" s="406">
        <v>8.9999999999999993E-3</v>
      </c>
    </row>
    <row r="5" spans="1:29">
      <c r="A5" t="s">
        <v>1429</v>
      </c>
      <c r="B5" s="3" t="s">
        <v>310</v>
      </c>
      <c r="C5" s="3" t="s">
        <v>311</v>
      </c>
      <c r="D5" s="3" t="s">
        <v>15</v>
      </c>
      <c r="E5" s="3" t="s">
        <v>16</v>
      </c>
      <c r="F5" s="3">
        <v>3.0000000000000001E-3</v>
      </c>
      <c r="G5" s="74">
        <f>F5*VLOOKUP(D5,GWPs!$B$3:$C$6,2,FALSE)</f>
        <v>3.0000000000000001E-3</v>
      </c>
      <c r="H5" s="3">
        <v>0</v>
      </c>
      <c r="I5" s="74">
        <f>H5*VLOOKUP(D5,GWPs!$B$3:$C$6,2,FALSE)</f>
        <v>0</v>
      </c>
      <c r="J5" s="3">
        <v>3.0000000000000001E-3</v>
      </c>
      <c r="K5" s="74">
        <f>J5*VLOOKUP(D5,GWPs!$B$3:$C$6,2,FALSE)</f>
        <v>3.0000000000000001E-3</v>
      </c>
      <c r="M5" s="3">
        <v>4</v>
      </c>
      <c r="N5" s="3">
        <v>2</v>
      </c>
      <c r="O5" s="3">
        <v>1</v>
      </c>
      <c r="P5" s="3">
        <v>4</v>
      </c>
      <c r="Q5" s="3">
        <v>1</v>
      </c>
      <c r="T5" s="70" t="s">
        <v>984</v>
      </c>
      <c r="U5" s="70">
        <v>0.114</v>
      </c>
      <c r="X5" s="70" t="s">
        <v>984</v>
      </c>
      <c r="Y5" s="70">
        <v>0.114</v>
      </c>
      <c r="AA5" s="70" t="s">
        <v>984</v>
      </c>
      <c r="AB5" s="406">
        <v>0</v>
      </c>
    </row>
    <row r="6" spans="1:29">
      <c r="A6" t="s">
        <v>1429</v>
      </c>
      <c r="B6" s="3" t="s">
        <v>312</v>
      </c>
      <c r="C6" s="3" t="s">
        <v>313</v>
      </c>
      <c r="D6" s="3" t="s">
        <v>11</v>
      </c>
      <c r="E6" s="3" t="s">
        <v>12</v>
      </c>
      <c r="F6" s="3">
        <v>0.65800000000000003</v>
      </c>
      <c r="G6" s="74">
        <f>F6*VLOOKUP(D6,GWPs!$B$3:$C$6,2,FALSE)</f>
        <v>0.65800000000000003</v>
      </c>
      <c r="H6" s="3">
        <v>7.2999999999999995E-2</v>
      </c>
      <c r="I6" s="74">
        <f>H6*VLOOKUP(D6,GWPs!$B$3:$C$6,2,FALSE)</f>
        <v>7.2999999999999995E-2</v>
      </c>
      <c r="J6" s="3">
        <v>0.73099999999999998</v>
      </c>
      <c r="K6" s="74">
        <f>J6*VLOOKUP(D6,GWPs!$B$3:$C$6,2,FALSE)</f>
        <v>0.73099999999999998</v>
      </c>
      <c r="M6" s="3">
        <v>4</v>
      </c>
      <c r="N6" s="3">
        <v>2</v>
      </c>
      <c r="O6" s="3">
        <v>1</v>
      </c>
      <c r="P6" s="3">
        <v>4</v>
      </c>
      <c r="Q6" s="3">
        <v>1</v>
      </c>
      <c r="T6" s="70" t="s">
        <v>335</v>
      </c>
      <c r="U6" s="70">
        <v>0.45900000000000002</v>
      </c>
      <c r="X6" s="70" t="s">
        <v>335</v>
      </c>
      <c r="Y6" s="70">
        <v>0.45900000000000002</v>
      </c>
      <c r="AA6" s="70" t="s">
        <v>335</v>
      </c>
      <c r="AB6" s="406">
        <v>0</v>
      </c>
    </row>
    <row r="7" spans="1:29">
      <c r="A7" t="s">
        <v>1429</v>
      </c>
      <c r="B7" s="3" t="s">
        <v>312</v>
      </c>
      <c r="C7" s="3" t="s">
        <v>313</v>
      </c>
      <c r="D7" s="3" t="s">
        <v>13</v>
      </c>
      <c r="E7" s="3" t="s">
        <v>12</v>
      </c>
      <c r="F7" s="3">
        <v>6.0000000000000001E-3</v>
      </c>
      <c r="G7" s="74">
        <f>F7*VLOOKUP(D7,GWPs!$B$3:$C$6,2,FALSE)</f>
        <v>0.16800000000000001</v>
      </c>
      <c r="H7" s="3">
        <v>1E-3</v>
      </c>
      <c r="I7" s="74">
        <f>H7*VLOOKUP(D7,GWPs!$B$3:$C$6,2,FALSE)</f>
        <v>2.8000000000000001E-2</v>
      </c>
      <c r="J7" s="3">
        <v>7.0000000000000001E-3</v>
      </c>
      <c r="K7" s="74">
        <f>J7*VLOOKUP(D7,GWPs!$B$3:$C$6,2,FALSE)</f>
        <v>0.19600000000000001</v>
      </c>
      <c r="M7" s="3">
        <v>3</v>
      </c>
      <c r="N7" s="3">
        <v>2</v>
      </c>
      <c r="O7" s="3">
        <v>1</v>
      </c>
      <c r="P7" s="3">
        <v>1</v>
      </c>
      <c r="Q7" s="3">
        <v>1</v>
      </c>
      <c r="T7" s="70" t="s">
        <v>672</v>
      </c>
      <c r="U7" s="70">
        <v>0.14600000000000002</v>
      </c>
      <c r="X7" s="70" t="s">
        <v>672</v>
      </c>
      <c r="Y7" s="70">
        <v>0.1</v>
      </c>
      <c r="AA7" s="70" t="s">
        <v>672</v>
      </c>
      <c r="AB7" s="406">
        <v>1.7999999999999999E-2</v>
      </c>
    </row>
    <row r="8" spans="1:29">
      <c r="A8" t="s">
        <v>1429</v>
      </c>
      <c r="B8" s="3" t="s">
        <v>312</v>
      </c>
      <c r="C8" s="3" t="s">
        <v>313</v>
      </c>
      <c r="D8" s="3" t="s">
        <v>14</v>
      </c>
      <c r="E8" s="3" t="s">
        <v>12</v>
      </c>
      <c r="F8" s="3">
        <v>3.0000000000000001E-3</v>
      </c>
      <c r="G8" s="74">
        <f>F8*VLOOKUP(D8,GWPs!$B$3:$C$6,2,FALSE)</f>
        <v>0.79500000000000004</v>
      </c>
      <c r="H8" s="3">
        <v>0</v>
      </c>
      <c r="I8" s="74">
        <f>H8*VLOOKUP(D8,GWPs!$B$3:$C$6,2,FALSE)</f>
        <v>0</v>
      </c>
      <c r="J8" s="3">
        <v>3.0000000000000001E-3</v>
      </c>
      <c r="K8" s="74">
        <f>J8*VLOOKUP(D8,GWPs!$B$3:$C$6,2,FALSE)</f>
        <v>0.79500000000000004</v>
      </c>
      <c r="M8" s="3">
        <v>4</v>
      </c>
      <c r="N8" s="3">
        <v>2</v>
      </c>
      <c r="O8" s="3">
        <v>1</v>
      </c>
      <c r="P8" s="3">
        <v>4</v>
      </c>
      <c r="Q8" s="3">
        <v>1</v>
      </c>
      <c r="T8" s="70" t="s">
        <v>654</v>
      </c>
      <c r="U8" s="70">
        <v>0.77</v>
      </c>
      <c r="X8" s="70" t="s">
        <v>654</v>
      </c>
      <c r="Y8" s="70">
        <v>0.68100000000000005</v>
      </c>
      <c r="AA8" s="70" t="s">
        <v>654</v>
      </c>
      <c r="AB8" s="406">
        <v>0.11699999999999999</v>
      </c>
    </row>
    <row r="9" spans="1:29">
      <c r="A9" t="s">
        <v>1429</v>
      </c>
      <c r="B9" s="3" t="s">
        <v>312</v>
      </c>
      <c r="C9" s="3" t="s">
        <v>313</v>
      </c>
      <c r="D9" s="3" t="s">
        <v>15</v>
      </c>
      <c r="E9" s="3" t="s">
        <v>16</v>
      </c>
      <c r="F9" s="3">
        <v>4.0000000000000001E-3</v>
      </c>
      <c r="G9" s="74">
        <f>F9*VLOOKUP(D9,GWPs!$B$3:$C$6,2,FALSE)</f>
        <v>4.0000000000000001E-3</v>
      </c>
      <c r="H9" s="3">
        <v>0</v>
      </c>
      <c r="I9" s="74">
        <f>H9*VLOOKUP(D9,GWPs!$B$3:$C$6,2,FALSE)</f>
        <v>0</v>
      </c>
      <c r="J9" s="3">
        <v>4.0000000000000001E-3</v>
      </c>
      <c r="K9" s="74">
        <f>J9*VLOOKUP(D9,GWPs!$B$3:$C$6,2,FALSE)</f>
        <v>4.0000000000000001E-3</v>
      </c>
      <c r="M9" s="3">
        <v>4</v>
      </c>
      <c r="N9" s="3">
        <v>2</v>
      </c>
      <c r="O9" s="3">
        <v>1</v>
      </c>
      <c r="P9" s="3">
        <v>4</v>
      </c>
      <c r="Q9" s="3">
        <v>1</v>
      </c>
      <c r="T9" s="70" t="s">
        <v>884</v>
      </c>
      <c r="U9" s="70">
        <v>0.96499999999999997</v>
      </c>
      <c r="X9" s="70" t="s">
        <v>884</v>
      </c>
      <c r="Y9" s="70">
        <v>0.96499999999999997</v>
      </c>
      <c r="AA9" s="70" t="s">
        <v>884</v>
      </c>
      <c r="AB9" s="406">
        <v>0</v>
      </c>
    </row>
    <row r="10" spans="1:29">
      <c r="A10" t="s">
        <v>1429</v>
      </c>
      <c r="B10" s="3" t="s">
        <v>314</v>
      </c>
      <c r="C10" s="3" t="s">
        <v>315</v>
      </c>
      <c r="D10" s="3" t="s">
        <v>11</v>
      </c>
      <c r="E10" s="3" t="s">
        <v>12</v>
      </c>
      <c r="F10" s="3">
        <v>0.17599999999999999</v>
      </c>
      <c r="G10" s="74">
        <f>F10*VLOOKUP(D10,GWPs!$B$3:$C$6,2,FALSE)</f>
        <v>0.17599999999999999</v>
      </c>
      <c r="H10" s="3">
        <v>0.114</v>
      </c>
      <c r="I10" s="74">
        <f>H10*VLOOKUP(D10,GWPs!$B$3:$C$6,2,FALSE)</f>
        <v>0.114</v>
      </c>
      <c r="J10" s="3">
        <v>0.28999999999999998</v>
      </c>
      <c r="K10" s="74">
        <f>J10*VLOOKUP(D10,GWPs!$B$3:$C$6,2,FALSE)</f>
        <v>0.28999999999999998</v>
      </c>
      <c r="M10" s="3">
        <v>3</v>
      </c>
      <c r="N10" s="3">
        <v>2</v>
      </c>
      <c r="O10" s="3">
        <v>1</v>
      </c>
      <c r="P10" s="3">
        <v>4</v>
      </c>
      <c r="Q10" s="3">
        <v>1</v>
      </c>
      <c r="T10" s="70" t="s">
        <v>17</v>
      </c>
      <c r="U10" s="70">
        <v>9.0000000000000011E-2</v>
      </c>
      <c r="X10" s="70" t="s">
        <v>17</v>
      </c>
      <c r="Y10" s="70">
        <v>8.3000000000000004E-2</v>
      </c>
      <c r="AA10" s="70" t="s">
        <v>17</v>
      </c>
      <c r="AB10" s="406">
        <v>7.0000000000000001E-3</v>
      </c>
    </row>
    <row r="11" spans="1:29">
      <c r="A11" t="s">
        <v>1429</v>
      </c>
      <c r="B11" s="3" t="s">
        <v>314</v>
      </c>
      <c r="C11" s="3" t="s">
        <v>315</v>
      </c>
      <c r="D11" s="3" t="s">
        <v>13</v>
      </c>
      <c r="E11" s="3" t="s">
        <v>12</v>
      </c>
      <c r="F11" s="3">
        <v>1E-3</v>
      </c>
      <c r="G11" s="74">
        <f>F11*VLOOKUP(D11,GWPs!$B$3:$C$6,2,FALSE)</f>
        <v>2.8000000000000001E-2</v>
      </c>
      <c r="H11" s="3">
        <v>1E-3</v>
      </c>
      <c r="I11" s="74">
        <f>H11*VLOOKUP(D11,GWPs!$B$3:$C$6,2,FALSE)</f>
        <v>2.8000000000000001E-2</v>
      </c>
      <c r="J11" s="3">
        <v>1E-3</v>
      </c>
      <c r="K11" s="74">
        <f>J11*VLOOKUP(D11,GWPs!$B$3:$C$6,2,FALSE)</f>
        <v>2.8000000000000001E-2</v>
      </c>
      <c r="M11" s="3">
        <v>4</v>
      </c>
      <c r="N11" s="3">
        <v>2</v>
      </c>
      <c r="O11" s="3">
        <v>1</v>
      </c>
      <c r="P11" s="3">
        <v>1</v>
      </c>
      <c r="Q11" s="3">
        <v>1</v>
      </c>
      <c r="T11" s="70" t="s">
        <v>791</v>
      </c>
      <c r="U11" s="70">
        <v>0.08</v>
      </c>
      <c r="X11" s="70" t="s">
        <v>791</v>
      </c>
      <c r="Y11" s="70">
        <v>7.0000000000000007E-2</v>
      </c>
      <c r="AA11" s="70" t="s">
        <v>791</v>
      </c>
      <c r="AB11" s="406">
        <v>0.01</v>
      </c>
    </row>
    <row r="12" spans="1:29">
      <c r="A12" t="s">
        <v>1429</v>
      </c>
      <c r="B12" s="3" t="s">
        <v>314</v>
      </c>
      <c r="C12" s="3" t="s">
        <v>315</v>
      </c>
      <c r="D12" s="3" t="s">
        <v>14</v>
      </c>
      <c r="E12" s="3" t="s">
        <v>12</v>
      </c>
      <c r="F12" s="3">
        <v>1E-3</v>
      </c>
      <c r="G12" s="74">
        <f>F12*VLOOKUP(D12,GWPs!$B$3:$C$6,2,FALSE)</f>
        <v>0.26500000000000001</v>
      </c>
      <c r="H12" s="3">
        <v>0</v>
      </c>
      <c r="I12" s="74">
        <f>H12*VLOOKUP(D12,GWPs!$B$3:$C$6,2,FALSE)</f>
        <v>0</v>
      </c>
      <c r="J12" s="3">
        <v>1E-3</v>
      </c>
      <c r="K12" s="74">
        <f>J12*VLOOKUP(D12,GWPs!$B$3:$C$6,2,FALSE)</f>
        <v>0.26500000000000001</v>
      </c>
      <c r="M12" s="3">
        <v>4</v>
      </c>
      <c r="N12" s="3">
        <v>2</v>
      </c>
      <c r="O12" s="3">
        <v>1</v>
      </c>
      <c r="P12" s="3">
        <v>4</v>
      </c>
      <c r="Q12" s="3">
        <v>1</v>
      </c>
      <c r="T12" s="70" t="s">
        <v>478</v>
      </c>
      <c r="U12" s="70">
        <v>0.48399999999999999</v>
      </c>
      <c r="X12" s="70" t="s">
        <v>478</v>
      </c>
      <c r="Y12" s="70">
        <v>0.40400000000000003</v>
      </c>
      <c r="AA12" s="70" t="s">
        <v>478</v>
      </c>
      <c r="AB12" s="406">
        <v>5.1999999999999998E-2</v>
      </c>
    </row>
    <row r="13" spans="1:29">
      <c r="A13" t="s">
        <v>1429</v>
      </c>
      <c r="B13" s="3" t="s">
        <v>314</v>
      </c>
      <c r="C13" s="3" t="s">
        <v>315</v>
      </c>
      <c r="D13" s="3" t="s">
        <v>15</v>
      </c>
      <c r="E13" s="3" t="s">
        <v>16</v>
      </c>
      <c r="F13" s="3">
        <v>3.0000000000000001E-3</v>
      </c>
      <c r="G13" s="74">
        <f>F13*VLOOKUP(D13,GWPs!$B$3:$C$6,2,FALSE)</f>
        <v>3.0000000000000001E-3</v>
      </c>
      <c r="H13" s="3">
        <v>0</v>
      </c>
      <c r="I13" s="74">
        <f>H13*VLOOKUP(D13,GWPs!$B$3:$C$6,2,FALSE)</f>
        <v>0</v>
      </c>
      <c r="J13" s="3">
        <v>3.0000000000000001E-3</v>
      </c>
      <c r="K13" s="74">
        <f>J13*VLOOKUP(D13,GWPs!$B$3:$C$6,2,FALSE)</f>
        <v>3.0000000000000001E-3</v>
      </c>
      <c r="M13" s="3">
        <v>4</v>
      </c>
      <c r="N13" s="3">
        <v>2</v>
      </c>
      <c r="O13" s="3">
        <v>1</v>
      </c>
      <c r="P13" s="3">
        <v>4</v>
      </c>
      <c r="Q13" s="3">
        <v>1</v>
      </c>
      <c r="T13" s="70" t="s">
        <v>1065</v>
      </c>
      <c r="U13" s="70">
        <v>0.18</v>
      </c>
      <c r="X13" s="70" t="s">
        <v>1065</v>
      </c>
      <c r="Y13" s="70">
        <v>0.18</v>
      </c>
      <c r="AA13" s="70" t="s">
        <v>1065</v>
      </c>
      <c r="AB13" s="406">
        <v>0</v>
      </c>
    </row>
    <row r="14" spans="1:29">
      <c r="A14" t="s">
        <v>1429</v>
      </c>
      <c r="B14" s="3" t="s">
        <v>316</v>
      </c>
      <c r="C14" s="3" t="s">
        <v>317</v>
      </c>
      <c r="D14" s="3" t="s">
        <v>11</v>
      </c>
      <c r="E14" s="3" t="s">
        <v>12</v>
      </c>
      <c r="F14" s="3">
        <v>0.18</v>
      </c>
      <c r="G14" s="74">
        <f>F14*VLOOKUP(D14,GWPs!$B$3:$C$6,2,FALSE)</f>
        <v>0.18</v>
      </c>
      <c r="H14" s="3">
        <v>0.106</v>
      </c>
      <c r="I14" s="74">
        <f>H14*VLOOKUP(D14,GWPs!$B$3:$C$6,2,FALSE)</f>
        <v>0.106</v>
      </c>
      <c r="J14" s="3">
        <v>0.28499999999999998</v>
      </c>
      <c r="K14" s="74">
        <f>J14*VLOOKUP(D14,GWPs!$B$3:$C$6,2,FALSE)</f>
        <v>0.28499999999999998</v>
      </c>
      <c r="M14" s="3">
        <v>4</v>
      </c>
      <c r="N14" s="3">
        <v>2</v>
      </c>
      <c r="O14" s="3">
        <v>1</v>
      </c>
      <c r="P14" s="3">
        <v>4</v>
      </c>
      <c r="Q14" s="3">
        <v>1</v>
      </c>
      <c r="T14" s="70" t="s">
        <v>428</v>
      </c>
      <c r="U14" s="70">
        <v>0.25</v>
      </c>
      <c r="X14" s="70" t="s">
        <v>428</v>
      </c>
      <c r="Y14" s="70">
        <v>0.21099999999999999</v>
      </c>
      <c r="AA14" s="70" t="s">
        <v>428</v>
      </c>
      <c r="AB14" s="406">
        <v>3.7999999999999999E-2</v>
      </c>
    </row>
    <row r="15" spans="1:29">
      <c r="A15" t="s">
        <v>1429</v>
      </c>
      <c r="B15" s="3" t="s">
        <v>316</v>
      </c>
      <c r="C15" s="3" t="s">
        <v>317</v>
      </c>
      <c r="D15" s="3" t="s">
        <v>13</v>
      </c>
      <c r="E15" s="3" t="s">
        <v>12</v>
      </c>
      <c r="F15" s="3">
        <v>1E-3</v>
      </c>
      <c r="G15" s="74">
        <f>F15*VLOOKUP(D15,GWPs!$B$3:$C$6,2,FALSE)</f>
        <v>2.8000000000000001E-2</v>
      </c>
      <c r="H15" s="3">
        <v>1E-3</v>
      </c>
      <c r="I15" s="74">
        <f>H15*VLOOKUP(D15,GWPs!$B$3:$C$6,2,FALSE)</f>
        <v>2.8000000000000001E-2</v>
      </c>
      <c r="J15" s="3">
        <v>1E-3</v>
      </c>
      <c r="K15" s="74">
        <f>J15*VLOOKUP(D15,GWPs!$B$3:$C$6,2,FALSE)</f>
        <v>2.8000000000000001E-2</v>
      </c>
      <c r="M15" s="3">
        <v>4</v>
      </c>
      <c r="N15" s="3">
        <v>2</v>
      </c>
      <c r="O15" s="3">
        <v>1</v>
      </c>
      <c r="P15" s="3">
        <v>1</v>
      </c>
      <c r="Q15" s="3">
        <v>1</v>
      </c>
      <c r="T15" s="70" t="s">
        <v>596</v>
      </c>
      <c r="U15" s="70">
        <v>0.27900000000000003</v>
      </c>
      <c r="X15" s="70" t="s">
        <v>596</v>
      </c>
      <c r="Y15" s="70">
        <v>0.26700000000000002</v>
      </c>
      <c r="AA15" s="70" t="s">
        <v>596</v>
      </c>
      <c r="AB15" s="406">
        <v>1.0999999999999999E-2</v>
      </c>
    </row>
    <row r="16" spans="1:29">
      <c r="A16" t="s">
        <v>1429</v>
      </c>
      <c r="B16" s="3" t="s">
        <v>316</v>
      </c>
      <c r="C16" s="3" t="s">
        <v>317</v>
      </c>
      <c r="D16" s="3" t="s">
        <v>14</v>
      </c>
      <c r="E16" s="3" t="s">
        <v>12</v>
      </c>
      <c r="F16" s="3">
        <v>1E-3</v>
      </c>
      <c r="G16" s="74">
        <f>F16*VLOOKUP(D16,GWPs!$B$3:$C$6,2,FALSE)</f>
        <v>0.26500000000000001</v>
      </c>
      <c r="H16" s="3">
        <v>0</v>
      </c>
      <c r="I16" s="74">
        <f>H16*VLOOKUP(D16,GWPs!$B$3:$C$6,2,FALSE)</f>
        <v>0</v>
      </c>
      <c r="J16" s="3">
        <v>1E-3</v>
      </c>
      <c r="K16" s="74">
        <f>J16*VLOOKUP(D16,GWPs!$B$3:$C$6,2,FALSE)</f>
        <v>0.26500000000000001</v>
      </c>
      <c r="M16" s="3">
        <v>4</v>
      </c>
      <c r="N16" s="3">
        <v>2</v>
      </c>
      <c r="O16" s="3">
        <v>1</v>
      </c>
      <c r="P16" s="3">
        <v>4</v>
      </c>
      <c r="Q16" s="3">
        <v>1</v>
      </c>
      <c r="T16" s="70" t="s">
        <v>904</v>
      </c>
      <c r="U16" s="70">
        <v>0.192</v>
      </c>
      <c r="X16" s="70" t="s">
        <v>904</v>
      </c>
      <c r="Y16" s="70">
        <v>0.192</v>
      </c>
      <c r="AA16" s="70" t="s">
        <v>904</v>
      </c>
      <c r="AB16" s="406">
        <v>0</v>
      </c>
    </row>
    <row r="17" spans="1:28">
      <c r="A17" t="s">
        <v>1429</v>
      </c>
      <c r="B17" s="3" t="s">
        <v>316</v>
      </c>
      <c r="C17" s="3" t="s">
        <v>317</v>
      </c>
      <c r="D17" s="3" t="s">
        <v>15</v>
      </c>
      <c r="E17" s="3" t="s">
        <v>16</v>
      </c>
      <c r="F17" s="3">
        <v>2E-3</v>
      </c>
      <c r="G17" s="74">
        <f>F17*VLOOKUP(D17,GWPs!$B$3:$C$6,2,FALSE)</f>
        <v>2E-3</v>
      </c>
      <c r="H17" s="3">
        <v>0</v>
      </c>
      <c r="I17" s="74">
        <f>H17*VLOOKUP(D17,GWPs!$B$3:$C$6,2,FALSE)</f>
        <v>0</v>
      </c>
      <c r="J17" s="3">
        <v>2E-3</v>
      </c>
      <c r="K17" s="74">
        <f>J17*VLOOKUP(D17,GWPs!$B$3:$C$6,2,FALSE)</f>
        <v>2E-3</v>
      </c>
      <c r="M17" s="3">
        <v>3</v>
      </c>
      <c r="N17" s="3">
        <v>2</v>
      </c>
      <c r="O17" s="3">
        <v>1</v>
      </c>
      <c r="P17" s="3">
        <v>4</v>
      </c>
      <c r="Q17" s="3">
        <v>1</v>
      </c>
      <c r="T17" s="70" t="s">
        <v>578</v>
      </c>
      <c r="U17" s="70">
        <v>0.85300000000000009</v>
      </c>
      <c r="X17" s="70" t="s">
        <v>578</v>
      </c>
      <c r="Y17" s="70">
        <v>0.82600000000000007</v>
      </c>
      <c r="AA17" s="70" t="s">
        <v>578</v>
      </c>
      <c r="AB17" s="406">
        <v>2.7E-2</v>
      </c>
    </row>
    <row r="18" spans="1:28">
      <c r="A18" t="s">
        <v>1429</v>
      </c>
      <c r="B18" s="3" t="s">
        <v>318</v>
      </c>
      <c r="C18" s="3" t="s">
        <v>319</v>
      </c>
      <c r="D18" s="3" t="s">
        <v>11</v>
      </c>
      <c r="E18" s="3" t="s">
        <v>12</v>
      </c>
      <c r="F18" s="3">
        <v>0.26600000000000001</v>
      </c>
      <c r="G18" s="74">
        <f>F18*VLOOKUP(D18,GWPs!$B$3:$C$6,2,FALSE)</f>
        <v>0.26600000000000001</v>
      </c>
      <c r="H18" s="3">
        <v>8.3000000000000004E-2</v>
      </c>
      <c r="I18" s="74">
        <f>H18*VLOOKUP(D18,GWPs!$B$3:$C$6,2,FALSE)</f>
        <v>8.3000000000000004E-2</v>
      </c>
      <c r="J18" s="3">
        <v>0.34899999999999998</v>
      </c>
      <c r="K18" s="74">
        <f>J18*VLOOKUP(D18,GWPs!$B$3:$C$6,2,FALSE)</f>
        <v>0.34899999999999998</v>
      </c>
      <c r="M18" s="3">
        <v>4</v>
      </c>
      <c r="N18" s="3">
        <v>2</v>
      </c>
      <c r="O18" s="3">
        <v>1</v>
      </c>
      <c r="P18" s="3">
        <v>4</v>
      </c>
      <c r="Q18" s="3">
        <v>1</v>
      </c>
      <c r="T18" s="70" t="s">
        <v>580</v>
      </c>
      <c r="U18" s="70">
        <v>0.55500000000000005</v>
      </c>
      <c r="X18" s="70" t="s">
        <v>580</v>
      </c>
      <c r="Y18" s="70">
        <v>0.505</v>
      </c>
      <c r="AA18" s="70" t="s">
        <v>580</v>
      </c>
      <c r="AB18" s="406">
        <v>2.1999999999999999E-2</v>
      </c>
    </row>
    <row r="19" spans="1:28">
      <c r="A19" t="s">
        <v>1429</v>
      </c>
      <c r="B19" s="3" t="s">
        <v>318</v>
      </c>
      <c r="C19" s="3" t="s">
        <v>319</v>
      </c>
      <c r="D19" s="3" t="s">
        <v>13</v>
      </c>
      <c r="E19" s="3" t="s">
        <v>12</v>
      </c>
      <c r="F19" s="3">
        <v>1E-3</v>
      </c>
      <c r="G19" s="74">
        <f>F19*VLOOKUP(D19,GWPs!$B$3:$C$6,2,FALSE)</f>
        <v>2.8000000000000001E-2</v>
      </c>
      <c r="H19" s="3">
        <v>1E-3</v>
      </c>
      <c r="I19" s="74">
        <f>H19*VLOOKUP(D19,GWPs!$B$3:$C$6,2,FALSE)</f>
        <v>2.8000000000000001E-2</v>
      </c>
      <c r="J19" s="3">
        <v>1E-3</v>
      </c>
      <c r="K19" s="74">
        <f>J19*VLOOKUP(D19,GWPs!$B$3:$C$6,2,FALSE)</f>
        <v>2.8000000000000001E-2</v>
      </c>
      <c r="M19" s="3">
        <v>4</v>
      </c>
      <c r="N19" s="3">
        <v>2</v>
      </c>
      <c r="O19" s="3">
        <v>1</v>
      </c>
      <c r="P19" s="3">
        <v>1</v>
      </c>
      <c r="Q19" s="3">
        <v>1</v>
      </c>
      <c r="T19" s="70" t="s">
        <v>1030</v>
      </c>
      <c r="U19" s="70">
        <v>0.193</v>
      </c>
      <c r="X19" s="70" t="s">
        <v>1030</v>
      </c>
      <c r="Y19" s="70">
        <v>0.193</v>
      </c>
      <c r="AA19" s="70" t="s">
        <v>1030</v>
      </c>
      <c r="AB19" s="406">
        <v>0</v>
      </c>
    </row>
    <row r="20" spans="1:28">
      <c r="A20" t="s">
        <v>1429</v>
      </c>
      <c r="B20" s="3" t="s">
        <v>318</v>
      </c>
      <c r="C20" s="3" t="s">
        <v>319</v>
      </c>
      <c r="D20" s="3" t="s">
        <v>14</v>
      </c>
      <c r="E20" s="3" t="s">
        <v>12</v>
      </c>
      <c r="F20" s="3">
        <v>0</v>
      </c>
      <c r="G20" s="74">
        <f>F20*VLOOKUP(D20,GWPs!$B$3:$C$6,2,FALSE)</f>
        <v>0</v>
      </c>
      <c r="H20" s="3">
        <v>0</v>
      </c>
      <c r="I20" s="74">
        <f>H20*VLOOKUP(D20,GWPs!$B$3:$C$6,2,FALSE)</f>
        <v>0</v>
      </c>
      <c r="J20" s="3">
        <v>0</v>
      </c>
      <c r="K20" s="74">
        <f>J20*VLOOKUP(D20,GWPs!$B$3:$C$6,2,FALSE)</f>
        <v>0</v>
      </c>
      <c r="M20" s="3">
        <v>4</v>
      </c>
      <c r="N20" s="3">
        <v>2</v>
      </c>
      <c r="O20" s="3">
        <v>1</v>
      </c>
      <c r="P20" s="3">
        <v>4</v>
      </c>
      <c r="Q20" s="3">
        <v>1</v>
      </c>
      <c r="T20" s="70" t="s">
        <v>630</v>
      </c>
      <c r="U20" s="70">
        <v>0.34400000000000003</v>
      </c>
      <c r="X20" s="70" t="s">
        <v>630</v>
      </c>
      <c r="Y20" s="70">
        <v>0.23400000000000001</v>
      </c>
      <c r="AA20" s="70" t="s">
        <v>630</v>
      </c>
      <c r="AB20" s="406">
        <v>0.13900000000000001</v>
      </c>
    </row>
    <row r="21" spans="1:28">
      <c r="A21" t="s">
        <v>1429</v>
      </c>
      <c r="B21" s="3" t="s">
        <v>318</v>
      </c>
      <c r="C21" s="3" t="s">
        <v>319</v>
      </c>
      <c r="D21" s="3" t="s">
        <v>15</v>
      </c>
      <c r="E21" s="3" t="s">
        <v>16</v>
      </c>
      <c r="F21" s="3">
        <v>2E-3</v>
      </c>
      <c r="G21" s="74">
        <f>F21*VLOOKUP(D21,GWPs!$B$3:$C$6,2,FALSE)</f>
        <v>2E-3</v>
      </c>
      <c r="H21" s="3">
        <v>0</v>
      </c>
      <c r="I21" s="74">
        <f>H21*VLOOKUP(D21,GWPs!$B$3:$C$6,2,FALSE)</f>
        <v>0</v>
      </c>
      <c r="J21" s="3">
        <v>2E-3</v>
      </c>
      <c r="K21" s="74">
        <f>J21*VLOOKUP(D21,GWPs!$B$3:$C$6,2,FALSE)</f>
        <v>2E-3</v>
      </c>
      <c r="M21" s="3">
        <v>4</v>
      </c>
      <c r="N21" s="3">
        <v>2</v>
      </c>
      <c r="O21" s="3">
        <v>1</v>
      </c>
      <c r="P21" s="3">
        <v>4</v>
      </c>
      <c r="Q21" s="3">
        <v>1</v>
      </c>
      <c r="T21" s="70" t="s">
        <v>1053</v>
      </c>
      <c r="U21" s="70">
        <v>0.16900000000000001</v>
      </c>
      <c r="X21" s="70" t="s">
        <v>1053</v>
      </c>
      <c r="Y21" s="70">
        <v>0.16900000000000001</v>
      </c>
      <c r="AA21" s="70" t="s">
        <v>1053</v>
      </c>
      <c r="AB21" s="406">
        <v>0</v>
      </c>
    </row>
    <row r="22" spans="1:28">
      <c r="A22" t="s">
        <v>1429</v>
      </c>
      <c r="B22" s="3" t="s">
        <v>320</v>
      </c>
      <c r="C22" s="3" t="s">
        <v>321</v>
      </c>
      <c r="D22" s="3" t="s">
        <v>11</v>
      </c>
      <c r="E22" s="3" t="s">
        <v>12</v>
      </c>
      <c r="F22" s="3">
        <v>0.27800000000000002</v>
      </c>
      <c r="G22" s="74">
        <f>F22*VLOOKUP(D22,GWPs!$B$3:$C$6,2,FALSE)</f>
        <v>0.27800000000000002</v>
      </c>
      <c r="H22" s="3">
        <v>6.6000000000000003E-2</v>
      </c>
      <c r="I22" s="74">
        <f>H22*VLOOKUP(D22,GWPs!$B$3:$C$6,2,FALSE)</f>
        <v>6.6000000000000003E-2</v>
      </c>
      <c r="J22" s="3">
        <v>0.34499999999999997</v>
      </c>
      <c r="K22" s="74">
        <f>J22*VLOOKUP(D22,GWPs!$B$3:$C$6,2,FALSE)</f>
        <v>0.34499999999999997</v>
      </c>
      <c r="M22" s="3">
        <v>3</v>
      </c>
      <c r="N22" s="3">
        <v>2</v>
      </c>
      <c r="O22" s="3">
        <v>1</v>
      </c>
      <c r="P22" s="3">
        <v>4</v>
      </c>
      <c r="Q22" s="3">
        <v>1</v>
      </c>
      <c r="T22" s="70" t="s">
        <v>720</v>
      </c>
      <c r="U22" s="70">
        <v>7.6999999999999999E-2</v>
      </c>
      <c r="X22" s="70" t="s">
        <v>720</v>
      </c>
      <c r="Y22" s="70">
        <v>4.8000000000000001E-2</v>
      </c>
      <c r="AA22" s="70" t="s">
        <v>720</v>
      </c>
      <c r="AB22" s="406">
        <v>2.8000000000000001E-2</v>
      </c>
    </row>
    <row r="23" spans="1:28">
      <c r="A23" t="s">
        <v>1429</v>
      </c>
      <c r="B23" s="3" t="s">
        <v>320</v>
      </c>
      <c r="C23" s="3" t="s">
        <v>321</v>
      </c>
      <c r="D23" s="3" t="s">
        <v>13</v>
      </c>
      <c r="E23" s="3" t="s">
        <v>12</v>
      </c>
      <c r="F23" s="3">
        <v>1E-3</v>
      </c>
      <c r="G23" s="74">
        <f>F23*VLOOKUP(D23,GWPs!$B$3:$C$6,2,FALSE)</f>
        <v>2.8000000000000001E-2</v>
      </c>
      <c r="H23" s="3">
        <v>1E-3</v>
      </c>
      <c r="I23" s="74">
        <f>H23*VLOOKUP(D23,GWPs!$B$3:$C$6,2,FALSE)</f>
        <v>2.8000000000000001E-2</v>
      </c>
      <c r="J23" s="3">
        <v>2E-3</v>
      </c>
      <c r="K23" s="74">
        <f>J23*VLOOKUP(D23,GWPs!$B$3:$C$6,2,FALSE)</f>
        <v>5.6000000000000001E-2</v>
      </c>
      <c r="M23" s="3">
        <v>4</v>
      </c>
      <c r="N23" s="3">
        <v>2</v>
      </c>
      <c r="O23" s="3">
        <v>1</v>
      </c>
      <c r="P23" s="3">
        <v>1</v>
      </c>
      <c r="Q23" s="3">
        <v>1</v>
      </c>
      <c r="T23" s="70" t="s">
        <v>329</v>
      </c>
      <c r="U23" s="70">
        <v>1.494</v>
      </c>
      <c r="X23" s="70" t="s">
        <v>329</v>
      </c>
      <c r="Y23" s="70">
        <v>1.4019999999999999</v>
      </c>
      <c r="AA23" s="70" t="s">
        <v>329</v>
      </c>
      <c r="AB23" s="406">
        <v>9.1999999999999998E-2</v>
      </c>
    </row>
    <row r="24" spans="1:28">
      <c r="A24" t="s">
        <v>1429</v>
      </c>
      <c r="B24" s="3" t="s">
        <v>320</v>
      </c>
      <c r="C24" s="3" t="s">
        <v>321</v>
      </c>
      <c r="D24" s="3" t="s">
        <v>14</v>
      </c>
      <c r="E24" s="3" t="s">
        <v>12</v>
      </c>
      <c r="F24" s="3">
        <v>2E-3</v>
      </c>
      <c r="G24" s="74">
        <f>F24*VLOOKUP(D24,GWPs!$B$3:$C$6,2,FALSE)</f>
        <v>0.53</v>
      </c>
      <c r="H24" s="3">
        <v>0</v>
      </c>
      <c r="I24" s="74">
        <f>H24*VLOOKUP(D24,GWPs!$B$3:$C$6,2,FALSE)</f>
        <v>0</v>
      </c>
      <c r="J24" s="3">
        <v>2E-3</v>
      </c>
      <c r="K24" s="74">
        <f>J24*VLOOKUP(D24,GWPs!$B$3:$C$6,2,FALSE)</f>
        <v>0.53</v>
      </c>
      <c r="M24" s="3">
        <v>4</v>
      </c>
      <c r="N24" s="3">
        <v>2</v>
      </c>
      <c r="O24" s="3">
        <v>1</v>
      </c>
      <c r="P24" s="3">
        <v>4</v>
      </c>
      <c r="Q24" s="3">
        <v>1</v>
      </c>
      <c r="T24" s="70" t="s">
        <v>968</v>
      </c>
      <c r="U24" s="70">
        <v>0.15</v>
      </c>
      <c r="X24" s="70" t="s">
        <v>968</v>
      </c>
      <c r="Y24" s="70">
        <v>0.15</v>
      </c>
      <c r="AA24" s="70" t="s">
        <v>968</v>
      </c>
      <c r="AB24" s="406">
        <v>0</v>
      </c>
    </row>
    <row r="25" spans="1:28">
      <c r="A25" t="s">
        <v>1429</v>
      </c>
      <c r="B25" s="3" t="s">
        <v>320</v>
      </c>
      <c r="C25" s="3" t="s">
        <v>321</v>
      </c>
      <c r="D25" s="3" t="s">
        <v>15</v>
      </c>
      <c r="E25" s="3" t="s">
        <v>16</v>
      </c>
      <c r="F25" s="3">
        <v>3.0000000000000001E-3</v>
      </c>
      <c r="G25" s="74">
        <f>F25*VLOOKUP(D25,GWPs!$B$3:$C$6,2,FALSE)</f>
        <v>3.0000000000000001E-3</v>
      </c>
      <c r="H25" s="3">
        <v>0</v>
      </c>
      <c r="I25" s="74">
        <f>H25*VLOOKUP(D25,GWPs!$B$3:$C$6,2,FALSE)</f>
        <v>0</v>
      </c>
      <c r="J25" s="3">
        <v>3.0000000000000001E-3</v>
      </c>
      <c r="K25" s="74">
        <f>J25*VLOOKUP(D25,GWPs!$B$3:$C$6,2,FALSE)</f>
        <v>3.0000000000000001E-3</v>
      </c>
      <c r="M25" s="3">
        <v>4</v>
      </c>
      <c r="N25" s="3">
        <v>2</v>
      </c>
      <c r="O25" s="3">
        <v>1</v>
      </c>
      <c r="P25" s="3">
        <v>4</v>
      </c>
      <c r="Q25" s="3">
        <v>1</v>
      </c>
      <c r="T25" s="70" t="s">
        <v>486</v>
      </c>
      <c r="U25" s="70">
        <v>1.1639999999999999</v>
      </c>
      <c r="X25" s="70" t="s">
        <v>486</v>
      </c>
      <c r="Y25" s="70">
        <v>1.131</v>
      </c>
      <c r="AA25" s="70" t="s">
        <v>486</v>
      </c>
      <c r="AB25" s="406">
        <v>3.3000000000000002E-2</v>
      </c>
    </row>
    <row r="26" spans="1:28">
      <c r="A26" t="s">
        <v>1429</v>
      </c>
      <c r="B26" s="3" t="s">
        <v>322</v>
      </c>
      <c r="C26" s="3" t="s">
        <v>323</v>
      </c>
      <c r="D26" s="3" t="s">
        <v>11</v>
      </c>
      <c r="E26" s="3" t="s">
        <v>12</v>
      </c>
      <c r="F26" s="3">
        <v>0.439</v>
      </c>
      <c r="G26" s="74">
        <f>F26*VLOOKUP(D26,GWPs!$B$3:$C$6,2,FALSE)</f>
        <v>0.439</v>
      </c>
      <c r="H26" s="3">
        <v>5.0999999999999997E-2</v>
      </c>
      <c r="I26" s="74">
        <f>H26*VLOOKUP(D26,GWPs!$B$3:$C$6,2,FALSE)</f>
        <v>5.0999999999999997E-2</v>
      </c>
      <c r="J26" s="3">
        <v>0.49099999999999999</v>
      </c>
      <c r="K26" s="74">
        <f>J26*VLOOKUP(D26,GWPs!$B$3:$C$6,2,FALSE)</f>
        <v>0.49099999999999999</v>
      </c>
      <c r="M26" s="3">
        <v>3</v>
      </c>
      <c r="N26" s="3">
        <v>2</v>
      </c>
      <c r="O26" s="3">
        <v>1</v>
      </c>
      <c r="P26" s="3">
        <v>4</v>
      </c>
      <c r="Q26" s="3">
        <v>1</v>
      </c>
      <c r="T26" s="70" t="s">
        <v>488</v>
      </c>
      <c r="U26" s="70">
        <v>0.83099999999999996</v>
      </c>
      <c r="X26" s="70" t="s">
        <v>488</v>
      </c>
      <c r="Y26" s="70">
        <v>0.80100000000000005</v>
      </c>
      <c r="AA26" s="70" t="s">
        <v>488</v>
      </c>
      <c r="AB26" s="406">
        <v>0.03</v>
      </c>
    </row>
    <row r="27" spans="1:28">
      <c r="A27" t="s">
        <v>1429</v>
      </c>
      <c r="B27" s="3" t="s">
        <v>322</v>
      </c>
      <c r="C27" s="3" t="s">
        <v>323</v>
      </c>
      <c r="D27" s="3" t="s">
        <v>13</v>
      </c>
      <c r="E27" s="3" t="s">
        <v>12</v>
      </c>
      <c r="F27" s="3">
        <v>6.7000000000000004E-2</v>
      </c>
      <c r="G27" s="74">
        <f>F27*VLOOKUP(D27,GWPs!$B$3:$C$6,2,FALSE)</f>
        <v>1.8760000000000001</v>
      </c>
      <c r="H27" s="3">
        <v>1E-3</v>
      </c>
      <c r="I27" s="74">
        <f>H27*VLOOKUP(D27,GWPs!$B$3:$C$6,2,FALSE)</f>
        <v>2.8000000000000001E-2</v>
      </c>
      <c r="J27" s="3">
        <v>6.7000000000000004E-2</v>
      </c>
      <c r="K27" s="74">
        <f>J27*VLOOKUP(D27,GWPs!$B$3:$C$6,2,FALSE)</f>
        <v>1.8760000000000001</v>
      </c>
      <c r="M27" s="3">
        <v>3</v>
      </c>
      <c r="N27" s="3">
        <v>2</v>
      </c>
      <c r="O27" s="3">
        <v>1</v>
      </c>
      <c r="P27" s="3">
        <v>1</v>
      </c>
      <c r="Q27" s="3">
        <v>1</v>
      </c>
      <c r="T27" s="70" t="s">
        <v>700</v>
      </c>
      <c r="U27" s="70">
        <v>1.244</v>
      </c>
      <c r="X27" s="70" t="s">
        <v>700</v>
      </c>
      <c r="Y27" s="70">
        <v>6.8000000000000005E-2</v>
      </c>
      <c r="AA27" s="70" t="s">
        <v>700</v>
      </c>
      <c r="AB27" s="406">
        <v>1.1760000000000002</v>
      </c>
    </row>
    <row r="28" spans="1:28">
      <c r="A28" t="s">
        <v>1429</v>
      </c>
      <c r="B28" s="3" t="s">
        <v>322</v>
      </c>
      <c r="C28" s="3" t="s">
        <v>323</v>
      </c>
      <c r="D28" s="3" t="s">
        <v>14</v>
      </c>
      <c r="E28" s="3" t="s">
        <v>12</v>
      </c>
      <c r="F28" s="3">
        <v>1E-3</v>
      </c>
      <c r="G28" s="74">
        <f>F28*VLOOKUP(D28,GWPs!$B$3:$C$6,2,FALSE)</f>
        <v>0.26500000000000001</v>
      </c>
      <c r="H28" s="3">
        <v>0</v>
      </c>
      <c r="I28" s="74">
        <f>H28*VLOOKUP(D28,GWPs!$B$3:$C$6,2,FALSE)</f>
        <v>0</v>
      </c>
      <c r="J28" s="3">
        <v>1E-3</v>
      </c>
      <c r="K28" s="74">
        <f>J28*VLOOKUP(D28,GWPs!$B$3:$C$6,2,FALSE)</f>
        <v>0.26500000000000001</v>
      </c>
      <c r="M28" s="3">
        <v>4</v>
      </c>
      <c r="N28" s="3">
        <v>2</v>
      </c>
      <c r="O28" s="3">
        <v>1</v>
      </c>
      <c r="P28" s="3">
        <v>3</v>
      </c>
      <c r="Q28" s="3">
        <v>1</v>
      </c>
      <c r="T28" s="70" t="s">
        <v>712</v>
      </c>
      <c r="U28" s="70">
        <v>7.8E-2</v>
      </c>
      <c r="X28" s="70" t="s">
        <v>712</v>
      </c>
      <c r="Y28" s="70">
        <v>6.2E-2</v>
      </c>
      <c r="AA28" s="70" t="s">
        <v>712</v>
      </c>
      <c r="AB28" s="406">
        <v>1.6E-2</v>
      </c>
    </row>
    <row r="29" spans="1:28">
      <c r="A29" t="s">
        <v>1429</v>
      </c>
      <c r="B29" s="3" t="s">
        <v>322</v>
      </c>
      <c r="C29" s="3" t="s">
        <v>323</v>
      </c>
      <c r="D29" s="3" t="s">
        <v>15</v>
      </c>
      <c r="E29" s="3" t="s">
        <v>16</v>
      </c>
      <c r="F29" s="3">
        <v>4.0000000000000001E-3</v>
      </c>
      <c r="G29" s="74">
        <f>F29*VLOOKUP(D29,GWPs!$B$3:$C$6,2,FALSE)</f>
        <v>4.0000000000000001E-3</v>
      </c>
      <c r="H29" s="3">
        <v>0</v>
      </c>
      <c r="I29" s="74">
        <f>H29*VLOOKUP(D29,GWPs!$B$3:$C$6,2,FALSE)</f>
        <v>0</v>
      </c>
      <c r="J29" s="3">
        <v>4.0000000000000001E-3</v>
      </c>
      <c r="K29" s="74">
        <f>J29*VLOOKUP(D29,GWPs!$B$3:$C$6,2,FALSE)</f>
        <v>4.0000000000000001E-3</v>
      </c>
      <c r="M29" s="3">
        <v>4</v>
      </c>
      <c r="N29" s="3">
        <v>2</v>
      </c>
      <c r="O29" s="3">
        <v>1</v>
      </c>
      <c r="P29" s="3">
        <v>4</v>
      </c>
      <c r="Q29" s="3">
        <v>1</v>
      </c>
      <c r="T29" s="70" t="s">
        <v>762</v>
      </c>
      <c r="U29" s="70">
        <v>0.44800000000000001</v>
      </c>
      <c r="X29" s="70" t="s">
        <v>762</v>
      </c>
      <c r="Y29" s="70">
        <v>0.25800000000000001</v>
      </c>
      <c r="AA29" s="70" t="s">
        <v>762</v>
      </c>
      <c r="AB29" s="406">
        <v>0.19</v>
      </c>
    </row>
    <row r="30" spans="1:28">
      <c r="A30" t="s">
        <v>1429</v>
      </c>
      <c r="B30" s="3" t="s">
        <v>324</v>
      </c>
      <c r="C30" s="3" t="s">
        <v>325</v>
      </c>
      <c r="D30" s="3" t="s">
        <v>11</v>
      </c>
      <c r="E30" s="3" t="s">
        <v>12</v>
      </c>
      <c r="F30" s="3">
        <v>0.52800000000000002</v>
      </c>
      <c r="G30" s="74">
        <f>F30*VLOOKUP(D30,GWPs!$B$3:$C$6,2,FALSE)</f>
        <v>0.52800000000000002</v>
      </c>
      <c r="H30" s="3">
        <v>5.0999999999999997E-2</v>
      </c>
      <c r="I30" s="74">
        <f>H30*VLOOKUP(D30,GWPs!$B$3:$C$6,2,FALSE)</f>
        <v>5.0999999999999997E-2</v>
      </c>
      <c r="J30" s="3">
        <v>0.57899999999999996</v>
      </c>
      <c r="K30" s="74">
        <f>J30*VLOOKUP(D30,GWPs!$B$3:$C$6,2,FALSE)</f>
        <v>0.57899999999999996</v>
      </c>
      <c r="M30" s="3">
        <v>4</v>
      </c>
      <c r="N30" s="3">
        <v>2</v>
      </c>
      <c r="O30" s="3">
        <v>1</v>
      </c>
      <c r="P30" s="3">
        <v>4</v>
      </c>
      <c r="Q30" s="3">
        <v>1</v>
      </c>
      <c r="T30" s="70" t="s">
        <v>624</v>
      </c>
      <c r="U30" s="70">
        <v>0.35700000000000004</v>
      </c>
      <c r="X30" s="70" t="s">
        <v>624</v>
      </c>
      <c r="Y30" s="70">
        <v>0.30300000000000005</v>
      </c>
      <c r="AA30" s="70" t="s">
        <v>624</v>
      </c>
      <c r="AB30" s="406">
        <v>5.3999999999999999E-2</v>
      </c>
    </row>
    <row r="31" spans="1:28">
      <c r="A31" t="s">
        <v>1429</v>
      </c>
      <c r="B31" s="3" t="s">
        <v>324</v>
      </c>
      <c r="C31" s="3" t="s">
        <v>325</v>
      </c>
      <c r="D31" s="3" t="s">
        <v>13</v>
      </c>
      <c r="E31" s="3" t="s">
        <v>12</v>
      </c>
      <c r="F31" s="3">
        <v>7.8E-2</v>
      </c>
      <c r="G31" s="74">
        <f>F31*VLOOKUP(D31,GWPs!$B$3:$C$6,2,FALSE)</f>
        <v>2.1840000000000002</v>
      </c>
      <c r="H31" s="3">
        <v>1E-3</v>
      </c>
      <c r="I31" s="74">
        <f>H31*VLOOKUP(D31,GWPs!$B$3:$C$6,2,FALSE)</f>
        <v>2.8000000000000001E-2</v>
      </c>
      <c r="J31" s="3">
        <v>7.9000000000000001E-2</v>
      </c>
      <c r="K31" s="74">
        <f>J31*VLOOKUP(D31,GWPs!$B$3:$C$6,2,FALSE)</f>
        <v>2.2120000000000002</v>
      </c>
      <c r="M31" s="3">
        <v>4</v>
      </c>
      <c r="N31" s="3">
        <v>2</v>
      </c>
      <c r="O31" s="3">
        <v>1</v>
      </c>
      <c r="P31" s="3">
        <v>1</v>
      </c>
      <c r="Q31" s="3">
        <v>1</v>
      </c>
      <c r="T31" s="70" t="s">
        <v>514</v>
      </c>
      <c r="U31" s="70">
        <v>0.16700000000000001</v>
      </c>
      <c r="X31" s="70" t="s">
        <v>514</v>
      </c>
      <c r="Y31" s="70">
        <v>9.9000000000000005E-2</v>
      </c>
      <c r="AA31" s="70" t="s">
        <v>514</v>
      </c>
      <c r="AB31" s="406">
        <v>0.04</v>
      </c>
    </row>
    <row r="32" spans="1:28">
      <c r="A32" t="s">
        <v>1429</v>
      </c>
      <c r="B32" s="3" t="s">
        <v>324</v>
      </c>
      <c r="C32" s="3" t="s">
        <v>325</v>
      </c>
      <c r="D32" s="3" t="s">
        <v>14</v>
      </c>
      <c r="E32" s="3" t="s">
        <v>12</v>
      </c>
      <c r="F32" s="3">
        <v>4.0000000000000001E-3</v>
      </c>
      <c r="G32" s="74">
        <f>F32*VLOOKUP(D32,GWPs!$B$3:$C$6,2,FALSE)</f>
        <v>1.06</v>
      </c>
      <c r="H32" s="3">
        <v>0</v>
      </c>
      <c r="I32" s="74">
        <f>H32*VLOOKUP(D32,GWPs!$B$3:$C$6,2,FALSE)</f>
        <v>0</v>
      </c>
      <c r="J32" s="3">
        <v>4.0000000000000001E-3</v>
      </c>
      <c r="K32" s="74">
        <f>J32*VLOOKUP(D32,GWPs!$B$3:$C$6,2,FALSE)</f>
        <v>1.06</v>
      </c>
      <c r="M32" s="3">
        <v>4</v>
      </c>
      <c r="N32" s="3">
        <v>2</v>
      </c>
      <c r="O32" s="3">
        <v>1</v>
      </c>
      <c r="P32" s="3">
        <v>4</v>
      </c>
      <c r="Q32" s="3">
        <v>1</v>
      </c>
      <c r="T32" s="70" t="s">
        <v>803</v>
      </c>
      <c r="U32" s="70">
        <v>0.27400000000000002</v>
      </c>
      <c r="X32" s="70" t="s">
        <v>803</v>
      </c>
      <c r="Y32" s="70">
        <v>0.20899999999999999</v>
      </c>
      <c r="AA32" s="70" t="s">
        <v>803</v>
      </c>
      <c r="AB32" s="406">
        <v>6.5000000000000002E-2</v>
      </c>
    </row>
    <row r="33" spans="1:28">
      <c r="A33" t="s">
        <v>1429</v>
      </c>
      <c r="B33" s="3" t="s">
        <v>324</v>
      </c>
      <c r="C33" s="3" t="s">
        <v>325</v>
      </c>
      <c r="D33" s="3" t="s">
        <v>15</v>
      </c>
      <c r="E33" s="3" t="s">
        <v>16</v>
      </c>
      <c r="F33" s="3">
        <v>3.0000000000000001E-3</v>
      </c>
      <c r="G33" s="74">
        <f>F33*VLOOKUP(D33,GWPs!$B$3:$C$6,2,FALSE)</f>
        <v>3.0000000000000001E-3</v>
      </c>
      <c r="H33" s="3">
        <v>0</v>
      </c>
      <c r="I33" s="74">
        <f>H33*VLOOKUP(D33,GWPs!$B$3:$C$6,2,FALSE)</f>
        <v>0</v>
      </c>
      <c r="J33" s="3">
        <v>3.0000000000000001E-3</v>
      </c>
      <c r="K33" s="74">
        <f>J33*VLOOKUP(D33,GWPs!$B$3:$C$6,2,FALSE)</f>
        <v>3.0000000000000001E-3</v>
      </c>
      <c r="M33" s="3">
        <v>4</v>
      </c>
      <c r="N33" s="3">
        <v>2</v>
      </c>
      <c r="O33" s="3">
        <v>1</v>
      </c>
      <c r="P33" s="3">
        <v>4</v>
      </c>
      <c r="Q33" s="3">
        <v>1</v>
      </c>
      <c r="T33" s="70" t="s">
        <v>910</v>
      </c>
      <c r="U33" s="70">
        <v>0.192</v>
      </c>
      <c r="X33" s="70" t="s">
        <v>910</v>
      </c>
      <c r="Y33" s="70">
        <v>9.4E-2</v>
      </c>
      <c r="AA33" s="70" t="s">
        <v>910</v>
      </c>
      <c r="AB33" s="406">
        <v>7.0000000000000007E-2</v>
      </c>
    </row>
    <row r="34" spans="1:28">
      <c r="A34" t="s">
        <v>1429</v>
      </c>
      <c r="B34" s="3" t="s">
        <v>326</v>
      </c>
      <c r="C34" s="3" t="s">
        <v>327</v>
      </c>
      <c r="D34" s="3" t="s">
        <v>11</v>
      </c>
      <c r="E34" s="3" t="s">
        <v>12</v>
      </c>
      <c r="F34" s="3">
        <v>0.64200000000000002</v>
      </c>
      <c r="G34" s="74">
        <f>F34*VLOOKUP(D34,GWPs!$B$3:$C$6,2,FALSE)</f>
        <v>0.64200000000000002</v>
      </c>
      <c r="H34" s="3">
        <v>5.7000000000000002E-2</v>
      </c>
      <c r="I34" s="74">
        <f>H34*VLOOKUP(D34,GWPs!$B$3:$C$6,2,FALSE)</f>
        <v>5.7000000000000002E-2</v>
      </c>
      <c r="J34" s="3">
        <v>0.69899999999999995</v>
      </c>
      <c r="K34" s="74">
        <f>J34*VLOOKUP(D34,GWPs!$B$3:$C$6,2,FALSE)</f>
        <v>0.69899999999999995</v>
      </c>
      <c r="M34" s="3">
        <v>4</v>
      </c>
      <c r="N34" s="3">
        <v>2</v>
      </c>
      <c r="O34" s="3">
        <v>1</v>
      </c>
      <c r="P34" s="3">
        <v>4</v>
      </c>
      <c r="Q34" s="3">
        <v>1</v>
      </c>
      <c r="T34" s="70" t="s">
        <v>480</v>
      </c>
      <c r="U34" s="70">
        <v>0.36100000000000004</v>
      </c>
      <c r="X34" s="70" t="s">
        <v>480</v>
      </c>
      <c r="Y34" s="70">
        <v>0.316</v>
      </c>
      <c r="AA34" s="70" t="s">
        <v>480</v>
      </c>
      <c r="AB34" s="406">
        <v>4.4999999999999998E-2</v>
      </c>
    </row>
    <row r="35" spans="1:28">
      <c r="A35" t="s">
        <v>1429</v>
      </c>
      <c r="B35" s="3" t="s">
        <v>326</v>
      </c>
      <c r="C35" s="3" t="s">
        <v>327</v>
      </c>
      <c r="D35" s="3" t="s">
        <v>13</v>
      </c>
      <c r="E35" s="3" t="s">
        <v>12</v>
      </c>
      <c r="F35" s="3">
        <v>7.0000000000000001E-3</v>
      </c>
      <c r="G35" s="74">
        <f>F35*VLOOKUP(D35,GWPs!$B$3:$C$6,2,FALSE)</f>
        <v>0.19600000000000001</v>
      </c>
      <c r="H35" s="3">
        <v>1E-3</v>
      </c>
      <c r="I35" s="74">
        <f>H35*VLOOKUP(D35,GWPs!$B$3:$C$6,2,FALSE)</f>
        <v>2.8000000000000001E-2</v>
      </c>
      <c r="J35" s="3">
        <v>8.0000000000000002E-3</v>
      </c>
      <c r="K35" s="74">
        <f>J35*VLOOKUP(D35,GWPs!$B$3:$C$6,2,FALSE)</f>
        <v>0.224</v>
      </c>
      <c r="M35" s="3">
        <v>3</v>
      </c>
      <c r="N35" s="3">
        <v>2</v>
      </c>
      <c r="O35" s="3">
        <v>1</v>
      </c>
      <c r="P35" s="3">
        <v>1</v>
      </c>
      <c r="Q35" s="3">
        <v>1</v>
      </c>
      <c r="T35" s="70" t="s">
        <v>416</v>
      </c>
      <c r="U35" s="70">
        <v>0.30499999999999999</v>
      </c>
      <c r="X35" s="70" t="s">
        <v>416</v>
      </c>
      <c r="Y35" s="70">
        <v>0.22500000000000001</v>
      </c>
      <c r="AA35" s="70" t="s">
        <v>416</v>
      </c>
      <c r="AB35" s="406">
        <v>5.1999999999999998E-2</v>
      </c>
    </row>
    <row r="36" spans="1:28">
      <c r="A36" t="s">
        <v>1429</v>
      </c>
      <c r="B36" s="3" t="s">
        <v>326</v>
      </c>
      <c r="C36" s="3" t="s">
        <v>327</v>
      </c>
      <c r="D36" s="3" t="s">
        <v>14</v>
      </c>
      <c r="E36" s="3" t="s">
        <v>12</v>
      </c>
      <c r="F36" s="3">
        <v>1E-3</v>
      </c>
      <c r="G36" s="74">
        <f>F36*VLOOKUP(D36,GWPs!$B$3:$C$6,2,FALSE)</f>
        <v>0.26500000000000001</v>
      </c>
      <c r="H36" s="3">
        <v>0</v>
      </c>
      <c r="I36" s="74">
        <f>H36*VLOOKUP(D36,GWPs!$B$3:$C$6,2,FALSE)</f>
        <v>0</v>
      </c>
      <c r="J36" s="3">
        <v>1E-3</v>
      </c>
      <c r="K36" s="74">
        <f>J36*VLOOKUP(D36,GWPs!$B$3:$C$6,2,FALSE)</f>
        <v>0.26500000000000001</v>
      </c>
      <c r="M36" s="3">
        <v>4</v>
      </c>
      <c r="N36" s="3">
        <v>2</v>
      </c>
      <c r="O36" s="3">
        <v>1</v>
      </c>
      <c r="P36" s="3">
        <v>3</v>
      </c>
      <c r="Q36" s="3">
        <v>1</v>
      </c>
      <c r="T36" s="70" t="s">
        <v>394</v>
      </c>
      <c r="U36" s="70">
        <v>0.80600000000000005</v>
      </c>
      <c r="X36" s="70" t="s">
        <v>394</v>
      </c>
      <c r="Y36" s="70">
        <v>0.72200000000000009</v>
      </c>
      <c r="AA36" s="70" t="s">
        <v>394</v>
      </c>
      <c r="AB36" s="406">
        <v>8.4000000000000005E-2</v>
      </c>
    </row>
    <row r="37" spans="1:28">
      <c r="A37" t="s">
        <v>1429</v>
      </c>
      <c r="B37" s="3" t="s">
        <v>326</v>
      </c>
      <c r="C37" s="3" t="s">
        <v>327</v>
      </c>
      <c r="D37" s="3" t="s">
        <v>15</v>
      </c>
      <c r="E37" s="3" t="s">
        <v>16</v>
      </c>
      <c r="F37" s="3">
        <v>5.0000000000000001E-3</v>
      </c>
      <c r="G37" s="74">
        <f>F37*VLOOKUP(D37,GWPs!$B$3:$C$6,2,FALSE)</f>
        <v>5.0000000000000001E-3</v>
      </c>
      <c r="H37" s="3">
        <v>0</v>
      </c>
      <c r="I37" s="74">
        <f>H37*VLOOKUP(D37,GWPs!$B$3:$C$6,2,FALSE)</f>
        <v>0</v>
      </c>
      <c r="J37" s="3">
        <v>5.0000000000000001E-3</v>
      </c>
      <c r="K37" s="74">
        <f>J37*VLOOKUP(D37,GWPs!$B$3:$C$6,2,FALSE)</f>
        <v>5.0000000000000001E-3</v>
      </c>
      <c r="M37" s="3">
        <v>4</v>
      </c>
      <c r="N37" s="3">
        <v>2</v>
      </c>
      <c r="O37" s="3">
        <v>1</v>
      </c>
      <c r="P37" s="3">
        <v>4</v>
      </c>
      <c r="Q37" s="3">
        <v>1</v>
      </c>
      <c r="T37" s="70" t="s">
        <v>432</v>
      </c>
      <c r="U37" s="70">
        <v>0.42499999999999999</v>
      </c>
      <c r="X37" s="70" t="s">
        <v>432</v>
      </c>
      <c r="Y37" s="70">
        <v>0.29700000000000004</v>
      </c>
      <c r="AA37" s="70" t="s">
        <v>432</v>
      </c>
      <c r="AB37" s="406">
        <v>0.127</v>
      </c>
    </row>
    <row r="38" spans="1:28">
      <c r="A38" t="s">
        <v>1429</v>
      </c>
      <c r="B38" s="3" t="s">
        <v>328</v>
      </c>
      <c r="C38" s="3" t="s">
        <v>329</v>
      </c>
      <c r="D38" s="3" t="s">
        <v>11</v>
      </c>
      <c r="E38" s="3" t="s">
        <v>12</v>
      </c>
      <c r="F38" s="3">
        <v>0.183</v>
      </c>
      <c r="G38" s="74">
        <f>F38*VLOOKUP(D38,GWPs!$B$3:$C$6,2,FALSE)</f>
        <v>0.183</v>
      </c>
      <c r="H38" s="3">
        <v>6.4000000000000001E-2</v>
      </c>
      <c r="I38" s="74">
        <f>H38*VLOOKUP(D38,GWPs!$B$3:$C$6,2,FALSE)</f>
        <v>6.4000000000000001E-2</v>
      </c>
      <c r="J38" s="3">
        <v>0.247</v>
      </c>
      <c r="K38" s="74">
        <f>J38*VLOOKUP(D38,GWPs!$B$3:$C$6,2,FALSE)</f>
        <v>0.247</v>
      </c>
      <c r="M38" s="3">
        <v>4</v>
      </c>
      <c r="N38" s="3">
        <v>2</v>
      </c>
      <c r="O38" s="3">
        <v>1</v>
      </c>
      <c r="P38" s="3">
        <v>4</v>
      </c>
      <c r="Q38" s="3">
        <v>1</v>
      </c>
      <c r="T38" s="70" t="s">
        <v>872</v>
      </c>
      <c r="U38" s="70">
        <v>0.16600000000000001</v>
      </c>
      <c r="X38" s="70" t="s">
        <v>872</v>
      </c>
      <c r="Y38" s="70">
        <v>0.16600000000000001</v>
      </c>
      <c r="AA38" s="70" t="s">
        <v>872</v>
      </c>
      <c r="AB38" s="406">
        <v>0</v>
      </c>
    </row>
    <row r="39" spans="1:28">
      <c r="A39" t="s">
        <v>1429</v>
      </c>
      <c r="B39" s="3" t="s">
        <v>328</v>
      </c>
      <c r="C39" s="3" t="s">
        <v>329</v>
      </c>
      <c r="D39" s="3" t="s">
        <v>13</v>
      </c>
      <c r="E39" s="3" t="s">
        <v>12</v>
      </c>
      <c r="F39" s="3">
        <v>3.4000000000000002E-2</v>
      </c>
      <c r="G39" s="74">
        <f>F39*VLOOKUP(D39,GWPs!$B$3:$C$6,2,FALSE)</f>
        <v>0.95200000000000007</v>
      </c>
      <c r="H39" s="3">
        <v>1E-3</v>
      </c>
      <c r="I39" s="74">
        <f>H39*VLOOKUP(D39,GWPs!$B$3:$C$6,2,FALSE)</f>
        <v>2.8000000000000001E-2</v>
      </c>
      <c r="J39" s="3">
        <v>3.5000000000000003E-2</v>
      </c>
      <c r="K39" s="74">
        <f>J39*VLOOKUP(D39,GWPs!$B$3:$C$6,2,FALSE)</f>
        <v>0.98000000000000009</v>
      </c>
      <c r="M39" s="3">
        <v>2</v>
      </c>
      <c r="N39" s="3">
        <v>2</v>
      </c>
      <c r="O39" s="3">
        <v>1</v>
      </c>
      <c r="P39" s="3">
        <v>1</v>
      </c>
      <c r="Q39" s="3">
        <v>1</v>
      </c>
      <c r="T39" s="70" t="s">
        <v>1006</v>
      </c>
      <c r="U39" s="70">
        <v>0.191</v>
      </c>
      <c r="X39" s="70" t="s">
        <v>1006</v>
      </c>
      <c r="Y39" s="70">
        <v>0.191</v>
      </c>
      <c r="AA39" s="70" t="s">
        <v>1006</v>
      </c>
      <c r="AB39" s="406">
        <v>0</v>
      </c>
    </row>
    <row r="40" spans="1:28">
      <c r="A40" t="s">
        <v>1429</v>
      </c>
      <c r="B40" s="3" t="s">
        <v>328</v>
      </c>
      <c r="C40" s="3" t="s">
        <v>329</v>
      </c>
      <c r="D40" s="3" t="s">
        <v>14</v>
      </c>
      <c r="E40" s="3" t="s">
        <v>12</v>
      </c>
      <c r="F40" s="3">
        <v>1E-3</v>
      </c>
      <c r="G40" s="74">
        <f>F40*VLOOKUP(D40,GWPs!$B$3:$C$6,2,FALSE)</f>
        <v>0.26500000000000001</v>
      </c>
      <c r="H40" s="3">
        <v>0</v>
      </c>
      <c r="I40" s="74">
        <f>H40*VLOOKUP(D40,GWPs!$B$3:$C$6,2,FALSE)</f>
        <v>0</v>
      </c>
      <c r="J40" s="3">
        <v>1E-3</v>
      </c>
      <c r="K40" s="74">
        <f>J40*VLOOKUP(D40,GWPs!$B$3:$C$6,2,FALSE)</f>
        <v>0.26500000000000001</v>
      </c>
      <c r="M40" s="3">
        <v>4</v>
      </c>
      <c r="N40" s="3">
        <v>2</v>
      </c>
      <c r="O40" s="3">
        <v>1</v>
      </c>
      <c r="P40" s="3">
        <v>4</v>
      </c>
      <c r="Q40" s="3">
        <v>1</v>
      </c>
      <c r="T40" s="70" t="s">
        <v>1000</v>
      </c>
      <c r="U40" s="70">
        <v>0.14200000000000002</v>
      </c>
      <c r="X40" s="70" t="s">
        <v>1000</v>
      </c>
      <c r="Y40" s="70">
        <v>0.14200000000000002</v>
      </c>
      <c r="AA40" s="70" t="s">
        <v>1000</v>
      </c>
      <c r="AB40" s="406">
        <v>0</v>
      </c>
    </row>
    <row r="41" spans="1:28">
      <c r="A41" t="s">
        <v>1429</v>
      </c>
      <c r="B41" s="3" t="s">
        <v>328</v>
      </c>
      <c r="C41" s="3" t="s">
        <v>329</v>
      </c>
      <c r="D41" s="3" t="s">
        <v>15</v>
      </c>
      <c r="E41" s="3" t="s">
        <v>16</v>
      </c>
      <c r="F41" s="3">
        <v>2E-3</v>
      </c>
      <c r="G41" s="74">
        <f>F41*VLOOKUP(D41,GWPs!$B$3:$C$6,2,FALSE)</f>
        <v>2E-3</v>
      </c>
      <c r="H41" s="3">
        <v>0</v>
      </c>
      <c r="I41" s="74">
        <f>H41*VLOOKUP(D41,GWPs!$B$3:$C$6,2,FALSE)</f>
        <v>0</v>
      </c>
      <c r="J41" s="3">
        <v>2E-3</v>
      </c>
      <c r="K41" s="74">
        <f>J41*VLOOKUP(D41,GWPs!$B$3:$C$6,2,FALSE)</f>
        <v>2E-3</v>
      </c>
      <c r="M41" s="3">
        <v>4</v>
      </c>
      <c r="N41" s="3">
        <v>2</v>
      </c>
      <c r="O41" s="3">
        <v>1</v>
      </c>
      <c r="P41" s="3">
        <v>4</v>
      </c>
      <c r="Q41" s="3">
        <v>1</v>
      </c>
      <c r="T41" s="70" t="s">
        <v>922</v>
      </c>
      <c r="U41" s="70">
        <v>0.109</v>
      </c>
      <c r="X41" s="70" t="s">
        <v>922</v>
      </c>
      <c r="Y41" s="70">
        <v>0.109</v>
      </c>
      <c r="AA41" s="70" t="s">
        <v>922</v>
      </c>
      <c r="AB41" s="406">
        <v>0</v>
      </c>
    </row>
    <row r="42" spans="1:28">
      <c r="A42" t="s">
        <v>1429</v>
      </c>
      <c r="B42" s="3" t="s">
        <v>330</v>
      </c>
      <c r="C42" s="3" t="s">
        <v>331</v>
      </c>
      <c r="D42" s="3" t="s">
        <v>11</v>
      </c>
      <c r="E42" s="3" t="s">
        <v>12</v>
      </c>
      <c r="F42" s="3">
        <v>0.18099999999999999</v>
      </c>
      <c r="G42" s="74">
        <f>F42*VLOOKUP(D42,GWPs!$B$3:$C$6,2,FALSE)</f>
        <v>0.18099999999999999</v>
      </c>
      <c r="H42" s="3">
        <v>6.7000000000000004E-2</v>
      </c>
      <c r="I42" s="74">
        <f>H42*VLOOKUP(D42,GWPs!$B$3:$C$6,2,FALSE)</f>
        <v>6.7000000000000004E-2</v>
      </c>
      <c r="J42" s="3">
        <v>0.249</v>
      </c>
      <c r="K42" s="74">
        <f>J42*VLOOKUP(D42,GWPs!$B$3:$C$6,2,FALSE)</f>
        <v>0.249</v>
      </c>
      <c r="M42" s="3">
        <v>4</v>
      </c>
      <c r="N42" s="3">
        <v>2</v>
      </c>
      <c r="O42" s="3">
        <v>1</v>
      </c>
      <c r="P42" s="3">
        <v>4</v>
      </c>
      <c r="Q42" s="3">
        <v>1</v>
      </c>
      <c r="T42" s="70" t="s">
        <v>758</v>
      </c>
      <c r="U42" s="70">
        <v>0.23400000000000001</v>
      </c>
      <c r="X42" s="70" t="s">
        <v>758</v>
      </c>
      <c r="Y42" s="70">
        <v>0.22600000000000001</v>
      </c>
      <c r="AA42" s="70" t="s">
        <v>758</v>
      </c>
      <c r="AB42" s="406">
        <v>8.0000000000000002E-3</v>
      </c>
    </row>
    <row r="43" spans="1:28">
      <c r="A43" t="s">
        <v>1429</v>
      </c>
      <c r="B43" s="3" t="s">
        <v>330</v>
      </c>
      <c r="C43" s="3" t="s">
        <v>331</v>
      </c>
      <c r="D43" s="3" t="s">
        <v>13</v>
      </c>
      <c r="E43" s="3" t="s">
        <v>12</v>
      </c>
      <c r="F43" s="3">
        <v>1E-3</v>
      </c>
      <c r="G43" s="74">
        <f>F43*VLOOKUP(D43,GWPs!$B$3:$C$6,2,FALSE)</f>
        <v>2.8000000000000001E-2</v>
      </c>
      <c r="H43" s="3">
        <v>1E-3</v>
      </c>
      <c r="I43" s="74">
        <f>H43*VLOOKUP(D43,GWPs!$B$3:$C$6,2,FALSE)</f>
        <v>2.8000000000000001E-2</v>
      </c>
      <c r="J43" s="3">
        <v>2E-3</v>
      </c>
      <c r="K43" s="74">
        <f>J43*VLOOKUP(D43,GWPs!$B$3:$C$6,2,FALSE)</f>
        <v>5.6000000000000001E-2</v>
      </c>
      <c r="M43" s="3">
        <v>3</v>
      </c>
      <c r="N43" s="3">
        <v>2</v>
      </c>
      <c r="O43" s="3">
        <v>1</v>
      </c>
      <c r="P43" s="3">
        <v>1</v>
      </c>
      <c r="Q43" s="3">
        <v>1</v>
      </c>
      <c r="T43" s="70" t="s">
        <v>468</v>
      </c>
      <c r="U43" s="70">
        <v>0.88400000000000001</v>
      </c>
      <c r="X43" s="70" t="s">
        <v>468</v>
      </c>
      <c r="Y43" s="70">
        <v>0.83299999999999996</v>
      </c>
      <c r="AA43" s="70" t="s">
        <v>468</v>
      </c>
      <c r="AB43" s="406">
        <v>7.8E-2</v>
      </c>
    </row>
    <row r="44" spans="1:28">
      <c r="A44" t="s">
        <v>1429</v>
      </c>
      <c r="B44" s="3" t="s">
        <v>330</v>
      </c>
      <c r="C44" s="3" t="s">
        <v>331</v>
      </c>
      <c r="D44" s="3" t="s">
        <v>14</v>
      </c>
      <c r="E44" s="3" t="s">
        <v>12</v>
      </c>
      <c r="F44" s="3">
        <v>0</v>
      </c>
      <c r="G44" s="74">
        <f>F44*VLOOKUP(D44,GWPs!$B$3:$C$6,2,FALSE)</f>
        <v>0</v>
      </c>
      <c r="H44" s="3">
        <v>0</v>
      </c>
      <c r="I44" s="74">
        <f>H44*VLOOKUP(D44,GWPs!$B$3:$C$6,2,FALSE)</f>
        <v>0</v>
      </c>
      <c r="J44" s="3">
        <v>0</v>
      </c>
      <c r="K44" s="74">
        <f>J44*VLOOKUP(D44,GWPs!$B$3:$C$6,2,FALSE)</f>
        <v>0</v>
      </c>
      <c r="M44" s="3">
        <v>3</v>
      </c>
      <c r="N44" s="3">
        <v>2</v>
      </c>
      <c r="O44" s="3">
        <v>1</v>
      </c>
      <c r="P44" s="3">
        <v>3</v>
      </c>
      <c r="Q44" s="3">
        <v>1</v>
      </c>
      <c r="T44" s="70" t="s">
        <v>470</v>
      </c>
      <c r="U44" s="70">
        <v>0.57200000000000006</v>
      </c>
      <c r="X44" s="70" t="s">
        <v>470</v>
      </c>
      <c r="Y44" s="70">
        <v>0.54200000000000004</v>
      </c>
      <c r="AA44" s="70" t="s">
        <v>470</v>
      </c>
      <c r="AB44" s="406">
        <v>0.03</v>
      </c>
    </row>
    <row r="45" spans="1:28">
      <c r="A45" t="s">
        <v>1429</v>
      </c>
      <c r="B45" s="3" t="s">
        <v>330</v>
      </c>
      <c r="C45" s="3" t="s">
        <v>331</v>
      </c>
      <c r="D45" s="3" t="s">
        <v>15</v>
      </c>
      <c r="E45" s="3" t="s">
        <v>16</v>
      </c>
      <c r="F45" s="3">
        <v>2E-3</v>
      </c>
      <c r="G45" s="74">
        <f>F45*VLOOKUP(D45,GWPs!$B$3:$C$6,2,FALSE)</f>
        <v>2E-3</v>
      </c>
      <c r="H45" s="3">
        <v>0</v>
      </c>
      <c r="I45" s="74">
        <f>H45*VLOOKUP(D45,GWPs!$B$3:$C$6,2,FALSE)</f>
        <v>0</v>
      </c>
      <c r="J45" s="3">
        <v>2E-3</v>
      </c>
      <c r="K45" s="74">
        <f>J45*VLOOKUP(D45,GWPs!$B$3:$C$6,2,FALSE)</f>
        <v>2E-3</v>
      </c>
      <c r="M45" s="3">
        <v>4</v>
      </c>
      <c r="N45" s="3">
        <v>2</v>
      </c>
      <c r="O45" s="3">
        <v>1</v>
      </c>
      <c r="P45" s="3">
        <v>4</v>
      </c>
      <c r="Q45" s="3">
        <v>1</v>
      </c>
      <c r="T45" s="70" t="s">
        <v>446</v>
      </c>
      <c r="U45" s="70">
        <v>0.74099999999999999</v>
      </c>
      <c r="X45" s="70" t="s">
        <v>446</v>
      </c>
      <c r="Y45" s="70">
        <v>0.501</v>
      </c>
      <c r="AA45" s="70" t="s">
        <v>446</v>
      </c>
      <c r="AB45" s="406">
        <v>0.24</v>
      </c>
    </row>
    <row r="46" spans="1:28">
      <c r="A46" t="s">
        <v>1429</v>
      </c>
      <c r="B46" s="3" t="s">
        <v>332</v>
      </c>
      <c r="C46" s="3" t="s">
        <v>333</v>
      </c>
      <c r="D46" s="3" t="s">
        <v>11</v>
      </c>
      <c r="E46" s="3" t="s">
        <v>12</v>
      </c>
      <c r="F46" s="3">
        <v>0.22600000000000001</v>
      </c>
      <c r="G46" s="74">
        <f>F46*VLOOKUP(D46,GWPs!$B$3:$C$6,2,FALSE)</f>
        <v>0.22600000000000001</v>
      </c>
      <c r="H46" s="3">
        <v>9.8000000000000004E-2</v>
      </c>
      <c r="I46" s="74">
        <f>H46*VLOOKUP(D46,GWPs!$B$3:$C$6,2,FALSE)</f>
        <v>9.8000000000000004E-2</v>
      </c>
      <c r="J46" s="3">
        <v>0.32400000000000001</v>
      </c>
      <c r="K46" s="74">
        <f>J46*VLOOKUP(D46,GWPs!$B$3:$C$6,2,FALSE)</f>
        <v>0.32400000000000001</v>
      </c>
      <c r="M46" s="3">
        <v>4</v>
      </c>
      <c r="N46" s="3">
        <v>2</v>
      </c>
      <c r="O46" s="3">
        <v>1</v>
      </c>
      <c r="P46" s="3">
        <v>4</v>
      </c>
      <c r="Q46" s="3">
        <v>1</v>
      </c>
      <c r="T46" s="70" t="s">
        <v>588</v>
      </c>
      <c r="U46" s="70">
        <v>0.30800000000000005</v>
      </c>
      <c r="X46" s="70" t="s">
        <v>588</v>
      </c>
      <c r="Y46" s="70">
        <v>0.29000000000000004</v>
      </c>
      <c r="AA46" s="70" t="s">
        <v>588</v>
      </c>
      <c r="AB46" s="406">
        <v>1.7999999999999999E-2</v>
      </c>
    </row>
    <row r="47" spans="1:28">
      <c r="A47" t="s">
        <v>1429</v>
      </c>
      <c r="B47" s="3" t="s">
        <v>332</v>
      </c>
      <c r="C47" s="3" t="s">
        <v>333</v>
      </c>
      <c r="D47" s="3" t="s">
        <v>13</v>
      </c>
      <c r="E47" s="3" t="s">
        <v>12</v>
      </c>
      <c r="F47" s="3">
        <v>1E-3</v>
      </c>
      <c r="G47" s="74">
        <f>F47*VLOOKUP(D47,GWPs!$B$3:$C$6,2,FALSE)</f>
        <v>2.8000000000000001E-2</v>
      </c>
      <c r="H47" s="3">
        <v>1E-3</v>
      </c>
      <c r="I47" s="74">
        <f>H47*VLOOKUP(D47,GWPs!$B$3:$C$6,2,FALSE)</f>
        <v>2.8000000000000001E-2</v>
      </c>
      <c r="J47" s="3">
        <v>2E-3</v>
      </c>
      <c r="K47" s="74">
        <f>J47*VLOOKUP(D47,GWPs!$B$3:$C$6,2,FALSE)</f>
        <v>5.6000000000000001E-2</v>
      </c>
      <c r="M47" s="3">
        <v>4</v>
      </c>
      <c r="N47" s="3">
        <v>2</v>
      </c>
      <c r="O47" s="3">
        <v>1</v>
      </c>
      <c r="P47" s="3">
        <v>1</v>
      </c>
      <c r="Q47" s="3">
        <v>1</v>
      </c>
      <c r="T47" s="70" t="s">
        <v>325</v>
      </c>
      <c r="U47" s="70">
        <v>3.8540000000000005</v>
      </c>
      <c r="X47" s="70" t="s">
        <v>325</v>
      </c>
      <c r="Y47" s="70">
        <v>3.7750000000000004</v>
      </c>
      <c r="AA47" s="70" t="s">
        <v>325</v>
      </c>
      <c r="AB47" s="406">
        <v>7.9000000000000001E-2</v>
      </c>
    </row>
    <row r="48" spans="1:28">
      <c r="A48" t="s">
        <v>1429</v>
      </c>
      <c r="B48" s="3" t="s">
        <v>332</v>
      </c>
      <c r="C48" s="3" t="s">
        <v>333</v>
      </c>
      <c r="D48" s="3" t="s">
        <v>14</v>
      </c>
      <c r="E48" s="3" t="s">
        <v>12</v>
      </c>
      <c r="F48" s="3">
        <v>0</v>
      </c>
      <c r="G48" s="74">
        <f>F48*VLOOKUP(D48,GWPs!$B$3:$C$6,2,FALSE)</f>
        <v>0</v>
      </c>
      <c r="H48" s="3">
        <v>0</v>
      </c>
      <c r="I48" s="74">
        <f>H48*VLOOKUP(D48,GWPs!$B$3:$C$6,2,FALSE)</f>
        <v>0</v>
      </c>
      <c r="J48" s="3">
        <v>0</v>
      </c>
      <c r="K48" s="74">
        <f>J48*VLOOKUP(D48,GWPs!$B$3:$C$6,2,FALSE)</f>
        <v>0</v>
      </c>
      <c r="M48" s="3">
        <v>4</v>
      </c>
      <c r="N48" s="3">
        <v>2</v>
      </c>
      <c r="O48" s="3">
        <v>1</v>
      </c>
      <c r="P48" s="3">
        <v>3</v>
      </c>
      <c r="Q48" s="3">
        <v>1</v>
      </c>
      <c r="T48" s="70" t="s">
        <v>554</v>
      </c>
      <c r="U48" s="70">
        <v>5.218</v>
      </c>
      <c r="X48" s="70" t="s">
        <v>554</v>
      </c>
      <c r="Y48" s="70">
        <v>5.101</v>
      </c>
      <c r="AA48" s="70" t="s">
        <v>554</v>
      </c>
      <c r="AB48" s="406">
        <v>0.11799999999999999</v>
      </c>
    </row>
    <row r="49" spans="1:28">
      <c r="A49" t="s">
        <v>1429</v>
      </c>
      <c r="B49" s="3" t="s">
        <v>332</v>
      </c>
      <c r="C49" s="3" t="s">
        <v>333</v>
      </c>
      <c r="D49" s="3" t="s">
        <v>15</v>
      </c>
      <c r="E49" s="3" t="s">
        <v>16</v>
      </c>
      <c r="F49" s="3">
        <v>2E-3</v>
      </c>
      <c r="G49" s="74">
        <f>F49*VLOOKUP(D49,GWPs!$B$3:$C$6,2,FALSE)</f>
        <v>2E-3</v>
      </c>
      <c r="H49" s="3">
        <v>0</v>
      </c>
      <c r="I49" s="74">
        <f>H49*VLOOKUP(D49,GWPs!$B$3:$C$6,2,FALSE)</f>
        <v>0</v>
      </c>
      <c r="J49" s="3">
        <v>2E-3</v>
      </c>
      <c r="K49" s="74">
        <f>J49*VLOOKUP(D49,GWPs!$B$3:$C$6,2,FALSE)</f>
        <v>2E-3</v>
      </c>
      <c r="M49" s="3">
        <v>3</v>
      </c>
      <c r="N49" s="3">
        <v>2</v>
      </c>
      <c r="O49" s="3">
        <v>1</v>
      </c>
      <c r="P49" s="3">
        <v>4</v>
      </c>
      <c r="Q49" s="3">
        <v>1</v>
      </c>
      <c r="T49" s="70" t="s">
        <v>402</v>
      </c>
      <c r="U49" s="70">
        <v>1.7510000000000001</v>
      </c>
      <c r="X49" s="70" t="s">
        <v>402</v>
      </c>
      <c r="Y49" s="70">
        <v>1.7009999999999998</v>
      </c>
      <c r="AA49" s="70" t="s">
        <v>402</v>
      </c>
      <c r="AB49" s="406">
        <v>0.05</v>
      </c>
    </row>
    <row r="50" spans="1:28">
      <c r="A50" t="s">
        <v>1429</v>
      </c>
      <c r="B50" s="3" t="s">
        <v>334</v>
      </c>
      <c r="C50" s="3" t="s">
        <v>335</v>
      </c>
      <c r="D50" s="3" t="s">
        <v>11</v>
      </c>
      <c r="E50" s="3" t="s">
        <v>12</v>
      </c>
      <c r="F50" s="3">
        <v>0.317</v>
      </c>
      <c r="G50" s="74">
        <f>F50*VLOOKUP(D50,GWPs!$B$3:$C$6,2,FALSE)</f>
        <v>0.317</v>
      </c>
      <c r="H50" s="3">
        <v>0</v>
      </c>
      <c r="I50" s="74">
        <f>H50*VLOOKUP(D50,GWPs!$B$3:$C$6,2,FALSE)</f>
        <v>0</v>
      </c>
      <c r="J50" s="3">
        <v>0.317</v>
      </c>
      <c r="K50" s="74">
        <f>J50*VLOOKUP(D50,GWPs!$B$3:$C$6,2,FALSE)</f>
        <v>0.317</v>
      </c>
      <c r="M50" s="3">
        <v>3</v>
      </c>
      <c r="N50" s="3">
        <v>2</v>
      </c>
      <c r="O50" s="3">
        <v>1</v>
      </c>
      <c r="P50" s="3">
        <v>3</v>
      </c>
      <c r="Q50" s="3">
        <v>1</v>
      </c>
      <c r="T50" t="s">
        <v>3593</v>
      </c>
      <c r="U50" s="70">
        <v>0.56100000000000005</v>
      </c>
      <c r="X50" s="70" t="s">
        <v>1039</v>
      </c>
      <c r="Y50" s="70">
        <v>0.215</v>
      </c>
      <c r="AA50" s="70" t="s">
        <v>1039</v>
      </c>
      <c r="AB50" s="406">
        <v>0</v>
      </c>
    </row>
    <row r="51" spans="1:28">
      <c r="A51" t="s">
        <v>1429</v>
      </c>
      <c r="B51" s="3" t="s">
        <v>334</v>
      </c>
      <c r="C51" s="3" t="s">
        <v>335</v>
      </c>
      <c r="D51" s="3" t="s">
        <v>13</v>
      </c>
      <c r="E51" s="3" t="s">
        <v>12</v>
      </c>
      <c r="F51" s="3">
        <v>5.0000000000000001E-3</v>
      </c>
      <c r="G51" s="74">
        <f>F51*VLOOKUP(D51,GWPs!$B$3:$C$6,2,FALSE)</f>
        <v>0.14000000000000001</v>
      </c>
      <c r="H51" s="3">
        <v>0</v>
      </c>
      <c r="I51" s="74">
        <f>H51*VLOOKUP(D51,GWPs!$B$3:$C$6,2,FALSE)</f>
        <v>0</v>
      </c>
      <c r="J51" s="3">
        <v>5.0000000000000001E-3</v>
      </c>
      <c r="K51" s="74">
        <f>J51*VLOOKUP(D51,GWPs!$B$3:$C$6,2,FALSE)</f>
        <v>0.14000000000000001</v>
      </c>
      <c r="M51" s="3">
        <v>3</v>
      </c>
      <c r="N51" s="3">
        <v>2</v>
      </c>
      <c r="O51" s="3">
        <v>1</v>
      </c>
      <c r="P51" s="3">
        <v>1</v>
      </c>
      <c r="Q51" s="3">
        <v>1</v>
      </c>
      <c r="T51" s="70" t="s">
        <v>1039</v>
      </c>
      <c r="U51" s="70">
        <v>0.215</v>
      </c>
      <c r="X51" s="70" t="s">
        <v>1087</v>
      </c>
      <c r="Y51" s="70">
        <v>0.16400000000000001</v>
      </c>
      <c r="AA51" s="70" t="s">
        <v>1087</v>
      </c>
      <c r="AB51" s="406">
        <v>0</v>
      </c>
    </row>
    <row r="52" spans="1:28">
      <c r="A52" t="s">
        <v>1429</v>
      </c>
      <c r="B52" s="3" t="s">
        <v>334</v>
      </c>
      <c r="C52" s="3" t="s">
        <v>335</v>
      </c>
      <c r="D52" s="3" t="s">
        <v>14</v>
      </c>
      <c r="E52" s="3" t="s">
        <v>12</v>
      </c>
      <c r="F52" s="3">
        <v>0</v>
      </c>
      <c r="G52" s="74">
        <f>F52*VLOOKUP(D52,GWPs!$B$3:$C$6,2,FALSE)</f>
        <v>0</v>
      </c>
      <c r="H52" s="3">
        <v>0</v>
      </c>
      <c r="I52" s="74">
        <f>H52*VLOOKUP(D52,GWPs!$B$3:$C$6,2,FALSE)</f>
        <v>0</v>
      </c>
      <c r="J52" s="3">
        <v>0</v>
      </c>
      <c r="K52" s="74">
        <f>J52*VLOOKUP(D52,GWPs!$B$3:$C$6,2,FALSE)</f>
        <v>0</v>
      </c>
      <c r="M52" s="3">
        <v>3</v>
      </c>
      <c r="N52" s="3">
        <v>2</v>
      </c>
      <c r="O52" s="3">
        <v>1</v>
      </c>
      <c r="P52" s="3">
        <v>2</v>
      </c>
      <c r="Q52" s="3">
        <v>1</v>
      </c>
      <c r="T52" s="70" t="s">
        <v>1087</v>
      </c>
      <c r="U52" s="70">
        <v>0.16400000000000001</v>
      </c>
      <c r="X52" s="70" t="s">
        <v>550</v>
      </c>
      <c r="Y52" s="70">
        <v>0.501</v>
      </c>
      <c r="AA52" s="70" t="s">
        <v>550</v>
      </c>
      <c r="AB52" s="406">
        <v>0.255</v>
      </c>
    </row>
    <row r="53" spans="1:28">
      <c r="A53" t="s">
        <v>1429</v>
      </c>
      <c r="B53" s="3" t="s">
        <v>334</v>
      </c>
      <c r="C53" s="3" t="s">
        <v>335</v>
      </c>
      <c r="D53" s="3" t="s">
        <v>15</v>
      </c>
      <c r="E53" s="3" t="s">
        <v>16</v>
      </c>
      <c r="F53" s="3">
        <v>2E-3</v>
      </c>
      <c r="G53" s="74">
        <f>F53*VLOOKUP(D53,GWPs!$B$3:$C$6,2,FALSE)</f>
        <v>2E-3</v>
      </c>
      <c r="H53" s="3">
        <v>0</v>
      </c>
      <c r="I53" s="74">
        <f>H53*VLOOKUP(D53,GWPs!$B$3:$C$6,2,FALSE)</f>
        <v>0</v>
      </c>
      <c r="J53" s="3">
        <v>2E-3</v>
      </c>
      <c r="K53" s="74">
        <f>J53*VLOOKUP(D53,GWPs!$B$3:$C$6,2,FALSE)</f>
        <v>2E-3</v>
      </c>
      <c r="M53" s="3">
        <v>4</v>
      </c>
      <c r="N53" s="3">
        <v>2</v>
      </c>
      <c r="O53" s="3">
        <v>1</v>
      </c>
      <c r="P53" s="3">
        <v>4</v>
      </c>
      <c r="Q53" s="3">
        <v>1</v>
      </c>
      <c r="T53" s="70" t="s">
        <v>550</v>
      </c>
      <c r="U53" s="70">
        <v>0.72799999999999998</v>
      </c>
      <c r="X53" s="70" t="s">
        <v>452</v>
      </c>
      <c r="Y53" s="70">
        <v>0.14700000000000002</v>
      </c>
      <c r="AA53" s="70" t="s">
        <v>452</v>
      </c>
      <c r="AB53" s="406">
        <v>1.827</v>
      </c>
    </row>
    <row r="54" spans="1:28">
      <c r="A54" t="s">
        <v>1429</v>
      </c>
      <c r="B54" s="3" t="s">
        <v>336</v>
      </c>
      <c r="C54" s="3" t="s">
        <v>337</v>
      </c>
      <c r="D54" s="3" t="s">
        <v>11</v>
      </c>
      <c r="E54" s="3" t="s">
        <v>12</v>
      </c>
      <c r="F54" s="3">
        <v>0.317</v>
      </c>
      <c r="G54" s="74">
        <f>F54*VLOOKUP(D54,GWPs!$B$3:$C$6,2,FALSE)</f>
        <v>0.317</v>
      </c>
      <c r="H54" s="3">
        <v>7.4999999999999997E-2</v>
      </c>
      <c r="I54" s="74">
        <f>H54*VLOOKUP(D54,GWPs!$B$3:$C$6,2,FALSE)</f>
        <v>7.4999999999999997E-2</v>
      </c>
      <c r="J54" s="3">
        <v>0.39100000000000001</v>
      </c>
      <c r="K54" s="74">
        <f>J54*VLOOKUP(D54,GWPs!$B$3:$C$6,2,FALSE)</f>
        <v>0.39100000000000001</v>
      </c>
      <c r="M54" s="3">
        <v>4</v>
      </c>
      <c r="N54" s="3">
        <v>2</v>
      </c>
      <c r="O54" s="3">
        <v>1</v>
      </c>
      <c r="P54" s="3">
        <v>3</v>
      </c>
      <c r="Q54" s="3">
        <v>1</v>
      </c>
      <c r="T54" s="70" t="s">
        <v>452</v>
      </c>
      <c r="U54" s="70">
        <v>1.974</v>
      </c>
      <c r="X54" s="70" t="s">
        <v>879</v>
      </c>
      <c r="Y54" s="70">
        <v>0.218</v>
      </c>
      <c r="AA54" s="70" t="s">
        <v>879</v>
      </c>
      <c r="AB54" s="406">
        <v>0</v>
      </c>
    </row>
    <row r="55" spans="1:28">
      <c r="A55" t="s">
        <v>1429</v>
      </c>
      <c r="B55" s="3" t="s">
        <v>336</v>
      </c>
      <c r="C55" s="3" t="s">
        <v>337</v>
      </c>
      <c r="D55" s="3" t="s">
        <v>13</v>
      </c>
      <c r="E55" s="3" t="s">
        <v>12</v>
      </c>
      <c r="F55" s="3">
        <v>1.4999999999999999E-2</v>
      </c>
      <c r="G55" s="74">
        <f>F55*VLOOKUP(D55,GWPs!$B$3:$C$6,2,FALSE)</f>
        <v>0.42</v>
      </c>
      <c r="H55" s="3">
        <v>1E-3</v>
      </c>
      <c r="I55" s="74">
        <f>H55*VLOOKUP(D55,GWPs!$B$3:$C$6,2,FALSE)</f>
        <v>2.8000000000000001E-2</v>
      </c>
      <c r="J55" s="3">
        <v>1.6E-2</v>
      </c>
      <c r="K55" s="74">
        <f>J55*VLOOKUP(D55,GWPs!$B$3:$C$6,2,FALSE)</f>
        <v>0.44800000000000001</v>
      </c>
      <c r="M55" s="3">
        <v>4</v>
      </c>
      <c r="N55" s="3">
        <v>2</v>
      </c>
      <c r="O55" s="3">
        <v>1</v>
      </c>
      <c r="P55" s="3">
        <v>1</v>
      </c>
      <c r="Q55" s="3">
        <v>1</v>
      </c>
      <c r="T55" s="70" t="s">
        <v>879</v>
      </c>
      <c r="U55" s="70">
        <v>0.218</v>
      </c>
      <c r="X55" s="70" t="s">
        <v>339</v>
      </c>
      <c r="Y55" s="70">
        <v>1.655</v>
      </c>
      <c r="AA55" s="70" t="s">
        <v>339</v>
      </c>
      <c r="AB55" s="406">
        <v>0.23399999999999999</v>
      </c>
    </row>
    <row r="56" spans="1:28">
      <c r="A56" t="s">
        <v>1429</v>
      </c>
      <c r="B56" s="3" t="s">
        <v>336</v>
      </c>
      <c r="C56" s="3" t="s">
        <v>337</v>
      </c>
      <c r="D56" s="3" t="s">
        <v>14</v>
      </c>
      <c r="E56" s="3" t="s">
        <v>12</v>
      </c>
      <c r="F56" s="3">
        <v>0</v>
      </c>
      <c r="G56" s="74">
        <f>F56*VLOOKUP(D56,GWPs!$B$3:$C$6,2,FALSE)</f>
        <v>0</v>
      </c>
      <c r="H56" s="3">
        <v>0</v>
      </c>
      <c r="I56" s="74">
        <f>H56*VLOOKUP(D56,GWPs!$B$3:$C$6,2,FALSE)</f>
        <v>0</v>
      </c>
      <c r="J56" s="3">
        <v>0</v>
      </c>
      <c r="K56" s="74">
        <f>J56*VLOOKUP(D56,GWPs!$B$3:$C$6,2,FALSE)</f>
        <v>0</v>
      </c>
      <c r="M56" s="3">
        <v>4</v>
      </c>
      <c r="N56" s="3">
        <v>2</v>
      </c>
      <c r="O56" s="3">
        <v>1</v>
      </c>
      <c r="P56" s="3">
        <v>2</v>
      </c>
      <c r="Q56" s="3">
        <v>1</v>
      </c>
      <c r="T56" s="70" t="s">
        <v>339</v>
      </c>
      <c r="U56" s="70">
        <v>1.8880000000000001</v>
      </c>
      <c r="X56" s="70" t="s">
        <v>422</v>
      </c>
      <c r="Y56" s="70">
        <v>0.217</v>
      </c>
      <c r="AA56" s="70" t="s">
        <v>422</v>
      </c>
      <c r="AB56" s="406">
        <v>3.9E-2</v>
      </c>
    </row>
    <row r="57" spans="1:28">
      <c r="A57" t="s">
        <v>1429</v>
      </c>
      <c r="B57" s="3" t="s">
        <v>336</v>
      </c>
      <c r="C57" s="3" t="s">
        <v>337</v>
      </c>
      <c r="D57" s="3" t="s">
        <v>15</v>
      </c>
      <c r="E57" s="3" t="s">
        <v>16</v>
      </c>
      <c r="F57" s="3">
        <v>4.0000000000000001E-3</v>
      </c>
      <c r="G57" s="74">
        <f>F57*VLOOKUP(D57,GWPs!$B$3:$C$6,2,FALSE)</f>
        <v>4.0000000000000001E-3</v>
      </c>
      <c r="H57" s="3">
        <v>0</v>
      </c>
      <c r="I57" s="74">
        <f>H57*VLOOKUP(D57,GWPs!$B$3:$C$6,2,FALSE)</f>
        <v>0</v>
      </c>
      <c r="J57" s="3">
        <v>4.0000000000000001E-3</v>
      </c>
      <c r="K57" s="74">
        <f>J57*VLOOKUP(D57,GWPs!$B$3:$C$6,2,FALSE)</f>
        <v>4.0000000000000001E-3</v>
      </c>
      <c r="M57" s="3">
        <v>3</v>
      </c>
      <c r="N57" s="3">
        <v>2</v>
      </c>
      <c r="O57" s="3">
        <v>1</v>
      </c>
      <c r="P57" s="3">
        <v>3</v>
      </c>
      <c r="Q57" s="3">
        <v>1</v>
      </c>
      <c r="T57" s="70" t="s">
        <v>422</v>
      </c>
      <c r="U57" s="70">
        <v>0.255</v>
      </c>
      <c r="X57" s="70" t="s">
        <v>1014</v>
      </c>
      <c r="Y57" s="70">
        <v>0.19900000000000001</v>
      </c>
      <c r="AA57" s="70" t="s">
        <v>1014</v>
      </c>
      <c r="AB57" s="406">
        <v>0</v>
      </c>
    </row>
    <row r="58" spans="1:28">
      <c r="A58" t="s">
        <v>1429</v>
      </c>
      <c r="B58" s="3" t="s">
        <v>338</v>
      </c>
      <c r="C58" s="3" t="s">
        <v>339</v>
      </c>
      <c r="D58" s="3" t="s">
        <v>11</v>
      </c>
      <c r="E58" s="3" t="s">
        <v>12</v>
      </c>
      <c r="F58" s="3">
        <v>0.308</v>
      </c>
      <c r="G58" s="74">
        <f>F58*VLOOKUP(D58,GWPs!$B$3:$C$6,2,FALSE)</f>
        <v>0.308</v>
      </c>
      <c r="H58" s="3">
        <v>0.17799999999999999</v>
      </c>
      <c r="I58" s="74">
        <f>H58*VLOOKUP(D58,GWPs!$B$3:$C$6,2,FALSE)</f>
        <v>0.17799999999999999</v>
      </c>
      <c r="J58" s="3">
        <v>0.48499999999999999</v>
      </c>
      <c r="K58" s="74">
        <f>J58*VLOOKUP(D58,GWPs!$B$3:$C$6,2,FALSE)</f>
        <v>0.48499999999999999</v>
      </c>
      <c r="M58" s="3">
        <v>3</v>
      </c>
      <c r="N58" s="3">
        <v>2</v>
      </c>
      <c r="O58" s="3">
        <v>1</v>
      </c>
      <c r="P58" s="3">
        <v>4</v>
      </c>
      <c r="Q58" s="3">
        <v>1</v>
      </c>
      <c r="T58" s="70" t="s">
        <v>1014</v>
      </c>
      <c r="U58" s="70">
        <v>0.19900000000000001</v>
      </c>
      <c r="X58" s="70" t="s">
        <v>959</v>
      </c>
      <c r="Y58" s="70">
        <v>0.16</v>
      </c>
      <c r="AA58" s="70" t="s">
        <v>959</v>
      </c>
      <c r="AB58" s="406">
        <v>0</v>
      </c>
    </row>
    <row r="59" spans="1:28">
      <c r="A59" t="s">
        <v>1429</v>
      </c>
      <c r="B59" s="3" t="s">
        <v>338</v>
      </c>
      <c r="C59" s="3" t="s">
        <v>339</v>
      </c>
      <c r="D59" s="3" t="s">
        <v>13</v>
      </c>
      <c r="E59" s="3" t="s">
        <v>12</v>
      </c>
      <c r="F59" s="3">
        <v>4.8000000000000001E-2</v>
      </c>
      <c r="G59" s="74">
        <f>F59*VLOOKUP(D59,GWPs!$B$3:$C$6,2,FALSE)</f>
        <v>1.3440000000000001</v>
      </c>
      <c r="H59" s="3">
        <v>2E-3</v>
      </c>
      <c r="I59" s="74">
        <f>H59*VLOOKUP(D59,GWPs!$B$3:$C$6,2,FALSE)</f>
        <v>5.6000000000000001E-2</v>
      </c>
      <c r="J59" s="3">
        <v>0.05</v>
      </c>
      <c r="K59" s="74">
        <f>J59*VLOOKUP(D59,GWPs!$B$3:$C$6,2,FALSE)</f>
        <v>1.4000000000000001</v>
      </c>
      <c r="M59" s="3">
        <v>4</v>
      </c>
      <c r="N59" s="3">
        <v>2</v>
      </c>
      <c r="O59" s="3">
        <v>1</v>
      </c>
      <c r="P59" s="3">
        <v>1</v>
      </c>
      <c r="Q59" s="3">
        <v>1</v>
      </c>
      <c r="T59" s="70" t="s">
        <v>959</v>
      </c>
      <c r="U59" s="70">
        <v>0.16</v>
      </c>
      <c r="X59" s="70" t="s">
        <v>1071</v>
      </c>
      <c r="Y59" s="70">
        <v>0.17199999999999999</v>
      </c>
      <c r="AA59" s="70" t="s">
        <v>1071</v>
      </c>
      <c r="AB59" s="406">
        <v>0</v>
      </c>
    </row>
    <row r="60" spans="1:28">
      <c r="A60" t="s">
        <v>1429</v>
      </c>
      <c r="B60" s="3" t="s">
        <v>338</v>
      </c>
      <c r="C60" s="3" t="s">
        <v>339</v>
      </c>
      <c r="D60" s="3" t="s">
        <v>14</v>
      </c>
      <c r="E60" s="3" t="s">
        <v>12</v>
      </c>
      <c r="F60" s="3">
        <v>0</v>
      </c>
      <c r="G60" s="74">
        <f>F60*VLOOKUP(D60,GWPs!$B$3:$C$6,2,FALSE)</f>
        <v>0</v>
      </c>
      <c r="H60" s="3">
        <v>0</v>
      </c>
      <c r="I60" s="74">
        <f>H60*VLOOKUP(D60,GWPs!$B$3:$C$6,2,FALSE)</f>
        <v>0</v>
      </c>
      <c r="J60" s="3">
        <v>0</v>
      </c>
      <c r="K60" s="74">
        <f>J60*VLOOKUP(D60,GWPs!$B$3:$C$6,2,FALSE)</f>
        <v>0</v>
      </c>
      <c r="M60" s="3">
        <v>3</v>
      </c>
      <c r="N60" s="3">
        <v>2</v>
      </c>
      <c r="O60" s="3">
        <v>1</v>
      </c>
      <c r="P60" s="3">
        <v>2</v>
      </c>
      <c r="Q60" s="3">
        <v>1</v>
      </c>
      <c r="T60" s="70" t="s">
        <v>1071</v>
      </c>
      <c r="U60" s="70">
        <v>0.17199999999999999</v>
      </c>
      <c r="X60" s="70" t="s">
        <v>370</v>
      </c>
      <c r="Y60" s="70">
        <v>0.29199999999999998</v>
      </c>
      <c r="AA60" s="70" t="s">
        <v>370</v>
      </c>
      <c r="AB60" s="406">
        <v>0</v>
      </c>
    </row>
    <row r="61" spans="1:28">
      <c r="A61" t="s">
        <v>1429</v>
      </c>
      <c r="B61" s="3" t="s">
        <v>338</v>
      </c>
      <c r="C61" s="3" t="s">
        <v>339</v>
      </c>
      <c r="D61" s="3" t="s">
        <v>15</v>
      </c>
      <c r="E61" s="3" t="s">
        <v>16</v>
      </c>
      <c r="F61" s="3">
        <v>3.0000000000000001E-3</v>
      </c>
      <c r="G61" s="74">
        <f>F61*VLOOKUP(D61,GWPs!$B$3:$C$6,2,FALSE)</f>
        <v>3.0000000000000001E-3</v>
      </c>
      <c r="H61" s="3">
        <v>0</v>
      </c>
      <c r="I61" s="74">
        <f>H61*VLOOKUP(D61,GWPs!$B$3:$C$6,2,FALSE)</f>
        <v>0</v>
      </c>
      <c r="J61" s="3">
        <v>3.0000000000000001E-3</v>
      </c>
      <c r="K61" s="74">
        <f>J61*VLOOKUP(D61,GWPs!$B$3:$C$6,2,FALSE)</f>
        <v>3.0000000000000001E-3</v>
      </c>
      <c r="M61" s="3">
        <v>3</v>
      </c>
      <c r="N61" s="3">
        <v>2</v>
      </c>
      <c r="O61" s="3">
        <v>1</v>
      </c>
      <c r="P61" s="3">
        <v>4</v>
      </c>
      <c r="Q61" s="3">
        <v>1</v>
      </c>
      <c r="T61" s="70" t="s">
        <v>370</v>
      </c>
      <c r="U61" s="70">
        <v>0.29199999999999998</v>
      </c>
      <c r="X61" s="70" t="s">
        <v>754</v>
      </c>
      <c r="Y61" s="70">
        <v>0.40500000000000003</v>
      </c>
      <c r="AA61" s="70" t="s">
        <v>754</v>
      </c>
      <c r="AB61" s="406">
        <v>4.2999999999999997E-2</v>
      </c>
    </row>
    <row r="62" spans="1:28">
      <c r="A62" t="s">
        <v>1429</v>
      </c>
      <c r="B62" s="3" t="s">
        <v>340</v>
      </c>
      <c r="C62" s="3" t="s">
        <v>341</v>
      </c>
      <c r="D62" s="3" t="s">
        <v>11</v>
      </c>
      <c r="E62" s="3" t="s">
        <v>12</v>
      </c>
      <c r="F62" s="3">
        <v>1.2090000000000001</v>
      </c>
      <c r="G62" s="74">
        <f>F62*VLOOKUP(D62,GWPs!$B$3:$C$6,2,FALSE)</f>
        <v>1.2090000000000001</v>
      </c>
      <c r="H62" s="3">
        <v>7.0999999999999994E-2</v>
      </c>
      <c r="I62" s="74">
        <f>H62*VLOOKUP(D62,GWPs!$B$3:$C$6,2,FALSE)</f>
        <v>7.0999999999999994E-2</v>
      </c>
      <c r="J62" s="3">
        <v>1.28</v>
      </c>
      <c r="K62" s="74">
        <f>J62*VLOOKUP(D62,GWPs!$B$3:$C$6,2,FALSE)</f>
        <v>1.28</v>
      </c>
      <c r="M62" s="3">
        <v>4</v>
      </c>
      <c r="N62" s="3">
        <v>2</v>
      </c>
      <c r="O62" s="3">
        <v>1</v>
      </c>
      <c r="P62" s="3">
        <v>4</v>
      </c>
      <c r="Q62" s="3">
        <v>1</v>
      </c>
      <c r="T62" s="70" t="s">
        <v>754</v>
      </c>
      <c r="U62" s="70">
        <v>0.44800000000000001</v>
      </c>
      <c r="X62" s="70" t="s">
        <v>698</v>
      </c>
      <c r="Y62" s="70">
        <v>5.9000000000000004E-2</v>
      </c>
      <c r="AA62" s="70" t="s">
        <v>698</v>
      </c>
      <c r="AB62" s="406">
        <v>4.4999999999999998E-2</v>
      </c>
    </row>
    <row r="63" spans="1:28">
      <c r="A63" t="s">
        <v>1429</v>
      </c>
      <c r="B63" s="3" t="s">
        <v>340</v>
      </c>
      <c r="C63" s="3" t="s">
        <v>341</v>
      </c>
      <c r="D63" s="3" t="s">
        <v>13</v>
      </c>
      <c r="E63" s="3" t="s">
        <v>12</v>
      </c>
      <c r="F63" s="3">
        <v>2E-3</v>
      </c>
      <c r="G63" s="74">
        <f>F63*VLOOKUP(D63,GWPs!$B$3:$C$6,2,FALSE)</f>
        <v>5.6000000000000001E-2</v>
      </c>
      <c r="H63" s="3">
        <v>1E-3</v>
      </c>
      <c r="I63" s="74">
        <f>H63*VLOOKUP(D63,GWPs!$B$3:$C$6,2,FALSE)</f>
        <v>2.8000000000000001E-2</v>
      </c>
      <c r="J63" s="3">
        <v>3.0000000000000001E-3</v>
      </c>
      <c r="K63" s="74">
        <f>J63*VLOOKUP(D63,GWPs!$B$3:$C$6,2,FALSE)</f>
        <v>8.4000000000000005E-2</v>
      </c>
      <c r="M63" s="3">
        <v>4</v>
      </c>
      <c r="N63" s="3">
        <v>2</v>
      </c>
      <c r="O63" s="3">
        <v>1</v>
      </c>
      <c r="P63" s="3">
        <v>1</v>
      </c>
      <c r="Q63" s="3">
        <v>1</v>
      </c>
      <c r="T63" s="70" t="s">
        <v>698</v>
      </c>
      <c r="U63" s="70">
        <v>0.10400000000000001</v>
      </c>
      <c r="X63" s="70" t="s">
        <v>1041</v>
      </c>
      <c r="Y63" s="70">
        <v>0.30299999999999999</v>
      </c>
      <c r="AA63" s="70" t="s">
        <v>1041</v>
      </c>
      <c r="AB63" s="406">
        <v>0</v>
      </c>
    </row>
    <row r="64" spans="1:28">
      <c r="A64" t="s">
        <v>1429</v>
      </c>
      <c r="B64" s="3" t="s">
        <v>340</v>
      </c>
      <c r="C64" s="3" t="s">
        <v>341</v>
      </c>
      <c r="D64" s="3" t="s">
        <v>14</v>
      </c>
      <c r="E64" s="3" t="s">
        <v>12</v>
      </c>
      <c r="F64" s="3">
        <v>0</v>
      </c>
      <c r="G64" s="74">
        <f>F64*VLOOKUP(D64,GWPs!$B$3:$C$6,2,FALSE)</f>
        <v>0</v>
      </c>
      <c r="H64" s="3">
        <v>0</v>
      </c>
      <c r="I64" s="74">
        <f>H64*VLOOKUP(D64,GWPs!$B$3:$C$6,2,FALSE)</f>
        <v>0</v>
      </c>
      <c r="J64" s="3">
        <v>0</v>
      </c>
      <c r="K64" s="74">
        <f>J64*VLOOKUP(D64,GWPs!$B$3:$C$6,2,FALSE)</f>
        <v>0</v>
      </c>
      <c r="M64" s="3">
        <v>3</v>
      </c>
      <c r="N64" s="3">
        <v>2</v>
      </c>
      <c r="O64" s="3">
        <v>1</v>
      </c>
      <c r="P64" s="3">
        <v>3</v>
      </c>
      <c r="Q64" s="3">
        <v>1</v>
      </c>
      <c r="T64" s="70" t="s">
        <v>1041</v>
      </c>
      <c r="U64" s="70">
        <v>0.30299999999999999</v>
      </c>
      <c r="X64" s="70" t="s">
        <v>992</v>
      </c>
      <c r="Y64" s="70">
        <v>0.115</v>
      </c>
      <c r="AA64" s="70" t="s">
        <v>992</v>
      </c>
      <c r="AB64" s="406">
        <v>0</v>
      </c>
    </row>
    <row r="65" spans="1:28">
      <c r="A65" t="s">
        <v>1429</v>
      </c>
      <c r="B65" s="3" t="s">
        <v>340</v>
      </c>
      <c r="C65" s="3" t="s">
        <v>341</v>
      </c>
      <c r="D65" s="3" t="s">
        <v>15</v>
      </c>
      <c r="E65" s="3" t="s">
        <v>16</v>
      </c>
      <c r="F65" s="3">
        <v>5.0000000000000001E-3</v>
      </c>
      <c r="G65" s="74">
        <f>F65*VLOOKUP(D65,GWPs!$B$3:$C$6,2,FALSE)</f>
        <v>5.0000000000000001E-3</v>
      </c>
      <c r="H65" s="3">
        <v>0</v>
      </c>
      <c r="I65" s="74">
        <f>H65*VLOOKUP(D65,GWPs!$B$3:$C$6,2,FALSE)</f>
        <v>0</v>
      </c>
      <c r="J65" s="3">
        <v>5.0000000000000001E-3</v>
      </c>
      <c r="K65" s="74">
        <f>J65*VLOOKUP(D65,GWPs!$B$3:$C$6,2,FALSE)</f>
        <v>5.0000000000000001E-3</v>
      </c>
      <c r="M65" s="3">
        <v>3</v>
      </c>
      <c r="N65" s="3">
        <v>2</v>
      </c>
      <c r="O65" s="3">
        <v>1</v>
      </c>
      <c r="P65" s="3">
        <v>3</v>
      </c>
      <c r="Q65" s="3">
        <v>1</v>
      </c>
      <c r="T65" s="70" t="s">
        <v>992</v>
      </c>
      <c r="U65" s="70">
        <v>0.115</v>
      </c>
      <c r="X65" s="70" t="s">
        <v>494</v>
      </c>
      <c r="Y65" s="70">
        <v>1.7</v>
      </c>
      <c r="AA65" s="70" t="s">
        <v>494</v>
      </c>
      <c r="AB65" s="406">
        <v>0.14300000000000002</v>
      </c>
    </row>
    <row r="66" spans="1:28">
      <c r="A66" t="s">
        <v>1429</v>
      </c>
      <c r="B66" s="3" t="s">
        <v>342</v>
      </c>
      <c r="C66" s="3" t="s">
        <v>343</v>
      </c>
      <c r="D66" s="3" t="s">
        <v>11</v>
      </c>
      <c r="E66" s="3" t="s">
        <v>12</v>
      </c>
      <c r="F66" s="3">
        <v>1.081</v>
      </c>
      <c r="G66" s="74">
        <f>F66*VLOOKUP(D66,GWPs!$B$3:$C$6,2,FALSE)</f>
        <v>1.081</v>
      </c>
      <c r="H66" s="3">
        <v>6.5000000000000002E-2</v>
      </c>
      <c r="I66" s="74">
        <f>H66*VLOOKUP(D66,GWPs!$B$3:$C$6,2,FALSE)</f>
        <v>6.5000000000000002E-2</v>
      </c>
      <c r="J66" s="3">
        <v>1.1459999999999999</v>
      </c>
      <c r="K66" s="74">
        <f>J66*VLOOKUP(D66,GWPs!$B$3:$C$6,2,FALSE)</f>
        <v>1.1459999999999999</v>
      </c>
      <c r="M66" s="3">
        <v>4</v>
      </c>
      <c r="N66" s="3">
        <v>2</v>
      </c>
      <c r="O66" s="3">
        <v>1</v>
      </c>
      <c r="P66" s="3">
        <v>3</v>
      </c>
      <c r="Q66" s="3">
        <v>1</v>
      </c>
      <c r="T66" s="70" t="s">
        <v>494</v>
      </c>
      <c r="U66" s="70">
        <v>1.8420000000000001</v>
      </c>
      <c r="X66" s="70" t="s">
        <v>690</v>
      </c>
      <c r="Y66" s="70">
        <v>8.1000000000000003E-2</v>
      </c>
      <c r="AA66" s="70" t="s">
        <v>690</v>
      </c>
      <c r="AB66" s="406">
        <v>0.13</v>
      </c>
    </row>
    <row r="67" spans="1:28">
      <c r="A67" t="s">
        <v>1429</v>
      </c>
      <c r="B67" s="3" t="s">
        <v>342</v>
      </c>
      <c r="C67" s="3" t="s">
        <v>343</v>
      </c>
      <c r="D67" s="3" t="s">
        <v>13</v>
      </c>
      <c r="E67" s="3" t="s">
        <v>12</v>
      </c>
      <c r="F67" s="3">
        <v>2E-3</v>
      </c>
      <c r="G67" s="74">
        <f>F67*VLOOKUP(D67,GWPs!$B$3:$C$6,2,FALSE)</f>
        <v>5.6000000000000001E-2</v>
      </c>
      <c r="H67" s="3">
        <v>1E-3</v>
      </c>
      <c r="I67" s="74">
        <f>H67*VLOOKUP(D67,GWPs!$B$3:$C$6,2,FALSE)</f>
        <v>2.8000000000000001E-2</v>
      </c>
      <c r="J67" s="3">
        <v>3.0000000000000001E-3</v>
      </c>
      <c r="K67" s="74">
        <f>J67*VLOOKUP(D67,GWPs!$B$3:$C$6,2,FALSE)</f>
        <v>8.4000000000000005E-2</v>
      </c>
      <c r="M67" s="3">
        <v>4</v>
      </c>
      <c r="N67" s="3">
        <v>2</v>
      </c>
      <c r="O67" s="3">
        <v>1</v>
      </c>
      <c r="P67" s="3">
        <v>1</v>
      </c>
      <c r="Q67" s="3">
        <v>1</v>
      </c>
      <c r="T67" s="70" t="s">
        <v>690</v>
      </c>
      <c r="U67" s="70">
        <v>0.21099999999999999</v>
      </c>
      <c r="X67" s="70" t="s">
        <v>974</v>
      </c>
      <c r="Y67" s="70">
        <v>6.2E-2</v>
      </c>
      <c r="AA67" s="70" t="s">
        <v>974</v>
      </c>
      <c r="AB67" s="406">
        <v>0</v>
      </c>
    </row>
    <row r="68" spans="1:28">
      <c r="A68" t="s">
        <v>1429</v>
      </c>
      <c r="B68" s="3" t="s">
        <v>342</v>
      </c>
      <c r="C68" s="3" t="s">
        <v>343</v>
      </c>
      <c r="D68" s="3" t="s">
        <v>14</v>
      </c>
      <c r="E68" s="3" t="s">
        <v>12</v>
      </c>
      <c r="F68" s="3">
        <v>0</v>
      </c>
      <c r="G68" s="74">
        <f>F68*VLOOKUP(D68,GWPs!$B$3:$C$6,2,FALSE)</f>
        <v>0</v>
      </c>
      <c r="H68" s="3">
        <v>0</v>
      </c>
      <c r="I68" s="74">
        <f>H68*VLOOKUP(D68,GWPs!$B$3:$C$6,2,FALSE)</f>
        <v>0</v>
      </c>
      <c r="J68" s="3">
        <v>0</v>
      </c>
      <c r="K68" s="74">
        <f>J68*VLOOKUP(D68,GWPs!$B$3:$C$6,2,FALSE)</f>
        <v>0</v>
      </c>
      <c r="M68" s="3">
        <v>4</v>
      </c>
      <c r="N68" s="3">
        <v>2</v>
      </c>
      <c r="O68" s="3">
        <v>1</v>
      </c>
      <c r="P68" s="3">
        <v>3</v>
      </c>
      <c r="Q68" s="3">
        <v>1</v>
      </c>
      <c r="T68" s="70" t="s">
        <v>974</v>
      </c>
      <c r="U68" s="70">
        <v>6.2E-2</v>
      </c>
      <c r="X68" s="70" t="s">
        <v>692</v>
      </c>
      <c r="Y68" s="70">
        <v>0.11800000000000001</v>
      </c>
      <c r="AA68" s="70" t="s">
        <v>692</v>
      </c>
      <c r="AB68" s="406">
        <v>0.193</v>
      </c>
    </row>
    <row r="69" spans="1:28">
      <c r="A69" t="s">
        <v>1429</v>
      </c>
      <c r="B69" s="3" t="s">
        <v>342</v>
      </c>
      <c r="C69" s="3" t="s">
        <v>343</v>
      </c>
      <c r="D69" s="3" t="s">
        <v>15</v>
      </c>
      <c r="E69" s="3" t="s">
        <v>16</v>
      </c>
      <c r="F69" s="3">
        <v>6.0000000000000001E-3</v>
      </c>
      <c r="G69" s="74">
        <f>F69*VLOOKUP(D69,GWPs!$B$3:$C$6,2,FALSE)</f>
        <v>6.0000000000000001E-3</v>
      </c>
      <c r="H69" s="3">
        <v>0</v>
      </c>
      <c r="I69" s="74">
        <f>H69*VLOOKUP(D69,GWPs!$B$3:$C$6,2,FALSE)</f>
        <v>0</v>
      </c>
      <c r="J69" s="3">
        <v>6.0000000000000001E-3</v>
      </c>
      <c r="K69" s="74">
        <f>J69*VLOOKUP(D69,GWPs!$B$3:$C$6,2,FALSE)</f>
        <v>6.0000000000000001E-3</v>
      </c>
      <c r="M69" s="3">
        <v>3</v>
      </c>
      <c r="N69" s="3">
        <v>2</v>
      </c>
      <c r="O69" s="3">
        <v>1</v>
      </c>
      <c r="P69" s="3">
        <v>2</v>
      </c>
      <c r="Q69" s="3">
        <v>1</v>
      </c>
      <c r="T69" s="70" t="s">
        <v>692</v>
      </c>
      <c r="U69" s="70">
        <v>0.31100000000000005</v>
      </c>
      <c r="X69" s="70" t="s">
        <v>688</v>
      </c>
      <c r="Y69" s="70">
        <v>3.6999999999999998E-2</v>
      </c>
      <c r="AA69" s="70" t="s">
        <v>688</v>
      </c>
      <c r="AB69" s="406">
        <v>0.45800000000000002</v>
      </c>
    </row>
    <row r="70" spans="1:28">
      <c r="A70" t="s">
        <v>1429</v>
      </c>
      <c r="B70" s="3" t="s">
        <v>344</v>
      </c>
      <c r="C70" s="3" t="s">
        <v>345</v>
      </c>
      <c r="D70" s="3" t="s">
        <v>11</v>
      </c>
      <c r="E70" s="3" t="s">
        <v>12</v>
      </c>
      <c r="F70" s="3">
        <v>0.34300000000000003</v>
      </c>
      <c r="G70" s="74">
        <f>F70*VLOOKUP(D70,GWPs!$B$3:$C$6,2,FALSE)</f>
        <v>0.34300000000000003</v>
      </c>
      <c r="H70" s="3">
        <v>0.11600000000000001</v>
      </c>
      <c r="I70" s="74">
        <f>H70*VLOOKUP(D70,GWPs!$B$3:$C$6,2,FALSE)</f>
        <v>0.11600000000000001</v>
      </c>
      <c r="J70" s="3">
        <v>0.45900000000000002</v>
      </c>
      <c r="K70" s="74">
        <f>J70*VLOOKUP(D70,GWPs!$B$3:$C$6,2,FALSE)</f>
        <v>0.45900000000000002</v>
      </c>
      <c r="M70" s="3">
        <v>3</v>
      </c>
      <c r="N70" s="3">
        <v>2</v>
      </c>
      <c r="O70" s="3">
        <v>1</v>
      </c>
      <c r="P70" s="3">
        <v>4</v>
      </c>
      <c r="Q70" s="3">
        <v>1</v>
      </c>
      <c r="T70" s="70" t="s">
        <v>688</v>
      </c>
      <c r="U70" s="70">
        <v>0.49399999999999999</v>
      </c>
      <c r="X70" s="70" t="s">
        <v>558</v>
      </c>
      <c r="Y70" s="70">
        <v>0.48400000000000004</v>
      </c>
      <c r="AA70" s="70" t="s">
        <v>558</v>
      </c>
      <c r="AB70" s="406">
        <v>0.123</v>
      </c>
    </row>
    <row r="71" spans="1:28">
      <c r="A71" t="s">
        <v>1429</v>
      </c>
      <c r="B71" s="3" t="s">
        <v>344</v>
      </c>
      <c r="C71" s="3" t="s">
        <v>345</v>
      </c>
      <c r="D71" s="3" t="s">
        <v>13</v>
      </c>
      <c r="E71" s="3" t="s">
        <v>12</v>
      </c>
      <c r="F71" s="3">
        <v>1E-3</v>
      </c>
      <c r="G71" s="74">
        <f>F71*VLOOKUP(D71,GWPs!$B$3:$C$6,2,FALSE)</f>
        <v>2.8000000000000001E-2</v>
      </c>
      <c r="H71" s="3">
        <v>1E-3</v>
      </c>
      <c r="I71" s="74">
        <f>H71*VLOOKUP(D71,GWPs!$B$3:$C$6,2,FALSE)</f>
        <v>2.8000000000000001E-2</v>
      </c>
      <c r="J71" s="3">
        <v>3.0000000000000001E-3</v>
      </c>
      <c r="K71" s="74">
        <f>J71*VLOOKUP(D71,GWPs!$B$3:$C$6,2,FALSE)</f>
        <v>8.4000000000000005E-2</v>
      </c>
      <c r="M71" s="3">
        <v>4</v>
      </c>
      <c r="N71" s="3">
        <v>2</v>
      </c>
      <c r="O71" s="3">
        <v>1</v>
      </c>
      <c r="P71" s="3">
        <v>1</v>
      </c>
      <c r="Q71" s="3">
        <v>1</v>
      </c>
      <c r="T71" s="70" t="s">
        <v>558</v>
      </c>
      <c r="U71" s="70">
        <v>0.6070000000000001</v>
      </c>
      <c r="X71" s="70" t="s">
        <v>636</v>
      </c>
      <c r="Y71" s="70">
        <v>0.17300000000000001</v>
      </c>
      <c r="AA71" s="70" t="s">
        <v>636</v>
      </c>
      <c r="AB71" s="406">
        <v>3.5000000000000003E-2</v>
      </c>
    </row>
    <row r="72" spans="1:28">
      <c r="A72" t="s">
        <v>1429</v>
      </c>
      <c r="B72" s="3" t="s">
        <v>344</v>
      </c>
      <c r="C72" s="3" t="s">
        <v>345</v>
      </c>
      <c r="D72" s="3" t="s">
        <v>14</v>
      </c>
      <c r="E72" s="3" t="s">
        <v>12</v>
      </c>
      <c r="F72" s="3">
        <v>0</v>
      </c>
      <c r="G72" s="74">
        <f>F72*VLOOKUP(D72,GWPs!$B$3:$C$6,2,FALSE)</f>
        <v>0</v>
      </c>
      <c r="H72" s="3">
        <v>0</v>
      </c>
      <c r="I72" s="74">
        <f>H72*VLOOKUP(D72,GWPs!$B$3:$C$6,2,FALSE)</f>
        <v>0</v>
      </c>
      <c r="J72" s="3">
        <v>0</v>
      </c>
      <c r="K72" s="74">
        <f>J72*VLOOKUP(D72,GWPs!$B$3:$C$6,2,FALSE)</f>
        <v>0</v>
      </c>
      <c r="M72" s="3">
        <v>4</v>
      </c>
      <c r="N72" s="3">
        <v>2</v>
      </c>
      <c r="O72" s="3">
        <v>1</v>
      </c>
      <c r="P72" s="3">
        <v>3</v>
      </c>
      <c r="Q72" s="3">
        <v>1</v>
      </c>
      <c r="T72" s="70" t="s">
        <v>636</v>
      </c>
      <c r="U72" s="70">
        <v>0.20699999999999999</v>
      </c>
      <c r="X72" s="70" t="s">
        <v>961</v>
      </c>
      <c r="Y72" s="70">
        <v>0.159</v>
      </c>
      <c r="AA72" s="70" t="s">
        <v>961</v>
      </c>
      <c r="AB72" s="406">
        <v>0</v>
      </c>
    </row>
    <row r="73" spans="1:28">
      <c r="A73" t="s">
        <v>1429</v>
      </c>
      <c r="B73" s="3" t="s">
        <v>344</v>
      </c>
      <c r="C73" s="3" t="s">
        <v>345</v>
      </c>
      <c r="D73" s="3" t="s">
        <v>15</v>
      </c>
      <c r="E73" s="3" t="s">
        <v>16</v>
      </c>
      <c r="F73" s="3">
        <v>4.0000000000000001E-3</v>
      </c>
      <c r="G73" s="74">
        <f>F73*VLOOKUP(D73,GWPs!$B$3:$C$6,2,FALSE)</f>
        <v>4.0000000000000001E-3</v>
      </c>
      <c r="H73" s="3">
        <v>0</v>
      </c>
      <c r="I73" s="74">
        <f>H73*VLOOKUP(D73,GWPs!$B$3:$C$6,2,FALSE)</f>
        <v>0</v>
      </c>
      <c r="J73" s="3">
        <v>4.0000000000000001E-3</v>
      </c>
      <c r="K73" s="74">
        <f>J73*VLOOKUP(D73,GWPs!$B$3:$C$6,2,FALSE)</f>
        <v>4.0000000000000001E-3</v>
      </c>
      <c r="M73" s="3">
        <v>4</v>
      </c>
      <c r="N73" s="3">
        <v>2</v>
      </c>
      <c r="O73" s="3">
        <v>1</v>
      </c>
      <c r="P73" s="3">
        <v>4</v>
      </c>
      <c r="Q73" s="3">
        <v>1</v>
      </c>
      <c r="T73" s="70" t="s">
        <v>961</v>
      </c>
      <c r="U73" s="70">
        <v>0.159</v>
      </c>
      <c r="X73" s="70" t="s">
        <v>418</v>
      </c>
      <c r="Y73" s="70">
        <v>0.78100000000000003</v>
      </c>
      <c r="AA73" s="70" t="s">
        <v>418</v>
      </c>
      <c r="AB73" s="406">
        <v>8.5000000000000006E-2</v>
      </c>
    </row>
    <row r="74" spans="1:28">
      <c r="A74" t="s">
        <v>1429</v>
      </c>
      <c r="B74" s="3" t="s">
        <v>346</v>
      </c>
      <c r="C74" s="3" t="s">
        <v>347</v>
      </c>
      <c r="D74" s="3" t="s">
        <v>11</v>
      </c>
      <c r="E74" s="3" t="s">
        <v>12</v>
      </c>
      <c r="F74" s="3">
        <v>0.55100000000000005</v>
      </c>
      <c r="G74" s="74">
        <f>F74*VLOOKUP(D74,GWPs!$B$3:$C$6,2,FALSE)</f>
        <v>0.55100000000000005</v>
      </c>
      <c r="H74" s="3">
        <v>0.156</v>
      </c>
      <c r="I74" s="74">
        <f>H74*VLOOKUP(D74,GWPs!$B$3:$C$6,2,FALSE)</f>
        <v>0.156</v>
      </c>
      <c r="J74" s="3">
        <v>0.70699999999999996</v>
      </c>
      <c r="K74" s="74">
        <f>J74*VLOOKUP(D74,GWPs!$B$3:$C$6,2,FALSE)</f>
        <v>0.70699999999999996</v>
      </c>
      <c r="M74" s="3">
        <v>4</v>
      </c>
      <c r="N74" s="3">
        <v>2</v>
      </c>
      <c r="O74" s="3">
        <v>1</v>
      </c>
      <c r="P74" s="3">
        <v>4</v>
      </c>
      <c r="Q74" s="3">
        <v>1</v>
      </c>
      <c r="T74" s="70" t="s">
        <v>418</v>
      </c>
      <c r="U74" s="70">
        <v>0.86599999999999999</v>
      </c>
      <c r="X74" s="70" t="s">
        <v>341</v>
      </c>
      <c r="Y74" s="70">
        <v>1.27</v>
      </c>
      <c r="AA74" s="70" t="s">
        <v>341</v>
      </c>
      <c r="AB74" s="406">
        <v>9.8999999999999991E-2</v>
      </c>
    </row>
    <row r="75" spans="1:28">
      <c r="A75" t="s">
        <v>1429</v>
      </c>
      <c r="B75" s="3" t="s">
        <v>346</v>
      </c>
      <c r="C75" s="3" t="s">
        <v>347</v>
      </c>
      <c r="D75" s="3" t="s">
        <v>13</v>
      </c>
      <c r="E75" s="3" t="s">
        <v>12</v>
      </c>
      <c r="F75" s="3">
        <v>3.0000000000000001E-3</v>
      </c>
      <c r="G75" s="74">
        <f>F75*VLOOKUP(D75,GWPs!$B$3:$C$6,2,FALSE)</f>
        <v>8.4000000000000005E-2</v>
      </c>
      <c r="H75" s="3">
        <v>2E-3</v>
      </c>
      <c r="I75" s="74">
        <f>H75*VLOOKUP(D75,GWPs!$B$3:$C$6,2,FALSE)</f>
        <v>5.6000000000000001E-2</v>
      </c>
      <c r="J75" s="3">
        <v>4.0000000000000001E-3</v>
      </c>
      <c r="K75" s="74">
        <f>J75*VLOOKUP(D75,GWPs!$B$3:$C$6,2,FALSE)</f>
        <v>0.112</v>
      </c>
      <c r="M75" s="3">
        <v>4</v>
      </c>
      <c r="N75" s="3">
        <v>2</v>
      </c>
      <c r="O75" s="3">
        <v>1</v>
      </c>
      <c r="P75" s="3">
        <v>1</v>
      </c>
      <c r="Q75" s="3">
        <v>1</v>
      </c>
      <c r="T75" s="70" t="s">
        <v>341</v>
      </c>
      <c r="U75" s="70">
        <v>1.369</v>
      </c>
      <c r="X75" s="70" t="s">
        <v>388</v>
      </c>
      <c r="Y75" s="70">
        <v>0.82200000000000006</v>
      </c>
      <c r="AA75" s="70" t="s">
        <v>388</v>
      </c>
      <c r="AB75" s="406">
        <v>2.5999999999999999E-2</v>
      </c>
    </row>
    <row r="76" spans="1:28">
      <c r="A76" t="s">
        <v>1429</v>
      </c>
      <c r="B76" s="3" t="s">
        <v>346</v>
      </c>
      <c r="C76" s="3" t="s">
        <v>347</v>
      </c>
      <c r="D76" s="3" t="s">
        <v>14</v>
      </c>
      <c r="E76" s="3" t="s">
        <v>12</v>
      </c>
      <c r="F76" s="3">
        <v>0</v>
      </c>
      <c r="G76" s="74">
        <f>F76*VLOOKUP(D76,GWPs!$B$3:$C$6,2,FALSE)</f>
        <v>0</v>
      </c>
      <c r="H76" s="3">
        <v>0</v>
      </c>
      <c r="I76" s="74">
        <f>H76*VLOOKUP(D76,GWPs!$B$3:$C$6,2,FALSE)</f>
        <v>0</v>
      </c>
      <c r="J76" s="3">
        <v>0</v>
      </c>
      <c r="K76" s="74">
        <f>J76*VLOOKUP(D76,GWPs!$B$3:$C$6,2,FALSE)</f>
        <v>0</v>
      </c>
      <c r="M76" s="3">
        <v>4</v>
      </c>
      <c r="N76" s="3">
        <v>2</v>
      </c>
      <c r="O76" s="3">
        <v>1</v>
      </c>
      <c r="P76" s="3">
        <v>3</v>
      </c>
      <c r="Q76" s="3">
        <v>1</v>
      </c>
      <c r="T76" s="70" t="s">
        <v>388</v>
      </c>
      <c r="U76" s="70">
        <v>0.877</v>
      </c>
      <c r="X76" s="70" t="s">
        <v>900</v>
      </c>
      <c r="Y76" s="70">
        <v>0.58200000000000007</v>
      </c>
      <c r="AA76" s="70" t="s">
        <v>900</v>
      </c>
      <c r="AB76" s="406">
        <v>0</v>
      </c>
    </row>
    <row r="77" spans="1:28">
      <c r="A77" t="s">
        <v>1429</v>
      </c>
      <c r="B77" s="3" t="s">
        <v>346</v>
      </c>
      <c r="C77" s="3" t="s">
        <v>347</v>
      </c>
      <c r="D77" s="3" t="s">
        <v>15</v>
      </c>
      <c r="E77" s="3" t="s">
        <v>16</v>
      </c>
      <c r="F77" s="3">
        <v>4.0000000000000001E-3</v>
      </c>
      <c r="G77" s="74">
        <f>F77*VLOOKUP(D77,GWPs!$B$3:$C$6,2,FALSE)</f>
        <v>4.0000000000000001E-3</v>
      </c>
      <c r="H77" s="3">
        <v>0</v>
      </c>
      <c r="I77" s="74">
        <f>H77*VLOOKUP(D77,GWPs!$B$3:$C$6,2,FALSE)</f>
        <v>0</v>
      </c>
      <c r="J77" s="3">
        <v>4.0000000000000001E-3</v>
      </c>
      <c r="K77" s="74">
        <f>J77*VLOOKUP(D77,GWPs!$B$3:$C$6,2,FALSE)</f>
        <v>4.0000000000000001E-3</v>
      </c>
      <c r="M77" s="3">
        <v>3</v>
      </c>
      <c r="N77" s="3">
        <v>2</v>
      </c>
      <c r="O77" s="3">
        <v>1</v>
      </c>
      <c r="P77" s="3">
        <v>4</v>
      </c>
      <c r="Q77" s="3">
        <v>1</v>
      </c>
      <c r="T77" s="70" t="s">
        <v>900</v>
      </c>
      <c r="U77" s="70">
        <v>0.58200000000000007</v>
      </c>
      <c r="X77" s="70" t="s">
        <v>448</v>
      </c>
      <c r="Y77" s="70">
        <v>0.29100000000000004</v>
      </c>
      <c r="AA77" s="70" t="s">
        <v>448</v>
      </c>
      <c r="AB77" s="406">
        <v>0.89100000000000001</v>
      </c>
    </row>
    <row r="78" spans="1:28">
      <c r="A78" t="s">
        <v>1429</v>
      </c>
      <c r="B78" s="3" t="s">
        <v>348</v>
      </c>
      <c r="C78" s="3" t="s">
        <v>349</v>
      </c>
      <c r="D78" s="3" t="s">
        <v>11</v>
      </c>
      <c r="E78" s="3" t="s">
        <v>12</v>
      </c>
      <c r="F78" s="3">
        <v>0.34</v>
      </c>
      <c r="G78" s="74">
        <f>F78*VLOOKUP(D78,GWPs!$B$3:$C$6,2,FALSE)</f>
        <v>0.34</v>
      </c>
      <c r="H78" s="3">
        <v>0</v>
      </c>
      <c r="I78" s="74">
        <f>H78*VLOOKUP(D78,GWPs!$B$3:$C$6,2,FALSE)</f>
        <v>0</v>
      </c>
      <c r="J78" s="3">
        <v>0.34</v>
      </c>
      <c r="K78" s="74">
        <f>J78*VLOOKUP(D78,GWPs!$B$3:$C$6,2,FALSE)</f>
        <v>0.34</v>
      </c>
      <c r="M78" s="3">
        <v>4</v>
      </c>
      <c r="N78" s="3">
        <v>2</v>
      </c>
      <c r="O78" s="3">
        <v>1</v>
      </c>
      <c r="P78" s="3">
        <v>4</v>
      </c>
      <c r="Q78" s="3">
        <v>1</v>
      </c>
      <c r="T78" s="70" t="s">
        <v>448</v>
      </c>
      <c r="U78" s="70">
        <v>1.1819999999999997</v>
      </c>
      <c r="X78" s="70" t="s">
        <v>972</v>
      </c>
      <c r="Y78" s="70">
        <v>0.08</v>
      </c>
      <c r="AA78" s="70" t="s">
        <v>972</v>
      </c>
      <c r="AB78" s="406">
        <v>0</v>
      </c>
    </row>
    <row r="79" spans="1:28">
      <c r="A79" t="s">
        <v>1429</v>
      </c>
      <c r="B79" s="3" t="s">
        <v>348</v>
      </c>
      <c r="C79" s="3" t="s">
        <v>349</v>
      </c>
      <c r="D79" s="3" t="s">
        <v>13</v>
      </c>
      <c r="E79" s="3" t="s">
        <v>12</v>
      </c>
      <c r="F79" s="3">
        <v>8.0000000000000002E-3</v>
      </c>
      <c r="G79" s="74">
        <f>F79*VLOOKUP(D79,GWPs!$B$3:$C$6,2,FALSE)</f>
        <v>0.224</v>
      </c>
      <c r="H79" s="3">
        <v>0</v>
      </c>
      <c r="I79" s="74">
        <f>H79*VLOOKUP(D79,GWPs!$B$3:$C$6,2,FALSE)</f>
        <v>0</v>
      </c>
      <c r="J79" s="3">
        <v>8.0000000000000002E-3</v>
      </c>
      <c r="K79" s="74">
        <f>J79*VLOOKUP(D79,GWPs!$B$3:$C$6,2,FALSE)</f>
        <v>0.224</v>
      </c>
      <c r="M79" s="3">
        <v>4</v>
      </c>
      <c r="N79" s="3">
        <v>2</v>
      </c>
      <c r="O79" s="3">
        <v>1</v>
      </c>
      <c r="P79" s="3">
        <v>1</v>
      </c>
      <c r="Q79" s="3">
        <v>1</v>
      </c>
      <c r="T79" s="70" t="s">
        <v>972</v>
      </c>
      <c r="U79" s="70">
        <v>0.08</v>
      </c>
      <c r="X79" s="70" t="s">
        <v>592</v>
      </c>
      <c r="Y79" s="70">
        <v>0.40600000000000003</v>
      </c>
      <c r="AA79" s="70" t="s">
        <v>592</v>
      </c>
      <c r="AB79" s="406">
        <v>1.4E-2</v>
      </c>
    </row>
    <row r="80" spans="1:28">
      <c r="A80" t="s">
        <v>1429</v>
      </c>
      <c r="B80" s="3" t="s">
        <v>348</v>
      </c>
      <c r="C80" s="3" t="s">
        <v>349</v>
      </c>
      <c r="D80" s="3" t="s">
        <v>14</v>
      </c>
      <c r="E80" s="3" t="s">
        <v>12</v>
      </c>
      <c r="F80" s="3">
        <v>0</v>
      </c>
      <c r="G80" s="74">
        <f>F80*VLOOKUP(D80,GWPs!$B$3:$C$6,2,FALSE)</f>
        <v>0</v>
      </c>
      <c r="H80" s="3">
        <v>0</v>
      </c>
      <c r="I80" s="74">
        <f>H80*VLOOKUP(D80,GWPs!$B$3:$C$6,2,FALSE)</f>
        <v>0</v>
      </c>
      <c r="J80" s="3">
        <v>0</v>
      </c>
      <c r="K80" s="74">
        <f>J80*VLOOKUP(D80,GWPs!$B$3:$C$6,2,FALSE)</f>
        <v>0</v>
      </c>
      <c r="M80" s="3">
        <v>4</v>
      </c>
      <c r="N80" s="3">
        <v>2</v>
      </c>
      <c r="O80" s="3">
        <v>1</v>
      </c>
      <c r="P80" s="3">
        <v>3</v>
      </c>
      <c r="Q80" s="3">
        <v>1</v>
      </c>
      <c r="T80" s="70" t="s">
        <v>592</v>
      </c>
      <c r="U80" s="70">
        <v>0.42099999999999999</v>
      </c>
      <c r="X80" s="70" t="s">
        <v>848</v>
      </c>
      <c r="Y80" s="70">
        <v>0</v>
      </c>
      <c r="AA80" s="70" t="s">
        <v>848</v>
      </c>
      <c r="AB80" s="406">
        <v>0</v>
      </c>
    </row>
    <row r="81" spans="1:28">
      <c r="A81" t="s">
        <v>1429</v>
      </c>
      <c r="B81" s="3" t="s">
        <v>348</v>
      </c>
      <c r="C81" s="3" t="s">
        <v>349</v>
      </c>
      <c r="D81" s="3" t="s">
        <v>15</v>
      </c>
      <c r="E81" s="3" t="s">
        <v>16</v>
      </c>
      <c r="F81" s="3">
        <v>3.0000000000000001E-3</v>
      </c>
      <c r="G81" s="74">
        <f>F81*VLOOKUP(D81,GWPs!$B$3:$C$6,2,FALSE)</f>
        <v>3.0000000000000001E-3</v>
      </c>
      <c r="H81" s="3">
        <v>0</v>
      </c>
      <c r="I81" s="74">
        <f>H81*VLOOKUP(D81,GWPs!$B$3:$C$6,2,FALSE)</f>
        <v>0</v>
      </c>
      <c r="J81" s="3">
        <v>3.0000000000000001E-3</v>
      </c>
      <c r="K81" s="74">
        <f>J81*VLOOKUP(D81,GWPs!$B$3:$C$6,2,FALSE)</f>
        <v>3.0000000000000001E-3</v>
      </c>
      <c r="M81" s="3">
        <v>3</v>
      </c>
      <c r="N81" s="3">
        <v>2</v>
      </c>
      <c r="O81" s="3">
        <v>1</v>
      </c>
      <c r="P81" s="3">
        <v>3</v>
      </c>
      <c r="Q81" s="3">
        <v>1</v>
      </c>
      <c r="T81" s="70" t="s">
        <v>848</v>
      </c>
      <c r="U81" s="70">
        <v>0</v>
      </c>
      <c r="X81" s="70" t="s">
        <v>566</v>
      </c>
      <c r="Y81" s="70">
        <v>0.27800000000000002</v>
      </c>
      <c r="AA81" s="70" t="s">
        <v>566</v>
      </c>
      <c r="AB81" s="406">
        <v>0.16999999999999998</v>
      </c>
    </row>
    <row r="82" spans="1:28">
      <c r="A82" t="s">
        <v>1429</v>
      </c>
      <c r="B82" s="3" t="s">
        <v>350</v>
      </c>
      <c r="C82" s="3" t="s">
        <v>351</v>
      </c>
      <c r="D82" s="3" t="s">
        <v>11</v>
      </c>
      <c r="E82" s="3" t="s">
        <v>12</v>
      </c>
      <c r="F82" s="3">
        <v>0.40899999999999997</v>
      </c>
      <c r="G82" s="74">
        <f>F82*VLOOKUP(D82,GWPs!$B$3:$C$6,2,FALSE)</f>
        <v>0.40899999999999997</v>
      </c>
      <c r="H82" s="3">
        <v>0</v>
      </c>
      <c r="I82" s="74">
        <f>H82*VLOOKUP(D82,GWPs!$B$3:$C$6,2,FALSE)</f>
        <v>0</v>
      </c>
      <c r="J82" s="3">
        <v>0.40899999999999997</v>
      </c>
      <c r="K82" s="74">
        <f>J82*VLOOKUP(D82,GWPs!$B$3:$C$6,2,FALSE)</f>
        <v>0.40899999999999997</v>
      </c>
      <c r="M82" s="3">
        <v>4</v>
      </c>
      <c r="N82" s="3">
        <v>2</v>
      </c>
      <c r="O82" s="3">
        <v>1</v>
      </c>
      <c r="P82" s="3">
        <v>4</v>
      </c>
      <c r="Q82" s="3">
        <v>1</v>
      </c>
      <c r="T82" s="70" t="s">
        <v>566</v>
      </c>
      <c r="U82" s="70">
        <v>0.44800000000000001</v>
      </c>
      <c r="X82" s="70" t="s">
        <v>598</v>
      </c>
      <c r="Y82" s="70">
        <v>0.22</v>
      </c>
      <c r="AA82" s="70" t="s">
        <v>598</v>
      </c>
      <c r="AB82" s="406">
        <v>0.16</v>
      </c>
    </row>
    <row r="83" spans="1:28">
      <c r="A83" t="s">
        <v>1429</v>
      </c>
      <c r="B83" s="3" t="s">
        <v>350</v>
      </c>
      <c r="C83" s="3" t="s">
        <v>351</v>
      </c>
      <c r="D83" s="3" t="s">
        <v>13</v>
      </c>
      <c r="E83" s="3" t="s">
        <v>12</v>
      </c>
      <c r="F83" s="3">
        <v>8.0000000000000002E-3</v>
      </c>
      <c r="G83" s="74">
        <f>F83*VLOOKUP(D83,GWPs!$B$3:$C$6,2,FALSE)</f>
        <v>0.224</v>
      </c>
      <c r="H83" s="3">
        <v>0</v>
      </c>
      <c r="I83" s="74">
        <f>H83*VLOOKUP(D83,GWPs!$B$3:$C$6,2,FALSE)</f>
        <v>0</v>
      </c>
      <c r="J83" s="3">
        <v>8.0000000000000002E-3</v>
      </c>
      <c r="K83" s="74">
        <f>J83*VLOOKUP(D83,GWPs!$B$3:$C$6,2,FALSE)</f>
        <v>0.224</v>
      </c>
      <c r="M83" s="3">
        <v>4</v>
      </c>
      <c r="N83" s="3">
        <v>2</v>
      </c>
      <c r="O83" s="3">
        <v>1</v>
      </c>
      <c r="P83" s="3">
        <v>1</v>
      </c>
      <c r="Q83" s="3">
        <v>1</v>
      </c>
      <c r="T83" s="70" t="s">
        <v>598</v>
      </c>
      <c r="U83" s="70">
        <v>0.35200000000000004</v>
      </c>
      <c r="X83" s="70" t="s">
        <v>662</v>
      </c>
      <c r="Y83" s="70">
        <v>0.26400000000000001</v>
      </c>
      <c r="AA83" s="70" t="s">
        <v>662</v>
      </c>
      <c r="AB83" s="406">
        <v>3.7999999999999999E-2</v>
      </c>
    </row>
    <row r="84" spans="1:28">
      <c r="A84" t="s">
        <v>1429</v>
      </c>
      <c r="B84" s="3" t="s">
        <v>350</v>
      </c>
      <c r="C84" s="3" t="s">
        <v>351</v>
      </c>
      <c r="D84" s="3" t="s">
        <v>14</v>
      </c>
      <c r="E84" s="3" t="s">
        <v>12</v>
      </c>
      <c r="F84" s="3">
        <v>0</v>
      </c>
      <c r="G84" s="74">
        <f>F84*VLOOKUP(D84,GWPs!$B$3:$C$6,2,FALSE)</f>
        <v>0</v>
      </c>
      <c r="H84" s="3">
        <v>0</v>
      </c>
      <c r="I84" s="74">
        <f>H84*VLOOKUP(D84,GWPs!$B$3:$C$6,2,FALSE)</f>
        <v>0</v>
      </c>
      <c r="J84" s="3">
        <v>0</v>
      </c>
      <c r="K84" s="74">
        <f>J84*VLOOKUP(D84,GWPs!$B$3:$C$6,2,FALSE)</f>
        <v>0</v>
      </c>
      <c r="M84" s="3">
        <v>4</v>
      </c>
      <c r="N84" s="3">
        <v>2</v>
      </c>
      <c r="O84" s="3">
        <v>1</v>
      </c>
      <c r="P84" s="3">
        <v>3</v>
      </c>
      <c r="Q84" s="3">
        <v>1</v>
      </c>
      <c r="T84" s="70" t="s">
        <v>662</v>
      </c>
      <c r="U84" s="70">
        <v>0.30200000000000005</v>
      </c>
      <c r="X84" s="70" t="s">
        <v>323</v>
      </c>
      <c r="Y84" s="70">
        <v>2.5840000000000001</v>
      </c>
      <c r="AA84" s="70" t="s">
        <v>323</v>
      </c>
      <c r="AB84" s="406">
        <v>7.9000000000000001E-2</v>
      </c>
    </row>
    <row r="85" spans="1:28">
      <c r="A85" t="s">
        <v>1429</v>
      </c>
      <c r="B85" s="3" t="s">
        <v>350</v>
      </c>
      <c r="C85" s="3" t="s">
        <v>351</v>
      </c>
      <c r="D85" s="3" t="s">
        <v>15</v>
      </c>
      <c r="E85" s="3" t="s">
        <v>16</v>
      </c>
      <c r="F85" s="3">
        <v>4.0000000000000001E-3</v>
      </c>
      <c r="G85" s="74">
        <f>F85*VLOOKUP(D85,GWPs!$B$3:$C$6,2,FALSE)</f>
        <v>4.0000000000000001E-3</v>
      </c>
      <c r="H85" s="3">
        <v>0</v>
      </c>
      <c r="I85" s="74">
        <f>H85*VLOOKUP(D85,GWPs!$B$3:$C$6,2,FALSE)</f>
        <v>0</v>
      </c>
      <c r="J85" s="3">
        <v>4.0000000000000001E-3</v>
      </c>
      <c r="K85" s="74">
        <f>J85*VLOOKUP(D85,GWPs!$B$3:$C$6,2,FALSE)</f>
        <v>4.0000000000000001E-3</v>
      </c>
      <c r="M85" s="3">
        <v>3</v>
      </c>
      <c r="N85" s="3">
        <v>2</v>
      </c>
      <c r="O85" s="3">
        <v>1</v>
      </c>
      <c r="P85" s="3">
        <v>3</v>
      </c>
      <c r="Q85" s="3">
        <v>1</v>
      </c>
      <c r="T85" s="70" t="s">
        <v>323</v>
      </c>
      <c r="U85" s="70">
        <v>2.6360000000000001</v>
      </c>
      <c r="X85" s="70" t="s">
        <v>930</v>
      </c>
      <c r="Y85" s="70">
        <v>0.16200000000000001</v>
      </c>
      <c r="AA85" s="70" t="s">
        <v>930</v>
      </c>
      <c r="AB85" s="406">
        <v>0</v>
      </c>
    </row>
    <row r="86" spans="1:28">
      <c r="A86" t="s">
        <v>1429</v>
      </c>
      <c r="B86" s="3" t="s">
        <v>352</v>
      </c>
      <c r="C86" s="3" t="s">
        <v>353</v>
      </c>
      <c r="D86" s="3" t="s">
        <v>11</v>
      </c>
      <c r="E86" s="3" t="s">
        <v>12</v>
      </c>
      <c r="F86" s="3">
        <v>3.5859999999999999</v>
      </c>
      <c r="G86" s="74">
        <f>F86*VLOOKUP(D86,GWPs!$B$3:$C$6,2,FALSE)</f>
        <v>3.5859999999999999</v>
      </c>
      <c r="H86" s="3">
        <v>0</v>
      </c>
      <c r="I86" s="74">
        <f>H86*VLOOKUP(D86,GWPs!$B$3:$C$6,2,FALSE)</f>
        <v>0</v>
      </c>
      <c r="J86" s="3">
        <v>3.5859999999999999</v>
      </c>
      <c r="K86" s="74">
        <f>J86*VLOOKUP(D86,GWPs!$B$3:$C$6,2,FALSE)</f>
        <v>3.5859999999999999</v>
      </c>
      <c r="M86" s="3">
        <v>2</v>
      </c>
      <c r="N86" s="3">
        <v>2</v>
      </c>
      <c r="O86" s="3">
        <v>1</v>
      </c>
      <c r="P86" s="3">
        <v>2</v>
      </c>
      <c r="Q86" s="3">
        <v>1</v>
      </c>
      <c r="T86" s="70" t="s">
        <v>930</v>
      </c>
      <c r="U86" s="70">
        <v>0.16200000000000001</v>
      </c>
      <c r="X86" s="70" t="s">
        <v>830</v>
      </c>
      <c r="Y86" s="70">
        <v>0.23</v>
      </c>
      <c r="AA86" s="70" t="s">
        <v>830</v>
      </c>
      <c r="AB86" s="406">
        <v>0.05</v>
      </c>
    </row>
    <row r="87" spans="1:28">
      <c r="A87" t="s">
        <v>1429</v>
      </c>
      <c r="B87" s="3" t="s">
        <v>352</v>
      </c>
      <c r="C87" s="3" t="s">
        <v>353</v>
      </c>
      <c r="D87" s="3" t="s">
        <v>13</v>
      </c>
      <c r="E87" s="3" t="s">
        <v>12</v>
      </c>
      <c r="F87" s="3">
        <v>6.0000000000000001E-3</v>
      </c>
      <c r="G87" s="74">
        <f>F87*VLOOKUP(D87,GWPs!$B$3:$C$6,2,FALSE)</f>
        <v>0.16800000000000001</v>
      </c>
      <c r="H87" s="3">
        <v>0</v>
      </c>
      <c r="I87" s="74">
        <f>H87*VLOOKUP(D87,GWPs!$B$3:$C$6,2,FALSE)</f>
        <v>0</v>
      </c>
      <c r="J87" s="3">
        <v>6.0000000000000001E-3</v>
      </c>
      <c r="K87" s="74">
        <f>J87*VLOOKUP(D87,GWPs!$B$3:$C$6,2,FALSE)</f>
        <v>0.16800000000000001</v>
      </c>
      <c r="M87" s="3">
        <v>4</v>
      </c>
      <c r="N87" s="3">
        <v>2</v>
      </c>
      <c r="O87" s="3">
        <v>1</v>
      </c>
      <c r="P87" s="3">
        <v>1</v>
      </c>
      <c r="Q87" s="3">
        <v>1</v>
      </c>
      <c r="T87" s="70" t="s">
        <v>830</v>
      </c>
      <c r="U87" s="70">
        <v>0.28000000000000003</v>
      </c>
      <c r="X87" s="70" t="s">
        <v>834</v>
      </c>
      <c r="Y87" s="70">
        <v>0.125</v>
      </c>
      <c r="AA87" s="70" t="s">
        <v>834</v>
      </c>
      <c r="AB87" s="406">
        <v>3.7999999999999999E-2</v>
      </c>
    </row>
    <row r="88" spans="1:28">
      <c r="A88" t="s">
        <v>1429</v>
      </c>
      <c r="B88" s="3" t="s">
        <v>352</v>
      </c>
      <c r="C88" s="3" t="s">
        <v>353</v>
      </c>
      <c r="D88" s="3" t="s">
        <v>14</v>
      </c>
      <c r="E88" s="3" t="s">
        <v>12</v>
      </c>
      <c r="F88" s="3">
        <v>0</v>
      </c>
      <c r="G88" s="74">
        <f>F88*VLOOKUP(D88,GWPs!$B$3:$C$6,2,FALSE)</f>
        <v>0</v>
      </c>
      <c r="H88" s="3">
        <v>0</v>
      </c>
      <c r="I88" s="74">
        <f>H88*VLOOKUP(D88,GWPs!$B$3:$C$6,2,FALSE)</f>
        <v>0</v>
      </c>
      <c r="J88" s="3">
        <v>0</v>
      </c>
      <c r="K88" s="74">
        <f>J88*VLOOKUP(D88,GWPs!$B$3:$C$6,2,FALSE)</f>
        <v>0</v>
      </c>
      <c r="M88" s="3">
        <v>3</v>
      </c>
      <c r="N88" s="3">
        <v>2</v>
      </c>
      <c r="O88" s="3">
        <v>1</v>
      </c>
      <c r="P88" s="3">
        <v>2</v>
      </c>
      <c r="Q88" s="3">
        <v>1</v>
      </c>
      <c r="T88" s="70" t="s">
        <v>834</v>
      </c>
      <c r="U88" s="70">
        <v>0.19</v>
      </c>
      <c r="X88" s="70" t="s">
        <v>1020</v>
      </c>
      <c r="Y88" s="70">
        <v>9.7000000000000003E-2</v>
      </c>
      <c r="AA88" s="70" t="s">
        <v>1020</v>
      </c>
      <c r="AB88" s="406">
        <v>0</v>
      </c>
    </row>
    <row r="89" spans="1:28">
      <c r="A89" t="s">
        <v>1429</v>
      </c>
      <c r="B89" s="3" t="s">
        <v>352</v>
      </c>
      <c r="C89" s="3" t="s">
        <v>353</v>
      </c>
      <c r="D89" s="3" t="s">
        <v>15</v>
      </c>
      <c r="E89" s="3" t="s">
        <v>16</v>
      </c>
      <c r="F89" s="3">
        <v>1.2999999999999999E-2</v>
      </c>
      <c r="G89" s="74">
        <f>F89*VLOOKUP(D89,GWPs!$B$3:$C$6,2,FALSE)</f>
        <v>1.2999999999999999E-2</v>
      </c>
      <c r="H89" s="3">
        <v>0</v>
      </c>
      <c r="I89" s="74">
        <f>H89*VLOOKUP(D89,GWPs!$B$3:$C$6,2,FALSE)</f>
        <v>0</v>
      </c>
      <c r="J89" s="3">
        <v>1.2999999999999999E-2</v>
      </c>
      <c r="K89" s="74">
        <f>J89*VLOOKUP(D89,GWPs!$B$3:$C$6,2,FALSE)</f>
        <v>1.2999999999999999E-2</v>
      </c>
      <c r="M89" s="3">
        <v>2</v>
      </c>
      <c r="N89" s="3">
        <v>2</v>
      </c>
      <c r="O89" s="3">
        <v>1</v>
      </c>
      <c r="P89" s="3">
        <v>2</v>
      </c>
      <c r="Q89" s="3">
        <v>1</v>
      </c>
      <c r="T89" s="70" t="s">
        <v>1020</v>
      </c>
      <c r="U89" s="70">
        <v>9.7000000000000003E-2</v>
      </c>
      <c r="X89" s="70" t="s">
        <v>345</v>
      </c>
      <c r="Y89" s="70">
        <v>0.37500000000000006</v>
      </c>
      <c r="AA89" s="70" t="s">
        <v>345</v>
      </c>
      <c r="AB89" s="406">
        <v>0.14400000000000002</v>
      </c>
    </row>
    <row r="90" spans="1:28">
      <c r="A90" t="s">
        <v>1429</v>
      </c>
      <c r="B90" s="3" t="s">
        <v>354</v>
      </c>
      <c r="C90" s="3" t="s">
        <v>249</v>
      </c>
      <c r="D90" s="3" t="s">
        <v>11</v>
      </c>
      <c r="E90" s="3" t="s">
        <v>12</v>
      </c>
      <c r="F90" s="3">
        <v>0.54600000000000004</v>
      </c>
      <c r="G90" s="74">
        <f>F90*VLOOKUP(D90,GWPs!$B$3:$C$6,2,FALSE)</f>
        <v>0.54600000000000004</v>
      </c>
      <c r="H90" s="3">
        <v>0</v>
      </c>
      <c r="I90" s="74">
        <f>H90*VLOOKUP(D90,GWPs!$B$3:$C$6,2,FALSE)</f>
        <v>0</v>
      </c>
      <c r="J90" s="3">
        <v>0.54600000000000004</v>
      </c>
      <c r="K90" s="74">
        <f>J90*VLOOKUP(D90,GWPs!$B$3:$C$6,2,FALSE)</f>
        <v>0.54600000000000004</v>
      </c>
      <c r="M90" s="3">
        <v>3</v>
      </c>
      <c r="N90" s="3">
        <v>2</v>
      </c>
      <c r="O90" s="3">
        <v>1</v>
      </c>
      <c r="P90" s="3">
        <v>2</v>
      </c>
      <c r="Q90" s="3">
        <v>1</v>
      </c>
      <c r="T90" s="70" t="s">
        <v>345</v>
      </c>
      <c r="U90" s="70">
        <v>0.54700000000000004</v>
      </c>
      <c r="X90" s="70" t="s">
        <v>942</v>
      </c>
      <c r="Y90" s="70">
        <v>2.4E-2</v>
      </c>
      <c r="AA90" s="70" t="s">
        <v>942</v>
      </c>
      <c r="AB90" s="406">
        <v>0</v>
      </c>
    </row>
    <row r="91" spans="1:28">
      <c r="A91" t="s">
        <v>1429</v>
      </c>
      <c r="B91" s="3" t="s">
        <v>354</v>
      </c>
      <c r="C91" s="3" t="s">
        <v>249</v>
      </c>
      <c r="D91" s="3" t="s">
        <v>13</v>
      </c>
      <c r="E91" s="3" t="s">
        <v>12</v>
      </c>
      <c r="F91" s="3">
        <v>0.01</v>
      </c>
      <c r="G91" s="74">
        <f>F91*VLOOKUP(D91,GWPs!$B$3:$C$6,2,FALSE)</f>
        <v>0.28000000000000003</v>
      </c>
      <c r="H91" s="3">
        <v>0</v>
      </c>
      <c r="I91" s="74">
        <f>H91*VLOOKUP(D91,GWPs!$B$3:$C$6,2,FALSE)</f>
        <v>0</v>
      </c>
      <c r="J91" s="3">
        <v>0.01</v>
      </c>
      <c r="K91" s="74">
        <f>J91*VLOOKUP(D91,GWPs!$B$3:$C$6,2,FALSE)</f>
        <v>0.28000000000000003</v>
      </c>
      <c r="M91" s="3">
        <v>4</v>
      </c>
      <c r="N91" s="3">
        <v>2</v>
      </c>
      <c r="O91" s="3">
        <v>1</v>
      </c>
      <c r="P91" s="3">
        <v>1</v>
      </c>
      <c r="Q91" s="3">
        <v>1</v>
      </c>
      <c r="T91" s="70" t="s">
        <v>942</v>
      </c>
      <c r="U91" s="70">
        <v>2.4E-2</v>
      </c>
      <c r="X91" s="70" t="s">
        <v>912</v>
      </c>
      <c r="Y91" s="70">
        <v>8.8000000000000009E-2</v>
      </c>
      <c r="AA91" s="70" t="s">
        <v>912</v>
      </c>
      <c r="AB91" s="406">
        <v>6.5000000000000002E-2</v>
      </c>
    </row>
    <row r="92" spans="1:28">
      <c r="A92" t="s">
        <v>1429</v>
      </c>
      <c r="B92" s="3" t="s">
        <v>354</v>
      </c>
      <c r="C92" s="3" t="s">
        <v>249</v>
      </c>
      <c r="D92" s="3" t="s">
        <v>14</v>
      </c>
      <c r="E92" s="3" t="s">
        <v>12</v>
      </c>
      <c r="F92" s="3">
        <v>0</v>
      </c>
      <c r="G92" s="74">
        <f>F92*VLOOKUP(D92,GWPs!$B$3:$C$6,2,FALSE)</f>
        <v>0</v>
      </c>
      <c r="H92" s="3">
        <v>0</v>
      </c>
      <c r="I92" s="74">
        <f>H92*VLOOKUP(D92,GWPs!$B$3:$C$6,2,FALSE)</f>
        <v>0</v>
      </c>
      <c r="J92" s="3">
        <v>0</v>
      </c>
      <c r="K92" s="74">
        <f>J92*VLOOKUP(D92,GWPs!$B$3:$C$6,2,FALSE)</f>
        <v>0</v>
      </c>
      <c r="M92" s="3">
        <v>3</v>
      </c>
      <c r="N92" s="3">
        <v>2</v>
      </c>
      <c r="O92" s="3">
        <v>1</v>
      </c>
      <c r="P92" s="3">
        <v>2</v>
      </c>
      <c r="Q92" s="3">
        <v>1</v>
      </c>
      <c r="T92" s="70" t="s">
        <v>912</v>
      </c>
      <c r="U92" s="70">
        <v>0.18099999999999999</v>
      </c>
      <c r="X92" s="70" t="s">
        <v>436</v>
      </c>
      <c r="Y92" s="70">
        <v>0.32300000000000001</v>
      </c>
      <c r="AA92" s="70" t="s">
        <v>436</v>
      </c>
      <c r="AB92" s="406">
        <v>8.2000000000000003E-2</v>
      </c>
    </row>
    <row r="93" spans="1:28">
      <c r="A93" t="s">
        <v>1429</v>
      </c>
      <c r="B93" s="3" t="s">
        <v>354</v>
      </c>
      <c r="C93" s="3" t="s">
        <v>249</v>
      </c>
      <c r="D93" s="3" t="s">
        <v>15</v>
      </c>
      <c r="E93" s="3" t="s">
        <v>16</v>
      </c>
      <c r="F93" s="3">
        <v>4.0000000000000001E-3</v>
      </c>
      <c r="G93" s="74">
        <f>F93*VLOOKUP(D93,GWPs!$B$3:$C$6,2,FALSE)</f>
        <v>4.0000000000000001E-3</v>
      </c>
      <c r="H93" s="3">
        <v>0</v>
      </c>
      <c r="I93" s="74">
        <f>H93*VLOOKUP(D93,GWPs!$B$3:$C$6,2,FALSE)</f>
        <v>0</v>
      </c>
      <c r="J93" s="3">
        <v>4.0000000000000001E-3</v>
      </c>
      <c r="K93" s="74">
        <f>J93*VLOOKUP(D93,GWPs!$B$3:$C$6,2,FALSE)</f>
        <v>4.0000000000000001E-3</v>
      </c>
      <c r="M93" s="3">
        <v>4</v>
      </c>
      <c r="N93" s="3">
        <v>2</v>
      </c>
      <c r="O93" s="3">
        <v>1</v>
      </c>
      <c r="P93" s="3">
        <v>4</v>
      </c>
      <c r="Q93" s="3">
        <v>1</v>
      </c>
      <c r="T93" s="70" t="s">
        <v>436</v>
      </c>
      <c r="U93" s="70">
        <v>0.433</v>
      </c>
      <c r="X93" s="70" t="s">
        <v>382</v>
      </c>
      <c r="Y93" s="70">
        <v>0.67100000000000004</v>
      </c>
      <c r="AA93" s="70" t="s">
        <v>382</v>
      </c>
      <c r="AB93" s="406">
        <v>6.7000000000000004E-2</v>
      </c>
    </row>
    <row r="94" spans="1:28">
      <c r="A94" t="s">
        <v>1429</v>
      </c>
      <c r="B94" s="3" t="s">
        <v>355</v>
      </c>
      <c r="C94" s="3" t="s">
        <v>356</v>
      </c>
      <c r="D94" s="3" t="s">
        <v>11</v>
      </c>
      <c r="E94" s="3" t="s">
        <v>12</v>
      </c>
      <c r="F94" s="3">
        <v>0.38400000000000001</v>
      </c>
      <c r="G94" s="74">
        <f>F94*VLOOKUP(D94,GWPs!$B$3:$C$6,2,FALSE)</f>
        <v>0.38400000000000001</v>
      </c>
      <c r="H94" s="3">
        <v>0</v>
      </c>
      <c r="I94" s="74">
        <f>H94*VLOOKUP(D94,GWPs!$B$3:$C$6,2,FALSE)</f>
        <v>0</v>
      </c>
      <c r="J94" s="3">
        <v>0.38400000000000001</v>
      </c>
      <c r="K94" s="74">
        <f>J94*VLOOKUP(D94,GWPs!$B$3:$C$6,2,FALSE)</f>
        <v>0.38400000000000001</v>
      </c>
      <c r="M94" s="3">
        <v>3</v>
      </c>
      <c r="N94" s="3">
        <v>2</v>
      </c>
      <c r="O94" s="3">
        <v>1</v>
      </c>
      <c r="P94" s="3">
        <v>3</v>
      </c>
      <c r="Q94" s="3">
        <v>1</v>
      </c>
      <c r="T94" s="70" t="s">
        <v>382</v>
      </c>
      <c r="U94" s="70">
        <v>0.7390000000000001</v>
      </c>
      <c r="X94" s="70" t="s">
        <v>840</v>
      </c>
      <c r="Y94" s="70">
        <v>0.25900000000000001</v>
      </c>
      <c r="AA94" s="70" t="s">
        <v>840</v>
      </c>
      <c r="AB94" s="406">
        <v>3.3690000000000002</v>
      </c>
    </row>
    <row r="95" spans="1:28">
      <c r="A95" t="s">
        <v>1429</v>
      </c>
      <c r="B95" s="3" t="s">
        <v>355</v>
      </c>
      <c r="C95" s="3" t="s">
        <v>356</v>
      </c>
      <c r="D95" s="3" t="s">
        <v>13</v>
      </c>
      <c r="E95" s="3" t="s">
        <v>12</v>
      </c>
      <c r="F95" s="3">
        <v>8.9999999999999993E-3</v>
      </c>
      <c r="G95" s="74">
        <f>F95*VLOOKUP(D95,GWPs!$B$3:$C$6,2,FALSE)</f>
        <v>0.252</v>
      </c>
      <c r="H95" s="3">
        <v>0</v>
      </c>
      <c r="I95" s="74">
        <f>H95*VLOOKUP(D95,GWPs!$B$3:$C$6,2,FALSE)</f>
        <v>0</v>
      </c>
      <c r="J95" s="3">
        <v>8.9999999999999993E-3</v>
      </c>
      <c r="K95" s="74">
        <f>J95*VLOOKUP(D95,GWPs!$B$3:$C$6,2,FALSE)</f>
        <v>0.252</v>
      </c>
      <c r="M95" s="3">
        <v>4</v>
      </c>
      <c r="N95" s="3">
        <v>2</v>
      </c>
      <c r="O95" s="3">
        <v>1</v>
      </c>
      <c r="P95" s="3">
        <v>1</v>
      </c>
      <c r="Q95" s="3">
        <v>1</v>
      </c>
      <c r="T95" s="70" t="s">
        <v>840</v>
      </c>
      <c r="U95" s="70">
        <v>3.6280000000000001</v>
      </c>
      <c r="X95" s="70" t="s">
        <v>356</v>
      </c>
      <c r="Y95" s="70">
        <v>0.64500000000000002</v>
      </c>
      <c r="AA95" s="70" t="s">
        <v>356</v>
      </c>
      <c r="AB95" s="406">
        <v>0</v>
      </c>
    </row>
    <row r="96" spans="1:28">
      <c r="A96" t="s">
        <v>1429</v>
      </c>
      <c r="B96" s="3" t="s">
        <v>355</v>
      </c>
      <c r="C96" s="3" t="s">
        <v>356</v>
      </c>
      <c r="D96" s="3" t="s">
        <v>14</v>
      </c>
      <c r="E96" s="3" t="s">
        <v>12</v>
      </c>
      <c r="F96" s="3">
        <v>0</v>
      </c>
      <c r="G96" s="74">
        <f>F96*VLOOKUP(D96,GWPs!$B$3:$C$6,2,FALSE)</f>
        <v>0</v>
      </c>
      <c r="H96" s="3">
        <v>0</v>
      </c>
      <c r="I96" s="74">
        <f>H96*VLOOKUP(D96,GWPs!$B$3:$C$6,2,FALSE)</f>
        <v>0</v>
      </c>
      <c r="J96" s="3">
        <v>0</v>
      </c>
      <c r="K96" s="74">
        <f>J96*VLOOKUP(D96,GWPs!$B$3:$C$6,2,FALSE)</f>
        <v>0</v>
      </c>
      <c r="M96" s="3">
        <v>4</v>
      </c>
      <c r="N96" s="3">
        <v>2</v>
      </c>
      <c r="O96" s="3">
        <v>1</v>
      </c>
      <c r="P96" s="3">
        <v>1</v>
      </c>
      <c r="Q96" s="3">
        <v>1</v>
      </c>
      <c r="T96" s="70" t="s">
        <v>356</v>
      </c>
      <c r="U96" s="70">
        <v>0.64500000000000002</v>
      </c>
      <c r="X96" s="70" t="s">
        <v>860</v>
      </c>
      <c r="Y96" s="524">
        <v>0.16200000000000001</v>
      </c>
      <c r="AA96" s="70" t="s">
        <v>860</v>
      </c>
      <c r="AB96" s="406">
        <v>0</v>
      </c>
    </row>
    <row r="97" spans="1:28">
      <c r="A97" t="s">
        <v>1429</v>
      </c>
      <c r="B97" s="3" t="s">
        <v>355</v>
      </c>
      <c r="C97" s="3" t="s">
        <v>356</v>
      </c>
      <c r="D97" s="3" t="s">
        <v>15</v>
      </c>
      <c r="E97" s="3" t="s">
        <v>16</v>
      </c>
      <c r="F97" s="3">
        <v>8.9999999999999993E-3</v>
      </c>
      <c r="G97" s="74">
        <f>F97*VLOOKUP(D97,GWPs!$B$3:$C$6,2,FALSE)</f>
        <v>8.9999999999999993E-3</v>
      </c>
      <c r="H97" s="3">
        <v>0</v>
      </c>
      <c r="I97" s="74">
        <f>H97*VLOOKUP(D97,GWPs!$B$3:$C$6,2,FALSE)</f>
        <v>0</v>
      </c>
      <c r="J97" s="3">
        <v>8.9999999999999993E-3</v>
      </c>
      <c r="K97" s="74">
        <f>J97*VLOOKUP(D97,GWPs!$B$3:$C$6,2,FALSE)</f>
        <v>8.9999999999999993E-3</v>
      </c>
      <c r="M97" s="3">
        <v>4</v>
      </c>
      <c r="N97" s="3">
        <v>2</v>
      </c>
      <c r="O97" s="3">
        <v>1</v>
      </c>
      <c r="P97" s="3">
        <v>4</v>
      </c>
      <c r="Q97" s="3">
        <v>1</v>
      </c>
      <c r="T97" s="70" t="s">
        <v>860</v>
      </c>
      <c r="U97" s="70">
        <v>0.16200000000000001</v>
      </c>
      <c r="X97" s="70" t="s">
        <v>404</v>
      </c>
      <c r="Y97" s="70">
        <v>1.3860000000000001</v>
      </c>
      <c r="AA97" s="70" t="s">
        <v>404</v>
      </c>
      <c r="AB97" s="406">
        <v>5.3999999999999999E-2</v>
      </c>
    </row>
    <row r="98" spans="1:28">
      <c r="A98" t="s">
        <v>1429</v>
      </c>
      <c r="B98" s="3" t="s">
        <v>357</v>
      </c>
      <c r="C98" s="3" t="s">
        <v>358</v>
      </c>
      <c r="D98" s="3" t="s">
        <v>11</v>
      </c>
      <c r="E98" s="3" t="s">
        <v>12</v>
      </c>
      <c r="F98" s="3">
        <v>0.38900000000000001</v>
      </c>
      <c r="G98" s="74">
        <f>F98*VLOOKUP(D98,GWPs!$B$3:$C$6,2,FALSE)</f>
        <v>0.38900000000000001</v>
      </c>
      <c r="H98" s="3">
        <v>0</v>
      </c>
      <c r="I98" s="74">
        <f>H98*VLOOKUP(D98,GWPs!$B$3:$C$6,2,FALSE)</f>
        <v>0</v>
      </c>
      <c r="J98" s="3">
        <v>0.38900000000000001</v>
      </c>
      <c r="K98" s="74">
        <f>J98*VLOOKUP(D98,GWPs!$B$3:$C$6,2,FALSE)</f>
        <v>0.38900000000000001</v>
      </c>
      <c r="M98" s="3">
        <v>3</v>
      </c>
      <c r="N98" s="3">
        <v>2</v>
      </c>
      <c r="O98" s="3">
        <v>1</v>
      </c>
      <c r="P98" s="3">
        <v>4</v>
      </c>
      <c r="Q98" s="3">
        <v>1</v>
      </c>
      <c r="T98" s="70" t="s">
        <v>404</v>
      </c>
      <c r="U98" s="70">
        <v>1.468</v>
      </c>
      <c r="X98" s="70" t="s">
        <v>1079</v>
      </c>
      <c r="Y98" s="70">
        <v>0.20100000000000001</v>
      </c>
      <c r="AA98" s="70" t="s">
        <v>1079</v>
      </c>
      <c r="AB98" s="406">
        <v>0</v>
      </c>
    </row>
    <row r="99" spans="1:28">
      <c r="A99" t="s">
        <v>1429</v>
      </c>
      <c r="B99" s="3" t="s">
        <v>357</v>
      </c>
      <c r="C99" s="3" t="s">
        <v>358</v>
      </c>
      <c r="D99" s="3" t="s">
        <v>13</v>
      </c>
      <c r="E99" s="3" t="s">
        <v>12</v>
      </c>
      <c r="F99" s="3">
        <v>2E-3</v>
      </c>
      <c r="G99" s="74">
        <f>F99*VLOOKUP(D99,GWPs!$B$3:$C$6,2,FALSE)</f>
        <v>5.6000000000000001E-2</v>
      </c>
      <c r="H99" s="3">
        <v>0</v>
      </c>
      <c r="I99" s="74">
        <f>H99*VLOOKUP(D99,GWPs!$B$3:$C$6,2,FALSE)</f>
        <v>0</v>
      </c>
      <c r="J99" s="3">
        <v>2E-3</v>
      </c>
      <c r="K99" s="74">
        <f>J99*VLOOKUP(D99,GWPs!$B$3:$C$6,2,FALSE)</f>
        <v>5.6000000000000001E-2</v>
      </c>
      <c r="M99" s="3">
        <v>4</v>
      </c>
      <c r="N99" s="3">
        <v>2</v>
      </c>
      <c r="O99" s="3">
        <v>1</v>
      </c>
      <c r="P99" s="3">
        <v>1</v>
      </c>
      <c r="Q99" s="3">
        <v>1</v>
      </c>
      <c r="T99" s="70" t="s">
        <v>1079</v>
      </c>
      <c r="U99" s="70">
        <v>0.20100000000000001</v>
      </c>
      <c r="X99" s="70" t="s">
        <v>368</v>
      </c>
      <c r="Y99" s="70">
        <v>0.28499999999999998</v>
      </c>
      <c r="AA99" s="70" t="s">
        <v>368</v>
      </c>
      <c r="AB99" s="406">
        <v>0</v>
      </c>
    </row>
    <row r="100" spans="1:28">
      <c r="A100" t="s">
        <v>1429</v>
      </c>
      <c r="B100" s="3" t="s">
        <v>357</v>
      </c>
      <c r="C100" s="3" t="s">
        <v>358</v>
      </c>
      <c r="D100" s="3" t="s">
        <v>14</v>
      </c>
      <c r="E100" s="3" t="s">
        <v>12</v>
      </c>
      <c r="F100" s="3">
        <v>0</v>
      </c>
      <c r="G100" s="74">
        <f>F100*VLOOKUP(D100,GWPs!$B$3:$C$6,2,FALSE)</f>
        <v>0</v>
      </c>
      <c r="H100" s="3">
        <v>0</v>
      </c>
      <c r="I100" s="74">
        <f>H100*VLOOKUP(D100,GWPs!$B$3:$C$6,2,FALSE)</f>
        <v>0</v>
      </c>
      <c r="J100" s="3">
        <v>0</v>
      </c>
      <c r="K100" s="74">
        <f>J100*VLOOKUP(D100,GWPs!$B$3:$C$6,2,FALSE)</f>
        <v>0</v>
      </c>
      <c r="M100" s="3">
        <v>3</v>
      </c>
      <c r="N100" s="3">
        <v>2</v>
      </c>
      <c r="O100" s="3">
        <v>1</v>
      </c>
      <c r="P100" s="3">
        <v>3</v>
      </c>
      <c r="Q100" s="3">
        <v>1</v>
      </c>
      <c r="T100" s="70" t="s">
        <v>368</v>
      </c>
      <c r="U100" s="70">
        <v>0.28499999999999998</v>
      </c>
      <c r="X100" s="70" t="s">
        <v>353</v>
      </c>
      <c r="Y100" s="70">
        <v>3.7669999999999999</v>
      </c>
      <c r="AA100" s="70" t="s">
        <v>353</v>
      </c>
      <c r="AB100" s="406">
        <v>0</v>
      </c>
    </row>
    <row r="101" spans="1:28">
      <c r="A101" t="s">
        <v>1429</v>
      </c>
      <c r="B101" s="3" t="s">
        <v>357</v>
      </c>
      <c r="C101" s="3" t="s">
        <v>358</v>
      </c>
      <c r="D101" s="3" t="s">
        <v>15</v>
      </c>
      <c r="E101" s="3" t="s">
        <v>16</v>
      </c>
      <c r="F101" s="3">
        <v>3.9E-2</v>
      </c>
      <c r="G101" s="74">
        <f>F101*VLOOKUP(D101,GWPs!$B$3:$C$6,2,FALSE)</f>
        <v>3.9E-2</v>
      </c>
      <c r="H101" s="3">
        <v>0</v>
      </c>
      <c r="I101" s="74">
        <f>H101*VLOOKUP(D101,GWPs!$B$3:$C$6,2,FALSE)</f>
        <v>0</v>
      </c>
      <c r="J101" s="3">
        <v>3.9E-2</v>
      </c>
      <c r="K101" s="74">
        <f>J101*VLOOKUP(D101,GWPs!$B$3:$C$6,2,FALSE)</f>
        <v>3.9E-2</v>
      </c>
      <c r="M101" s="3">
        <v>4</v>
      </c>
      <c r="N101" s="3">
        <v>2</v>
      </c>
      <c r="O101" s="3">
        <v>1</v>
      </c>
      <c r="P101" s="3">
        <v>5</v>
      </c>
      <c r="Q101" s="3">
        <v>1</v>
      </c>
      <c r="T101" s="70" t="s">
        <v>353</v>
      </c>
      <c r="U101" s="70">
        <v>3.7669999999999999</v>
      </c>
      <c r="X101" s="70" t="s">
        <v>1069</v>
      </c>
      <c r="Y101" s="70">
        <v>9.8000000000000004E-2</v>
      </c>
      <c r="AA101" s="70" t="s">
        <v>1069</v>
      </c>
      <c r="AB101" s="406">
        <v>0</v>
      </c>
    </row>
    <row r="102" spans="1:28">
      <c r="A102" t="s">
        <v>1429</v>
      </c>
      <c r="B102" s="3" t="s">
        <v>359</v>
      </c>
      <c r="C102" s="3" t="s">
        <v>360</v>
      </c>
      <c r="D102" s="3" t="s">
        <v>11</v>
      </c>
      <c r="E102" s="3" t="s">
        <v>12</v>
      </c>
      <c r="F102" s="3">
        <v>0.31</v>
      </c>
      <c r="G102" s="74">
        <f>F102*VLOOKUP(D102,GWPs!$B$3:$C$6,2,FALSE)</f>
        <v>0.31</v>
      </c>
      <c r="H102" s="3">
        <v>0</v>
      </c>
      <c r="I102" s="74">
        <f>H102*VLOOKUP(D102,GWPs!$B$3:$C$6,2,FALSE)</f>
        <v>0</v>
      </c>
      <c r="J102" s="3">
        <v>0.31</v>
      </c>
      <c r="K102" s="74">
        <f>J102*VLOOKUP(D102,GWPs!$B$3:$C$6,2,FALSE)</f>
        <v>0.31</v>
      </c>
      <c r="M102" s="3">
        <v>3</v>
      </c>
      <c r="N102" s="3">
        <v>2</v>
      </c>
      <c r="O102" s="3">
        <v>1</v>
      </c>
      <c r="P102" s="3">
        <v>4</v>
      </c>
      <c r="Q102" s="3">
        <v>1</v>
      </c>
      <c r="T102" s="376" t="s">
        <v>3594</v>
      </c>
      <c r="U102" s="70">
        <v>9.7000000000000003E-2</v>
      </c>
      <c r="X102" s="70" t="s">
        <v>706</v>
      </c>
      <c r="Y102" s="70">
        <v>8.8999999999999996E-2</v>
      </c>
      <c r="AA102" s="70" t="s">
        <v>706</v>
      </c>
      <c r="AB102" s="406">
        <v>2.5999999999999999E-2</v>
      </c>
    </row>
    <row r="103" spans="1:28">
      <c r="A103" t="s">
        <v>1429</v>
      </c>
      <c r="B103" s="3" t="s">
        <v>359</v>
      </c>
      <c r="C103" s="3" t="s">
        <v>360</v>
      </c>
      <c r="D103" s="3" t="s">
        <v>13</v>
      </c>
      <c r="E103" s="3" t="s">
        <v>12</v>
      </c>
      <c r="F103" s="3">
        <v>1E-3</v>
      </c>
      <c r="G103" s="74">
        <f>F103*VLOOKUP(D103,GWPs!$B$3:$C$6,2,FALSE)</f>
        <v>2.8000000000000001E-2</v>
      </c>
      <c r="H103" s="3">
        <v>0</v>
      </c>
      <c r="I103" s="74">
        <f>H103*VLOOKUP(D103,GWPs!$B$3:$C$6,2,FALSE)</f>
        <v>0</v>
      </c>
      <c r="J103" s="3">
        <v>1E-3</v>
      </c>
      <c r="K103" s="74">
        <f>J103*VLOOKUP(D103,GWPs!$B$3:$C$6,2,FALSE)</f>
        <v>2.8000000000000001E-2</v>
      </c>
      <c r="M103" s="3">
        <v>4</v>
      </c>
      <c r="N103" s="3">
        <v>2</v>
      </c>
      <c r="O103" s="3">
        <v>1</v>
      </c>
      <c r="P103" s="3">
        <v>1</v>
      </c>
      <c r="Q103" s="3">
        <v>1</v>
      </c>
      <c r="T103" s="70" t="s">
        <v>1069</v>
      </c>
      <c r="U103" s="70">
        <v>9.8000000000000004E-2</v>
      </c>
      <c r="X103" s="70" t="s">
        <v>1012</v>
      </c>
      <c r="Y103" s="70">
        <v>0.16500000000000001</v>
      </c>
      <c r="AA103" s="70" t="s">
        <v>1012</v>
      </c>
      <c r="AB103" s="406">
        <v>0</v>
      </c>
    </row>
    <row r="104" spans="1:28">
      <c r="A104" t="s">
        <v>1429</v>
      </c>
      <c r="B104" s="3" t="s">
        <v>359</v>
      </c>
      <c r="C104" s="3" t="s">
        <v>360</v>
      </c>
      <c r="D104" s="3" t="s">
        <v>14</v>
      </c>
      <c r="E104" s="3" t="s">
        <v>12</v>
      </c>
      <c r="F104" s="3">
        <v>0</v>
      </c>
      <c r="G104" s="74">
        <f>F104*VLOOKUP(D104,GWPs!$B$3:$C$6,2,FALSE)</f>
        <v>0</v>
      </c>
      <c r="H104" s="3">
        <v>0</v>
      </c>
      <c r="I104" s="74">
        <f>H104*VLOOKUP(D104,GWPs!$B$3:$C$6,2,FALSE)</f>
        <v>0</v>
      </c>
      <c r="J104" s="3">
        <v>0</v>
      </c>
      <c r="K104" s="74">
        <f>J104*VLOOKUP(D104,GWPs!$B$3:$C$6,2,FALSE)</f>
        <v>0</v>
      </c>
      <c r="M104" s="3">
        <v>3</v>
      </c>
      <c r="N104" s="3">
        <v>2</v>
      </c>
      <c r="O104" s="3">
        <v>1</v>
      </c>
      <c r="P104" s="3">
        <v>3</v>
      </c>
      <c r="Q104" s="3">
        <v>1</v>
      </c>
      <c r="T104" s="70" t="s">
        <v>706</v>
      </c>
      <c r="U104" s="70">
        <v>0.11399999999999999</v>
      </c>
      <c r="X104" s="70" t="s">
        <v>998</v>
      </c>
      <c r="Y104" s="70">
        <v>3.4000000000000002E-2</v>
      </c>
      <c r="AA104" s="70" t="s">
        <v>998</v>
      </c>
      <c r="AB104" s="406">
        <v>0</v>
      </c>
    </row>
    <row r="105" spans="1:28">
      <c r="A105" t="s">
        <v>1429</v>
      </c>
      <c r="B105" s="3" t="s">
        <v>359</v>
      </c>
      <c r="C105" s="3" t="s">
        <v>360</v>
      </c>
      <c r="D105" s="3" t="s">
        <v>15</v>
      </c>
      <c r="E105" s="3" t="s">
        <v>16</v>
      </c>
      <c r="F105" s="3">
        <v>0.04</v>
      </c>
      <c r="G105" s="74">
        <f>F105*VLOOKUP(D105,GWPs!$B$3:$C$6,2,FALSE)</f>
        <v>0.04</v>
      </c>
      <c r="H105" s="3">
        <v>0</v>
      </c>
      <c r="I105" s="74">
        <f>H105*VLOOKUP(D105,GWPs!$B$3:$C$6,2,FALSE)</f>
        <v>0</v>
      </c>
      <c r="J105" s="3">
        <v>0.04</v>
      </c>
      <c r="K105" s="74">
        <f>J105*VLOOKUP(D105,GWPs!$B$3:$C$6,2,FALSE)</f>
        <v>0.04</v>
      </c>
      <c r="M105" s="3">
        <v>4</v>
      </c>
      <c r="N105" s="3">
        <v>2</v>
      </c>
      <c r="O105" s="3">
        <v>1</v>
      </c>
      <c r="P105" s="3">
        <v>5</v>
      </c>
      <c r="Q105" s="3">
        <v>1</v>
      </c>
      <c r="T105" s="70" t="s">
        <v>1012</v>
      </c>
      <c r="U105" s="70">
        <v>0.16500000000000001</v>
      </c>
      <c r="X105" s="70" t="s">
        <v>980</v>
      </c>
      <c r="Y105" s="70">
        <v>6.7000000000000004E-2</v>
      </c>
      <c r="AA105" s="70" t="s">
        <v>980</v>
      </c>
      <c r="AB105" s="406">
        <v>0</v>
      </c>
    </row>
    <row r="106" spans="1:28">
      <c r="A106" t="s">
        <v>1430</v>
      </c>
      <c r="B106" s="3" t="s">
        <v>361</v>
      </c>
      <c r="C106" s="3" t="s">
        <v>362</v>
      </c>
      <c r="D106" s="3" t="s">
        <v>11</v>
      </c>
      <c r="E106" s="3" t="s">
        <v>12</v>
      </c>
      <c r="F106" s="3">
        <v>0.23400000000000001</v>
      </c>
      <c r="G106" s="74">
        <f>F106*VLOOKUP(D106,GWPs!$B$3:$C$6,2,FALSE)</f>
        <v>0.23400000000000001</v>
      </c>
      <c r="H106" s="3">
        <v>0</v>
      </c>
      <c r="I106" s="74">
        <f>H106*VLOOKUP(D106,GWPs!$B$3:$C$6,2,FALSE)</f>
        <v>0</v>
      </c>
      <c r="J106" s="3">
        <v>0.23400000000000001</v>
      </c>
      <c r="K106" s="74">
        <f>J106*VLOOKUP(D106,GWPs!$B$3:$C$6,2,FALSE)</f>
        <v>0.23400000000000001</v>
      </c>
      <c r="M106" s="3">
        <v>3</v>
      </c>
      <c r="N106" s="3">
        <v>2</v>
      </c>
      <c r="O106" s="3">
        <v>1</v>
      </c>
      <c r="P106" s="3">
        <v>4</v>
      </c>
      <c r="Q106" s="3">
        <v>1</v>
      </c>
      <c r="T106" s="70" t="s">
        <v>998</v>
      </c>
      <c r="U106" s="70">
        <v>3.4000000000000002E-2</v>
      </c>
      <c r="X106" s="70" t="s">
        <v>726</v>
      </c>
      <c r="Y106" s="70">
        <v>6.9000000000000006E-2</v>
      </c>
      <c r="AA106" s="70" t="s">
        <v>726</v>
      </c>
      <c r="AB106" s="406">
        <v>1.7000000000000001E-2</v>
      </c>
    </row>
    <row r="107" spans="1:28">
      <c r="A107" t="s">
        <v>1430</v>
      </c>
      <c r="B107" s="3" t="s">
        <v>361</v>
      </c>
      <c r="C107" s="3" t="s">
        <v>362</v>
      </c>
      <c r="D107" s="3" t="s">
        <v>13</v>
      </c>
      <c r="E107" s="3" t="s">
        <v>12</v>
      </c>
      <c r="F107" s="3">
        <v>1E-3</v>
      </c>
      <c r="G107" s="74">
        <f>F107*VLOOKUP(D107,GWPs!$B$3:$C$6,2,FALSE)</f>
        <v>2.8000000000000001E-2</v>
      </c>
      <c r="H107" s="3">
        <v>0</v>
      </c>
      <c r="I107" s="74">
        <f>H107*VLOOKUP(D107,GWPs!$B$3:$C$6,2,FALSE)</f>
        <v>0</v>
      </c>
      <c r="J107" s="3">
        <v>1E-3</v>
      </c>
      <c r="K107" s="74">
        <f>J107*VLOOKUP(D107,GWPs!$B$3:$C$6,2,FALSE)</f>
        <v>2.8000000000000001E-2</v>
      </c>
      <c r="M107" s="3">
        <v>4</v>
      </c>
      <c r="N107" s="3">
        <v>2</v>
      </c>
      <c r="O107" s="3">
        <v>1</v>
      </c>
      <c r="P107" s="3">
        <v>1</v>
      </c>
      <c r="Q107" s="3">
        <v>1</v>
      </c>
      <c r="T107" s="70" t="s">
        <v>980</v>
      </c>
      <c r="U107" s="70">
        <v>6.7000000000000004E-2</v>
      </c>
      <c r="X107" s="70" t="s">
        <v>442</v>
      </c>
      <c r="Y107" s="70">
        <v>0.436</v>
      </c>
      <c r="AA107" s="70" t="s">
        <v>442</v>
      </c>
      <c r="AB107" s="406">
        <v>5.3999999999999999E-2</v>
      </c>
    </row>
    <row r="108" spans="1:28">
      <c r="A108" t="s">
        <v>1430</v>
      </c>
      <c r="B108" s="3" t="s">
        <v>361</v>
      </c>
      <c r="C108" s="3" t="s">
        <v>362</v>
      </c>
      <c r="D108" s="3" t="s">
        <v>14</v>
      </c>
      <c r="E108" s="3" t="s">
        <v>12</v>
      </c>
      <c r="F108" s="3">
        <v>0</v>
      </c>
      <c r="G108" s="74">
        <f>F108*VLOOKUP(D108,GWPs!$B$3:$C$6,2,FALSE)</f>
        <v>0</v>
      </c>
      <c r="H108" s="3">
        <v>0</v>
      </c>
      <c r="I108" s="74">
        <f>H108*VLOOKUP(D108,GWPs!$B$3:$C$6,2,FALSE)</f>
        <v>0</v>
      </c>
      <c r="J108" s="3">
        <v>0</v>
      </c>
      <c r="K108" s="74">
        <f>J108*VLOOKUP(D108,GWPs!$B$3:$C$6,2,FALSE)</f>
        <v>0</v>
      </c>
      <c r="M108" s="3">
        <v>3</v>
      </c>
      <c r="N108" s="3">
        <v>2</v>
      </c>
      <c r="O108" s="3">
        <v>1</v>
      </c>
      <c r="P108" s="3">
        <v>2</v>
      </c>
      <c r="Q108" s="3">
        <v>1</v>
      </c>
      <c r="T108" s="70" t="s">
        <v>726</v>
      </c>
      <c r="U108" s="70">
        <v>8.6000000000000007E-2</v>
      </c>
      <c r="X108" s="70" t="s">
        <v>626</v>
      </c>
      <c r="Y108" s="70">
        <v>0.33100000000000002</v>
      </c>
      <c r="AA108" s="70" t="s">
        <v>626</v>
      </c>
      <c r="AB108" s="406">
        <v>3.2000000000000001E-2</v>
      </c>
    </row>
    <row r="109" spans="1:28">
      <c r="A109" t="s">
        <v>1430</v>
      </c>
      <c r="B109" s="3" t="s">
        <v>361</v>
      </c>
      <c r="C109" s="3" t="s">
        <v>362</v>
      </c>
      <c r="D109" s="3" t="s">
        <v>15</v>
      </c>
      <c r="E109" s="3" t="s">
        <v>16</v>
      </c>
      <c r="F109" s="3">
        <v>4.2000000000000003E-2</v>
      </c>
      <c r="G109" s="74">
        <f>F109*VLOOKUP(D109,GWPs!$B$3:$C$6,2,FALSE)</f>
        <v>4.2000000000000003E-2</v>
      </c>
      <c r="H109" s="3">
        <v>0</v>
      </c>
      <c r="I109" s="74">
        <f>H109*VLOOKUP(D109,GWPs!$B$3:$C$6,2,FALSE)</f>
        <v>0</v>
      </c>
      <c r="J109" s="3">
        <v>4.2000000000000003E-2</v>
      </c>
      <c r="K109" s="74">
        <f>J109*VLOOKUP(D109,GWPs!$B$3:$C$6,2,FALSE)</f>
        <v>4.2000000000000003E-2</v>
      </c>
      <c r="M109" s="3">
        <v>4</v>
      </c>
      <c r="N109" s="3">
        <v>2</v>
      </c>
      <c r="O109" s="3">
        <v>1</v>
      </c>
      <c r="P109" s="3">
        <v>5</v>
      </c>
      <c r="Q109" s="3">
        <v>1</v>
      </c>
      <c r="T109" s="70" t="s">
        <v>442</v>
      </c>
      <c r="U109" s="70">
        <v>0.49</v>
      </c>
      <c r="X109" s="70" t="s">
        <v>996</v>
      </c>
      <c r="Y109" s="70">
        <v>0.23899999999999999</v>
      </c>
      <c r="AA109" s="70" t="s">
        <v>996</v>
      </c>
      <c r="AB109" s="406">
        <v>0</v>
      </c>
    </row>
    <row r="110" spans="1:28">
      <c r="A110" t="s">
        <v>1429</v>
      </c>
      <c r="B110" s="3" t="s">
        <v>363</v>
      </c>
      <c r="C110" s="3" t="s">
        <v>364</v>
      </c>
      <c r="D110" s="3" t="s">
        <v>11</v>
      </c>
      <c r="E110" s="3" t="s">
        <v>12</v>
      </c>
      <c r="F110" s="3">
        <v>0.313</v>
      </c>
      <c r="G110" s="74">
        <f>F110*VLOOKUP(D110,GWPs!$B$3:$C$6,2,FALSE)</f>
        <v>0.313</v>
      </c>
      <c r="H110" s="3">
        <v>0</v>
      </c>
      <c r="I110" s="74">
        <f>H110*VLOOKUP(D110,GWPs!$B$3:$C$6,2,FALSE)</f>
        <v>0</v>
      </c>
      <c r="J110" s="3">
        <v>0.313</v>
      </c>
      <c r="K110" s="74">
        <f>J110*VLOOKUP(D110,GWPs!$B$3:$C$6,2,FALSE)</f>
        <v>0.313</v>
      </c>
      <c r="M110" s="3">
        <v>3</v>
      </c>
      <c r="N110" s="3">
        <v>2</v>
      </c>
      <c r="O110" s="3">
        <v>1</v>
      </c>
      <c r="P110" s="3">
        <v>3</v>
      </c>
      <c r="Q110" s="3">
        <v>1</v>
      </c>
      <c r="T110" s="70" t="s">
        <v>626</v>
      </c>
      <c r="U110" s="70">
        <v>0.39100000000000001</v>
      </c>
      <c r="X110" s="70" t="s">
        <v>632</v>
      </c>
      <c r="Y110" s="70">
        <v>0.28100000000000003</v>
      </c>
      <c r="AA110" s="70" t="s">
        <v>632</v>
      </c>
      <c r="AB110" s="406">
        <v>5.8999999999999997E-2</v>
      </c>
    </row>
    <row r="111" spans="1:28">
      <c r="A111" t="s">
        <v>1429</v>
      </c>
      <c r="B111" s="3" t="s">
        <v>363</v>
      </c>
      <c r="C111" s="3" t="s">
        <v>364</v>
      </c>
      <c r="D111" s="3" t="s">
        <v>13</v>
      </c>
      <c r="E111" s="3" t="s">
        <v>12</v>
      </c>
      <c r="F111" s="3">
        <v>1E-3</v>
      </c>
      <c r="G111" s="74">
        <f>F111*VLOOKUP(D111,GWPs!$B$3:$C$6,2,FALSE)</f>
        <v>2.8000000000000001E-2</v>
      </c>
      <c r="H111" s="3">
        <v>0</v>
      </c>
      <c r="I111" s="74">
        <f>H111*VLOOKUP(D111,GWPs!$B$3:$C$6,2,FALSE)</f>
        <v>0</v>
      </c>
      <c r="J111" s="3">
        <v>1E-3</v>
      </c>
      <c r="K111" s="74">
        <f>J111*VLOOKUP(D111,GWPs!$B$3:$C$6,2,FALSE)</f>
        <v>2.8000000000000001E-2</v>
      </c>
      <c r="M111" s="3">
        <v>4</v>
      </c>
      <c r="N111" s="3">
        <v>2</v>
      </c>
      <c r="O111" s="3">
        <v>1</v>
      </c>
      <c r="P111" s="3">
        <v>1</v>
      </c>
      <c r="Q111" s="3">
        <v>1</v>
      </c>
      <c r="T111" s="70" t="s">
        <v>996</v>
      </c>
      <c r="U111" s="70">
        <v>0.23899999999999999</v>
      </c>
      <c r="X111" s="70" t="s">
        <v>506</v>
      </c>
      <c r="Y111" s="70">
        <v>1.016</v>
      </c>
      <c r="AA111" s="70" t="s">
        <v>506</v>
      </c>
      <c r="AB111" s="406">
        <v>5.0999999999999997E-2</v>
      </c>
    </row>
    <row r="112" spans="1:28">
      <c r="A112" t="s">
        <v>1429</v>
      </c>
      <c r="B112" s="3" t="s">
        <v>363</v>
      </c>
      <c r="C112" s="3" t="s">
        <v>364</v>
      </c>
      <c r="D112" s="3" t="s">
        <v>14</v>
      </c>
      <c r="E112" s="3" t="s">
        <v>12</v>
      </c>
      <c r="F112" s="3">
        <v>0</v>
      </c>
      <c r="G112" s="74">
        <f>F112*VLOOKUP(D112,GWPs!$B$3:$C$6,2,FALSE)</f>
        <v>0</v>
      </c>
      <c r="H112" s="3">
        <v>0</v>
      </c>
      <c r="I112" s="74">
        <f>H112*VLOOKUP(D112,GWPs!$B$3:$C$6,2,FALSE)</f>
        <v>0</v>
      </c>
      <c r="J112" s="3">
        <v>0</v>
      </c>
      <c r="K112" s="74">
        <f>J112*VLOOKUP(D112,GWPs!$B$3:$C$6,2,FALSE)</f>
        <v>0</v>
      </c>
      <c r="M112" s="3">
        <v>3</v>
      </c>
      <c r="N112" s="3">
        <v>2</v>
      </c>
      <c r="O112" s="3">
        <v>1</v>
      </c>
      <c r="P112" s="3">
        <v>3</v>
      </c>
      <c r="Q112" s="3">
        <v>1</v>
      </c>
      <c r="T112" s="70" t="s">
        <v>632</v>
      </c>
      <c r="U112" s="70">
        <v>0.34</v>
      </c>
      <c r="X112" s="70" t="s">
        <v>440</v>
      </c>
      <c r="Y112" s="70">
        <v>0.55000000000000004</v>
      </c>
      <c r="AA112" s="70" t="s">
        <v>440</v>
      </c>
      <c r="AB112" s="406">
        <v>3.7999999999999999E-2</v>
      </c>
    </row>
    <row r="113" spans="1:28">
      <c r="A113" t="s">
        <v>1429</v>
      </c>
      <c r="B113" s="3" t="s">
        <v>363</v>
      </c>
      <c r="C113" s="3" t="s">
        <v>364</v>
      </c>
      <c r="D113" s="3" t="s">
        <v>15</v>
      </c>
      <c r="E113" s="3" t="s">
        <v>16</v>
      </c>
      <c r="F113" s="3">
        <v>1.9E-2</v>
      </c>
      <c r="G113" s="74">
        <f>F113*VLOOKUP(D113,GWPs!$B$3:$C$6,2,FALSE)</f>
        <v>1.9E-2</v>
      </c>
      <c r="H113" s="3">
        <v>0</v>
      </c>
      <c r="I113" s="74">
        <f>H113*VLOOKUP(D113,GWPs!$B$3:$C$6,2,FALSE)</f>
        <v>0</v>
      </c>
      <c r="J113" s="3">
        <v>1.9E-2</v>
      </c>
      <c r="K113" s="74">
        <f>J113*VLOOKUP(D113,GWPs!$B$3:$C$6,2,FALSE)</f>
        <v>1.9E-2</v>
      </c>
      <c r="M113" s="3">
        <v>4</v>
      </c>
      <c r="N113" s="3">
        <v>2</v>
      </c>
      <c r="O113" s="3">
        <v>1</v>
      </c>
      <c r="P113" s="3">
        <v>5</v>
      </c>
      <c r="Q113" s="3">
        <v>1</v>
      </c>
      <c r="T113" s="70" t="s">
        <v>506</v>
      </c>
      <c r="U113" s="70">
        <v>1.0670000000000002</v>
      </c>
      <c r="X113" s="70" t="s">
        <v>444</v>
      </c>
      <c r="Y113" s="70">
        <v>0.28400000000000003</v>
      </c>
      <c r="AA113" s="70" t="s">
        <v>444</v>
      </c>
      <c r="AB113" s="406">
        <v>2.5000000000000001E-2</v>
      </c>
    </row>
    <row r="114" spans="1:28">
      <c r="A114" t="s">
        <v>1429</v>
      </c>
      <c r="B114" s="3" t="s">
        <v>365</v>
      </c>
      <c r="C114" s="3" t="s">
        <v>366</v>
      </c>
      <c r="D114" s="3" t="s">
        <v>11</v>
      </c>
      <c r="E114" s="3" t="s">
        <v>12</v>
      </c>
      <c r="F114" s="3">
        <v>0.33400000000000002</v>
      </c>
      <c r="G114" s="74">
        <f>F114*VLOOKUP(D114,GWPs!$B$3:$C$6,2,FALSE)</f>
        <v>0.33400000000000002</v>
      </c>
      <c r="H114" s="3">
        <v>0</v>
      </c>
      <c r="I114" s="74">
        <f>H114*VLOOKUP(D114,GWPs!$B$3:$C$6,2,FALSE)</f>
        <v>0</v>
      </c>
      <c r="J114" s="3">
        <v>0.33400000000000002</v>
      </c>
      <c r="K114" s="74">
        <f>J114*VLOOKUP(D114,GWPs!$B$3:$C$6,2,FALSE)</f>
        <v>0.33400000000000002</v>
      </c>
      <c r="M114" s="3">
        <v>3</v>
      </c>
      <c r="N114" s="3">
        <v>2</v>
      </c>
      <c r="O114" s="3">
        <v>1</v>
      </c>
      <c r="P114" s="3">
        <v>4</v>
      </c>
      <c r="Q114" s="3">
        <v>1</v>
      </c>
      <c r="T114" s="70" t="s">
        <v>440</v>
      </c>
      <c r="U114" s="70">
        <v>0.61599999999999999</v>
      </c>
      <c r="X114" s="70" t="s">
        <v>424</v>
      </c>
      <c r="Y114" s="70">
        <v>0.12000000000000001</v>
      </c>
      <c r="AA114" s="70" t="s">
        <v>424</v>
      </c>
      <c r="AB114" s="406">
        <v>8.9999999999999993E-3</v>
      </c>
    </row>
    <row r="115" spans="1:28">
      <c r="A115" t="s">
        <v>1429</v>
      </c>
      <c r="B115" s="3" t="s">
        <v>365</v>
      </c>
      <c r="C115" s="3" t="s">
        <v>366</v>
      </c>
      <c r="D115" s="3" t="s">
        <v>13</v>
      </c>
      <c r="E115" s="3" t="s">
        <v>12</v>
      </c>
      <c r="F115" s="3">
        <v>5.0000000000000001E-3</v>
      </c>
      <c r="G115" s="74">
        <f>F115*VLOOKUP(D115,GWPs!$B$3:$C$6,2,FALSE)</f>
        <v>0.14000000000000001</v>
      </c>
      <c r="H115" s="3">
        <v>0</v>
      </c>
      <c r="I115" s="74">
        <f>H115*VLOOKUP(D115,GWPs!$B$3:$C$6,2,FALSE)</f>
        <v>0</v>
      </c>
      <c r="J115" s="3">
        <v>5.0000000000000001E-3</v>
      </c>
      <c r="K115" s="74">
        <f>J115*VLOOKUP(D115,GWPs!$B$3:$C$6,2,FALSE)</f>
        <v>0.14000000000000001</v>
      </c>
      <c r="M115" s="3">
        <v>4</v>
      </c>
      <c r="N115" s="3">
        <v>2</v>
      </c>
      <c r="O115" s="3">
        <v>1</v>
      </c>
      <c r="P115" s="3">
        <v>1</v>
      </c>
      <c r="Q115" s="3">
        <v>1</v>
      </c>
      <c r="T115" s="70" t="s">
        <v>444</v>
      </c>
      <c r="U115" s="70">
        <v>0.30900000000000005</v>
      </c>
      <c r="X115" s="70" t="s">
        <v>386</v>
      </c>
      <c r="Y115" s="70">
        <v>0.68600000000000005</v>
      </c>
      <c r="AA115" s="70" t="s">
        <v>386</v>
      </c>
      <c r="AB115" s="406">
        <v>3.3000000000000002E-2</v>
      </c>
    </row>
    <row r="116" spans="1:28">
      <c r="A116" t="s">
        <v>1429</v>
      </c>
      <c r="B116" s="3" t="s">
        <v>365</v>
      </c>
      <c r="C116" s="3" t="s">
        <v>366</v>
      </c>
      <c r="D116" s="3" t="s">
        <v>14</v>
      </c>
      <c r="E116" s="3" t="s">
        <v>12</v>
      </c>
      <c r="F116" s="3">
        <v>0</v>
      </c>
      <c r="G116" s="74">
        <f>F116*VLOOKUP(D116,GWPs!$B$3:$C$6,2,FALSE)</f>
        <v>0</v>
      </c>
      <c r="H116" s="3">
        <v>0</v>
      </c>
      <c r="I116" s="74">
        <f>H116*VLOOKUP(D116,GWPs!$B$3:$C$6,2,FALSE)</f>
        <v>0</v>
      </c>
      <c r="J116" s="3">
        <v>0</v>
      </c>
      <c r="K116" s="74">
        <f>J116*VLOOKUP(D116,GWPs!$B$3:$C$6,2,FALSE)</f>
        <v>0</v>
      </c>
      <c r="M116" s="3">
        <v>3</v>
      </c>
      <c r="N116" s="3">
        <v>2</v>
      </c>
      <c r="O116" s="3">
        <v>1</v>
      </c>
      <c r="P116" s="3">
        <v>2</v>
      </c>
      <c r="Q116" s="3">
        <v>1</v>
      </c>
      <c r="T116" s="70" t="s">
        <v>424</v>
      </c>
      <c r="U116" s="70">
        <v>0.129</v>
      </c>
      <c r="X116" s="70" t="s">
        <v>716</v>
      </c>
      <c r="Y116" s="70">
        <v>4.2000000000000003E-2</v>
      </c>
      <c r="AA116" s="70" t="s">
        <v>716</v>
      </c>
      <c r="AB116" s="406">
        <v>2.9000000000000001E-2</v>
      </c>
    </row>
    <row r="117" spans="1:28">
      <c r="A117" t="s">
        <v>1429</v>
      </c>
      <c r="B117" s="3" t="s">
        <v>365</v>
      </c>
      <c r="C117" s="3" t="s">
        <v>366</v>
      </c>
      <c r="D117" s="3" t="s">
        <v>15</v>
      </c>
      <c r="E117" s="3" t="s">
        <v>16</v>
      </c>
      <c r="F117" s="3">
        <v>1.0999999999999999E-2</v>
      </c>
      <c r="G117" s="74">
        <f>F117*VLOOKUP(D117,GWPs!$B$3:$C$6,2,FALSE)</f>
        <v>1.0999999999999999E-2</v>
      </c>
      <c r="H117" s="3">
        <v>0</v>
      </c>
      <c r="I117" s="74">
        <f>H117*VLOOKUP(D117,GWPs!$B$3:$C$6,2,FALSE)</f>
        <v>0</v>
      </c>
      <c r="J117" s="3">
        <v>1.0999999999999999E-2</v>
      </c>
      <c r="K117" s="74">
        <f>J117*VLOOKUP(D117,GWPs!$B$3:$C$6,2,FALSE)</f>
        <v>1.0999999999999999E-2</v>
      </c>
      <c r="M117" s="3">
        <v>4</v>
      </c>
      <c r="N117" s="3">
        <v>2</v>
      </c>
      <c r="O117" s="3">
        <v>1</v>
      </c>
      <c r="P117" s="3">
        <v>5</v>
      </c>
      <c r="Q117" s="3">
        <v>1</v>
      </c>
      <c r="T117" s="70" t="s">
        <v>386</v>
      </c>
      <c r="U117" s="70">
        <v>0.74600000000000011</v>
      </c>
      <c r="X117" s="70" t="s">
        <v>406</v>
      </c>
      <c r="Y117" s="70">
        <v>1.5469999999999999</v>
      </c>
      <c r="AA117" s="70" t="s">
        <v>406</v>
      </c>
      <c r="AB117" s="406">
        <v>6.3E-2</v>
      </c>
    </row>
    <row r="118" spans="1:28">
      <c r="A118" t="s">
        <v>1429</v>
      </c>
      <c r="B118" s="3" t="s">
        <v>367</v>
      </c>
      <c r="C118" s="3" t="s">
        <v>368</v>
      </c>
      <c r="D118" s="3" t="s">
        <v>11</v>
      </c>
      <c r="E118" s="3" t="s">
        <v>12</v>
      </c>
      <c r="F118" s="3">
        <v>0.22</v>
      </c>
      <c r="G118" s="74">
        <f>F118*VLOOKUP(D118,GWPs!$B$3:$C$6,2,FALSE)</f>
        <v>0.22</v>
      </c>
      <c r="H118" s="3">
        <v>0</v>
      </c>
      <c r="I118" s="74">
        <f>H118*VLOOKUP(D118,GWPs!$B$3:$C$6,2,FALSE)</f>
        <v>0</v>
      </c>
      <c r="J118" s="3">
        <v>0.22</v>
      </c>
      <c r="K118" s="74">
        <f>J118*VLOOKUP(D118,GWPs!$B$3:$C$6,2,FALSE)</f>
        <v>0.22</v>
      </c>
      <c r="M118" s="3">
        <v>3</v>
      </c>
      <c r="N118" s="3">
        <v>2</v>
      </c>
      <c r="O118" s="3">
        <v>1</v>
      </c>
      <c r="P118" s="3">
        <v>3</v>
      </c>
      <c r="Q118" s="3">
        <v>1</v>
      </c>
      <c r="T118" s="70" t="s">
        <v>716</v>
      </c>
      <c r="U118" s="70">
        <v>7.1000000000000008E-2</v>
      </c>
      <c r="X118" s="70" t="s">
        <v>19</v>
      </c>
      <c r="Y118" s="70">
        <v>0.28900000000000003</v>
      </c>
      <c r="AA118" s="70" t="s">
        <v>19</v>
      </c>
      <c r="AB118" s="406">
        <v>0</v>
      </c>
    </row>
    <row r="119" spans="1:28">
      <c r="A119" t="s">
        <v>1429</v>
      </c>
      <c r="B119" s="3" t="s">
        <v>367</v>
      </c>
      <c r="C119" s="3" t="s">
        <v>368</v>
      </c>
      <c r="D119" s="3" t="s">
        <v>13</v>
      </c>
      <c r="E119" s="3" t="s">
        <v>12</v>
      </c>
      <c r="F119" s="3">
        <v>1E-3</v>
      </c>
      <c r="G119" s="74">
        <f>F119*VLOOKUP(D119,GWPs!$B$3:$C$6,2,FALSE)</f>
        <v>2.8000000000000001E-2</v>
      </c>
      <c r="H119" s="3">
        <v>0</v>
      </c>
      <c r="I119" s="74">
        <f>H119*VLOOKUP(D119,GWPs!$B$3:$C$6,2,FALSE)</f>
        <v>0</v>
      </c>
      <c r="J119" s="3">
        <v>1E-3</v>
      </c>
      <c r="K119" s="74">
        <f>J119*VLOOKUP(D119,GWPs!$B$3:$C$6,2,FALSE)</f>
        <v>2.8000000000000001E-2</v>
      </c>
      <c r="M119" s="3">
        <v>4</v>
      </c>
      <c r="N119" s="3">
        <v>2</v>
      </c>
      <c r="O119" s="3">
        <v>1</v>
      </c>
      <c r="P119" s="3">
        <v>1</v>
      </c>
      <c r="Q119" s="3">
        <v>1</v>
      </c>
      <c r="T119" s="70" t="s">
        <v>406</v>
      </c>
      <c r="U119" s="70">
        <v>1.61</v>
      </c>
      <c r="X119" s="70" t="s">
        <v>317</v>
      </c>
      <c r="Y119" s="70">
        <v>0.47499999999999998</v>
      </c>
      <c r="AA119" s="70" t="s">
        <v>317</v>
      </c>
      <c r="AB119" s="406">
        <v>0.13400000000000001</v>
      </c>
    </row>
    <row r="120" spans="1:28">
      <c r="A120" t="s">
        <v>1429</v>
      </c>
      <c r="B120" s="3" t="s">
        <v>367</v>
      </c>
      <c r="C120" s="3" t="s">
        <v>368</v>
      </c>
      <c r="D120" s="3" t="s">
        <v>14</v>
      </c>
      <c r="E120" s="3" t="s">
        <v>12</v>
      </c>
      <c r="F120" s="3">
        <v>0</v>
      </c>
      <c r="G120" s="74">
        <f>F120*VLOOKUP(D120,GWPs!$B$3:$C$6,2,FALSE)</f>
        <v>0</v>
      </c>
      <c r="H120" s="3">
        <v>0</v>
      </c>
      <c r="I120" s="74">
        <f>H120*VLOOKUP(D120,GWPs!$B$3:$C$6,2,FALSE)</f>
        <v>0</v>
      </c>
      <c r="J120" s="3">
        <v>0</v>
      </c>
      <c r="K120" s="74">
        <f>J120*VLOOKUP(D120,GWPs!$B$3:$C$6,2,FALSE)</f>
        <v>0</v>
      </c>
      <c r="M120" s="3">
        <v>3</v>
      </c>
      <c r="N120" s="3">
        <v>2</v>
      </c>
      <c r="O120" s="3">
        <v>1</v>
      </c>
      <c r="P120" s="3">
        <v>2</v>
      </c>
      <c r="Q120" s="3">
        <v>1</v>
      </c>
      <c r="T120" s="70" t="s">
        <v>19</v>
      </c>
      <c r="U120" s="70">
        <v>0.28900000000000003</v>
      </c>
      <c r="X120" s="70" t="s">
        <v>311</v>
      </c>
      <c r="Y120" s="70">
        <v>0.88400000000000001</v>
      </c>
      <c r="AA120" s="70" t="s">
        <v>311</v>
      </c>
      <c r="AB120" s="406">
        <v>9.4E-2</v>
      </c>
    </row>
    <row r="121" spans="1:28">
      <c r="A121" t="s">
        <v>1429</v>
      </c>
      <c r="B121" s="3" t="s">
        <v>367</v>
      </c>
      <c r="C121" s="3" t="s">
        <v>368</v>
      </c>
      <c r="D121" s="3" t="s">
        <v>15</v>
      </c>
      <c r="E121" s="3" t="s">
        <v>16</v>
      </c>
      <c r="F121" s="3">
        <v>3.6999999999999998E-2</v>
      </c>
      <c r="G121" s="74">
        <f>F121*VLOOKUP(D121,GWPs!$B$3:$C$6,2,FALSE)</f>
        <v>3.6999999999999998E-2</v>
      </c>
      <c r="H121" s="3">
        <v>0</v>
      </c>
      <c r="I121" s="74">
        <f>H121*VLOOKUP(D121,GWPs!$B$3:$C$6,2,FALSE)</f>
        <v>0</v>
      </c>
      <c r="J121" s="3">
        <v>3.6999999999999998E-2</v>
      </c>
      <c r="K121" s="74">
        <f>J121*VLOOKUP(D121,GWPs!$B$3:$C$6,2,FALSE)</f>
        <v>3.6999999999999998E-2</v>
      </c>
      <c r="M121" s="3">
        <v>4</v>
      </c>
      <c r="N121" s="3">
        <v>2</v>
      </c>
      <c r="O121" s="3">
        <v>1</v>
      </c>
      <c r="P121" s="3">
        <v>5</v>
      </c>
      <c r="Q121" s="3">
        <v>1</v>
      </c>
      <c r="T121" s="70" t="s">
        <v>317</v>
      </c>
      <c r="U121" s="70">
        <v>0.58000000000000007</v>
      </c>
      <c r="X121" s="70" t="s">
        <v>315</v>
      </c>
      <c r="Y121" s="70">
        <v>0.47199999999999998</v>
      </c>
      <c r="AA121" s="70" t="s">
        <v>315</v>
      </c>
      <c r="AB121" s="406">
        <v>0.14200000000000002</v>
      </c>
    </row>
    <row r="122" spans="1:28">
      <c r="A122" t="s">
        <v>1429</v>
      </c>
      <c r="B122" s="3" t="s">
        <v>369</v>
      </c>
      <c r="C122" s="3" t="s">
        <v>370</v>
      </c>
      <c r="D122" s="3" t="s">
        <v>11</v>
      </c>
      <c r="E122" s="3" t="s">
        <v>12</v>
      </c>
      <c r="F122" s="3">
        <v>0.22700000000000001</v>
      </c>
      <c r="G122" s="74">
        <f>F122*VLOOKUP(D122,GWPs!$B$3:$C$6,2,FALSE)</f>
        <v>0.22700000000000001</v>
      </c>
      <c r="H122" s="3">
        <v>0</v>
      </c>
      <c r="I122" s="74">
        <f>H122*VLOOKUP(D122,GWPs!$B$3:$C$6,2,FALSE)</f>
        <v>0</v>
      </c>
      <c r="J122" s="3">
        <v>0.22700000000000001</v>
      </c>
      <c r="K122" s="74">
        <f>J122*VLOOKUP(D122,GWPs!$B$3:$C$6,2,FALSE)</f>
        <v>0.22700000000000001</v>
      </c>
      <c r="M122" s="3">
        <v>3</v>
      </c>
      <c r="N122" s="3">
        <v>2</v>
      </c>
      <c r="O122" s="3">
        <v>1</v>
      </c>
      <c r="P122" s="3">
        <v>3</v>
      </c>
      <c r="Q122" s="3">
        <v>1</v>
      </c>
      <c r="T122" s="70" t="s">
        <v>311</v>
      </c>
      <c r="U122" s="70">
        <v>0.97800000000000009</v>
      </c>
      <c r="X122" s="70" t="s">
        <v>313</v>
      </c>
      <c r="Y122" s="70">
        <v>1.625</v>
      </c>
      <c r="AA122" s="70" t="s">
        <v>313</v>
      </c>
      <c r="AB122" s="406">
        <v>0.10099999999999999</v>
      </c>
    </row>
    <row r="123" spans="1:28">
      <c r="A123" t="s">
        <v>1429</v>
      </c>
      <c r="B123" s="3" t="s">
        <v>369</v>
      </c>
      <c r="C123" s="3" t="s">
        <v>370</v>
      </c>
      <c r="D123" s="3" t="s">
        <v>13</v>
      </c>
      <c r="E123" s="3" t="s">
        <v>12</v>
      </c>
      <c r="F123" s="3">
        <v>1E-3</v>
      </c>
      <c r="G123" s="74">
        <f>F123*VLOOKUP(D123,GWPs!$B$3:$C$6,2,FALSE)</f>
        <v>2.8000000000000001E-2</v>
      </c>
      <c r="H123" s="3">
        <v>0</v>
      </c>
      <c r="I123" s="74">
        <f>H123*VLOOKUP(D123,GWPs!$B$3:$C$6,2,FALSE)</f>
        <v>0</v>
      </c>
      <c r="J123" s="3">
        <v>1E-3</v>
      </c>
      <c r="K123" s="74">
        <f>J123*VLOOKUP(D123,GWPs!$B$3:$C$6,2,FALSE)</f>
        <v>2.8000000000000001E-2</v>
      </c>
      <c r="M123" s="3">
        <v>4</v>
      </c>
      <c r="N123" s="3">
        <v>2</v>
      </c>
      <c r="O123" s="3">
        <v>1</v>
      </c>
      <c r="P123" s="3">
        <v>1</v>
      </c>
      <c r="Q123" s="3">
        <v>1</v>
      </c>
      <c r="T123" s="70" t="s">
        <v>315</v>
      </c>
      <c r="U123" s="70">
        <v>0.58599999999999997</v>
      </c>
      <c r="X123" s="70" t="s">
        <v>398</v>
      </c>
      <c r="Y123" s="70">
        <v>0.86399999999999999</v>
      </c>
      <c r="AA123" s="70" t="s">
        <v>398</v>
      </c>
      <c r="AB123" s="406">
        <v>7.9000000000000001E-2</v>
      </c>
    </row>
    <row r="124" spans="1:28">
      <c r="A124" t="s">
        <v>1429</v>
      </c>
      <c r="B124" s="3" t="s">
        <v>369</v>
      </c>
      <c r="C124" s="3" t="s">
        <v>370</v>
      </c>
      <c r="D124" s="3" t="s">
        <v>14</v>
      </c>
      <c r="E124" s="3" t="s">
        <v>12</v>
      </c>
      <c r="F124" s="3">
        <v>0</v>
      </c>
      <c r="G124" s="74">
        <f>F124*VLOOKUP(D124,GWPs!$B$3:$C$6,2,FALSE)</f>
        <v>0</v>
      </c>
      <c r="H124" s="3">
        <v>0</v>
      </c>
      <c r="I124" s="74">
        <f>H124*VLOOKUP(D124,GWPs!$B$3:$C$6,2,FALSE)</f>
        <v>0</v>
      </c>
      <c r="J124" s="3">
        <v>0</v>
      </c>
      <c r="K124" s="74">
        <f>J124*VLOOKUP(D124,GWPs!$B$3:$C$6,2,FALSE)</f>
        <v>0</v>
      </c>
      <c r="M124" s="3">
        <v>3</v>
      </c>
      <c r="N124" s="3">
        <v>2</v>
      </c>
      <c r="O124" s="3">
        <v>1</v>
      </c>
      <c r="P124" s="3">
        <v>2</v>
      </c>
      <c r="Q124" s="3">
        <v>1</v>
      </c>
      <c r="T124" s="70" t="s">
        <v>313</v>
      </c>
      <c r="U124" s="70">
        <v>1.726</v>
      </c>
      <c r="X124" s="70" t="s">
        <v>400</v>
      </c>
      <c r="Y124" s="70">
        <v>0.48</v>
      </c>
      <c r="AA124" s="70" t="s">
        <v>400</v>
      </c>
      <c r="AB124" s="406">
        <v>6.0999999999999999E-2</v>
      </c>
    </row>
    <row r="125" spans="1:28">
      <c r="A125" t="s">
        <v>1429</v>
      </c>
      <c r="B125" s="3" t="s">
        <v>369</v>
      </c>
      <c r="C125" s="3" t="s">
        <v>370</v>
      </c>
      <c r="D125" s="3" t="s">
        <v>15</v>
      </c>
      <c r="E125" s="3" t="s">
        <v>16</v>
      </c>
      <c r="F125" s="3">
        <v>3.6999999999999998E-2</v>
      </c>
      <c r="G125" s="74">
        <f>F125*VLOOKUP(D125,GWPs!$B$3:$C$6,2,FALSE)</f>
        <v>3.6999999999999998E-2</v>
      </c>
      <c r="H125" s="3">
        <v>0</v>
      </c>
      <c r="I125" s="74">
        <f>H125*VLOOKUP(D125,GWPs!$B$3:$C$6,2,FALSE)</f>
        <v>0</v>
      </c>
      <c r="J125" s="3">
        <v>3.6999999999999998E-2</v>
      </c>
      <c r="K125" s="74">
        <f>J125*VLOOKUP(D125,GWPs!$B$3:$C$6,2,FALSE)</f>
        <v>3.6999999999999998E-2</v>
      </c>
      <c r="M125" s="3">
        <v>4</v>
      </c>
      <c r="N125" s="3">
        <v>2</v>
      </c>
      <c r="O125" s="3">
        <v>1</v>
      </c>
      <c r="P125" s="3">
        <v>5</v>
      </c>
      <c r="Q125" s="3">
        <v>1</v>
      </c>
      <c r="T125" s="70" t="s">
        <v>398</v>
      </c>
      <c r="U125" s="70">
        <v>0.97199999999999998</v>
      </c>
      <c r="X125" s="70" t="s">
        <v>1061</v>
      </c>
      <c r="Y125" s="70">
        <v>0.26700000000000002</v>
      </c>
      <c r="AA125" s="70" t="s">
        <v>1061</v>
      </c>
      <c r="AB125" s="406">
        <v>0</v>
      </c>
    </row>
    <row r="126" spans="1:28">
      <c r="A126" t="s">
        <v>1429</v>
      </c>
      <c r="B126" s="3" t="s">
        <v>371</v>
      </c>
      <c r="C126" s="3" t="s">
        <v>372</v>
      </c>
      <c r="D126" s="3" t="s">
        <v>11</v>
      </c>
      <c r="E126" s="3" t="s">
        <v>12</v>
      </c>
      <c r="F126" s="3">
        <v>0.40600000000000003</v>
      </c>
      <c r="G126" s="74">
        <f>F126*VLOOKUP(D126,GWPs!$B$3:$C$6,2,FALSE)</f>
        <v>0.40600000000000003</v>
      </c>
      <c r="H126" s="3">
        <v>0</v>
      </c>
      <c r="I126" s="74">
        <f>H126*VLOOKUP(D126,GWPs!$B$3:$C$6,2,FALSE)</f>
        <v>0</v>
      </c>
      <c r="J126" s="3">
        <v>0.40600000000000003</v>
      </c>
      <c r="K126" s="74">
        <f>J126*VLOOKUP(D126,GWPs!$B$3:$C$6,2,FALSE)</f>
        <v>0.40600000000000003</v>
      </c>
      <c r="M126" s="3">
        <v>4</v>
      </c>
      <c r="N126" s="3">
        <v>2</v>
      </c>
      <c r="O126" s="3">
        <v>1</v>
      </c>
      <c r="P126" s="3">
        <v>4</v>
      </c>
      <c r="Q126" s="3">
        <v>1</v>
      </c>
      <c r="T126" s="70" t="s">
        <v>400</v>
      </c>
      <c r="U126" s="70">
        <v>0.54100000000000004</v>
      </c>
      <c r="X126" s="70" t="s">
        <v>948</v>
      </c>
      <c r="Y126" s="70">
        <v>0.20399999999999999</v>
      </c>
      <c r="AA126" s="70" t="s">
        <v>948</v>
      </c>
      <c r="AB126" s="406">
        <v>0</v>
      </c>
    </row>
    <row r="127" spans="1:28">
      <c r="A127" t="s">
        <v>1429</v>
      </c>
      <c r="B127" s="3" t="s">
        <v>371</v>
      </c>
      <c r="C127" s="3" t="s">
        <v>372</v>
      </c>
      <c r="D127" s="3" t="s">
        <v>13</v>
      </c>
      <c r="E127" s="3" t="s">
        <v>12</v>
      </c>
      <c r="F127" s="3">
        <v>2E-3</v>
      </c>
      <c r="G127" s="74">
        <f>F127*VLOOKUP(D127,GWPs!$B$3:$C$6,2,FALSE)</f>
        <v>5.6000000000000001E-2</v>
      </c>
      <c r="H127" s="3">
        <v>0</v>
      </c>
      <c r="I127" s="74">
        <f>H127*VLOOKUP(D127,GWPs!$B$3:$C$6,2,FALSE)</f>
        <v>0</v>
      </c>
      <c r="J127" s="3">
        <v>2E-3</v>
      </c>
      <c r="K127" s="74">
        <f>J127*VLOOKUP(D127,GWPs!$B$3:$C$6,2,FALSE)</f>
        <v>5.6000000000000001E-2</v>
      </c>
      <c r="M127" s="3">
        <v>4</v>
      </c>
      <c r="N127" s="3">
        <v>2</v>
      </c>
      <c r="O127" s="3">
        <v>1</v>
      </c>
      <c r="P127" s="3">
        <v>1</v>
      </c>
      <c r="Q127" s="3">
        <v>1</v>
      </c>
      <c r="T127" s="70" t="s">
        <v>1061</v>
      </c>
      <c r="U127" s="70">
        <v>0.26700000000000002</v>
      </c>
      <c r="X127" s="70" t="s">
        <v>1077</v>
      </c>
      <c r="Y127" s="70">
        <v>3.7999999999999999E-2</v>
      </c>
      <c r="AA127" s="70" t="s">
        <v>1077</v>
      </c>
      <c r="AB127" s="406">
        <v>0</v>
      </c>
    </row>
    <row r="128" spans="1:28">
      <c r="A128" t="s">
        <v>1429</v>
      </c>
      <c r="B128" s="3" t="s">
        <v>371</v>
      </c>
      <c r="C128" s="3" t="s">
        <v>372</v>
      </c>
      <c r="D128" s="3" t="s">
        <v>14</v>
      </c>
      <c r="E128" s="3" t="s">
        <v>12</v>
      </c>
      <c r="F128" s="3">
        <v>0</v>
      </c>
      <c r="G128" s="74">
        <f>F128*VLOOKUP(D128,GWPs!$B$3:$C$6,2,FALSE)</f>
        <v>0</v>
      </c>
      <c r="H128" s="3">
        <v>0</v>
      </c>
      <c r="I128" s="74">
        <f>H128*VLOOKUP(D128,GWPs!$B$3:$C$6,2,FALSE)</f>
        <v>0</v>
      </c>
      <c r="J128" s="3">
        <v>0</v>
      </c>
      <c r="K128" s="74">
        <f>J128*VLOOKUP(D128,GWPs!$B$3:$C$6,2,FALSE)</f>
        <v>0</v>
      </c>
      <c r="M128" s="3">
        <v>3</v>
      </c>
      <c r="N128" s="3">
        <v>2</v>
      </c>
      <c r="O128" s="3">
        <v>1</v>
      </c>
      <c r="P128" s="3">
        <v>3</v>
      </c>
      <c r="Q128" s="3">
        <v>1</v>
      </c>
      <c r="T128" s="70" t="s">
        <v>948</v>
      </c>
      <c r="U128" s="70">
        <v>0.20399999999999999</v>
      </c>
      <c r="X128" s="70" t="s">
        <v>1055</v>
      </c>
      <c r="Y128" s="70">
        <v>0.23500000000000001</v>
      </c>
      <c r="AA128" s="70" t="s">
        <v>1055</v>
      </c>
      <c r="AB128" s="406">
        <v>0</v>
      </c>
    </row>
    <row r="129" spans="1:28">
      <c r="A129" t="s">
        <v>1429</v>
      </c>
      <c r="B129" s="3" t="s">
        <v>371</v>
      </c>
      <c r="C129" s="3" t="s">
        <v>372</v>
      </c>
      <c r="D129" s="3" t="s">
        <v>15</v>
      </c>
      <c r="E129" s="3" t="s">
        <v>16</v>
      </c>
      <c r="F129" s="3">
        <v>1.2999999999999999E-2</v>
      </c>
      <c r="G129" s="74">
        <f>F129*VLOOKUP(D129,GWPs!$B$3:$C$6,2,FALSE)</f>
        <v>1.2999999999999999E-2</v>
      </c>
      <c r="H129" s="3">
        <v>0</v>
      </c>
      <c r="I129" s="74">
        <f>H129*VLOOKUP(D129,GWPs!$B$3:$C$6,2,FALSE)</f>
        <v>0</v>
      </c>
      <c r="J129" s="3">
        <v>1.2999999999999999E-2</v>
      </c>
      <c r="K129" s="74">
        <f>J129*VLOOKUP(D129,GWPs!$B$3:$C$6,2,FALSE)</f>
        <v>1.2999999999999999E-2</v>
      </c>
      <c r="M129" s="3">
        <v>4</v>
      </c>
      <c r="N129" s="3">
        <v>2</v>
      </c>
      <c r="O129" s="3">
        <v>1</v>
      </c>
      <c r="P129" s="3">
        <v>5</v>
      </c>
      <c r="Q129" s="3">
        <v>1</v>
      </c>
      <c r="T129" s="70" t="s">
        <v>1077</v>
      </c>
      <c r="U129" s="70">
        <v>3.7999999999999999E-2</v>
      </c>
      <c r="X129" s="70" t="s">
        <v>846</v>
      </c>
      <c r="Y129" s="70">
        <v>6.8000000000000005E-2</v>
      </c>
      <c r="AA129" s="70" t="s">
        <v>846</v>
      </c>
      <c r="AB129" s="406">
        <v>9.8999999999999991E-2</v>
      </c>
    </row>
    <row r="130" spans="1:28">
      <c r="A130" t="s">
        <v>1429</v>
      </c>
      <c r="B130" s="3" t="s">
        <v>373</v>
      </c>
      <c r="C130" s="3" t="s">
        <v>374</v>
      </c>
      <c r="D130" s="3" t="s">
        <v>11</v>
      </c>
      <c r="E130" s="3" t="s">
        <v>12</v>
      </c>
      <c r="F130" s="3">
        <v>0.35299999999999998</v>
      </c>
      <c r="G130" s="74">
        <f>F130*VLOOKUP(D130,GWPs!$B$3:$C$6,2,FALSE)</f>
        <v>0.35299999999999998</v>
      </c>
      <c r="H130" s="3">
        <v>0</v>
      </c>
      <c r="I130" s="74">
        <f>H130*VLOOKUP(D130,GWPs!$B$3:$C$6,2,FALSE)</f>
        <v>0</v>
      </c>
      <c r="J130" s="3">
        <v>0.35299999999999998</v>
      </c>
      <c r="K130" s="74">
        <f>J130*VLOOKUP(D130,GWPs!$B$3:$C$6,2,FALSE)</f>
        <v>0.35299999999999998</v>
      </c>
      <c r="M130" s="3">
        <v>3</v>
      </c>
      <c r="N130" s="3">
        <v>2</v>
      </c>
      <c r="O130" s="3">
        <v>1</v>
      </c>
      <c r="P130" s="3">
        <v>4</v>
      </c>
      <c r="Q130" s="3">
        <v>1</v>
      </c>
      <c r="T130" s="70" t="s">
        <v>1055</v>
      </c>
      <c r="U130" s="70">
        <v>0.23500000000000001</v>
      </c>
      <c r="X130" s="70" t="s">
        <v>877</v>
      </c>
      <c r="Y130" s="70">
        <v>0.30100000000000005</v>
      </c>
      <c r="AA130" s="70" t="s">
        <v>877</v>
      </c>
      <c r="AB130" s="406">
        <v>0</v>
      </c>
    </row>
    <row r="131" spans="1:28">
      <c r="A131" t="s">
        <v>1429</v>
      </c>
      <c r="B131" s="3" t="s">
        <v>373</v>
      </c>
      <c r="C131" s="3" t="s">
        <v>374</v>
      </c>
      <c r="D131" s="3" t="s">
        <v>13</v>
      </c>
      <c r="E131" s="3" t="s">
        <v>12</v>
      </c>
      <c r="F131" s="3">
        <v>2E-3</v>
      </c>
      <c r="G131" s="74">
        <f>F131*VLOOKUP(D131,GWPs!$B$3:$C$6,2,FALSE)</f>
        <v>5.6000000000000001E-2</v>
      </c>
      <c r="H131" s="3">
        <v>0</v>
      </c>
      <c r="I131" s="74">
        <f>H131*VLOOKUP(D131,GWPs!$B$3:$C$6,2,FALSE)</f>
        <v>0</v>
      </c>
      <c r="J131" s="3">
        <v>2E-3</v>
      </c>
      <c r="K131" s="74">
        <f>J131*VLOOKUP(D131,GWPs!$B$3:$C$6,2,FALSE)</f>
        <v>5.6000000000000001E-2</v>
      </c>
      <c r="M131" s="3">
        <v>4</v>
      </c>
      <c r="N131" s="3">
        <v>2</v>
      </c>
      <c r="O131" s="3">
        <v>1</v>
      </c>
      <c r="P131" s="3">
        <v>1</v>
      </c>
      <c r="Q131" s="3">
        <v>1</v>
      </c>
      <c r="T131" s="70" t="s">
        <v>846</v>
      </c>
      <c r="U131" s="70">
        <v>0.16700000000000001</v>
      </c>
      <c r="X131" s="70" t="s">
        <v>484</v>
      </c>
      <c r="Y131" s="70">
        <v>0.79100000000000004</v>
      </c>
      <c r="AA131" s="70" t="s">
        <v>484</v>
      </c>
      <c r="AB131" s="406">
        <v>4.9000000000000002E-2</v>
      </c>
    </row>
    <row r="132" spans="1:28">
      <c r="A132" t="s">
        <v>1429</v>
      </c>
      <c r="B132" s="3" t="s">
        <v>373</v>
      </c>
      <c r="C132" s="3" t="s">
        <v>374</v>
      </c>
      <c r="D132" s="3" t="s">
        <v>14</v>
      </c>
      <c r="E132" s="3" t="s">
        <v>12</v>
      </c>
      <c r="F132" s="3">
        <v>0</v>
      </c>
      <c r="G132" s="74">
        <f>F132*VLOOKUP(D132,GWPs!$B$3:$C$6,2,FALSE)</f>
        <v>0</v>
      </c>
      <c r="H132" s="3">
        <v>0</v>
      </c>
      <c r="I132" s="74">
        <f>H132*VLOOKUP(D132,GWPs!$B$3:$C$6,2,FALSE)</f>
        <v>0</v>
      </c>
      <c r="J132" s="3">
        <v>0</v>
      </c>
      <c r="K132" s="74">
        <f>J132*VLOOKUP(D132,GWPs!$B$3:$C$6,2,FALSE)</f>
        <v>0</v>
      </c>
      <c r="M132" s="3">
        <v>3</v>
      </c>
      <c r="N132" s="3">
        <v>2</v>
      </c>
      <c r="O132" s="3">
        <v>1</v>
      </c>
      <c r="P132" s="3">
        <v>2</v>
      </c>
      <c r="Q132" s="3">
        <v>1</v>
      </c>
      <c r="T132" s="70" t="s">
        <v>877</v>
      </c>
      <c r="U132" s="70">
        <v>0.30100000000000005</v>
      </c>
      <c r="X132" s="70" t="s">
        <v>20</v>
      </c>
      <c r="Y132" s="70">
        <v>0.20799999999999999</v>
      </c>
      <c r="AA132" s="70" t="s">
        <v>20</v>
      </c>
      <c r="AB132" s="406">
        <v>0</v>
      </c>
    </row>
    <row r="133" spans="1:28">
      <c r="A133" t="s">
        <v>1429</v>
      </c>
      <c r="B133" s="3" t="s">
        <v>373</v>
      </c>
      <c r="C133" s="3" t="s">
        <v>374</v>
      </c>
      <c r="D133" s="3" t="s">
        <v>15</v>
      </c>
      <c r="E133" s="3" t="s">
        <v>16</v>
      </c>
      <c r="F133" s="3">
        <v>1.9E-2</v>
      </c>
      <c r="G133" s="74">
        <f>F133*VLOOKUP(D133,GWPs!$B$3:$C$6,2,FALSE)</f>
        <v>1.9E-2</v>
      </c>
      <c r="H133" s="3">
        <v>0</v>
      </c>
      <c r="I133" s="74">
        <f>H133*VLOOKUP(D133,GWPs!$B$3:$C$6,2,FALSE)</f>
        <v>0</v>
      </c>
      <c r="J133" s="3">
        <v>1.9E-2</v>
      </c>
      <c r="K133" s="74">
        <f>J133*VLOOKUP(D133,GWPs!$B$3:$C$6,2,FALSE)</f>
        <v>1.9E-2</v>
      </c>
      <c r="M133" s="3">
        <v>4</v>
      </c>
      <c r="N133" s="3">
        <v>2</v>
      </c>
      <c r="O133" s="3">
        <v>1</v>
      </c>
      <c r="P133" s="3">
        <v>5</v>
      </c>
      <c r="Q133" s="3">
        <v>1</v>
      </c>
      <c r="T133" s="70" t="s">
        <v>484</v>
      </c>
      <c r="U133" s="70">
        <v>0.86799999999999999</v>
      </c>
      <c r="X133" s="70" t="s">
        <v>552</v>
      </c>
      <c r="Y133" s="70">
        <v>0.65200000000000002</v>
      </c>
      <c r="AA133" s="70" t="s">
        <v>552</v>
      </c>
      <c r="AB133" s="406">
        <v>0.14400000000000002</v>
      </c>
    </row>
    <row r="134" spans="1:28">
      <c r="A134" t="s">
        <v>1429</v>
      </c>
      <c r="B134" s="3" t="s">
        <v>375</v>
      </c>
      <c r="C134" s="3" t="s">
        <v>376</v>
      </c>
      <c r="D134" s="3" t="s">
        <v>11</v>
      </c>
      <c r="E134" s="3" t="s">
        <v>12</v>
      </c>
      <c r="F134" s="3">
        <v>0.19</v>
      </c>
      <c r="G134" s="74">
        <f>F134*VLOOKUP(D134,GWPs!$B$3:$C$6,2,FALSE)</f>
        <v>0.19</v>
      </c>
      <c r="H134" s="3">
        <v>0</v>
      </c>
      <c r="I134" s="74">
        <f>H134*VLOOKUP(D134,GWPs!$B$3:$C$6,2,FALSE)</f>
        <v>0</v>
      </c>
      <c r="J134" s="3">
        <v>0.19</v>
      </c>
      <c r="K134" s="74">
        <f>J134*VLOOKUP(D134,GWPs!$B$3:$C$6,2,FALSE)</f>
        <v>0.19</v>
      </c>
      <c r="M134" s="3">
        <v>3</v>
      </c>
      <c r="N134" s="3">
        <v>2</v>
      </c>
      <c r="O134" s="3">
        <v>1</v>
      </c>
      <c r="P134" s="3">
        <v>3</v>
      </c>
      <c r="Q134" s="3">
        <v>1</v>
      </c>
      <c r="T134" s="70" t="s">
        <v>20</v>
      </c>
      <c r="U134" s="70">
        <v>0.20799999999999999</v>
      </c>
      <c r="X134" s="70" t="s">
        <v>1057</v>
      </c>
      <c r="Y134" s="70">
        <v>0.31</v>
      </c>
      <c r="AA134" s="70" t="s">
        <v>1057</v>
      </c>
      <c r="AB134" s="406">
        <v>0</v>
      </c>
    </row>
    <row r="135" spans="1:28">
      <c r="A135" t="s">
        <v>1429</v>
      </c>
      <c r="B135" s="3" t="s">
        <v>375</v>
      </c>
      <c r="C135" s="3" t="s">
        <v>376</v>
      </c>
      <c r="D135" s="3" t="s">
        <v>13</v>
      </c>
      <c r="E135" s="3" t="s">
        <v>12</v>
      </c>
      <c r="F135" s="3">
        <v>1E-3</v>
      </c>
      <c r="G135" s="74">
        <f>F135*VLOOKUP(D135,GWPs!$B$3:$C$6,2,FALSE)</f>
        <v>2.8000000000000001E-2</v>
      </c>
      <c r="H135" s="3">
        <v>0</v>
      </c>
      <c r="I135" s="74">
        <f>H135*VLOOKUP(D135,GWPs!$B$3:$C$6,2,FALSE)</f>
        <v>0</v>
      </c>
      <c r="J135" s="3">
        <v>1E-3</v>
      </c>
      <c r="K135" s="74">
        <f>J135*VLOOKUP(D135,GWPs!$B$3:$C$6,2,FALSE)</f>
        <v>2.8000000000000001E-2</v>
      </c>
      <c r="M135" s="3">
        <v>3</v>
      </c>
      <c r="N135" s="3">
        <v>2</v>
      </c>
      <c r="O135" s="3">
        <v>1</v>
      </c>
      <c r="P135" s="3">
        <v>1</v>
      </c>
      <c r="Q135" s="3">
        <v>1</v>
      </c>
      <c r="T135" s="70" t="s">
        <v>552</v>
      </c>
      <c r="U135" s="70">
        <v>0.79499999999999993</v>
      </c>
      <c r="X135" s="70" t="s">
        <v>1085</v>
      </c>
      <c r="Y135" s="70">
        <v>7.3999999999999996E-2</v>
      </c>
      <c r="AA135" s="70" t="s">
        <v>1085</v>
      </c>
      <c r="AB135" s="406">
        <v>0</v>
      </c>
    </row>
    <row r="136" spans="1:28">
      <c r="A136" t="s">
        <v>1429</v>
      </c>
      <c r="B136" s="3" t="s">
        <v>375</v>
      </c>
      <c r="C136" s="3" t="s">
        <v>376</v>
      </c>
      <c r="D136" s="3" t="s">
        <v>14</v>
      </c>
      <c r="E136" s="3" t="s">
        <v>12</v>
      </c>
      <c r="F136" s="3">
        <v>0</v>
      </c>
      <c r="G136" s="74">
        <f>F136*VLOOKUP(D136,GWPs!$B$3:$C$6,2,FALSE)</f>
        <v>0</v>
      </c>
      <c r="H136" s="3">
        <v>0</v>
      </c>
      <c r="I136" s="74">
        <f>H136*VLOOKUP(D136,GWPs!$B$3:$C$6,2,FALSE)</f>
        <v>0</v>
      </c>
      <c r="J136" s="3">
        <v>0</v>
      </c>
      <c r="K136" s="74">
        <f>J136*VLOOKUP(D136,GWPs!$B$3:$C$6,2,FALSE)</f>
        <v>0</v>
      </c>
      <c r="M136" s="3">
        <v>3</v>
      </c>
      <c r="N136" s="3">
        <v>2</v>
      </c>
      <c r="O136" s="3">
        <v>1</v>
      </c>
      <c r="P136" s="3">
        <v>2</v>
      </c>
      <c r="Q136" s="3">
        <v>1</v>
      </c>
      <c r="T136" s="70" t="s">
        <v>1057</v>
      </c>
      <c r="U136" s="70">
        <v>0.31</v>
      </c>
      <c r="X136" s="70" t="s">
        <v>319</v>
      </c>
      <c r="Y136" s="70">
        <v>0.29600000000000004</v>
      </c>
      <c r="AA136" s="70" t="s">
        <v>319</v>
      </c>
      <c r="AB136" s="406">
        <v>0.111</v>
      </c>
    </row>
    <row r="137" spans="1:28">
      <c r="A137" t="s">
        <v>1429</v>
      </c>
      <c r="B137" s="3" t="s">
        <v>375</v>
      </c>
      <c r="C137" s="3" t="s">
        <v>376</v>
      </c>
      <c r="D137" s="3" t="s">
        <v>15</v>
      </c>
      <c r="E137" s="3" t="s">
        <v>16</v>
      </c>
      <c r="F137" s="3">
        <v>1.0999999999999999E-2</v>
      </c>
      <c r="G137" s="74">
        <f>F137*VLOOKUP(D137,GWPs!$B$3:$C$6,2,FALSE)</f>
        <v>1.0999999999999999E-2</v>
      </c>
      <c r="H137" s="3">
        <v>0</v>
      </c>
      <c r="I137" s="74">
        <f>H137*VLOOKUP(D137,GWPs!$B$3:$C$6,2,FALSE)</f>
        <v>0</v>
      </c>
      <c r="J137" s="3">
        <v>1.0999999999999999E-2</v>
      </c>
      <c r="K137" s="74">
        <f>J137*VLOOKUP(D137,GWPs!$B$3:$C$6,2,FALSE)</f>
        <v>1.0999999999999999E-2</v>
      </c>
      <c r="M137" s="3">
        <v>4</v>
      </c>
      <c r="N137" s="3">
        <v>2</v>
      </c>
      <c r="O137" s="3">
        <v>1</v>
      </c>
      <c r="P137" s="3">
        <v>5</v>
      </c>
      <c r="Q137" s="3">
        <v>1</v>
      </c>
      <c r="T137" s="70" t="s">
        <v>1085</v>
      </c>
      <c r="U137" s="70">
        <v>7.3999999999999996E-2</v>
      </c>
      <c r="X137" s="70" t="s">
        <v>862</v>
      </c>
      <c r="Y137" s="70">
        <v>0.247</v>
      </c>
      <c r="AA137" s="70" t="s">
        <v>862</v>
      </c>
      <c r="AB137" s="406">
        <v>0</v>
      </c>
    </row>
    <row r="138" spans="1:28">
      <c r="A138" t="s">
        <v>1429</v>
      </c>
      <c r="B138" s="3" t="s">
        <v>377</v>
      </c>
      <c r="C138" s="3" t="s">
        <v>378</v>
      </c>
      <c r="D138" s="3" t="s">
        <v>11</v>
      </c>
      <c r="E138" s="3" t="s">
        <v>12</v>
      </c>
      <c r="F138" s="3">
        <v>0.107</v>
      </c>
      <c r="G138" s="74">
        <f>F138*VLOOKUP(D138,GWPs!$B$3:$C$6,2,FALSE)</f>
        <v>0.107</v>
      </c>
      <c r="H138" s="3">
        <v>0</v>
      </c>
      <c r="I138" s="74">
        <f>H138*VLOOKUP(D138,GWPs!$B$3:$C$6,2,FALSE)</f>
        <v>0</v>
      </c>
      <c r="J138" s="3">
        <v>0.107</v>
      </c>
      <c r="K138" s="74">
        <f>J138*VLOOKUP(D138,GWPs!$B$3:$C$6,2,FALSE)</f>
        <v>0.107</v>
      </c>
      <c r="M138" s="3">
        <v>3</v>
      </c>
      <c r="N138" s="3">
        <v>2</v>
      </c>
      <c r="O138" s="3">
        <v>1</v>
      </c>
      <c r="P138" s="3">
        <v>3</v>
      </c>
      <c r="Q138" s="3">
        <v>1</v>
      </c>
      <c r="T138" s="70" t="s">
        <v>319</v>
      </c>
      <c r="U138" s="70">
        <v>0.379</v>
      </c>
      <c r="X138" s="70" t="s">
        <v>568</v>
      </c>
      <c r="Y138" s="70">
        <v>0.6150000000000001</v>
      </c>
      <c r="AA138" s="70" t="s">
        <v>568</v>
      </c>
      <c r="AB138" s="406">
        <v>0.315</v>
      </c>
    </row>
    <row r="139" spans="1:28">
      <c r="A139" t="s">
        <v>1429</v>
      </c>
      <c r="B139" s="3" t="s">
        <v>377</v>
      </c>
      <c r="C139" s="3" t="s">
        <v>378</v>
      </c>
      <c r="D139" s="3" t="s">
        <v>13</v>
      </c>
      <c r="E139" s="3" t="s">
        <v>12</v>
      </c>
      <c r="F139" s="3">
        <v>0</v>
      </c>
      <c r="G139" s="74">
        <f>F139*VLOOKUP(D139,GWPs!$B$3:$C$6,2,FALSE)</f>
        <v>0</v>
      </c>
      <c r="H139" s="3">
        <v>0</v>
      </c>
      <c r="I139" s="74">
        <f>H139*VLOOKUP(D139,GWPs!$B$3:$C$6,2,FALSE)</f>
        <v>0</v>
      </c>
      <c r="J139" s="3">
        <v>0</v>
      </c>
      <c r="K139" s="74">
        <f>J139*VLOOKUP(D139,GWPs!$B$3:$C$6,2,FALSE)</f>
        <v>0</v>
      </c>
      <c r="M139" s="3">
        <v>4</v>
      </c>
      <c r="N139" s="3">
        <v>2</v>
      </c>
      <c r="O139" s="3">
        <v>1</v>
      </c>
      <c r="P139" s="3">
        <v>1</v>
      </c>
      <c r="Q139" s="3">
        <v>1</v>
      </c>
      <c r="T139" s="70" t="s">
        <v>862</v>
      </c>
      <c r="U139" s="70">
        <v>0.247</v>
      </c>
      <c r="X139" s="70" t="s">
        <v>795</v>
      </c>
      <c r="Y139" s="70">
        <v>9.5000000000000001E-2</v>
      </c>
      <c r="AA139" s="70" t="s">
        <v>795</v>
      </c>
      <c r="AB139" s="406">
        <v>7.0000000000000001E-3</v>
      </c>
    </row>
    <row r="140" spans="1:28">
      <c r="A140" t="s">
        <v>1429</v>
      </c>
      <c r="B140" s="3" t="s">
        <v>377</v>
      </c>
      <c r="C140" s="3" t="s">
        <v>378</v>
      </c>
      <c r="D140" s="3" t="s">
        <v>14</v>
      </c>
      <c r="E140" s="3" t="s">
        <v>12</v>
      </c>
      <c r="F140" s="3">
        <v>0</v>
      </c>
      <c r="G140" s="74">
        <f>F140*VLOOKUP(D140,GWPs!$B$3:$C$6,2,FALSE)</f>
        <v>0</v>
      </c>
      <c r="H140" s="3">
        <v>0</v>
      </c>
      <c r="I140" s="74">
        <f>H140*VLOOKUP(D140,GWPs!$B$3:$C$6,2,FALSE)</f>
        <v>0</v>
      </c>
      <c r="J140" s="3">
        <v>0</v>
      </c>
      <c r="K140" s="74">
        <f>J140*VLOOKUP(D140,GWPs!$B$3:$C$6,2,FALSE)</f>
        <v>0</v>
      </c>
      <c r="M140" s="3">
        <v>3</v>
      </c>
      <c r="N140" s="3">
        <v>2</v>
      </c>
      <c r="O140" s="3">
        <v>1</v>
      </c>
      <c r="P140" s="3">
        <v>2</v>
      </c>
      <c r="Q140" s="3">
        <v>1</v>
      </c>
      <c r="T140" s="70" t="s">
        <v>568</v>
      </c>
      <c r="U140" s="70">
        <v>0.93100000000000005</v>
      </c>
      <c r="X140" s="70" t="s">
        <v>875</v>
      </c>
      <c r="Y140" s="70">
        <v>0.16800000000000001</v>
      </c>
      <c r="AA140" s="70" t="s">
        <v>875</v>
      </c>
      <c r="AB140" s="406">
        <v>0</v>
      </c>
    </row>
    <row r="141" spans="1:28">
      <c r="A141" t="s">
        <v>1429</v>
      </c>
      <c r="B141" s="3" t="s">
        <v>377</v>
      </c>
      <c r="C141" s="3" t="s">
        <v>378</v>
      </c>
      <c r="D141" s="3" t="s">
        <v>15</v>
      </c>
      <c r="E141" s="3" t="s">
        <v>16</v>
      </c>
      <c r="F141" s="3">
        <v>6.0000000000000001E-3</v>
      </c>
      <c r="G141" s="74">
        <f>F141*VLOOKUP(D141,GWPs!$B$3:$C$6,2,FALSE)</f>
        <v>6.0000000000000001E-3</v>
      </c>
      <c r="H141" s="3">
        <v>0</v>
      </c>
      <c r="I141" s="74">
        <f>H141*VLOOKUP(D141,GWPs!$B$3:$C$6,2,FALSE)</f>
        <v>0</v>
      </c>
      <c r="J141" s="3">
        <v>6.0000000000000001E-3</v>
      </c>
      <c r="K141" s="74">
        <f>J141*VLOOKUP(D141,GWPs!$B$3:$C$6,2,FALSE)</f>
        <v>6.0000000000000001E-3</v>
      </c>
      <c r="M141" s="3">
        <v>4</v>
      </c>
      <c r="N141" s="3">
        <v>2</v>
      </c>
      <c r="O141" s="3">
        <v>1</v>
      </c>
      <c r="P141" s="3">
        <v>5</v>
      </c>
      <c r="Q141" s="3">
        <v>1</v>
      </c>
      <c r="T141" s="70" t="s">
        <v>795</v>
      </c>
      <c r="U141" s="70">
        <v>0.10200000000000001</v>
      </c>
      <c r="X141" s="70" t="s">
        <v>362</v>
      </c>
      <c r="Y141" s="70">
        <v>0.30399999999999999</v>
      </c>
      <c r="AA141" s="70" t="s">
        <v>362</v>
      </c>
      <c r="AB141" s="406">
        <v>0</v>
      </c>
    </row>
    <row r="142" spans="1:28">
      <c r="A142" t="s">
        <v>1429</v>
      </c>
      <c r="B142" s="3" t="s">
        <v>379</v>
      </c>
      <c r="C142" s="3" t="s">
        <v>380</v>
      </c>
      <c r="D142" s="3" t="s">
        <v>11</v>
      </c>
      <c r="E142" s="3" t="s">
        <v>12</v>
      </c>
      <c r="F142" s="3">
        <v>0.30399999999999999</v>
      </c>
      <c r="G142" s="74">
        <f>F142*VLOOKUP(D142,GWPs!$B$3:$C$6,2,FALSE)</f>
        <v>0.30399999999999999</v>
      </c>
      <c r="H142" s="3">
        <v>0</v>
      </c>
      <c r="I142" s="74">
        <f>H142*VLOOKUP(D142,GWPs!$B$3:$C$6,2,FALSE)</f>
        <v>0</v>
      </c>
      <c r="J142" s="3">
        <v>0.30399999999999999</v>
      </c>
      <c r="K142" s="74">
        <f>J142*VLOOKUP(D142,GWPs!$B$3:$C$6,2,FALSE)</f>
        <v>0.30399999999999999</v>
      </c>
      <c r="M142" s="3">
        <v>3</v>
      </c>
      <c r="N142" s="3">
        <v>2</v>
      </c>
      <c r="O142" s="3">
        <v>1</v>
      </c>
      <c r="P142" s="3">
        <v>4</v>
      </c>
      <c r="Q142" s="3">
        <v>1</v>
      </c>
      <c r="T142" s="70" t="s">
        <v>875</v>
      </c>
      <c r="U142" s="70">
        <v>0.16800000000000001</v>
      </c>
      <c r="X142" s="70" t="s">
        <v>1022</v>
      </c>
      <c r="Y142" s="70">
        <v>0.10200000000000001</v>
      </c>
      <c r="AA142" s="70" t="s">
        <v>1022</v>
      </c>
      <c r="AB142" s="406">
        <v>0</v>
      </c>
    </row>
    <row r="143" spans="1:28">
      <c r="A143" t="s">
        <v>1429</v>
      </c>
      <c r="B143" s="3" t="s">
        <v>379</v>
      </c>
      <c r="C143" s="3" t="s">
        <v>380</v>
      </c>
      <c r="D143" s="3" t="s">
        <v>13</v>
      </c>
      <c r="E143" s="3" t="s">
        <v>12</v>
      </c>
      <c r="F143" s="3">
        <v>1E-3</v>
      </c>
      <c r="G143" s="74">
        <f>F143*VLOOKUP(D143,GWPs!$B$3:$C$6,2,FALSE)</f>
        <v>2.8000000000000001E-2</v>
      </c>
      <c r="H143" s="3">
        <v>0</v>
      </c>
      <c r="I143" s="74">
        <f>H143*VLOOKUP(D143,GWPs!$B$3:$C$6,2,FALSE)</f>
        <v>0</v>
      </c>
      <c r="J143" s="3">
        <v>1E-3</v>
      </c>
      <c r="K143" s="74">
        <f>J143*VLOOKUP(D143,GWPs!$B$3:$C$6,2,FALSE)</f>
        <v>2.8000000000000001E-2</v>
      </c>
      <c r="M143" s="3">
        <v>4</v>
      </c>
      <c r="N143" s="3">
        <v>2</v>
      </c>
      <c r="O143" s="3">
        <v>1</v>
      </c>
      <c r="P143" s="3">
        <v>1</v>
      </c>
      <c r="Q143" s="3">
        <v>1</v>
      </c>
      <c r="T143" s="70" t="s">
        <v>362</v>
      </c>
      <c r="U143" s="70">
        <v>0.30399999999999999</v>
      </c>
      <c r="X143" s="70" t="s">
        <v>652</v>
      </c>
      <c r="Y143" s="70">
        <v>0.28400000000000003</v>
      </c>
      <c r="AA143" s="70" t="s">
        <v>652</v>
      </c>
      <c r="AB143" s="406">
        <v>0.124</v>
      </c>
    </row>
    <row r="144" spans="1:28">
      <c r="A144" t="s">
        <v>1429</v>
      </c>
      <c r="B144" s="3" t="s">
        <v>379</v>
      </c>
      <c r="C144" s="3" t="s">
        <v>380</v>
      </c>
      <c r="D144" s="3" t="s">
        <v>14</v>
      </c>
      <c r="E144" s="3" t="s">
        <v>12</v>
      </c>
      <c r="F144" s="3">
        <v>0</v>
      </c>
      <c r="G144" s="74">
        <f>F144*VLOOKUP(D144,GWPs!$B$3:$C$6,2,FALSE)</f>
        <v>0</v>
      </c>
      <c r="H144" s="3">
        <v>0</v>
      </c>
      <c r="I144" s="74">
        <f>H144*VLOOKUP(D144,GWPs!$B$3:$C$6,2,FALSE)</f>
        <v>0</v>
      </c>
      <c r="J144" s="3">
        <v>0</v>
      </c>
      <c r="K144" s="74">
        <f>J144*VLOOKUP(D144,GWPs!$B$3:$C$6,2,FALSE)</f>
        <v>0</v>
      </c>
      <c r="M144" s="3">
        <v>3</v>
      </c>
      <c r="N144" s="3">
        <v>2</v>
      </c>
      <c r="O144" s="3">
        <v>1</v>
      </c>
      <c r="P144" s="3">
        <v>2</v>
      </c>
      <c r="Q144" s="3">
        <v>1</v>
      </c>
      <c r="T144" s="70" t="s">
        <v>1022</v>
      </c>
      <c r="U144" s="70">
        <v>0.10200000000000001</v>
      </c>
      <c r="X144" s="70" t="s">
        <v>766</v>
      </c>
      <c r="Y144" s="70">
        <v>0.33300000000000002</v>
      </c>
      <c r="AA144" s="70" t="s">
        <v>766</v>
      </c>
      <c r="AB144" s="406">
        <v>1.6E-2</v>
      </c>
    </row>
    <row r="145" spans="1:28">
      <c r="A145" t="s">
        <v>1429</v>
      </c>
      <c r="B145" s="3" t="s">
        <v>379</v>
      </c>
      <c r="C145" s="3" t="s">
        <v>380</v>
      </c>
      <c r="D145" s="3" t="s">
        <v>15</v>
      </c>
      <c r="E145" s="3" t="s">
        <v>16</v>
      </c>
      <c r="F145" s="3">
        <v>2.3E-2</v>
      </c>
      <c r="G145" s="74">
        <f>F145*VLOOKUP(D145,GWPs!$B$3:$C$6,2,FALSE)</f>
        <v>2.3E-2</v>
      </c>
      <c r="H145" s="3">
        <v>0</v>
      </c>
      <c r="I145" s="74">
        <f>H145*VLOOKUP(D145,GWPs!$B$3:$C$6,2,FALSE)</f>
        <v>0</v>
      </c>
      <c r="J145" s="3">
        <v>2.3E-2</v>
      </c>
      <c r="K145" s="74">
        <f>J145*VLOOKUP(D145,GWPs!$B$3:$C$6,2,FALSE)</f>
        <v>2.3E-2</v>
      </c>
      <c r="M145" s="3">
        <v>4</v>
      </c>
      <c r="N145" s="3">
        <v>2</v>
      </c>
      <c r="O145" s="3">
        <v>1</v>
      </c>
      <c r="P145" s="3">
        <v>5</v>
      </c>
      <c r="Q145" s="3">
        <v>1</v>
      </c>
      <c r="T145" s="70" t="s">
        <v>652</v>
      </c>
      <c r="U145" s="70">
        <v>0.40799999999999997</v>
      </c>
      <c r="X145" s="70" t="s">
        <v>606</v>
      </c>
      <c r="Y145" s="70">
        <v>0.18099999999999999</v>
      </c>
      <c r="AA145" s="70" t="s">
        <v>606</v>
      </c>
      <c r="AB145" s="406">
        <v>8.9999999999999993E-3</v>
      </c>
    </row>
    <row r="146" spans="1:28">
      <c r="A146" t="s">
        <v>1429</v>
      </c>
      <c r="B146" s="3" t="s">
        <v>381</v>
      </c>
      <c r="C146" s="3" t="s">
        <v>382</v>
      </c>
      <c r="D146" s="3" t="s">
        <v>11</v>
      </c>
      <c r="E146" s="3" t="s">
        <v>12</v>
      </c>
      <c r="F146" s="3">
        <v>0.25800000000000001</v>
      </c>
      <c r="G146" s="74">
        <f>F146*VLOOKUP(D146,GWPs!$B$3:$C$6,2,FALSE)</f>
        <v>0.25800000000000001</v>
      </c>
      <c r="H146" s="3">
        <v>6.7000000000000004E-2</v>
      </c>
      <c r="I146" s="74">
        <f>H146*VLOOKUP(D146,GWPs!$B$3:$C$6,2,FALSE)</f>
        <v>6.7000000000000004E-2</v>
      </c>
      <c r="J146" s="3">
        <v>0.32600000000000001</v>
      </c>
      <c r="K146" s="74">
        <f>J146*VLOOKUP(D146,GWPs!$B$3:$C$6,2,FALSE)</f>
        <v>0.32600000000000001</v>
      </c>
      <c r="M146" s="3">
        <v>3</v>
      </c>
      <c r="N146" s="3">
        <v>2</v>
      </c>
      <c r="O146" s="3">
        <v>1</v>
      </c>
      <c r="P146" s="3">
        <v>4</v>
      </c>
      <c r="Q146" s="3">
        <v>1</v>
      </c>
      <c r="T146" s="70" t="s">
        <v>766</v>
      </c>
      <c r="U146" s="70">
        <v>0.34900000000000003</v>
      </c>
      <c r="X146" s="70" t="s">
        <v>734</v>
      </c>
      <c r="Y146" s="70">
        <v>0.29100000000000004</v>
      </c>
      <c r="AA146" s="70" t="s">
        <v>734</v>
      </c>
      <c r="AB146" s="406">
        <v>0.24</v>
      </c>
    </row>
    <row r="147" spans="1:28">
      <c r="A147" t="s">
        <v>1429</v>
      </c>
      <c r="B147" s="3" t="s">
        <v>381</v>
      </c>
      <c r="C147" s="3" t="s">
        <v>382</v>
      </c>
      <c r="D147" s="3" t="s">
        <v>13</v>
      </c>
      <c r="E147" s="3" t="s">
        <v>12</v>
      </c>
      <c r="F147" s="3">
        <v>5.0000000000000001E-3</v>
      </c>
      <c r="G147" s="74">
        <f>F147*VLOOKUP(D147,GWPs!$B$3:$C$6,2,FALSE)</f>
        <v>0.14000000000000001</v>
      </c>
      <c r="H147" s="3">
        <v>0</v>
      </c>
      <c r="I147" s="74">
        <f>H147*VLOOKUP(D147,GWPs!$B$3:$C$6,2,FALSE)</f>
        <v>0</v>
      </c>
      <c r="J147" s="3">
        <v>5.0000000000000001E-3</v>
      </c>
      <c r="K147" s="74">
        <f>J147*VLOOKUP(D147,GWPs!$B$3:$C$6,2,FALSE)</f>
        <v>0.14000000000000001</v>
      </c>
      <c r="M147" s="3">
        <v>3</v>
      </c>
      <c r="N147" s="3">
        <v>2</v>
      </c>
      <c r="O147" s="3">
        <v>1</v>
      </c>
      <c r="P147" s="3">
        <v>1</v>
      </c>
      <c r="Q147" s="3">
        <v>1</v>
      </c>
      <c r="T147" s="70" t="s">
        <v>606</v>
      </c>
      <c r="U147" s="70">
        <v>0.19</v>
      </c>
      <c r="X147" s="70" t="s">
        <v>812</v>
      </c>
      <c r="Y147" s="70">
        <v>0.307</v>
      </c>
      <c r="AA147" s="70" t="s">
        <v>812</v>
      </c>
      <c r="AB147" s="406">
        <v>0.28500000000000003</v>
      </c>
    </row>
    <row r="148" spans="1:28">
      <c r="A148" t="s">
        <v>1429</v>
      </c>
      <c r="B148" s="3" t="s">
        <v>381</v>
      </c>
      <c r="C148" s="3" t="s">
        <v>382</v>
      </c>
      <c r="D148" s="3" t="s">
        <v>14</v>
      </c>
      <c r="E148" s="3" t="s">
        <v>12</v>
      </c>
      <c r="F148" s="3">
        <v>1E-3</v>
      </c>
      <c r="G148" s="74">
        <f>F148*VLOOKUP(D148,GWPs!$B$3:$C$6,2,FALSE)</f>
        <v>0.26500000000000001</v>
      </c>
      <c r="H148" s="3">
        <v>0</v>
      </c>
      <c r="I148" s="74">
        <f>H148*VLOOKUP(D148,GWPs!$B$3:$C$6,2,FALSE)</f>
        <v>0</v>
      </c>
      <c r="J148" s="3">
        <v>1E-3</v>
      </c>
      <c r="K148" s="74">
        <f>J148*VLOOKUP(D148,GWPs!$B$3:$C$6,2,FALSE)</f>
        <v>0.26500000000000001</v>
      </c>
      <c r="M148" s="3">
        <v>4</v>
      </c>
      <c r="N148" s="3">
        <v>2</v>
      </c>
      <c r="O148" s="3">
        <v>1</v>
      </c>
      <c r="P148" s="3">
        <v>4</v>
      </c>
      <c r="Q148" s="3">
        <v>1</v>
      </c>
      <c r="T148" s="70" t="s">
        <v>734</v>
      </c>
      <c r="U148" s="70">
        <v>0.53</v>
      </c>
      <c r="X148" s="70" t="s">
        <v>814</v>
      </c>
      <c r="Y148" s="70">
        <v>0.31100000000000005</v>
      </c>
      <c r="AA148" s="70" t="s">
        <v>814</v>
      </c>
      <c r="AB148" s="406">
        <v>0.88800000000000001</v>
      </c>
    </row>
    <row r="149" spans="1:28">
      <c r="A149" t="s">
        <v>1429</v>
      </c>
      <c r="B149" s="3" t="s">
        <v>381</v>
      </c>
      <c r="C149" s="3" t="s">
        <v>382</v>
      </c>
      <c r="D149" s="3" t="s">
        <v>15</v>
      </c>
      <c r="E149" s="3" t="s">
        <v>16</v>
      </c>
      <c r="F149" s="3">
        <v>8.0000000000000002E-3</v>
      </c>
      <c r="G149" s="74">
        <f>F149*VLOOKUP(D149,GWPs!$B$3:$C$6,2,FALSE)</f>
        <v>8.0000000000000002E-3</v>
      </c>
      <c r="H149" s="3">
        <v>0</v>
      </c>
      <c r="I149" s="74">
        <f>H149*VLOOKUP(D149,GWPs!$B$3:$C$6,2,FALSE)</f>
        <v>0</v>
      </c>
      <c r="J149" s="3">
        <v>8.0000000000000002E-3</v>
      </c>
      <c r="K149" s="74">
        <f>J149*VLOOKUP(D149,GWPs!$B$3:$C$6,2,FALSE)</f>
        <v>8.0000000000000002E-3</v>
      </c>
      <c r="M149" s="3">
        <v>3</v>
      </c>
      <c r="N149" s="3">
        <v>2</v>
      </c>
      <c r="O149" s="3">
        <v>1</v>
      </c>
      <c r="P149" s="3">
        <v>3</v>
      </c>
      <c r="Q149" s="3">
        <v>1</v>
      </c>
      <c r="T149" s="70" t="s">
        <v>812</v>
      </c>
      <c r="U149" s="70">
        <v>0.59200000000000008</v>
      </c>
      <c r="X149" s="70" t="s">
        <v>1028</v>
      </c>
      <c r="Y149" s="70">
        <v>0.13300000000000001</v>
      </c>
      <c r="AA149" s="70" t="s">
        <v>1028</v>
      </c>
      <c r="AB149" s="406">
        <v>0</v>
      </c>
    </row>
    <row r="150" spans="1:28">
      <c r="A150" t="s">
        <v>1429</v>
      </c>
      <c r="B150" s="3" t="s">
        <v>383</v>
      </c>
      <c r="C150" s="3" t="s">
        <v>384</v>
      </c>
      <c r="D150" s="3" t="s">
        <v>11</v>
      </c>
      <c r="E150" s="3" t="s">
        <v>12</v>
      </c>
      <c r="F150" s="3">
        <v>0.23499999999999999</v>
      </c>
      <c r="G150" s="74">
        <f>F150*VLOOKUP(D150,GWPs!$B$3:$C$6,2,FALSE)</f>
        <v>0.23499999999999999</v>
      </c>
      <c r="H150" s="3">
        <v>3.4000000000000002E-2</v>
      </c>
      <c r="I150" s="74">
        <f>H150*VLOOKUP(D150,GWPs!$B$3:$C$6,2,FALSE)</f>
        <v>3.4000000000000002E-2</v>
      </c>
      <c r="J150" s="3">
        <v>0.26900000000000002</v>
      </c>
      <c r="K150" s="74">
        <f>J150*VLOOKUP(D150,GWPs!$B$3:$C$6,2,FALSE)</f>
        <v>0.26900000000000002</v>
      </c>
      <c r="M150" s="3">
        <v>4</v>
      </c>
      <c r="N150" s="3">
        <v>2</v>
      </c>
      <c r="O150" s="3">
        <v>1</v>
      </c>
      <c r="P150" s="3">
        <v>4</v>
      </c>
      <c r="Q150" s="3">
        <v>1</v>
      </c>
      <c r="T150" s="70" t="s">
        <v>814</v>
      </c>
      <c r="U150" s="70">
        <v>1.1989999999999998</v>
      </c>
      <c r="X150" s="70" t="s">
        <v>738</v>
      </c>
      <c r="Y150" s="70">
        <v>0.31200000000000006</v>
      </c>
      <c r="AA150" s="70" t="s">
        <v>738</v>
      </c>
      <c r="AB150" s="406">
        <v>0.21099999999999999</v>
      </c>
    </row>
    <row r="151" spans="1:28">
      <c r="A151" t="s">
        <v>1429</v>
      </c>
      <c r="B151" s="3" t="s">
        <v>383</v>
      </c>
      <c r="C151" s="3" t="s">
        <v>384</v>
      </c>
      <c r="D151" s="3" t="s">
        <v>13</v>
      </c>
      <c r="E151" s="3" t="s">
        <v>12</v>
      </c>
      <c r="F151" s="3">
        <v>2E-3</v>
      </c>
      <c r="G151" s="74">
        <f>F151*VLOOKUP(D151,GWPs!$B$3:$C$6,2,FALSE)</f>
        <v>5.6000000000000001E-2</v>
      </c>
      <c r="H151" s="3">
        <v>0</v>
      </c>
      <c r="I151" s="74">
        <f>H151*VLOOKUP(D151,GWPs!$B$3:$C$6,2,FALSE)</f>
        <v>0</v>
      </c>
      <c r="J151" s="3">
        <v>2E-3</v>
      </c>
      <c r="K151" s="74">
        <f>J151*VLOOKUP(D151,GWPs!$B$3:$C$6,2,FALSE)</f>
        <v>5.6000000000000001E-2</v>
      </c>
      <c r="M151" s="3">
        <v>3</v>
      </c>
      <c r="N151" s="3">
        <v>2</v>
      </c>
      <c r="O151" s="3">
        <v>1</v>
      </c>
      <c r="P151" s="3">
        <v>1</v>
      </c>
      <c r="Q151" s="3">
        <v>1</v>
      </c>
      <c r="T151" s="70" t="s">
        <v>1028</v>
      </c>
      <c r="U151" s="70">
        <v>0.13300000000000001</v>
      </c>
      <c r="X151" s="70" t="s">
        <v>736</v>
      </c>
      <c r="Y151" s="70">
        <v>0.35299999999999998</v>
      </c>
      <c r="AA151" s="70" t="s">
        <v>736</v>
      </c>
      <c r="AB151" s="406">
        <v>0.255</v>
      </c>
    </row>
    <row r="152" spans="1:28">
      <c r="A152" t="s">
        <v>1429</v>
      </c>
      <c r="B152" s="3" t="s">
        <v>383</v>
      </c>
      <c r="C152" s="3" t="s">
        <v>384</v>
      </c>
      <c r="D152" s="3" t="s">
        <v>14</v>
      </c>
      <c r="E152" s="3" t="s">
        <v>12</v>
      </c>
      <c r="F152" s="3">
        <v>1E-3</v>
      </c>
      <c r="G152" s="74">
        <f>F152*VLOOKUP(D152,GWPs!$B$3:$C$6,2,FALSE)</f>
        <v>0.26500000000000001</v>
      </c>
      <c r="H152" s="3">
        <v>0</v>
      </c>
      <c r="I152" s="74">
        <f>H152*VLOOKUP(D152,GWPs!$B$3:$C$6,2,FALSE)</f>
        <v>0</v>
      </c>
      <c r="J152" s="3">
        <v>1E-3</v>
      </c>
      <c r="K152" s="74">
        <f>J152*VLOOKUP(D152,GWPs!$B$3:$C$6,2,FALSE)</f>
        <v>0.26500000000000001</v>
      </c>
      <c r="M152" s="3">
        <v>4</v>
      </c>
      <c r="N152" s="3">
        <v>2</v>
      </c>
      <c r="O152" s="3">
        <v>1</v>
      </c>
      <c r="P152" s="3">
        <v>4</v>
      </c>
      <c r="Q152" s="3">
        <v>1</v>
      </c>
      <c r="T152" s="70" t="s">
        <v>738</v>
      </c>
      <c r="U152" s="70">
        <v>0.52300000000000002</v>
      </c>
      <c r="X152" s="70" t="s">
        <v>23</v>
      </c>
      <c r="Y152" s="70">
        <v>0.17499999999999999</v>
      </c>
      <c r="AA152" s="70" t="s">
        <v>23</v>
      </c>
      <c r="AB152" s="406">
        <v>0</v>
      </c>
    </row>
    <row r="153" spans="1:28">
      <c r="A153" t="s">
        <v>1429</v>
      </c>
      <c r="B153" s="3" t="s">
        <v>383</v>
      </c>
      <c r="C153" s="3" t="s">
        <v>384</v>
      </c>
      <c r="D153" s="3" t="s">
        <v>15</v>
      </c>
      <c r="E153" s="3" t="s">
        <v>16</v>
      </c>
      <c r="F153" s="3">
        <v>5.0000000000000001E-3</v>
      </c>
      <c r="G153" s="74">
        <f>F153*VLOOKUP(D153,GWPs!$B$3:$C$6,2,FALSE)</f>
        <v>5.0000000000000001E-3</v>
      </c>
      <c r="H153" s="3">
        <v>0</v>
      </c>
      <c r="I153" s="74">
        <f>H153*VLOOKUP(D153,GWPs!$B$3:$C$6,2,FALSE)</f>
        <v>0</v>
      </c>
      <c r="J153" s="3">
        <v>5.0000000000000001E-3</v>
      </c>
      <c r="K153" s="74">
        <f>J153*VLOOKUP(D153,GWPs!$B$3:$C$6,2,FALSE)</f>
        <v>5.0000000000000001E-3</v>
      </c>
      <c r="M153" s="3">
        <v>4</v>
      </c>
      <c r="N153" s="3">
        <v>2</v>
      </c>
      <c r="O153" s="3">
        <v>1</v>
      </c>
      <c r="P153" s="3">
        <v>4</v>
      </c>
      <c r="Q153" s="3">
        <v>1</v>
      </c>
      <c r="T153" s="70" t="s">
        <v>736</v>
      </c>
      <c r="U153" s="70">
        <v>0.60799999999999998</v>
      </c>
      <c r="X153" s="70" t="s">
        <v>1059</v>
      </c>
      <c r="Y153" s="70">
        <v>0.20499999999999999</v>
      </c>
      <c r="AA153" s="70" t="s">
        <v>1059</v>
      </c>
      <c r="AB153" s="406">
        <v>0</v>
      </c>
    </row>
    <row r="154" spans="1:28">
      <c r="A154" t="s">
        <v>1429</v>
      </c>
      <c r="B154" s="3" t="s">
        <v>385</v>
      </c>
      <c r="C154" s="3" t="s">
        <v>386</v>
      </c>
      <c r="D154" s="3" t="s">
        <v>11</v>
      </c>
      <c r="E154" s="3" t="s">
        <v>12</v>
      </c>
      <c r="F154" s="3">
        <v>0.36</v>
      </c>
      <c r="G154" s="74">
        <f>F154*VLOOKUP(D154,GWPs!$B$3:$C$6,2,FALSE)</f>
        <v>0.36</v>
      </c>
      <c r="H154" s="3">
        <v>3.3000000000000002E-2</v>
      </c>
      <c r="I154" s="74">
        <f>H154*VLOOKUP(D154,GWPs!$B$3:$C$6,2,FALSE)</f>
        <v>3.3000000000000002E-2</v>
      </c>
      <c r="J154" s="3">
        <v>0.39200000000000002</v>
      </c>
      <c r="K154" s="74">
        <f>J154*VLOOKUP(D154,GWPs!$B$3:$C$6,2,FALSE)</f>
        <v>0.39200000000000002</v>
      </c>
      <c r="M154" s="3">
        <v>3</v>
      </c>
      <c r="N154" s="3">
        <v>2</v>
      </c>
      <c r="O154" s="3">
        <v>1</v>
      </c>
      <c r="P154" s="3">
        <v>4</v>
      </c>
      <c r="Q154" s="3">
        <v>1</v>
      </c>
      <c r="T154" s="70" t="s">
        <v>23</v>
      </c>
      <c r="U154" s="70">
        <v>0.17499999999999999</v>
      </c>
      <c r="X154" s="70" t="s">
        <v>854</v>
      </c>
      <c r="Y154" s="70">
        <v>0.123</v>
      </c>
      <c r="AA154" s="70" t="s">
        <v>854</v>
      </c>
      <c r="AB154" s="406">
        <v>0</v>
      </c>
    </row>
    <row r="155" spans="1:28">
      <c r="A155" t="s">
        <v>1429</v>
      </c>
      <c r="B155" s="3" t="s">
        <v>385</v>
      </c>
      <c r="C155" s="3" t="s">
        <v>386</v>
      </c>
      <c r="D155" s="3" t="s">
        <v>13</v>
      </c>
      <c r="E155" s="3" t="s">
        <v>12</v>
      </c>
      <c r="F155" s="3">
        <v>2E-3</v>
      </c>
      <c r="G155" s="74">
        <f>F155*VLOOKUP(D155,GWPs!$B$3:$C$6,2,FALSE)</f>
        <v>5.6000000000000001E-2</v>
      </c>
      <c r="H155" s="3">
        <v>0</v>
      </c>
      <c r="I155" s="74">
        <f>H155*VLOOKUP(D155,GWPs!$B$3:$C$6,2,FALSE)</f>
        <v>0</v>
      </c>
      <c r="J155" s="3">
        <v>3.0000000000000001E-3</v>
      </c>
      <c r="K155" s="74">
        <f>J155*VLOOKUP(D155,GWPs!$B$3:$C$6,2,FALSE)</f>
        <v>8.4000000000000005E-2</v>
      </c>
      <c r="M155" s="3">
        <v>3</v>
      </c>
      <c r="N155" s="3">
        <v>2</v>
      </c>
      <c r="O155" s="3">
        <v>1</v>
      </c>
      <c r="P155" s="3">
        <v>1</v>
      </c>
      <c r="Q155" s="3">
        <v>1</v>
      </c>
      <c r="T155" s="70" t="s">
        <v>1059</v>
      </c>
      <c r="U155" s="70">
        <v>0.20499999999999999</v>
      </c>
      <c r="X155" s="70" t="s">
        <v>1089</v>
      </c>
      <c r="Y155" s="70">
        <v>0</v>
      </c>
      <c r="AA155" s="70" t="s">
        <v>1089</v>
      </c>
      <c r="AB155" s="406">
        <v>0</v>
      </c>
    </row>
    <row r="156" spans="1:28">
      <c r="A156" t="s">
        <v>1429</v>
      </c>
      <c r="B156" s="3" t="s">
        <v>385</v>
      </c>
      <c r="C156" s="3" t="s">
        <v>386</v>
      </c>
      <c r="D156" s="3" t="s">
        <v>14</v>
      </c>
      <c r="E156" s="3" t="s">
        <v>12</v>
      </c>
      <c r="F156" s="3">
        <v>1E-3</v>
      </c>
      <c r="G156" s="74">
        <f>F156*VLOOKUP(D156,GWPs!$B$3:$C$6,2,FALSE)</f>
        <v>0.26500000000000001</v>
      </c>
      <c r="H156" s="3">
        <v>0</v>
      </c>
      <c r="I156" s="74">
        <f>H156*VLOOKUP(D156,GWPs!$B$3:$C$6,2,FALSE)</f>
        <v>0</v>
      </c>
      <c r="J156" s="3">
        <v>1E-3</v>
      </c>
      <c r="K156" s="74">
        <f>J156*VLOOKUP(D156,GWPs!$B$3:$C$6,2,FALSE)</f>
        <v>0.26500000000000001</v>
      </c>
      <c r="M156" s="3">
        <v>4</v>
      </c>
      <c r="N156" s="3">
        <v>2</v>
      </c>
      <c r="O156" s="3">
        <v>1</v>
      </c>
      <c r="P156" s="3">
        <v>4</v>
      </c>
      <c r="Q156" s="3">
        <v>1</v>
      </c>
      <c r="T156" s="70" t="s">
        <v>854</v>
      </c>
      <c r="U156" s="70">
        <v>0.123</v>
      </c>
      <c r="X156" s="70" t="s">
        <v>1073</v>
      </c>
      <c r="Y156" s="70">
        <v>0.1</v>
      </c>
      <c r="AA156" s="70" t="s">
        <v>1073</v>
      </c>
      <c r="AB156" s="406">
        <v>0</v>
      </c>
    </row>
    <row r="157" spans="1:28">
      <c r="A157" t="s">
        <v>1429</v>
      </c>
      <c r="B157" s="3" t="s">
        <v>385</v>
      </c>
      <c r="C157" s="3" t="s">
        <v>386</v>
      </c>
      <c r="D157" s="3" t="s">
        <v>15</v>
      </c>
      <c r="E157" s="3" t="s">
        <v>16</v>
      </c>
      <c r="F157" s="3">
        <v>5.0000000000000001E-3</v>
      </c>
      <c r="G157" s="74">
        <f>F157*VLOOKUP(D157,GWPs!$B$3:$C$6,2,FALSE)</f>
        <v>5.0000000000000001E-3</v>
      </c>
      <c r="H157" s="3">
        <v>0</v>
      </c>
      <c r="I157" s="74">
        <f>H157*VLOOKUP(D157,GWPs!$B$3:$C$6,2,FALSE)</f>
        <v>0</v>
      </c>
      <c r="J157" s="3">
        <v>5.0000000000000001E-3</v>
      </c>
      <c r="K157" s="74">
        <f>J157*VLOOKUP(D157,GWPs!$B$3:$C$6,2,FALSE)</f>
        <v>5.0000000000000001E-3</v>
      </c>
      <c r="M157" s="3">
        <v>4</v>
      </c>
      <c r="N157" s="3">
        <v>2</v>
      </c>
      <c r="O157" s="3">
        <v>1</v>
      </c>
      <c r="P157" s="3">
        <v>4</v>
      </c>
      <c r="Q157" s="3">
        <v>1</v>
      </c>
      <c r="T157" s="70" t="s">
        <v>1089</v>
      </c>
      <c r="U157" s="70">
        <v>0</v>
      </c>
      <c r="X157" s="70" t="s">
        <v>686</v>
      </c>
      <c r="Y157" s="70">
        <v>0.26200000000000001</v>
      </c>
      <c r="AA157" s="70" t="s">
        <v>686</v>
      </c>
      <c r="AB157" s="406">
        <v>4.5999999999999999E-2</v>
      </c>
    </row>
    <row r="158" spans="1:28">
      <c r="A158" t="s">
        <v>1429</v>
      </c>
      <c r="B158" s="3" t="s">
        <v>387</v>
      </c>
      <c r="C158" s="3" t="s">
        <v>388</v>
      </c>
      <c r="D158" s="3" t="s">
        <v>11</v>
      </c>
      <c r="E158" s="3" t="s">
        <v>12</v>
      </c>
      <c r="F158" s="3">
        <v>0.496</v>
      </c>
      <c r="G158" s="74">
        <f>F158*VLOOKUP(D158,GWPs!$B$3:$C$6,2,FALSE)</f>
        <v>0.496</v>
      </c>
      <c r="H158" s="3">
        <v>2.5999999999999999E-2</v>
      </c>
      <c r="I158" s="74">
        <f>H158*VLOOKUP(D158,GWPs!$B$3:$C$6,2,FALSE)</f>
        <v>2.5999999999999999E-2</v>
      </c>
      <c r="J158" s="3">
        <v>0.52300000000000002</v>
      </c>
      <c r="K158" s="74">
        <f>J158*VLOOKUP(D158,GWPs!$B$3:$C$6,2,FALSE)</f>
        <v>0.52300000000000002</v>
      </c>
      <c r="M158" s="3">
        <v>4</v>
      </c>
      <c r="N158" s="3">
        <v>2</v>
      </c>
      <c r="O158" s="3">
        <v>1</v>
      </c>
      <c r="P158" s="3">
        <v>4</v>
      </c>
      <c r="Q158" s="3">
        <v>1</v>
      </c>
      <c r="T158" s="70" t="s">
        <v>1073</v>
      </c>
      <c r="U158" s="70">
        <v>0.1</v>
      </c>
      <c r="X158" s="70" t="s">
        <v>408</v>
      </c>
      <c r="Y158" s="70">
        <v>0.71399999999999997</v>
      </c>
      <c r="AA158" s="70" t="s">
        <v>408</v>
      </c>
      <c r="AB158" s="406">
        <v>4.2000000000000003E-2</v>
      </c>
    </row>
    <row r="159" spans="1:28">
      <c r="A159" t="s">
        <v>1429</v>
      </c>
      <c r="B159" s="3" t="s">
        <v>387</v>
      </c>
      <c r="C159" s="3" t="s">
        <v>388</v>
      </c>
      <c r="D159" s="3" t="s">
        <v>13</v>
      </c>
      <c r="E159" s="3" t="s">
        <v>12</v>
      </c>
      <c r="F159" s="3">
        <v>2E-3</v>
      </c>
      <c r="G159" s="74">
        <f>F159*VLOOKUP(D159,GWPs!$B$3:$C$6,2,FALSE)</f>
        <v>5.6000000000000001E-2</v>
      </c>
      <c r="H159" s="3">
        <v>0</v>
      </c>
      <c r="I159" s="74">
        <f>H159*VLOOKUP(D159,GWPs!$B$3:$C$6,2,FALSE)</f>
        <v>0</v>
      </c>
      <c r="J159" s="3">
        <v>3.0000000000000001E-3</v>
      </c>
      <c r="K159" s="74">
        <f>J159*VLOOKUP(D159,GWPs!$B$3:$C$6,2,FALSE)</f>
        <v>8.4000000000000005E-2</v>
      </c>
      <c r="M159" s="3">
        <v>3</v>
      </c>
      <c r="N159" s="3">
        <v>2</v>
      </c>
      <c r="O159" s="3">
        <v>1</v>
      </c>
      <c r="P159" s="3">
        <v>1</v>
      </c>
      <c r="Q159" s="3">
        <v>1</v>
      </c>
      <c r="T159" s="70" t="s">
        <v>686</v>
      </c>
      <c r="U159" s="70">
        <v>0.30700000000000005</v>
      </c>
      <c r="X159" s="70" t="s">
        <v>1047</v>
      </c>
      <c r="Y159" s="70">
        <v>1.4E-2</v>
      </c>
      <c r="AA159" s="70" t="s">
        <v>1047</v>
      </c>
      <c r="AB159" s="406">
        <v>0</v>
      </c>
    </row>
    <row r="160" spans="1:28">
      <c r="A160" t="s">
        <v>1429</v>
      </c>
      <c r="B160" s="3" t="s">
        <v>387</v>
      </c>
      <c r="C160" s="3" t="s">
        <v>388</v>
      </c>
      <c r="D160" s="3" t="s">
        <v>14</v>
      </c>
      <c r="E160" s="3" t="s">
        <v>12</v>
      </c>
      <c r="F160" s="3">
        <v>1E-3</v>
      </c>
      <c r="G160" s="74">
        <f>F160*VLOOKUP(D160,GWPs!$B$3:$C$6,2,FALSE)</f>
        <v>0.26500000000000001</v>
      </c>
      <c r="H160" s="3">
        <v>0</v>
      </c>
      <c r="I160" s="74">
        <f>H160*VLOOKUP(D160,GWPs!$B$3:$C$6,2,FALSE)</f>
        <v>0</v>
      </c>
      <c r="J160" s="3">
        <v>1E-3</v>
      </c>
      <c r="K160" s="74">
        <f>J160*VLOOKUP(D160,GWPs!$B$3:$C$6,2,FALSE)</f>
        <v>0.26500000000000001</v>
      </c>
      <c r="M160" s="3">
        <v>4</v>
      </c>
      <c r="N160" s="3">
        <v>2</v>
      </c>
      <c r="O160" s="3">
        <v>1</v>
      </c>
      <c r="P160" s="3">
        <v>4</v>
      </c>
      <c r="Q160" s="3">
        <v>1</v>
      </c>
      <c r="T160" s="70" t="s">
        <v>408</v>
      </c>
      <c r="U160" s="70">
        <v>0.75600000000000001</v>
      </c>
      <c r="X160" s="70" t="s">
        <v>1037</v>
      </c>
      <c r="Y160" s="70">
        <v>0.16900000000000001</v>
      </c>
      <c r="AA160" s="70" t="s">
        <v>1037</v>
      </c>
      <c r="AB160" s="406">
        <v>0</v>
      </c>
    </row>
    <row r="161" spans="1:28">
      <c r="A161" t="s">
        <v>1429</v>
      </c>
      <c r="B161" s="3" t="s">
        <v>387</v>
      </c>
      <c r="C161" s="3" t="s">
        <v>388</v>
      </c>
      <c r="D161" s="3" t="s">
        <v>15</v>
      </c>
      <c r="E161" s="3" t="s">
        <v>16</v>
      </c>
      <c r="F161" s="3">
        <v>5.0000000000000001E-3</v>
      </c>
      <c r="G161" s="74">
        <f>F161*VLOOKUP(D161,GWPs!$B$3:$C$6,2,FALSE)</f>
        <v>5.0000000000000001E-3</v>
      </c>
      <c r="H161" s="3">
        <v>0</v>
      </c>
      <c r="I161" s="74">
        <f>H161*VLOOKUP(D161,GWPs!$B$3:$C$6,2,FALSE)</f>
        <v>0</v>
      </c>
      <c r="J161" s="3">
        <v>5.0000000000000001E-3</v>
      </c>
      <c r="K161" s="74">
        <f>J161*VLOOKUP(D161,GWPs!$B$3:$C$6,2,FALSE)</f>
        <v>5.0000000000000001E-3</v>
      </c>
      <c r="M161" s="3">
        <v>3</v>
      </c>
      <c r="N161" s="3">
        <v>2</v>
      </c>
      <c r="O161" s="3">
        <v>1</v>
      </c>
      <c r="P161" s="3">
        <v>4</v>
      </c>
      <c r="Q161" s="3">
        <v>1</v>
      </c>
      <c r="T161" s="70" t="s">
        <v>1047</v>
      </c>
      <c r="U161" s="70">
        <v>1.4E-2</v>
      </c>
      <c r="X161" s="70" t="s">
        <v>650</v>
      </c>
      <c r="Y161" s="70">
        <v>0.28200000000000003</v>
      </c>
      <c r="AA161" s="70" t="s">
        <v>650</v>
      </c>
      <c r="AB161" s="406">
        <v>4.8000000000000001E-2</v>
      </c>
    </row>
    <row r="162" spans="1:28">
      <c r="A162" t="s">
        <v>1429</v>
      </c>
      <c r="B162" s="3" t="s">
        <v>389</v>
      </c>
      <c r="C162" s="3" t="s">
        <v>390</v>
      </c>
      <c r="D162" s="3" t="s">
        <v>11</v>
      </c>
      <c r="E162" s="3" t="s">
        <v>12</v>
      </c>
      <c r="F162" s="3">
        <v>5.1999999999999998E-2</v>
      </c>
      <c r="G162" s="74">
        <f>F162*VLOOKUP(D162,GWPs!$B$3:$C$6,2,FALSE)</f>
        <v>5.1999999999999998E-2</v>
      </c>
      <c r="H162" s="3">
        <v>6.0000000000000001E-3</v>
      </c>
      <c r="I162" s="74">
        <f>H162*VLOOKUP(D162,GWPs!$B$3:$C$6,2,FALSE)</f>
        <v>6.0000000000000001E-3</v>
      </c>
      <c r="J162" s="3">
        <v>5.8000000000000003E-2</v>
      </c>
      <c r="K162" s="74">
        <f>J162*VLOOKUP(D162,GWPs!$B$3:$C$6,2,FALSE)</f>
        <v>5.8000000000000003E-2</v>
      </c>
      <c r="M162" s="3">
        <v>4</v>
      </c>
      <c r="N162" s="3">
        <v>2</v>
      </c>
      <c r="O162" s="3">
        <v>1</v>
      </c>
      <c r="P162" s="3">
        <v>4</v>
      </c>
      <c r="Q162" s="3">
        <v>1</v>
      </c>
      <c r="T162" s="70" t="s">
        <v>1037</v>
      </c>
      <c r="U162" s="70">
        <v>0.16900000000000001</v>
      </c>
      <c r="X162" s="70" t="s">
        <v>656</v>
      </c>
      <c r="Y162" s="70">
        <v>0.33300000000000002</v>
      </c>
      <c r="AA162" s="70" t="s">
        <v>656</v>
      </c>
      <c r="AB162" s="406">
        <v>3.7999999999999999E-2</v>
      </c>
    </row>
    <row r="163" spans="1:28">
      <c r="A163" t="s">
        <v>1429</v>
      </c>
      <c r="B163" s="3" t="s">
        <v>389</v>
      </c>
      <c r="C163" s="3" t="s">
        <v>390</v>
      </c>
      <c r="D163" s="3" t="s">
        <v>13</v>
      </c>
      <c r="E163" s="3" t="s">
        <v>12</v>
      </c>
      <c r="F163" s="3">
        <v>0</v>
      </c>
      <c r="G163" s="74">
        <f>F163*VLOOKUP(D163,GWPs!$B$3:$C$6,2,FALSE)</f>
        <v>0</v>
      </c>
      <c r="H163" s="3">
        <v>0</v>
      </c>
      <c r="I163" s="74">
        <f>H163*VLOOKUP(D163,GWPs!$B$3:$C$6,2,FALSE)</f>
        <v>0</v>
      </c>
      <c r="J163" s="3">
        <v>0</v>
      </c>
      <c r="K163" s="74">
        <f>J163*VLOOKUP(D163,GWPs!$B$3:$C$6,2,FALSE)</f>
        <v>0</v>
      </c>
      <c r="M163" s="3">
        <v>4</v>
      </c>
      <c r="N163" s="3">
        <v>2</v>
      </c>
      <c r="O163" s="3">
        <v>1</v>
      </c>
      <c r="P163" s="3">
        <v>1</v>
      </c>
      <c r="Q163" s="3">
        <v>1</v>
      </c>
      <c r="T163" s="70" t="s">
        <v>650</v>
      </c>
      <c r="U163" s="70">
        <v>0.33000000000000007</v>
      </c>
      <c r="X163" s="70" t="s">
        <v>682</v>
      </c>
      <c r="Y163" s="70">
        <v>0.19600000000000001</v>
      </c>
      <c r="AA163" s="70" t="s">
        <v>682</v>
      </c>
      <c r="AB163" s="406">
        <v>3.2000000000000001E-2</v>
      </c>
    </row>
    <row r="164" spans="1:28">
      <c r="A164" t="s">
        <v>1429</v>
      </c>
      <c r="B164" s="3" t="s">
        <v>389</v>
      </c>
      <c r="C164" s="3" t="s">
        <v>390</v>
      </c>
      <c r="D164" s="3" t="s">
        <v>14</v>
      </c>
      <c r="E164" s="3" t="s">
        <v>12</v>
      </c>
      <c r="F164" s="3">
        <v>0</v>
      </c>
      <c r="G164" s="74">
        <f>F164*VLOOKUP(D164,GWPs!$B$3:$C$6,2,FALSE)</f>
        <v>0</v>
      </c>
      <c r="H164" s="3">
        <v>0</v>
      </c>
      <c r="I164" s="74">
        <f>H164*VLOOKUP(D164,GWPs!$B$3:$C$6,2,FALSE)</f>
        <v>0</v>
      </c>
      <c r="J164" s="3">
        <v>0</v>
      </c>
      <c r="K164" s="74">
        <f>J164*VLOOKUP(D164,GWPs!$B$3:$C$6,2,FALSE)</f>
        <v>0</v>
      </c>
      <c r="M164" s="3">
        <v>4</v>
      </c>
      <c r="N164" s="3">
        <v>2</v>
      </c>
      <c r="O164" s="3">
        <v>1</v>
      </c>
      <c r="P164" s="3">
        <v>4</v>
      </c>
      <c r="Q164" s="3">
        <v>1</v>
      </c>
      <c r="T164" s="70" t="s">
        <v>656</v>
      </c>
      <c r="U164" s="70">
        <v>0.37100000000000005</v>
      </c>
      <c r="X164" s="70" t="s">
        <v>714</v>
      </c>
      <c r="Y164" s="70">
        <v>6.7000000000000004E-2</v>
      </c>
      <c r="AA164" s="70" t="s">
        <v>714</v>
      </c>
      <c r="AB164" s="406">
        <v>1.9E-2</v>
      </c>
    </row>
    <row r="165" spans="1:28">
      <c r="A165" t="s">
        <v>1429</v>
      </c>
      <c r="B165" s="3" t="s">
        <v>389</v>
      </c>
      <c r="C165" s="3" t="s">
        <v>390</v>
      </c>
      <c r="D165" s="3" t="s">
        <v>15</v>
      </c>
      <c r="E165" s="3" t="s">
        <v>16</v>
      </c>
      <c r="F165" s="3">
        <v>4.0000000000000001E-3</v>
      </c>
      <c r="G165" s="74">
        <f>F165*VLOOKUP(D165,GWPs!$B$3:$C$6,2,FALSE)</f>
        <v>4.0000000000000001E-3</v>
      </c>
      <c r="H165" s="3">
        <v>0</v>
      </c>
      <c r="I165" s="74">
        <f>H165*VLOOKUP(D165,GWPs!$B$3:$C$6,2,FALSE)</f>
        <v>0</v>
      </c>
      <c r="J165" s="3">
        <v>4.0000000000000001E-3</v>
      </c>
      <c r="K165" s="74">
        <f>J165*VLOOKUP(D165,GWPs!$B$3:$C$6,2,FALSE)</f>
        <v>4.0000000000000001E-3</v>
      </c>
      <c r="M165" s="3">
        <v>4</v>
      </c>
      <c r="N165" s="3">
        <v>2</v>
      </c>
      <c r="O165" s="3">
        <v>1</v>
      </c>
      <c r="P165" s="3">
        <v>4</v>
      </c>
      <c r="Q165" s="3">
        <v>1</v>
      </c>
      <c r="T165" s="70" t="s">
        <v>682</v>
      </c>
      <c r="U165" s="70">
        <v>0.22800000000000001</v>
      </c>
      <c r="X165" s="70" t="s">
        <v>526</v>
      </c>
      <c r="Y165" s="70">
        <v>0.35800000000000004</v>
      </c>
      <c r="AA165" s="70" t="s">
        <v>526</v>
      </c>
      <c r="AB165" s="406">
        <v>1.4E-2</v>
      </c>
    </row>
    <row r="166" spans="1:28">
      <c r="A166" t="s">
        <v>1429</v>
      </c>
      <c r="B166" s="3" t="s">
        <v>391</v>
      </c>
      <c r="C166" s="3" t="s">
        <v>392</v>
      </c>
      <c r="D166" s="3" t="s">
        <v>11</v>
      </c>
      <c r="E166" s="3" t="s">
        <v>12</v>
      </c>
      <c r="F166" s="3">
        <v>0.35099999999999998</v>
      </c>
      <c r="G166" s="74">
        <f>F166*VLOOKUP(D166,GWPs!$B$3:$C$6,2,FALSE)</f>
        <v>0.35099999999999998</v>
      </c>
      <c r="H166" s="3">
        <v>3.1E-2</v>
      </c>
      <c r="I166" s="74">
        <f>H166*VLOOKUP(D166,GWPs!$B$3:$C$6,2,FALSE)</f>
        <v>3.1E-2</v>
      </c>
      <c r="J166" s="3">
        <v>0.38300000000000001</v>
      </c>
      <c r="K166" s="74">
        <f>J166*VLOOKUP(D166,GWPs!$B$3:$C$6,2,FALSE)</f>
        <v>0.38300000000000001</v>
      </c>
      <c r="M166" s="3">
        <v>4</v>
      </c>
      <c r="N166" s="3">
        <v>2</v>
      </c>
      <c r="O166" s="3">
        <v>1</v>
      </c>
      <c r="P166" s="3">
        <v>4</v>
      </c>
      <c r="Q166" s="3">
        <v>1</v>
      </c>
      <c r="T166" s="70" t="s">
        <v>714</v>
      </c>
      <c r="U166" s="70">
        <v>8.6000000000000007E-2</v>
      </c>
      <c r="X166" s="70" t="s">
        <v>816</v>
      </c>
      <c r="Y166" s="70">
        <v>0.32300000000000006</v>
      </c>
      <c r="AA166" s="70" t="s">
        <v>816</v>
      </c>
      <c r="AB166" s="406">
        <v>0.28500000000000003</v>
      </c>
    </row>
    <row r="167" spans="1:28">
      <c r="A167" t="s">
        <v>1429</v>
      </c>
      <c r="B167" s="3" t="s">
        <v>391</v>
      </c>
      <c r="C167" s="3" t="s">
        <v>392</v>
      </c>
      <c r="D167" s="3" t="s">
        <v>13</v>
      </c>
      <c r="E167" s="3" t="s">
        <v>12</v>
      </c>
      <c r="F167" s="3">
        <v>2E-3</v>
      </c>
      <c r="G167" s="74">
        <f>F167*VLOOKUP(D167,GWPs!$B$3:$C$6,2,FALSE)</f>
        <v>5.6000000000000001E-2</v>
      </c>
      <c r="H167" s="3">
        <v>0</v>
      </c>
      <c r="I167" s="74">
        <f>H167*VLOOKUP(D167,GWPs!$B$3:$C$6,2,FALSE)</f>
        <v>0</v>
      </c>
      <c r="J167" s="3">
        <v>2E-3</v>
      </c>
      <c r="K167" s="74">
        <f>J167*VLOOKUP(D167,GWPs!$B$3:$C$6,2,FALSE)</f>
        <v>5.6000000000000001E-2</v>
      </c>
      <c r="M167" s="3">
        <v>3</v>
      </c>
      <c r="N167" s="3">
        <v>2</v>
      </c>
      <c r="O167" s="3">
        <v>1</v>
      </c>
      <c r="P167" s="3">
        <v>1</v>
      </c>
      <c r="Q167" s="3">
        <v>1</v>
      </c>
      <c r="T167" s="70" t="s">
        <v>526</v>
      </c>
      <c r="U167" s="70">
        <v>0.37200000000000005</v>
      </c>
      <c r="X167" s="70" t="s">
        <v>946</v>
      </c>
      <c r="Y167" s="70">
        <v>3.3000000000000002E-2</v>
      </c>
      <c r="AA167" s="70" t="s">
        <v>946</v>
      </c>
      <c r="AB167" s="406">
        <v>0</v>
      </c>
    </row>
    <row r="168" spans="1:28">
      <c r="A168" t="s">
        <v>1429</v>
      </c>
      <c r="B168" s="3" t="s">
        <v>391</v>
      </c>
      <c r="C168" s="3" t="s">
        <v>392</v>
      </c>
      <c r="D168" s="3" t="s">
        <v>14</v>
      </c>
      <c r="E168" s="3" t="s">
        <v>12</v>
      </c>
      <c r="F168" s="3">
        <v>1E-3</v>
      </c>
      <c r="G168" s="74">
        <f>F168*VLOOKUP(D168,GWPs!$B$3:$C$6,2,FALSE)</f>
        <v>0.26500000000000001</v>
      </c>
      <c r="H168" s="3">
        <v>0</v>
      </c>
      <c r="I168" s="74">
        <f>H168*VLOOKUP(D168,GWPs!$B$3:$C$6,2,FALSE)</f>
        <v>0</v>
      </c>
      <c r="J168" s="3">
        <v>1E-3</v>
      </c>
      <c r="K168" s="74">
        <f>J168*VLOOKUP(D168,GWPs!$B$3:$C$6,2,FALSE)</f>
        <v>0.26500000000000001</v>
      </c>
      <c r="M168" s="3">
        <v>4</v>
      </c>
      <c r="N168" s="3">
        <v>2</v>
      </c>
      <c r="O168" s="3">
        <v>1</v>
      </c>
      <c r="P168" s="3">
        <v>4</v>
      </c>
      <c r="Q168" s="3">
        <v>1</v>
      </c>
      <c r="T168" s="70" t="s">
        <v>816</v>
      </c>
      <c r="U168" s="70">
        <v>0.60799999999999998</v>
      </c>
      <c r="X168" s="70" t="s">
        <v>944</v>
      </c>
      <c r="Y168" s="70">
        <v>3.6000000000000004E-2</v>
      </c>
      <c r="AA168" s="70" t="s">
        <v>944</v>
      </c>
      <c r="AB168" s="406">
        <v>0</v>
      </c>
    </row>
    <row r="169" spans="1:28">
      <c r="A169" t="s">
        <v>1429</v>
      </c>
      <c r="B169" s="3" t="s">
        <v>391</v>
      </c>
      <c r="C169" s="3" t="s">
        <v>392</v>
      </c>
      <c r="D169" s="3" t="s">
        <v>15</v>
      </c>
      <c r="E169" s="3" t="s">
        <v>16</v>
      </c>
      <c r="F169" s="3">
        <v>6.0000000000000001E-3</v>
      </c>
      <c r="G169" s="74">
        <f>F169*VLOOKUP(D169,GWPs!$B$3:$C$6,2,FALSE)</f>
        <v>6.0000000000000001E-3</v>
      </c>
      <c r="H169" s="3">
        <v>0</v>
      </c>
      <c r="I169" s="74">
        <f>H169*VLOOKUP(D169,GWPs!$B$3:$C$6,2,FALSE)</f>
        <v>0</v>
      </c>
      <c r="J169" s="3">
        <v>6.0000000000000001E-3</v>
      </c>
      <c r="K169" s="74">
        <f>J169*VLOOKUP(D169,GWPs!$B$3:$C$6,2,FALSE)</f>
        <v>6.0000000000000001E-3</v>
      </c>
      <c r="M169" s="3">
        <v>4</v>
      </c>
      <c r="N169" s="3">
        <v>2</v>
      </c>
      <c r="O169" s="3">
        <v>1</v>
      </c>
      <c r="P169" s="3">
        <v>4</v>
      </c>
      <c r="Q169" s="3">
        <v>1</v>
      </c>
      <c r="T169" s="70" t="s">
        <v>946</v>
      </c>
      <c r="U169" s="70">
        <v>3.3000000000000002E-2</v>
      </c>
      <c r="X169" s="70" t="s">
        <v>932</v>
      </c>
      <c r="Y169" s="70">
        <v>0.113</v>
      </c>
      <c r="AA169" s="70" t="s">
        <v>932</v>
      </c>
      <c r="AB169" s="406">
        <v>0</v>
      </c>
    </row>
    <row r="170" spans="1:28">
      <c r="A170" t="s">
        <v>1429</v>
      </c>
      <c r="B170" s="3" t="s">
        <v>393</v>
      </c>
      <c r="C170" s="3" t="s">
        <v>394</v>
      </c>
      <c r="D170" s="3" t="s">
        <v>11</v>
      </c>
      <c r="E170" s="3" t="s">
        <v>12</v>
      </c>
      <c r="F170" s="3">
        <v>0.39</v>
      </c>
      <c r="G170" s="74">
        <f>F170*VLOOKUP(D170,GWPs!$B$3:$C$6,2,FALSE)</f>
        <v>0.39</v>
      </c>
      <c r="H170" s="3">
        <v>8.4000000000000005E-2</v>
      </c>
      <c r="I170" s="74">
        <f>H170*VLOOKUP(D170,GWPs!$B$3:$C$6,2,FALSE)</f>
        <v>8.4000000000000005E-2</v>
      </c>
      <c r="J170" s="3">
        <v>0.47399999999999998</v>
      </c>
      <c r="K170" s="74">
        <f>J170*VLOOKUP(D170,GWPs!$B$3:$C$6,2,FALSE)</f>
        <v>0.47399999999999998</v>
      </c>
      <c r="M170" s="3">
        <v>3</v>
      </c>
      <c r="N170" s="3">
        <v>2</v>
      </c>
      <c r="O170" s="3">
        <v>1</v>
      </c>
      <c r="P170" s="3">
        <v>4</v>
      </c>
      <c r="Q170" s="3">
        <v>1</v>
      </c>
      <c r="T170" s="70" t="s">
        <v>944</v>
      </c>
      <c r="U170" s="70">
        <v>3.6000000000000004E-2</v>
      </c>
      <c r="X170" s="70" t="s">
        <v>1004</v>
      </c>
      <c r="Y170" s="70">
        <v>9.1999999999999998E-2</v>
      </c>
      <c r="AA170" s="70" t="s">
        <v>1004</v>
      </c>
      <c r="AB170" s="406">
        <v>0</v>
      </c>
    </row>
    <row r="171" spans="1:28">
      <c r="A171" t="s">
        <v>1429</v>
      </c>
      <c r="B171" s="3" t="s">
        <v>393</v>
      </c>
      <c r="C171" s="3" t="s">
        <v>394</v>
      </c>
      <c r="D171" s="3" t="s">
        <v>13</v>
      </c>
      <c r="E171" s="3" t="s">
        <v>12</v>
      </c>
      <c r="F171" s="3">
        <v>2E-3</v>
      </c>
      <c r="G171" s="74">
        <f>F171*VLOOKUP(D171,GWPs!$B$3:$C$6,2,FALSE)</f>
        <v>5.6000000000000001E-2</v>
      </c>
      <c r="H171" s="3">
        <v>0</v>
      </c>
      <c r="I171" s="74">
        <f>H171*VLOOKUP(D171,GWPs!$B$3:$C$6,2,FALSE)</f>
        <v>0</v>
      </c>
      <c r="J171" s="3">
        <v>2E-3</v>
      </c>
      <c r="K171" s="74">
        <f>J171*VLOOKUP(D171,GWPs!$B$3:$C$6,2,FALSE)</f>
        <v>5.6000000000000001E-2</v>
      </c>
      <c r="M171" s="3">
        <v>3</v>
      </c>
      <c r="N171" s="3">
        <v>2</v>
      </c>
      <c r="O171" s="3">
        <v>1</v>
      </c>
      <c r="P171" s="3">
        <v>1</v>
      </c>
      <c r="Q171" s="3">
        <v>1</v>
      </c>
      <c r="T171" s="70" t="s">
        <v>932</v>
      </c>
      <c r="U171" s="70">
        <v>0.113</v>
      </c>
      <c r="X171" s="70" t="s">
        <v>938</v>
      </c>
      <c r="Y171" s="70">
        <v>8.8999999999999996E-2</v>
      </c>
      <c r="AA171" s="70" t="s">
        <v>938</v>
      </c>
      <c r="AB171" s="406">
        <v>0</v>
      </c>
    </row>
    <row r="172" spans="1:28">
      <c r="A172" t="s">
        <v>1429</v>
      </c>
      <c r="B172" s="3" t="s">
        <v>393</v>
      </c>
      <c r="C172" s="3" t="s">
        <v>394</v>
      </c>
      <c r="D172" s="3" t="s">
        <v>14</v>
      </c>
      <c r="E172" s="3" t="s">
        <v>12</v>
      </c>
      <c r="F172" s="3">
        <v>1E-3</v>
      </c>
      <c r="G172" s="74">
        <f>F172*VLOOKUP(D172,GWPs!$B$3:$C$6,2,FALSE)</f>
        <v>0.26500000000000001</v>
      </c>
      <c r="H172" s="3">
        <v>0</v>
      </c>
      <c r="I172" s="74">
        <f>H172*VLOOKUP(D172,GWPs!$B$3:$C$6,2,FALSE)</f>
        <v>0</v>
      </c>
      <c r="J172" s="3">
        <v>1E-3</v>
      </c>
      <c r="K172" s="74">
        <f>J172*VLOOKUP(D172,GWPs!$B$3:$C$6,2,FALSE)</f>
        <v>0.26500000000000001</v>
      </c>
      <c r="M172" s="3">
        <v>4</v>
      </c>
      <c r="N172" s="3">
        <v>2</v>
      </c>
      <c r="O172" s="3">
        <v>1</v>
      </c>
      <c r="P172" s="3">
        <v>4</v>
      </c>
      <c r="Q172" s="3">
        <v>1</v>
      </c>
      <c r="T172" s="70" t="s">
        <v>1004</v>
      </c>
      <c r="U172" s="70">
        <v>9.1999999999999998E-2</v>
      </c>
      <c r="X172" s="70" t="s">
        <v>343</v>
      </c>
      <c r="Y172" s="70">
        <v>1.143</v>
      </c>
      <c r="AA172" s="70" t="s">
        <v>343</v>
      </c>
      <c r="AB172" s="406">
        <v>9.2999999999999999E-2</v>
      </c>
    </row>
    <row r="173" spans="1:28">
      <c r="A173" t="s">
        <v>1429</v>
      </c>
      <c r="B173" s="3" t="s">
        <v>393</v>
      </c>
      <c r="C173" s="3" t="s">
        <v>394</v>
      </c>
      <c r="D173" s="3" t="s">
        <v>15</v>
      </c>
      <c r="E173" s="3" t="s">
        <v>16</v>
      </c>
      <c r="F173" s="3">
        <v>1.0999999999999999E-2</v>
      </c>
      <c r="G173" s="74">
        <f>F173*VLOOKUP(D173,GWPs!$B$3:$C$6,2,FALSE)</f>
        <v>1.0999999999999999E-2</v>
      </c>
      <c r="H173" s="3">
        <v>0</v>
      </c>
      <c r="I173" s="74">
        <f>H173*VLOOKUP(D173,GWPs!$B$3:$C$6,2,FALSE)</f>
        <v>0</v>
      </c>
      <c r="J173" s="3">
        <v>1.0999999999999999E-2</v>
      </c>
      <c r="K173" s="74">
        <f>J173*VLOOKUP(D173,GWPs!$B$3:$C$6,2,FALSE)</f>
        <v>1.0999999999999999E-2</v>
      </c>
      <c r="M173" s="3">
        <v>4</v>
      </c>
      <c r="N173" s="3">
        <v>2</v>
      </c>
      <c r="O173" s="3">
        <v>1</v>
      </c>
      <c r="P173" s="3">
        <v>5</v>
      </c>
      <c r="Q173" s="3">
        <v>1</v>
      </c>
      <c r="T173" s="70" t="s">
        <v>938</v>
      </c>
      <c r="U173" s="70">
        <v>8.8999999999999996E-2</v>
      </c>
      <c r="X173" s="70" t="s">
        <v>722</v>
      </c>
      <c r="Y173" s="70">
        <v>8.3000000000000004E-2</v>
      </c>
      <c r="AA173" s="70" t="s">
        <v>722</v>
      </c>
      <c r="AB173" s="406">
        <v>4.2000000000000003E-2</v>
      </c>
    </row>
    <row r="174" spans="1:28">
      <c r="A174" t="s">
        <v>1429</v>
      </c>
      <c r="B174" s="3" t="s">
        <v>395</v>
      </c>
      <c r="C174" s="3" t="s">
        <v>396</v>
      </c>
      <c r="D174" s="3" t="s">
        <v>11</v>
      </c>
      <c r="E174" s="3" t="s">
        <v>12</v>
      </c>
      <c r="F174" s="3">
        <v>0.437</v>
      </c>
      <c r="G174" s="74">
        <f>F174*VLOOKUP(D174,GWPs!$B$3:$C$6,2,FALSE)</f>
        <v>0.437</v>
      </c>
      <c r="H174" s="3">
        <v>7.8E-2</v>
      </c>
      <c r="I174" s="74">
        <f>H174*VLOOKUP(D174,GWPs!$B$3:$C$6,2,FALSE)</f>
        <v>7.8E-2</v>
      </c>
      <c r="J174" s="3">
        <v>0.51500000000000001</v>
      </c>
      <c r="K174" s="74">
        <f>J174*VLOOKUP(D174,GWPs!$B$3:$C$6,2,FALSE)</f>
        <v>0.51500000000000001</v>
      </c>
      <c r="M174" s="3">
        <v>4</v>
      </c>
      <c r="N174" s="3">
        <v>2</v>
      </c>
      <c r="O174" s="3">
        <v>1</v>
      </c>
      <c r="P174" s="3">
        <v>4</v>
      </c>
      <c r="Q174" s="3">
        <v>1</v>
      </c>
      <c r="T174" s="70" t="s">
        <v>343</v>
      </c>
      <c r="U174" s="70">
        <v>1.236</v>
      </c>
      <c r="X174" s="70" t="s">
        <v>836</v>
      </c>
      <c r="Y174" s="70">
        <v>8.4999999999999992E-2</v>
      </c>
      <c r="AA174" s="70" t="s">
        <v>836</v>
      </c>
      <c r="AB174" s="406">
        <v>0.186</v>
      </c>
    </row>
    <row r="175" spans="1:28">
      <c r="A175" t="s">
        <v>1429</v>
      </c>
      <c r="B175" s="3" t="s">
        <v>395</v>
      </c>
      <c r="C175" s="3" t="s">
        <v>396</v>
      </c>
      <c r="D175" s="3" t="s">
        <v>13</v>
      </c>
      <c r="E175" s="3" t="s">
        <v>12</v>
      </c>
      <c r="F175" s="3">
        <v>3.0000000000000001E-3</v>
      </c>
      <c r="G175" s="74">
        <f>F175*VLOOKUP(D175,GWPs!$B$3:$C$6,2,FALSE)</f>
        <v>8.4000000000000005E-2</v>
      </c>
      <c r="H175" s="3">
        <v>0</v>
      </c>
      <c r="I175" s="74">
        <f>H175*VLOOKUP(D175,GWPs!$B$3:$C$6,2,FALSE)</f>
        <v>0</v>
      </c>
      <c r="J175" s="3">
        <v>3.0000000000000001E-3</v>
      </c>
      <c r="K175" s="74">
        <f>J175*VLOOKUP(D175,GWPs!$B$3:$C$6,2,FALSE)</f>
        <v>8.4000000000000005E-2</v>
      </c>
      <c r="M175" s="3">
        <v>3</v>
      </c>
      <c r="N175" s="3">
        <v>2</v>
      </c>
      <c r="O175" s="3">
        <v>1</v>
      </c>
      <c r="P175" s="3">
        <v>1</v>
      </c>
      <c r="Q175" s="3">
        <v>1</v>
      </c>
      <c r="T175" s="70" t="s">
        <v>722</v>
      </c>
      <c r="U175" s="70">
        <v>0.154</v>
      </c>
      <c r="X175" s="70" t="s">
        <v>534</v>
      </c>
      <c r="Y175" s="70">
        <v>0.28500000000000003</v>
      </c>
      <c r="AA175" s="70" t="s">
        <v>534</v>
      </c>
      <c r="AB175" s="406">
        <v>1.0999999999999999E-2</v>
      </c>
    </row>
    <row r="176" spans="1:28">
      <c r="A176" t="s">
        <v>1429</v>
      </c>
      <c r="B176" s="3" t="s">
        <v>395</v>
      </c>
      <c r="C176" s="3" t="s">
        <v>396</v>
      </c>
      <c r="D176" s="3" t="s">
        <v>14</v>
      </c>
      <c r="E176" s="3" t="s">
        <v>12</v>
      </c>
      <c r="F176" s="3">
        <v>0</v>
      </c>
      <c r="G176" s="74">
        <f>F176*VLOOKUP(D176,GWPs!$B$3:$C$6,2,FALSE)</f>
        <v>0</v>
      </c>
      <c r="H176" s="3">
        <v>0</v>
      </c>
      <c r="I176" s="74">
        <f>H176*VLOOKUP(D176,GWPs!$B$3:$C$6,2,FALSE)</f>
        <v>0</v>
      </c>
      <c r="J176" s="3">
        <v>0</v>
      </c>
      <c r="K176" s="74">
        <f>J176*VLOOKUP(D176,GWPs!$B$3:$C$6,2,FALSE)</f>
        <v>0</v>
      </c>
      <c r="M176" s="3">
        <v>4</v>
      </c>
      <c r="N176" s="3">
        <v>2</v>
      </c>
      <c r="O176" s="3">
        <v>1</v>
      </c>
      <c r="P176" s="3">
        <v>4</v>
      </c>
      <c r="Q176" s="3">
        <v>1</v>
      </c>
      <c r="T176" s="70" t="s">
        <v>836</v>
      </c>
      <c r="U176" s="70">
        <v>0.27100000000000002</v>
      </c>
      <c r="X176" s="70" t="s">
        <v>634</v>
      </c>
      <c r="Y176" s="70">
        <v>0.27400000000000002</v>
      </c>
      <c r="AA176" s="70" t="s">
        <v>634</v>
      </c>
      <c r="AB176" s="406">
        <v>0.30800000000000005</v>
      </c>
    </row>
    <row r="177" spans="1:28">
      <c r="A177" t="s">
        <v>1429</v>
      </c>
      <c r="B177" s="3" t="s">
        <v>395</v>
      </c>
      <c r="C177" s="3" t="s">
        <v>396</v>
      </c>
      <c r="D177" s="3" t="s">
        <v>15</v>
      </c>
      <c r="E177" s="3" t="s">
        <v>16</v>
      </c>
      <c r="F177" s="3">
        <v>8.0000000000000002E-3</v>
      </c>
      <c r="G177" s="74">
        <f>F177*VLOOKUP(D177,GWPs!$B$3:$C$6,2,FALSE)</f>
        <v>8.0000000000000002E-3</v>
      </c>
      <c r="H177" s="3">
        <v>0</v>
      </c>
      <c r="I177" s="74">
        <f>H177*VLOOKUP(D177,GWPs!$B$3:$C$6,2,FALSE)</f>
        <v>0</v>
      </c>
      <c r="J177" s="3">
        <v>8.0000000000000002E-3</v>
      </c>
      <c r="K177" s="74">
        <f>J177*VLOOKUP(D177,GWPs!$B$3:$C$6,2,FALSE)</f>
        <v>8.0000000000000002E-3</v>
      </c>
      <c r="M177" s="3">
        <v>4</v>
      </c>
      <c r="N177" s="3">
        <v>2</v>
      </c>
      <c r="O177" s="3">
        <v>1</v>
      </c>
      <c r="P177" s="3">
        <v>4</v>
      </c>
      <c r="Q177" s="3">
        <v>1</v>
      </c>
      <c r="T177" s="70" t="s">
        <v>534</v>
      </c>
      <c r="U177" s="70">
        <v>0.29600000000000004</v>
      </c>
      <c r="X177" s="70" t="s">
        <v>454</v>
      </c>
      <c r="Y177" s="70">
        <v>0.222</v>
      </c>
      <c r="AA177" s="70" t="s">
        <v>454</v>
      </c>
      <c r="AB177" s="406">
        <v>0.80699999999999994</v>
      </c>
    </row>
    <row r="178" spans="1:28">
      <c r="A178" t="s">
        <v>1429</v>
      </c>
      <c r="B178" s="3" t="s">
        <v>397</v>
      </c>
      <c r="C178" s="3" t="s">
        <v>398</v>
      </c>
      <c r="D178" s="3" t="s">
        <v>11</v>
      </c>
      <c r="E178" s="3" t="s">
        <v>12</v>
      </c>
      <c r="F178" s="3">
        <v>0.42399999999999999</v>
      </c>
      <c r="G178" s="74">
        <f>F178*VLOOKUP(D178,GWPs!$B$3:$C$6,2,FALSE)</f>
        <v>0.42399999999999999</v>
      </c>
      <c r="H178" s="3">
        <v>7.9000000000000001E-2</v>
      </c>
      <c r="I178" s="74">
        <f>H178*VLOOKUP(D178,GWPs!$B$3:$C$6,2,FALSE)</f>
        <v>7.9000000000000001E-2</v>
      </c>
      <c r="J178" s="3">
        <v>0.504</v>
      </c>
      <c r="K178" s="74">
        <f>J178*VLOOKUP(D178,GWPs!$B$3:$C$6,2,FALSE)</f>
        <v>0.504</v>
      </c>
      <c r="M178" s="3">
        <v>3</v>
      </c>
      <c r="N178" s="3">
        <v>2</v>
      </c>
      <c r="O178" s="3">
        <v>1</v>
      </c>
      <c r="P178" s="3">
        <v>4</v>
      </c>
      <c r="Q178" s="3">
        <v>1</v>
      </c>
      <c r="T178" s="70" t="s">
        <v>634</v>
      </c>
      <c r="U178" s="70">
        <v>0.58200000000000007</v>
      </c>
      <c r="X178" s="70" t="s">
        <v>22</v>
      </c>
      <c r="Y178" s="70">
        <v>6.5000000000000002E-2</v>
      </c>
      <c r="AA178" s="70" t="s">
        <v>22</v>
      </c>
      <c r="AB178" s="406">
        <v>0</v>
      </c>
    </row>
    <row r="179" spans="1:28">
      <c r="A179" t="s">
        <v>1429</v>
      </c>
      <c r="B179" s="3" t="s">
        <v>397</v>
      </c>
      <c r="C179" s="3" t="s">
        <v>398</v>
      </c>
      <c r="D179" s="3" t="s">
        <v>13</v>
      </c>
      <c r="E179" s="3" t="s">
        <v>12</v>
      </c>
      <c r="F179" s="3">
        <v>6.0000000000000001E-3</v>
      </c>
      <c r="G179" s="74">
        <f>F179*VLOOKUP(D179,GWPs!$B$3:$C$6,2,FALSE)</f>
        <v>0.16800000000000001</v>
      </c>
      <c r="H179" s="3">
        <v>0</v>
      </c>
      <c r="I179" s="74">
        <f>H179*VLOOKUP(D179,GWPs!$B$3:$C$6,2,FALSE)</f>
        <v>0</v>
      </c>
      <c r="J179" s="3">
        <v>7.0000000000000001E-3</v>
      </c>
      <c r="K179" s="74">
        <f>J179*VLOOKUP(D179,GWPs!$B$3:$C$6,2,FALSE)</f>
        <v>0.19600000000000001</v>
      </c>
      <c r="M179" s="3">
        <v>3</v>
      </c>
      <c r="N179" s="3">
        <v>2</v>
      </c>
      <c r="O179" s="3">
        <v>1</v>
      </c>
      <c r="P179" s="3">
        <v>1</v>
      </c>
      <c r="Q179" s="3">
        <v>1</v>
      </c>
      <c r="T179" s="70" t="s">
        <v>454</v>
      </c>
      <c r="U179" s="70">
        <v>1.0010000000000001</v>
      </c>
      <c r="X179" s="70" t="s">
        <v>963</v>
      </c>
      <c r="Y179" s="70">
        <v>5.8000000000000003E-2</v>
      </c>
      <c r="AA179" s="70" t="s">
        <v>963</v>
      </c>
      <c r="AB179" s="406">
        <v>0</v>
      </c>
    </row>
    <row r="180" spans="1:28">
      <c r="A180" t="s">
        <v>1429</v>
      </c>
      <c r="B180" s="3" t="s">
        <v>397</v>
      </c>
      <c r="C180" s="3" t="s">
        <v>398</v>
      </c>
      <c r="D180" s="3" t="s">
        <v>14</v>
      </c>
      <c r="E180" s="3" t="s">
        <v>12</v>
      </c>
      <c r="F180" s="3">
        <v>1E-3</v>
      </c>
      <c r="G180" s="74">
        <f>F180*VLOOKUP(D180,GWPs!$B$3:$C$6,2,FALSE)</f>
        <v>0.26500000000000001</v>
      </c>
      <c r="H180" s="3">
        <v>0</v>
      </c>
      <c r="I180" s="74">
        <f>H180*VLOOKUP(D180,GWPs!$B$3:$C$6,2,FALSE)</f>
        <v>0</v>
      </c>
      <c r="J180" s="3">
        <v>1E-3</v>
      </c>
      <c r="K180" s="74">
        <f>J180*VLOOKUP(D180,GWPs!$B$3:$C$6,2,FALSE)</f>
        <v>0.26500000000000001</v>
      </c>
      <c r="M180" s="3">
        <v>4</v>
      </c>
      <c r="N180" s="3">
        <v>2</v>
      </c>
      <c r="O180" s="3">
        <v>1</v>
      </c>
      <c r="P180" s="3">
        <v>4</v>
      </c>
      <c r="Q180" s="3">
        <v>1</v>
      </c>
      <c r="T180" s="70" t="s">
        <v>22</v>
      </c>
      <c r="U180" s="70">
        <v>6.5000000000000002E-2</v>
      </c>
      <c r="X180" s="70" t="s">
        <v>728</v>
      </c>
      <c r="Y180" s="70">
        <v>0.247</v>
      </c>
      <c r="AA180" s="70" t="s">
        <v>728</v>
      </c>
      <c r="AB180" s="406">
        <v>0.20399999999999999</v>
      </c>
    </row>
    <row r="181" spans="1:28">
      <c r="A181" t="s">
        <v>1429</v>
      </c>
      <c r="B181" s="3" t="s">
        <v>397</v>
      </c>
      <c r="C181" s="3" t="s">
        <v>398</v>
      </c>
      <c r="D181" s="3" t="s">
        <v>15</v>
      </c>
      <c r="E181" s="3" t="s">
        <v>16</v>
      </c>
      <c r="F181" s="3">
        <v>7.0000000000000001E-3</v>
      </c>
      <c r="G181" s="74">
        <f>F181*VLOOKUP(D181,GWPs!$B$3:$C$6,2,FALSE)</f>
        <v>7.0000000000000001E-3</v>
      </c>
      <c r="H181" s="3">
        <v>0</v>
      </c>
      <c r="I181" s="74">
        <f>H181*VLOOKUP(D181,GWPs!$B$3:$C$6,2,FALSE)</f>
        <v>0</v>
      </c>
      <c r="J181" s="3">
        <v>7.0000000000000001E-3</v>
      </c>
      <c r="K181" s="74">
        <f>J181*VLOOKUP(D181,GWPs!$B$3:$C$6,2,FALSE)</f>
        <v>7.0000000000000001E-3</v>
      </c>
      <c r="M181" s="3">
        <v>4</v>
      </c>
      <c r="N181" s="3">
        <v>2</v>
      </c>
      <c r="O181" s="3">
        <v>1</v>
      </c>
      <c r="P181" s="3">
        <v>4</v>
      </c>
      <c r="Q181" s="3">
        <v>1</v>
      </c>
      <c r="T181" s="70" t="s">
        <v>963</v>
      </c>
      <c r="U181" s="70">
        <v>5.8000000000000003E-2</v>
      </c>
      <c r="X181" s="70" t="s">
        <v>730</v>
      </c>
      <c r="Y181" s="70">
        <v>0.24399999999999999</v>
      </c>
      <c r="AA181" s="70" t="s">
        <v>730</v>
      </c>
      <c r="AB181" s="406">
        <v>0.25800000000000001</v>
      </c>
    </row>
    <row r="182" spans="1:28">
      <c r="A182" t="s">
        <v>1429</v>
      </c>
      <c r="B182" s="3" t="s">
        <v>399</v>
      </c>
      <c r="C182" s="3" t="s">
        <v>400</v>
      </c>
      <c r="D182" s="3" t="s">
        <v>11</v>
      </c>
      <c r="E182" s="3" t="s">
        <v>12</v>
      </c>
      <c r="F182" s="3">
        <v>0.29699999999999999</v>
      </c>
      <c r="G182" s="74">
        <f>F182*VLOOKUP(D182,GWPs!$B$3:$C$6,2,FALSE)</f>
        <v>0.29699999999999999</v>
      </c>
      <c r="H182" s="3">
        <v>6.0999999999999999E-2</v>
      </c>
      <c r="I182" s="74">
        <f>H182*VLOOKUP(D182,GWPs!$B$3:$C$6,2,FALSE)</f>
        <v>6.0999999999999999E-2</v>
      </c>
      <c r="J182" s="3">
        <v>0.35799999999999998</v>
      </c>
      <c r="K182" s="74">
        <f>J182*VLOOKUP(D182,GWPs!$B$3:$C$6,2,FALSE)</f>
        <v>0.35799999999999998</v>
      </c>
      <c r="M182" s="3">
        <v>3</v>
      </c>
      <c r="N182" s="3">
        <v>2</v>
      </c>
      <c r="O182" s="3">
        <v>1</v>
      </c>
      <c r="P182" s="3">
        <v>4</v>
      </c>
      <c r="Q182" s="3">
        <v>1</v>
      </c>
      <c r="T182" s="70" t="s">
        <v>728</v>
      </c>
      <c r="U182" s="70">
        <v>0.42300000000000004</v>
      </c>
      <c r="X182" s="70" t="s">
        <v>608</v>
      </c>
      <c r="Y182" s="70">
        <v>0.104</v>
      </c>
      <c r="AA182" s="70" t="s">
        <v>608</v>
      </c>
      <c r="AB182" s="406">
        <v>4.0000000000000001E-3</v>
      </c>
    </row>
    <row r="183" spans="1:28">
      <c r="A183" t="s">
        <v>1429</v>
      </c>
      <c r="B183" s="3" t="s">
        <v>399</v>
      </c>
      <c r="C183" s="3" t="s">
        <v>400</v>
      </c>
      <c r="D183" s="3" t="s">
        <v>13</v>
      </c>
      <c r="E183" s="3" t="s">
        <v>12</v>
      </c>
      <c r="F183" s="3">
        <v>5.0000000000000001E-3</v>
      </c>
      <c r="G183" s="74">
        <f>F183*VLOOKUP(D183,GWPs!$B$3:$C$6,2,FALSE)</f>
        <v>0.14000000000000001</v>
      </c>
      <c r="H183" s="3">
        <v>0</v>
      </c>
      <c r="I183" s="74">
        <f>H183*VLOOKUP(D183,GWPs!$B$3:$C$6,2,FALSE)</f>
        <v>0</v>
      </c>
      <c r="J183" s="3">
        <v>5.0000000000000001E-3</v>
      </c>
      <c r="K183" s="74">
        <f>J183*VLOOKUP(D183,GWPs!$B$3:$C$6,2,FALSE)</f>
        <v>0.14000000000000001</v>
      </c>
      <c r="M183" s="3">
        <v>3</v>
      </c>
      <c r="N183" s="3">
        <v>2</v>
      </c>
      <c r="O183" s="3">
        <v>1</v>
      </c>
      <c r="P183" s="3">
        <v>1</v>
      </c>
      <c r="Q183" s="3">
        <v>1</v>
      </c>
      <c r="T183" s="70" t="s">
        <v>730</v>
      </c>
      <c r="U183" s="70">
        <v>0.502</v>
      </c>
      <c r="X183" s="70" t="s">
        <v>562</v>
      </c>
      <c r="Y183" s="70">
        <v>3.0129999999999999</v>
      </c>
      <c r="AA183" s="70" t="s">
        <v>562</v>
      </c>
      <c r="AB183" s="406">
        <v>0.13500000000000001</v>
      </c>
    </row>
    <row r="184" spans="1:28">
      <c r="A184" t="s">
        <v>1429</v>
      </c>
      <c r="B184" s="3" t="s">
        <v>399</v>
      </c>
      <c r="C184" s="3" t="s">
        <v>400</v>
      </c>
      <c r="D184" s="3" t="s">
        <v>14</v>
      </c>
      <c r="E184" s="3" t="s">
        <v>12</v>
      </c>
      <c r="F184" s="3">
        <v>0</v>
      </c>
      <c r="G184" s="74">
        <f>F184*VLOOKUP(D184,GWPs!$B$3:$C$6,2,FALSE)</f>
        <v>0</v>
      </c>
      <c r="H184" s="3">
        <v>0</v>
      </c>
      <c r="I184" s="74">
        <f>H184*VLOOKUP(D184,GWPs!$B$3:$C$6,2,FALSE)</f>
        <v>0</v>
      </c>
      <c r="J184" s="3">
        <v>0</v>
      </c>
      <c r="K184" s="74">
        <f>J184*VLOOKUP(D184,GWPs!$B$3:$C$6,2,FALSE)</f>
        <v>0</v>
      </c>
      <c r="M184" s="3">
        <v>4</v>
      </c>
      <c r="N184" s="3">
        <v>2</v>
      </c>
      <c r="O184" s="3">
        <v>1</v>
      </c>
      <c r="P184" s="3">
        <v>4</v>
      </c>
      <c r="Q184" s="3">
        <v>1</v>
      </c>
      <c r="T184" s="70" t="s">
        <v>608</v>
      </c>
      <c r="U184" s="70">
        <v>0.108</v>
      </c>
      <c r="X184" s="70" t="s">
        <v>1063</v>
      </c>
      <c r="Y184" s="70">
        <v>0.35599999999999998</v>
      </c>
      <c r="AA184" s="70" t="s">
        <v>1063</v>
      </c>
      <c r="AB184" s="406">
        <v>0</v>
      </c>
    </row>
    <row r="185" spans="1:28">
      <c r="A185" t="s">
        <v>1429</v>
      </c>
      <c r="B185" s="3" t="s">
        <v>399</v>
      </c>
      <c r="C185" s="3" t="s">
        <v>400</v>
      </c>
      <c r="D185" s="3" t="s">
        <v>15</v>
      </c>
      <c r="E185" s="3" t="s">
        <v>16</v>
      </c>
      <c r="F185" s="3">
        <v>4.2999999999999997E-2</v>
      </c>
      <c r="G185" s="74">
        <f>F185*VLOOKUP(D185,GWPs!$B$3:$C$6,2,FALSE)</f>
        <v>4.2999999999999997E-2</v>
      </c>
      <c r="H185" s="3">
        <v>0</v>
      </c>
      <c r="I185" s="74">
        <f>H185*VLOOKUP(D185,GWPs!$B$3:$C$6,2,FALSE)</f>
        <v>0</v>
      </c>
      <c r="J185" s="3">
        <v>4.2999999999999997E-2</v>
      </c>
      <c r="K185" s="74">
        <f>J185*VLOOKUP(D185,GWPs!$B$3:$C$6,2,FALSE)</f>
        <v>4.2999999999999997E-2</v>
      </c>
      <c r="M185" s="3">
        <v>4</v>
      </c>
      <c r="N185" s="3">
        <v>2</v>
      </c>
      <c r="O185" s="3">
        <v>1</v>
      </c>
      <c r="P185" s="3">
        <v>5</v>
      </c>
      <c r="Q185" s="3">
        <v>1</v>
      </c>
      <c r="T185" s="70" t="s">
        <v>562</v>
      </c>
      <c r="U185" s="70">
        <v>3.1480000000000001</v>
      </c>
      <c r="X185" s="70" t="s">
        <v>456</v>
      </c>
      <c r="Y185" s="70">
        <v>0.22700000000000001</v>
      </c>
      <c r="AA185" s="70" t="s">
        <v>456</v>
      </c>
      <c r="AB185" s="406">
        <v>4.2000000000000003E-2</v>
      </c>
    </row>
    <row r="186" spans="1:28">
      <c r="A186" t="s">
        <v>1429</v>
      </c>
      <c r="B186" s="3" t="s">
        <v>401</v>
      </c>
      <c r="C186" s="3" t="s">
        <v>402</v>
      </c>
      <c r="D186" s="3" t="s">
        <v>11</v>
      </c>
      <c r="E186" s="3" t="s">
        <v>12</v>
      </c>
      <c r="F186" s="3">
        <v>0.42099999999999999</v>
      </c>
      <c r="G186" s="74">
        <f>F186*VLOOKUP(D186,GWPs!$B$3:$C$6,2,FALSE)</f>
        <v>0.42099999999999999</v>
      </c>
      <c r="H186" s="3">
        <v>0.05</v>
      </c>
      <c r="I186" s="74">
        <f>H186*VLOOKUP(D186,GWPs!$B$3:$C$6,2,FALSE)</f>
        <v>0.05</v>
      </c>
      <c r="J186" s="3">
        <v>0.47099999999999997</v>
      </c>
      <c r="K186" s="74">
        <f>J186*VLOOKUP(D186,GWPs!$B$3:$C$6,2,FALSE)</f>
        <v>0.47099999999999997</v>
      </c>
      <c r="M186" s="3">
        <v>3</v>
      </c>
      <c r="N186" s="3">
        <v>2</v>
      </c>
      <c r="O186" s="3">
        <v>1</v>
      </c>
      <c r="P186" s="3">
        <v>4</v>
      </c>
      <c r="Q186" s="3">
        <v>1</v>
      </c>
      <c r="T186" s="70" t="s">
        <v>1063</v>
      </c>
      <c r="U186" s="70">
        <v>0.35599999999999998</v>
      </c>
      <c r="X186" s="70" t="s">
        <v>614</v>
      </c>
      <c r="Y186" s="70">
        <v>3.4000000000000002E-2</v>
      </c>
      <c r="AA186" s="70" t="s">
        <v>614</v>
      </c>
      <c r="AB186" s="406">
        <v>2E-3</v>
      </c>
    </row>
    <row r="187" spans="1:28">
      <c r="A187" t="s">
        <v>1429</v>
      </c>
      <c r="B187" s="3" t="s">
        <v>401</v>
      </c>
      <c r="C187" s="3" t="s">
        <v>402</v>
      </c>
      <c r="D187" s="3" t="s">
        <v>13</v>
      </c>
      <c r="E187" s="3" t="s">
        <v>12</v>
      </c>
      <c r="F187" s="3">
        <v>3.5999999999999997E-2</v>
      </c>
      <c r="G187" s="74">
        <f>F187*VLOOKUP(D187,GWPs!$B$3:$C$6,2,FALSE)</f>
        <v>1.008</v>
      </c>
      <c r="H187" s="3">
        <v>0</v>
      </c>
      <c r="I187" s="74">
        <f>H187*VLOOKUP(D187,GWPs!$B$3:$C$6,2,FALSE)</f>
        <v>0</v>
      </c>
      <c r="J187" s="3">
        <v>3.5999999999999997E-2</v>
      </c>
      <c r="K187" s="74">
        <f>J187*VLOOKUP(D187,GWPs!$B$3:$C$6,2,FALSE)</f>
        <v>1.008</v>
      </c>
      <c r="M187" s="3">
        <v>3</v>
      </c>
      <c r="N187" s="3">
        <v>2</v>
      </c>
      <c r="O187" s="3">
        <v>1</v>
      </c>
      <c r="P187" s="3">
        <v>1</v>
      </c>
      <c r="Q187" s="3">
        <v>1</v>
      </c>
      <c r="T187" s="70" t="s">
        <v>456</v>
      </c>
      <c r="U187" s="70">
        <v>0.27</v>
      </c>
      <c r="X187" s="70" t="s">
        <v>660</v>
      </c>
      <c r="Y187" s="70">
        <v>0.26500000000000001</v>
      </c>
      <c r="AA187" s="70" t="s">
        <v>660</v>
      </c>
      <c r="AB187" s="406">
        <v>9.0999999999999998E-2</v>
      </c>
    </row>
    <row r="188" spans="1:28">
      <c r="A188" t="s">
        <v>1429</v>
      </c>
      <c r="B188" s="3" t="s">
        <v>401</v>
      </c>
      <c r="C188" s="3" t="s">
        <v>402</v>
      </c>
      <c r="D188" s="3" t="s">
        <v>14</v>
      </c>
      <c r="E188" s="3" t="s">
        <v>12</v>
      </c>
      <c r="F188" s="3">
        <v>1E-3</v>
      </c>
      <c r="G188" s="74">
        <f>F188*VLOOKUP(D188,GWPs!$B$3:$C$6,2,FALSE)</f>
        <v>0.26500000000000001</v>
      </c>
      <c r="H188" s="3">
        <v>0</v>
      </c>
      <c r="I188" s="74">
        <f>H188*VLOOKUP(D188,GWPs!$B$3:$C$6,2,FALSE)</f>
        <v>0</v>
      </c>
      <c r="J188" s="3">
        <v>1E-3</v>
      </c>
      <c r="K188" s="74">
        <f>J188*VLOOKUP(D188,GWPs!$B$3:$C$6,2,FALSE)</f>
        <v>0.26500000000000001</v>
      </c>
      <c r="M188" s="3">
        <v>4</v>
      </c>
      <c r="N188" s="3">
        <v>2</v>
      </c>
      <c r="O188" s="3">
        <v>1</v>
      </c>
      <c r="P188" s="3">
        <v>3</v>
      </c>
      <c r="Q188" s="3">
        <v>1</v>
      </c>
      <c r="T188" s="70" t="s">
        <v>614</v>
      </c>
      <c r="U188" s="70">
        <v>3.6000000000000004E-2</v>
      </c>
      <c r="X188" s="70" t="s">
        <v>642</v>
      </c>
      <c r="Y188" s="70">
        <v>0.253</v>
      </c>
      <c r="AA188" s="70" t="s">
        <v>642</v>
      </c>
      <c r="AB188" s="406">
        <v>5.6000000000000001E-2</v>
      </c>
    </row>
    <row r="189" spans="1:28">
      <c r="A189" t="s">
        <v>1429</v>
      </c>
      <c r="B189" s="3" t="s">
        <v>401</v>
      </c>
      <c r="C189" s="3" t="s">
        <v>402</v>
      </c>
      <c r="D189" s="3" t="s">
        <v>15</v>
      </c>
      <c r="E189" s="3" t="s">
        <v>16</v>
      </c>
      <c r="F189" s="3">
        <v>7.0000000000000001E-3</v>
      </c>
      <c r="G189" s="74">
        <f>F189*VLOOKUP(D189,GWPs!$B$3:$C$6,2,FALSE)</f>
        <v>7.0000000000000001E-3</v>
      </c>
      <c r="H189" s="3">
        <v>0</v>
      </c>
      <c r="I189" s="74">
        <f>H189*VLOOKUP(D189,GWPs!$B$3:$C$6,2,FALSE)</f>
        <v>0</v>
      </c>
      <c r="J189" s="3">
        <v>7.0000000000000001E-3</v>
      </c>
      <c r="K189" s="74">
        <f>J189*VLOOKUP(D189,GWPs!$B$3:$C$6,2,FALSE)</f>
        <v>7.0000000000000001E-3</v>
      </c>
      <c r="M189" s="3">
        <v>4</v>
      </c>
      <c r="N189" s="3">
        <v>2</v>
      </c>
      <c r="O189" s="3">
        <v>1</v>
      </c>
      <c r="P189" s="3">
        <v>4</v>
      </c>
      <c r="Q189" s="3">
        <v>1</v>
      </c>
      <c r="T189" s="70" t="s">
        <v>660</v>
      </c>
      <c r="U189" s="70">
        <v>0.32800000000000001</v>
      </c>
      <c r="X189" s="70" t="s">
        <v>856</v>
      </c>
      <c r="Y189" s="70">
        <v>0.16600000000000001</v>
      </c>
      <c r="AA189" s="70" t="s">
        <v>856</v>
      </c>
      <c r="AB189" s="406">
        <v>0</v>
      </c>
    </row>
    <row r="190" spans="1:28">
      <c r="A190" t="s">
        <v>1429</v>
      </c>
      <c r="B190" s="3" t="s">
        <v>403</v>
      </c>
      <c r="C190" s="3" t="s">
        <v>404</v>
      </c>
      <c r="D190" s="3" t="s">
        <v>11</v>
      </c>
      <c r="E190" s="3" t="s">
        <v>12</v>
      </c>
      <c r="F190" s="3">
        <v>0.41299999999999998</v>
      </c>
      <c r="G190" s="74">
        <f>F190*VLOOKUP(D190,GWPs!$B$3:$C$6,2,FALSE)</f>
        <v>0.41299999999999998</v>
      </c>
      <c r="H190" s="3">
        <v>5.3999999999999999E-2</v>
      </c>
      <c r="I190" s="74">
        <f>H190*VLOOKUP(D190,GWPs!$B$3:$C$6,2,FALSE)</f>
        <v>5.3999999999999999E-2</v>
      </c>
      <c r="J190" s="3">
        <v>0.46700000000000003</v>
      </c>
      <c r="K190" s="74">
        <f>J190*VLOOKUP(D190,GWPs!$B$3:$C$6,2,FALSE)</f>
        <v>0.46700000000000003</v>
      </c>
      <c r="M190" s="3">
        <v>3</v>
      </c>
      <c r="N190" s="3">
        <v>2</v>
      </c>
      <c r="O190" s="3">
        <v>1</v>
      </c>
      <c r="P190" s="3">
        <v>4</v>
      </c>
      <c r="Q190" s="3">
        <v>1</v>
      </c>
      <c r="T190" s="70" t="s">
        <v>642</v>
      </c>
      <c r="U190" s="70">
        <v>0.30900000000000005</v>
      </c>
      <c r="X190" s="70" t="s">
        <v>908</v>
      </c>
      <c r="Y190" s="70">
        <v>8.1000000000000003E-2</v>
      </c>
      <c r="AA190" s="70" t="s">
        <v>908</v>
      </c>
      <c r="AB190" s="406">
        <v>4.5999999999999999E-2</v>
      </c>
    </row>
    <row r="191" spans="1:28">
      <c r="A191" t="s">
        <v>1429</v>
      </c>
      <c r="B191" s="3" t="s">
        <v>403</v>
      </c>
      <c r="C191" s="3" t="s">
        <v>404</v>
      </c>
      <c r="D191" s="3" t="s">
        <v>13</v>
      </c>
      <c r="E191" s="3" t="s">
        <v>12</v>
      </c>
      <c r="F191" s="3">
        <v>2.5000000000000001E-2</v>
      </c>
      <c r="G191" s="74">
        <f>F191*VLOOKUP(D191,GWPs!$B$3:$C$6,2,FALSE)</f>
        <v>0.70000000000000007</v>
      </c>
      <c r="H191" s="3">
        <v>0</v>
      </c>
      <c r="I191" s="74">
        <f>H191*VLOOKUP(D191,GWPs!$B$3:$C$6,2,FALSE)</f>
        <v>0</v>
      </c>
      <c r="J191" s="3">
        <v>2.5999999999999999E-2</v>
      </c>
      <c r="K191" s="74">
        <f>J191*VLOOKUP(D191,GWPs!$B$3:$C$6,2,FALSE)</f>
        <v>0.72799999999999998</v>
      </c>
      <c r="M191" s="3">
        <v>3</v>
      </c>
      <c r="N191" s="3">
        <v>2</v>
      </c>
      <c r="O191" s="3">
        <v>1</v>
      </c>
      <c r="P191" s="3">
        <v>1</v>
      </c>
      <c r="Q191" s="3">
        <v>1</v>
      </c>
      <c r="T191" s="70" t="s">
        <v>856</v>
      </c>
      <c r="U191" s="70">
        <v>0.16600000000000001</v>
      </c>
      <c r="X191" s="70" t="s">
        <v>740</v>
      </c>
      <c r="Y191" s="70">
        <v>0.27200000000000002</v>
      </c>
      <c r="AA191" s="70" t="s">
        <v>740</v>
      </c>
      <c r="AB191" s="406">
        <v>8.8999999999999996E-2</v>
      </c>
    </row>
    <row r="192" spans="1:28">
      <c r="A192" t="s">
        <v>1429</v>
      </c>
      <c r="B192" s="3" t="s">
        <v>403</v>
      </c>
      <c r="C192" s="3" t="s">
        <v>404</v>
      </c>
      <c r="D192" s="3" t="s">
        <v>14</v>
      </c>
      <c r="E192" s="3" t="s">
        <v>12</v>
      </c>
      <c r="F192" s="3">
        <v>1E-3</v>
      </c>
      <c r="G192" s="74">
        <f>F192*VLOOKUP(D192,GWPs!$B$3:$C$6,2,FALSE)</f>
        <v>0.26500000000000001</v>
      </c>
      <c r="H192" s="3">
        <v>0</v>
      </c>
      <c r="I192" s="74">
        <f>H192*VLOOKUP(D192,GWPs!$B$3:$C$6,2,FALSE)</f>
        <v>0</v>
      </c>
      <c r="J192" s="3">
        <v>1E-3</v>
      </c>
      <c r="K192" s="74">
        <f>J192*VLOOKUP(D192,GWPs!$B$3:$C$6,2,FALSE)</f>
        <v>0.26500000000000001</v>
      </c>
      <c r="M192" s="3">
        <v>4</v>
      </c>
      <c r="N192" s="3">
        <v>2</v>
      </c>
      <c r="O192" s="3">
        <v>1</v>
      </c>
      <c r="P192" s="3">
        <v>3</v>
      </c>
      <c r="Q192" s="3">
        <v>1</v>
      </c>
      <c r="T192" s="70" t="s">
        <v>908</v>
      </c>
      <c r="U192" s="70">
        <v>0.155</v>
      </c>
      <c r="X192" s="70" t="s">
        <v>978</v>
      </c>
      <c r="Y192" s="70">
        <v>7.0000000000000007E-2</v>
      </c>
      <c r="AA192" s="70" t="s">
        <v>978</v>
      </c>
      <c r="AB192" s="406">
        <v>0</v>
      </c>
    </row>
    <row r="193" spans="1:28">
      <c r="A193" t="s">
        <v>1429</v>
      </c>
      <c r="B193" s="3" t="s">
        <v>403</v>
      </c>
      <c r="C193" s="3" t="s">
        <v>404</v>
      </c>
      <c r="D193" s="3" t="s">
        <v>15</v>
      </c>
      <c r="E193" s="3" t="s">
        <v>16</v>
      </c>
      <c r="F193" s="3">
        <v>8.0000000000000002E-3</v>
      </c>
      <c r="G193" s="74">
        <f>F193*VLOOKUP(D193,GWPs!$B$3:$C$6,2,FALSE)</f>
        <v>8.0000000000000002E-3</v>
      </c>
      <c r="H193" s="3">
        <v>0</v>
      </c>
      <c r="I193" s="74">
        <f>H193*VLOOKUP(D193,GWPs!$B$3:$C$6,2,FALSE)</f>
        <v>0</v>
      </c>
      <c r="J193" s="3">
        <v>8.0000000000000002E-3</v>
      </c>
      <c r="K193" s="74">
        <f>J193*VLOOKUP(D193,GWPs!$B$3:$C$6,2,FALSE)</f>
        <v>8.0000000000000002E-3</v>
      </c>
      <c r="M193" s="3">
        <v>4</v>
      </c>
      <c r="N193" s="3">
        <v>2</v>
      </c>
      <c r="O193" s="3">
        <v>1</v>
      </c>
      <c r="P193" s="3">
        <v>4</v>
      </c>
      <c r="Q193" s="3">
        <v>1</v>
      </c>
      <c r="T193" s="70" t="s">
        <v>740</v>
      </c>
      <c r="U193" s="70">
        <v>0.36200000000000004</v>
      </c>
      <c r="X193" s="70" t="s">
        <v>364</v>
      </c>
      <c r="Y193" s="70">
        <v>0.36000000000000004</v>
      </c>
      <c r="AA193" s="70" t="s">
        <v>364</v>
      </c>
      <c r="AB193" s="406">
        <v>0</v>
      </c>
    </row>
    <row r="194" spans="1:28">
      <c r="A194" t="s">
        <v>1429</v>
      </c>
      <c r="B194" s="3" t="s">
        <v>405</v>
      </c>
      <c r="C194" s="3" t="s">
        <v>406</v>
      </c>
      <c r="D194" s="3" t="s">
        <v>11</v>
      </c>
      <c r="E194" s="3" t="s">
        <v>12</v>
      </c>
      <c r="F194" s="3">
        <v>0.40699999999999997</v>
      </c>
      <c r="G194" s="74">
        <f>F194*VLOOKUP(D194,GWPs!$B$3:$C$6,2,FALSE)</f>
        <v>0.40699999999999997</v>
      </c>
      <c r="H194" s="3">
        <v>6.3E-2</v>
      </c>
      <c r="I194" s="74">
        <f>H194*VLOOKUP(D194,GWPs!$B$3:$C$6,2,FALSE)</f>
        <v>6.3E-2</v>
      </c>
      <c r="J194" s="3">
        <v>0.47</v>
      </c>
      <c r="K194" s="74">
        <f>J194*VLOOKUP(D194,GWPs!$B$3:$C$6,2,FALSE)</f>
        <v>0.47</v>
      </c>
      <c r="M194" s="3">
        <v>3</v>
      </c>
      <c r="N194" s="3">
        <v>2</v>
      </c>
      <c r="O194" s="3">
        <v>1</v>
      </c>
      <c r="P194" s="3">
        <v>4</v>
      </c>
      <c r="Q194" s="3">
        <v>1</v>
      </c>
      <c r="T194" s="70" t="s">
        <v>978</v>
      </c>
      <c r="U194" s="70">
        <v>7.0000000000000007E-2</v>
      </c>
      <c r="X194" s="70" t="s">
        <v>990</v>
      </c>
      <c r="Y194" s="70">
        <v>7.6999999999999999E-2</v>
      </c>
      <c r="AA194" s="70" t="s">
        <v>990</v>
      </c>
      <c r="AB194" s="406">
        <v>0</v>
      </c>
    </row>
    <row r="195" spans="1:28">
      <c r="A195" t="s">
        <v>1429</v>
      </c>
      <c r="B195" s="3" t="s">
        <v>405</v>
      </c>
      <c r="C195" s="3" t="s">
        <v>406</v>
      </c>
      <c r="D195" s="3" t="s">
        <v>13</v>
      </c>
      <c r="E195" s="3" t="s">
        <v>12</v>
      </c>
      <c r="F195" s="3">
        <v>3.1E-2</v>
      </c>
      <c r="G195" s="74">
        <f>F195*VLOOKUP(D195,GWPs!$B$3:$C$6,2,FALSE)</f>
        <v>0.86799999999999999</v>
      </c>
      <c r="H195" s="3">
        <v>0</v>
      </c>
      <c r="I195" s="74">
        <f>H195*VLOOKUP(D195,GWPs!$B$3:$C$6,2,FALSE)</f>
        <v>0</v>
      </c>
      <c r="J195" s="3">
        <v>3.1E-2</v>
      </c>
      <c r="K195" s="74">
        <f>J195*VLOOKUP(D195,GWPs!$B$3:$C$6,2,FALSE)</f>
        <v>0.86799999999999999</v>
      </c>
      <c r="M195" s="3">
        <v>3</v>
      </c>
      <c r="N195" s="3">
        <v>2</v>
      </c>
      <c r="O195" s="3">
        <v>1</v>
      </c>
      <c r="P195" s="3">
        <v>1</v>
      </c>
      <c r="Q195" s="3">
        <v>1</v>
      </c>
      <c r="T195" s="70" t="s">
        <v>364</v>
      </c>
      <c r="U195" s="70">
        <v>0.36000000000000004</v>
      </c>
      <c r="X195" s="70" t="s">
        <v>676</v>
      </c>
      <c r="Y195" s="70">
        <v>0.22700000000000001</v>
      </c>
      <c r="AA195" s="70" t="s">
        <v>676</v>
      </c>
      <c r="AB195" s="406">
        <v>2.5999999999999999E-2</v>
      </c>
    </row>
    <row r="196" spans="1:28">
      <c r="A196" t="s">
        <v>1429</v>
      </c>
      <c r="B196" s="3" t="s">
        <v>405</v>
      </c>
      <c r="C196" s="3" t="s">
        <v>406</v>
      </c>
      <c r="D196" s="3" t="s">
        <v>14</v>
      </c>
      <c r="E196" s="3" t="s">
        <v>12</v>
      </c>
      <c r="F196" s="3">
        <v>1E-3</v>
      </c>
      <c r="G196" s="74">
        <f>F196*VLOOKUP(D196,GWPs!$B$3:$C$6,2,FALSE)</f>
        <v>0.26500000000000001</v>
      </c>
      <c r="H196" s="3">
        <v>0</v>
      </c>
      <c r="I196" s="74">
        <f>H196*VLOOKUP(D196,GWPs!$B$3:$C$6,2,FALSE)</f>
        <v>0</v>
      </c>
      <c r="J196" s="3">
        <v>1E-3</v>
      </c>
      <c r="K196" s="74">
        <f>J196*VLOOKUP(D196,GWPs!$B$3:$C$6,2,FALSE)</f>
        <v>0.26500000000000001</v>
      </c>
      <c r="M196" s="3">
        <v>4</v>
      </c>
      <c r="N196" s="3">
        <v>2</v>
      </c>
      <c r="O196" s="3">
        <v>1</v>
      </c>
      <c r="P196" s="3">
        <v>3</v>
      </c>
      <c r="Q196" s="3">
        <v>1</v>
      </c>
      <c r="T196" s="70" t="s">
        <v>990</v>
      </c>
      <c r="U196" s="70">
        <v>7.6999999999999999E-2</v>
      </c>
      <c r="X196" s="70" t="s">
        <v>824</v>
      </c>
      <c r="Y196" s="70">
        <v>0.32900000000000001</v>
      </c>
      <c r="AA196" s="70" t="s">
        <v>824</v>
      </c>
      <c r="AB196" s="406">
        <v>0.33</v>
      </c>
    </row>
    <row r="197" spans="1:28">
      <c r="A197" t="s">
        <v>1429</v>
      </c>
      <c r="B197" s="3" t="s">
        <v>405</v>
      </c>
      <c r="C197" s="3" t="s">
        <v>406</v>
      </c>
      <c r="D197" s="3" t="s">
        <v>15</v>
      </c>
      <c r="E197" s="3" t="s">
        <v>16</v>
      </c>
      <c r="F197" s="3">
        <v>7.0000000000000001E-3</v>
      </c>
      <c r="G197" s="74">
        <f>F197*VLOOKUP(D197,GWPs!$B$3:$C$6,2,FALSE)</f>
        <v>7.0000000000000001E-3</v>
      </c>
      <c r="H197" s="3">
        <v>0</v>
      </c>
      <c r="I197" s="74">
        <f>H197*VLOOKUP(D197,GWPs!$B$3:$C$6,2,FALSE)</f>
        <v>0</v>
      </c>
      <c r="J197" s="3">
        <v>7.0000000000000001E-3</v>
      </c>
      <c r="K197" s="74">
        <f>J197*VLOOKUP(D197,GWPs!$B$3:$C$6,2,FALSE)</f>
        <v>7.0000000000000001E-3</v>
      </c>
      <c r="M197" s="3">
        <v>4</v>
      </c>
      <c r="N197" s="3">
        <v>2</v>
      </c>
      <c r="O197" s="3">
        <v>1</v>
      </c>
      <c r="P197" s="3">
        <v>4</v>
      </c>
      <c r="Q197" s="3">
        <v>1</v>
      </c>
      <c r="T197" s="70" t="s">
        <v>676</v>
      </c>
      <c r="U197" s="70">
        <v>0.253</v>
      </c>
      <c r="X197" s="70" t="s">
        <v>668</v>
      </c>
      <c r="Y197" s="70">
        <v>0.20500000000000002</v>
      </c>
      <c r="AA197" s="70" t="s">
        <v>668</v>
      </c>
      <c r="AB197" s="406">
        <v>0.04</v>
      </c>
    </row>
    <row r="198" spans="1:28">
      <c r="A198" t="s">
        <v>1429</v>
      </c>
      <c r="B198" s="3" t="s">
        <v>407</v>
      </c>
      <c r="C198" s="3" t="s">
        <v>408</v>
      </c>
      <c r="D198" s="3" t="s">
        <v>11</v>
      </c>
      <c r="E198" s="3" t="s">
        <v>12</v>
      </c>
      <c r="F198" s="3">
        <v>0.36399999999999999</v>
      </c>
      <c r="G198" s="74">
        <f>F198*VLOOKUP(D198,GWPs!$B$3:$C$6,2,FALSE)</f>
        <v>0.36399999999999999</v>
      </c>
      <c r="H198" s="3">
        <v>4.2000000000000003E-2</v>
      </c>
      <c r="I198" s="74">
        <f>H198*VLOOKUP(D198,GWPs!$B$3:$C$6,2,FALSE)</f>
        <v>4.2000000000000003E-2</v>
      </c>
      <c r="J198" s="3">
        <v>0.40600000000000003</v>
      </c>
      <c r="K198" s="74">
        <f>J198*VLOOKUP(D198,GWPs!$B$3:$C$6,2,FALSE)</f>
        <v>0.40600000000000003</v>
      </c>
      <c r="M198" s="3">
        <v>3</v>
      </c>
      <c r="N198" s="3">
        <v>2</v>
      </c>
      <c r="O198" s="3">
        <v>1</v>
      </c>
      <c r="P198" s="3">
        <v>4</v>
      </c>
      <c r="Q198" s="3">
        <v>1</v>
      </c>
      <c r="T198" s="70" t="s">
        <v>824</v>
      </c>
      <c r="U198" s="70">
        <v>0.65899999999999992</v>
      </c>
      <c r="X198" s="70" t="s">
        <v>1026</v>
      </c>
      <c r="Y198" s="70">
        <v>9.1999999999999998E-2</v>
      </c>
      <c r="AA198" s="70" t="s">
        <v>1026</v>
      </c>
      <c r="AB198" s="406">
        <v>0</v>
      </c>
    </row>
    <row r="199" spans="1:28">
      <c r="A199" t="s">
        <v>1429</v>
      </c>
      <c r="B199" s="3" t="s">
        <v>407</v>
      </c>
      <c r="C199" s="3" t="s">
        <v>408</v>
      </c>
      <c r="D199" s="3" t="s">
        <v>13</v>
      </c>
      <c r="E199" s="3" t="s">
        <v>12</v>
      </c>
      <c r="F199" s="3">
        <v>1.2E-2</v>
      </c>
      <c r="G199" s="74">
        <f>F199*VLOOKUP(D199,GWPs!$B$3:$C$6,2,FALSE)</f>
        <v>0.33600000000000002</v>
      </c>
      <c r="H199" s="3">
        <v>0</v>
      </c>
      <c r="I199" s="74">
        <f>H199*VLOOKUP(D199,GWPs!$B$3:$C$6,2,FALSE)</f>
        <v>0</v>
      </c>
      <c r="J199" s="3">
        <v>1.2E-2</v>
      </c>
      <c r="K199" s="74">
        <f>J199*VLOOKUP(D199,GWPs!$B$3:$C$6,2,FALSE)</f>
        <v>0.33600000000000002</v>
      </c>
      <c r="M199" s="3">
        <v>3</v>
      </c>
      <c r="N199" s="3">
        <v>2</v>
      </c>
      <c r="O199" s="3">
        <v>1</v>
      </c>
      <c r="P199" s="3">
        <v>1</v>
      </c>
      <c r="Q199" s="3">
        <v>1</v>
      </c>
      <c r="T199" s="70" t="s">
        <v>668</v>
      </c>
      <c r="U199" s="70">
        <v>0.245</v>
      </c>
      <c r="X199" s="70" t="s">
        <v>510</v>
      </c>
      <c r="Y199" s="70">
        <v>0.28499999999999998</v>
      </c>
      <c r="AA199" s="70" t="s">
        <v>510</v>
      </c>
      <c r="AB199" s="406">
        <v>2.8000000000000001E-2</v>
      </c>
    </row>
    <row r="200" spans="1:28">
      <c r="A200" t="s">
        <v>1429</v>
      </c>
      <c r="B200" s="3" t="s">
        <v>407</v>
      </c>
      <c r="C200" s="3" t="s">
        <v>408</v>
      </c>
      <c r="D200" s="3" t="s">
        <v>14</v>
      </c>
      <c r="E200" s="3" t="s">
        <v>12</v>
      </c>
      <c r="F200" s="3">
        <v>0</v>
      </c>
      <c r="G200" s="74">
        <f>F200*VLOOKUP(D200,GWPs!$B$3:$C$6,2,FALSE)</f>
        <v>0</v>
      </c>
      <c r="H200" s="3">
        <v>0</v>
      </c>
      <c r="I200" s="74">
        <f>H200*VLOOKUP(D200,GWPs!$B$3:$C$6,2,FALSE)</f>
        <v>0</v>
      </c>
      <c r="J200" s="3">
        <v>0</v>
      </c>
      <c r="K200" s="74">
        <f>J200*VLOOKUP(D200,GWPs!$B$3:$C$6,2,FALSE)</f>
        <v>0</v>
      </c>
      <c r="M200" s="3">
        <v>4</v>
      </c>
      <c r="N200" s="3">
        <v>2</v>
      </c>
      <c r="O200" s="3">
        <v>1</v>
      </c>
      <c r="P200" s="3">
        <v>3</v>
      </c>
      <c r="Q200" s="3">
        <v>1</v>
      </c>
      <c r="T200" s="70" t="s">
        <v>1026</v>
      </c>
      <c r="U200" s="70">
        <v>9.1999999999999998E-2</v>
      </c>
      <c r="X200" s="70" t="s">
        <v>618</v>
      </c>
      <c r="Y200" s="70">
        <v>0.39300000000000002</v>
      </c>
      <c r="AA200" s="70" t="s">
        <v>618</v>
      </c>
      <c r="AB200" s="406">
        <v>1.0999999999999999E-2</v>
      </c>
    </row>
    <row r="201" spans="1:28">
      <c r="A201" t="s">
        <v>1429</v>
      </c>
      <c r="B201" s="3" t="s">
        <v>407</v>
      </c>
      <c r="C201" s="3" t="s">
        <v>408</v>
      </c>
      <c r="D201" s="3" t="s">
        <v>15</v>
      </c>
      <c r="E201" s="3" t="s">
        <v>16</v>
      </c>
      <c r="F201" s="3">
        <v>1.4E-2</v>
      </c>
      <c r="G201" s="74">
        <f>F201*VLOOKUP(D201,GWPs!$B$3:$C$6,2,FALSE)</f>
        <v>1.4E-2</v>
      </c>
      <c r="H201" s="3">
        <v>0</v>
      </c>
      <c r="I201" s="74">
        <f>H201*VLOOKUP(D201,GWPs!$B$3:$C$6,2,FALSE)</f>
        <v>0</v>
      </c>
      <c r="J201" s="3">
        <v>1.4E-2</v>
      </c>
      <c r="K201" s="74">
        <f>J201*VLOOKUP(D201,GWPs!$B$3:$C$6,2,FALSE)</f>
        <v>1.4E-2</v>
      </c>
      <c r="M201" s="3">
        <v>4</v>
      </c>
      <c r="N201" s="3">
        <v>2</v>
      </c>
      <c r="O201" s="3">
        <v>1</v>
      </c>
      <c r="P201" s="3">
        <v>5</v>
      </c>
      <c r="Q201" s="3">
        <v>1</v>
      </c>
      <c r="T201" s="70" t="s">
        <v>510</v>
      </c>
      <c r="U201" s="70">
        <v>0.34100000000000003</v>
      </c>
      <c r="X201" s="70" t="s">
        <v>594</v>
      </c>
      <c r="Y201" s="70">
        <v>0.28500000000000003</v>
      </c>
      <c r="AA201" s="70" t="s">
        <v>594</v>
      </c>
      <c r="AB201" s="406">
        <v>2.4E-2</v>
      </c>
    </row>
    <row r="202" spans="1:28">
      <c r="A202" t="s">
        <v>1429</v>
      </c>
      <c r="B202" s="3" t="s">
        <v>409</v>
      </c>
      <c r="C202" s="3" t="s">
        <v>410</v>
      </c>
      <c r="D202" s="3" t="s">
        <v>11</v>
      </c>
      <c r="E202" s="3" t="s">
        <v>12</v>
      </c>
      <c r="F202" s="3">
        <v>0.47699999999999998</v>
      </c>
      <c r="G202" s="74">
        <f>F202*VLOOKUP(D202,GWPs!$B$3:$C$6,2,FALSE)</f>
        <v>0.47699999999999998</v>
      </c>
      <c r="H202" s="3">
        <v>0.05</v>
      </c>
      <c r="I202" s="74">
        <f>H202*VLOOKUP(D202,GWPs!$B$3:$C$6,2,FALSE)</f>
        <v>0.05</v>
      </c>
      <c r="J202" s="3">
        <v>0.52800000000000002</v>
      </c>
      <c r="K202" s="74">
        <f>J202*VLOOKUP(D202,GWPs!$B$3:$C$6,2,FALSE)</f>
        <v>0.52800000000000002</v>
      </c>
      <c r="M202" s="3">
        <v>4</v>
      </c>
      <c r="N202" s="3">
        <v>2</v>
      </c>
      <c r="O202" s="3">
        <v>1</v>
      </c>
      <c r="P202" s="3">
        <v>4</v>
      </c>
      <c r="Q202" s="3">
        <v>1</v>
      </c>
      <c r="T202" s="70" t="s">
        <v>618</v>
      </c>
      <c r="U202" s="70">
        <v>0.40400000000000003</v>
      </c>
      <c r="X202" s="70" t="s">
        <v>610</v>
      </c>
      <c r="Y202" s="70">
        <v>0.185</v>
      </c>
      <c r="AA202" s="70" t="s">
        <v>610</v>
      </c>
      <c r="AB202" s="406">
        <v>7.8E-2</v>
      </c>
    </row>
    <row r="203" spans="1:28">
      <c r="A203" t="s">
        <v>1429</v>
      </c>
      <c r="B203" s="3" t="s">
        <v>409</v>
      </c>
      <c r="C203" s="3" t="s">
        <v>410</v>
      </c>
      <c r="D203" s="3" t="s">
        <v>13</v>
      </c>
      <c r="E203" s="3" t="s">
        <v>12</v>
      </c>
      <c r="F203" s="3">
        <v>6.0000000000000001E-3</v>
      </c>
      <c r="G203" s="74">
        <f>F203*VLOOKUP(D203,GWPs!$B$3:$C$6,2,FALSE)</f>
        <v>0.16800000000000001</v>
      </c>
      <c r="H203" s="3">
        <v>0</v>
      </c>
      <c r="I203" s="74">
        <f>H203*VLOOKUP(D203,GWPs!$B$3:$C$6,2,FALSE)</f>
        <v>0</v>
      </c>
      <c r="J203" s="3">
        <v>6.0000000000000001E-3</v>
      </c>
      <c r="K203" s="74">
        <f>J203*VLOOKUP(D203,GWPs!$B$3:$C$6,2,FALSE)</f>
        <v>0.16800000000000001</v>
      </c>
      <c r="M203" s="3">
        <v>3</v>
      </c>
      <c r="N203" s="3">
        <v>2</v>
      </c>
      <c r="O203" s="3">
        <v>1</v>
      </c>
      <c r="P203" s="3">
        <v>1</v>
      </c>
      <c r="Q203" s="3">
        <v>1</v>
      </c>
      <c r="T203" s="70" t="s">
        <v>594</v>
      </c>
      <c r="U203" s="70">
        <v>0.30900000000000005</v>
      </c>
      <c r="X203" s="70" t="s">
        <v>620</v>
      </c>
      <c r="Y203" s="70">
        <v>0.23200000000000001</v>
      </c>
      <c r="AA203" s="70" t="s">
        <v>620</v>
      </c>
      <c r="AB203" s="406">
        <v>0.14000000000000001</v>
      </c>
    </row>
    <row r="204" spans="1:28">
      <c r="A204" t="s">
        <v>1429</v>
      </c>
      <c r="B204" s="3" t="s">
        <v>409</v>
      </c>
      <c r="C204" s="3" t="s">
        <v>410</v>
      </c>
      <c r="D204" s="3" t="s">
        <v>14</v>
      </c>
      <c r="E204" s="3" t="s">
        <v>12</v>
      </c>
      <c r="F204" s="3">
        <v>1E-3</v>
      </c>
      <c r="G204" s="74">
        <f>F204*VLOOKUP(D204,GWPs!$B$3:$C$6,2,FALSE)</f>
        <v>0.26500000000000001</v>
      </c>
      <c r="H204" s="3">
        <v>0</v>
      </c>
      <c r="I204" s="74">
        <f>H204*VLOOKUP(D204,GWPs!$B$3:$C$6,2,FALSE)</f>
        <v>0</v>
      </c>
      <c r="J204" s="3">
        <v>1E-3</v>
      </c>
      <c r="K204" s="74">
        <f>J204*VLOOKUP(D204,GWPs!$B$3:$C$6,2,FALSE)</f>
        <v>0.26500000000000001</v>
      </c>
      <c r="M204" s="3">
        <v>4</v>
      </c>
      <c r="N204" s="3">
        <v>2</v>
      </c>
      <c r="O204" s="3">
        <v>1</v>
      </c>
      <c r="P204" s="3">
        <v>4</v>
      </c>
      <c r="Q204" s="3">
        <v>1</v>
      </c>
      <c r="T204" s="70" t="s">
        <v>610</v>
      </c>
      <c r="U204" s="70">
        <v>0.26300000000000001</v>
      </c>
      <c r="X204" s="70" t="s">
        <v>600</v>
      </c>
      <c r="Y204" s="70">
        <v>0.36100000000000004</v>
      </c>
      <c r="AA204" s="70" t="s">
        <v>600</v>
      </c>
      <c r="AB204" s="406">
        <v>2.9000000000000001E-2</v>
      </c>
    </row>
    <row r="205" spans="1:28">
      <c r="A205" t="s">
        <v>1429</v>
      </c>
      <c r="B205" s="3" t="s">
        <v>409</v>
      </c>
      <c r="C205" s="3" t="s">
        <v>410</v>
      </c>
      <c r="D205" s="3" t="s">
        <v>15</v>
      </c>
      <c r="E205" s="3" t="s">
        <v>16</v>
      </c>
      <c r="F205" s="3">
        <v>5.0000000000000001E-3</v>
      </c>
      <c r="G205" s="74">
        <f>F205*VLOOKUP(D205,GWPs!$B$3:$C$6,2,FALSE)</f>
        <v>5.0000000000000001E-3</v>
      </c>
      <c r="H205" s="3">
        <v>0</v>
      </c>
      <c r="I205" s="74">
        <f>H205*VLOOKUP(D205,GWPs!$B$3:$C$6,2,FALSE)</f>
        <v>0</v>
      </c>
      <c r="J205" s="3">
        <v>5.0000000000000001E-3</v>
      </c>
      <c r="K205" s="74">
        <f>J205*VLOOKUP(D205,GWPs!$B$3:$C$6,2,FALSE)</f>
        <v>5.0000000000000001E-3</v>
      </c>
      <c r="M205" s="3">
        <v>4</v>
      </c>
      <c r="N205" s="3">
        <v>2</v>
      </c>
      <c r="O205" s="3">
        <v>1</v>
      </c>
      <c r="P205" s="3">
        <v>4</v>
      </c>
      <c r="Q205" s="3">
        <v>1</v>
      </c>
      <c r="T205" s="70" t="s">
        <v>620</v>
      </c>
      <c r="U205" s="70">
        <v>0.34400000000000003</v>
      </c>
      <c r="X205" s="70" t="s">
        <v>602</v>
      </c>
      <c r="Y205" s="70">
        <v>0.29800000000000004</v>
      </c>
      <c r="AA205" s="70" t="s">
        <v>602</v>
      </c>
      <c r="AB205" s="406">
        <v>5.0999999999999997E-2</v>
      </c>
    </row>
    <row r="206" spans="1:28">
      <c r="A206" t="s">
        <v>1429</v>
      </c>
      <c r="B206" s="3" t="s">
        <v>411</v>
      </c>
      <c r="C206" s="3" t="s">
        <v>412</v>
      </c>
      <c r="D206" s="3" t="s">
        <v>11</v>
      </c>
      <c r="E206" s="3" t="s">
        <v>12</v>
      </c>
      <c r="F206" s="3">
        <v>0.41799999999999998</v>
      </c>
      <c r="G206" s="74">
        <f>F206*VLOOKUP(D206,GWPs!$B$3:$C$6,2,FALSE)</f>
        <v>0.41799999999999998</v>
      </c>
      <c r="H206" s="3">
        <v>5.0999999999999997E-2</v>
      </c>
      <c r="I206" s="74">
        <f>H206*VLOOKUP(D206,GWPs!$B$3:$C$6,2,FALSE)</f>
        <v>5.0999999999999997E-2</v>
      </c>
      <c r="J206" s="3">
        <v>0.46899999999999997</v>
      </c>
      <c r="K206" s="74">
        <f>J206*VLOOKUP(D206,GWPs!$B$3:$C$6,2,FALSE)</f>
        <v>0.46899999999999997</v>
      </c>
      <c r="M206" s="3">
        <v>4</v>
      </c>
      <c r="N206" s="3">
        <v>2</v>
      </c>
      <c r="O206" s="3">
        <v>1</v>
      </c>
      <c r="P206" s="3">
        <v>4</v>
      </c>
      <c r="Q206" s="3">
        <v>1</v>
      </c>
      <c r="T206" s="70" t="s">
        <v>600</v>
      </c>
      <c r="U206" s="70">
        <v>0.41799999999999998</v>
      </c>
      <c r="X206" s="70" t="s">
        <v>807</v>
      </c>
      <c r="Y206" s="70">
        <v>0.20800000000000002</v>
      </c>
      <c r="AA206" s="70" t="s">
        <v>807</v>
      </c>
      <c r="AB206" s="406">
        <v>8.0000000000000002E-3</v>
      </c>
    </row>
    <row r="207" spans="1:28">
      <c r="A207" t="s">
        <v>1429</v>
      </c>
      <c r="B207" s="3" t="s">
        <v>411</v>
      </c>
      <c r="C207" s="3" t="s">
        <v>412</v>
      </c>
      <c r="D207" s="3" t="s">
        <v>13</v>
      </c>
      <c r="E207" s="3" t="s">
        <v>12</v>
      </c>
      <c r="F207" s="3">
        <v>4.1000000000000002E-2</v>
      </c>
      <c r="G207" s="74">
        <f>F207*VLOOKUP(D207,GWPs!$B$3:$C$6,2,FALSE)</f>
        <v>1.1480000000000001</v>
      </c>
      <c r="H207" s="3">
        <v>0</v>
      </c>
      <c r="I207" s="74">
        <f>H207*VLOOKUP(D207,GWPs!$B$3:$C$6,2,FALSE)</f>
        <v>0</v>
      </c>
      <c r="J207" s="3">
        <v>4.1000000000000002E-2</v>
      </c>
      <c r="K207" s="74">
        <f>J207*VLOOKUP(D207,GWPs!$B$3:$C$6,2,FALSE)</f>
        <v>1.1480000000000001</v>
      </c>
      <c r="M207" s="3">
        <v>4</v>
      </c>
      <c r="N207" s="3">
        <v>2</v>
      </c>
      <c r="O207" s="3">
        <v>1</v>
      </c>
      <c r="P207" s="3">
        <v>1</v>
      </c>
      <c r="Q207" s="3">
        <v>1</v>
      </c>
      <c r="T207" s="70" t="s">
        <v>602</v>
      </c>
      <c r="U207" s="70">
        <v>0.34900000000000003</v>
      </c>
      <c r="X207" s="70" t="s">
        <v>570</v>
      </c>
      <c r="Y207" s="70">
        <v>0.56700000000000006</v>
      </c>
      <c r="AA207" s="70" t="s">
        <v>570</v>
      </c>
      <c r="AB207" s="406">
        <v>0.107</v>
      </c>
    </row>
    <row r="208" spans="1:28">
      <c r="A208" t="s">
        <v>1429</v>
      </c>
      <c r="B208" s="3" t="s">
        <v>411</v>
      </c>
      <c r="C208" s="3" t="s">
        <v>412</v>
      </c>
      <c r="D208" s="3" t="s">
        <v>14</v>
      </c>
      <c r="E208" s="3" t="s">
        <v>12</v>
      </c>
      <c r="F208" s="3">
        <v>2E-3</v>
      </c>
      <c r="G208" s="74">
        <f>F208*VLOOKUP(D208,GWPs!$B$3:$C$6,2,FALSE)</f>
        <v>0.53</v>
      </c>
      <c r="H208" s="3">
        <v>0</v>
      </c>
      <c r="I208" s="74">
        <f>H208*VLOOKUP(D208,GWPs!$B$3:$C$6,2,FALSE)</f>
        <v>0</v>
      </c>
      <c r="J208" s="3">
        <v>2E-3</v>
      </c>
      <c r="K208" s="74">
        <f>J208*VLOOKUP(D208,GWPs!$B$3:$C$6,2,FALSE)</f>
        <v>0.53</v>
      </c>
      <c r="M208" s="3">
        <v>4</v>
      </c>
      <c r="N208" s="3">
        <v>2</v>
      </c>
      <c r="O208" s="3">
        <v>1</v>
      </c>
      <c r="P208" s="3">
        <v>4</v>
      </c>
      <c r="Q208" s="3">
        <v>1</v>
      </c>
      <c r="T208" s="70" t="s">
        <v>807</v>
      </c>
      <c r="U208" s="70">
        <v>0.215</v>
      </c>
      <c r="X208" s="70" t="s">
        <v>638</v>
      </c>
      <c r="Y208" s="70">
        <v>0.27700000000000002</v>
      </c>
      <c r="AA208" s="70" t="s">
        <v>638</v>
      </c>
      <c r="AB208" s="406">
        <v>4.2999999999999997E-2</v>
      </c>
    </row>
    <row r="209" spans="1:28">
      <c r="A209" t="s">
        <v>1429</v>
      </c>
      <c r="B209" s="3" t="s">
        <v>411</v>
      </c>
      <c r="C209" s="3" t="s">
        <v>412</v>
      </c>
      <c r="D209" s="3" t="s">
        <v>15</v>
      </c>
      <c r="E209" s="3" t="s">
        <v>16</v>
      </c>
      <c r="F209" s="3">
        <v>4.0000000000000001E-3</v>
      </c>
      <c r="G209" s="74">
        <f>F209*VLOOKUP(D209,GWPs!$B$3:$C$6,2,FALSE)</f>
        <v>4.0000000000000001E-3</v>
      </c>
      <c r="H209" s="3">
        <v>0</v>
      </c>
      <c r="I209" s="74">
        <f>H209*VLOOKUP(D209,GWPs!$B$3:$C$6,2,FALSE)</f>
        <v>0</v>
      </c>
      <c r="J209" s="3">
        <v>4.0000000000000001E-3</v>
      </c>
      <c r="K209" s="74">
        <f>J209*VLOOKUP(D209,GWPs!$B$3:$C$6,2,FALSE)</f>
        <v>4.0000000000000001E-3</v>
      </c>
      <c r="M209" s="3">
        <v>4</v>
      </c>
      <c r="N209" s="3">
        <v>2</v>
      </c>
      <c r="O209" s="3">
        <v>1</v>
      </c>
      <c r="P209" s="3">
        <v>4</v>
      </c>
      <c r="Q209" s="3">
        <v>1</v>
      </c>
      <c r="T209" s="70" t="s">
        <v>570</v>
      </c>
      <c r="U209" s="70">
        <v>0.67399999999999993</v>
      </c>
      <c r="X209" s="70" t="s">
        <v>950</v>
      </c>
      <c r="Y209" s="70">
        <v>6.9000000000000006E-2</v>
      </c>
      <c r="AA209" s="70" t="s">
        <v>950</v>
      </c>
      <c r="AB209" s="406">
        <v>0</v>
      </c>
    </row>
    <row r="210" spans="1:28">
      <c r="A210" t="s">
        <v>1429</v>
      </c>
      <c r="B210" s="3" t="s">
        <v>413</v>
      </c>
      <c r="C210" s="3" t="s">
        <v>414</v>
      </c>
      <c r="D210" s="3" t="s">
        <v>11</v>
      </c>
      <c r="E210" s="3" t="s">
        <v>12</v>
      </c>
      <c r="F210" s="3">
        <v>0.27600000000000002</v>
      </c>
      <c r="G210" s="74">
        <f>F210*VLOOKUP(D210,GWPs!$B$3:$C$6,2,FALSE)</f>
        <v>0.27600000000000002</v>
      </c>
      <c r="H210" s="3">
        <v>5.6000000000000001E-2</v>
      </c>
      <c r="I210" s="74">
        <f>H210*VLOOKUP(D210,GWPs!$B$3:$C$6,2,FALSE)</f>
        <v>5.6000000000000001E-2</v>
      </c>
      <c r="J210" s="3">
        <v>0.33200000000000002</v>
      </c>
      <c r="K210" s="74">
        <f>J210*VLOOKUP(D210,GWPs!$B$3:$C$6,2,FALSE)</f>
        <v>0.33200000000000002</v>
      </c>
      <c r="M210" s="3">
        <v>4</v>
      </c>
      <c r="N210" s="3">
        <v>2</v>
      </c>
      <c r="O210" s="3">
        <v>1</v>
      </c>
      <c r="P210" s="3">
        <v>4</v>
      </c>
      <c r="Q210" s="3">
        <v>1</v>
      </c>
      <c r="T210" s="70" t="s">
        <v>638</v>
      </c>
      <c r="U210" s="70">
        <v>0.32</v>
      </c>
      <c r="X210" s="70" t="s">
        <v>772</v>
      </c>
      <c r="Y210" s="70">
        <v>0.27500000000000002</v>
      </c>
      <c r="AA210" s="70" t="s">
        <v>772</v>
      </c>
      <c r="AB210" s="406">
        <v>8.4000000000000005E-2</v>
      </c>
    </row>
    <row r="211" spans="1:28">
      <c r="A211" t="s">
        <v>1429</v>
      </c>
      <c r="B211" s="3" t="s">
        <v>413</v>
      </c>
      <c r="C211" s="3" t="s">
        <v>414</v>
      </c>
      <c r="D211" s="3" t="s">
        <v>13</v>
      </c>
      <c r="E211" s="3" t="s">
        <v>12</v>
      </c>
      <c r="F211" s="3">
        <v>4.0000000000000001E-3</v>
      </c>
      <c r="G211" s="74">
        <f>F211*VLOOKUP(D211,GWPs!$B$3:$C$6,2,FALSE)</f>
        <v>0.112</v>
      </c>
      <c r="H211" s="3">
        <v>0</v>
      </c>
      <c r="I211" s="74">
        <f>H211*VLOOKUP(D211,GWPs!$B$3:$C$6,2,FALSE)</f>
        <v>0</v>
      </c>
      <c r="J211" s="3">
        <v>4.0000000000000001E-3</v>
      </c>
      <c r="K211" s="74">
        <f>J211*VLOOKUP(D211,GWPs!$B$3:$C$6,2,FALSE)</f>
        <v>0.112</v>
      </c>
      <c r="M211" s="3">
        <v>3</v>
      </c>
      <c r="N211" s="3">
        <v>2</v>
      </c>
      <c r="O211" s="3">
        <v>1</v>
      </c>
      <c r="P211" s="3">
        <v>1</v>
      </c>
      <c r="Q211" s="3">
        <v>1</v>
      </c>
      <c r="T211" s="70" t="s">
        <v>950</v>
      </c>
      <c r="U211" s="70">
        <v>6.9000000000000006E-2</v>
      </c>
      <c r="X211" s="70" t="s">
        <v>850</v>
      </c>
      <c r="Y211" s="70">
        <v>0.18099999999999999</v>
      </c>
      <c r="AA211" s="70" t="s">
        <v>850</v>
      </c>
      <c r="AB211" s="406">
        <v>0</v>
      </c>
    </row>
    <row r="212" spans="1:28">
      <c r="A212" t="s">
        <v>1429</v>
      </c>
      <c r="B212" s="3" t="s">
        <v>413</v>
      </c>
      <c r="C212" s="3" t="s">
        <v>414</v>
      </c>
      <c r="D212" s="3" t="s">
        <v>14</v>
      </c>
      <c r="E212" s="3" t="s">
        <v>12</v>
      </c>
      <c r="F212" s="3">
        <v>0</v>
      </c>
      <c r="G212" s="74">
        <f>F212*VLOOKUP(D212,GWPs!$B$3:$C$6,2,FALSE)</f>
        <v>0</v>
      </c>
      <c r="H212" s="3">
        <v>0</v>
      </c>
      <c r="I212" s="74">
        <f>H212*VLOOKUP(D212,GWPs!$B$3:$C$6,2,FALSE)</f>
        <v>0</v>
      </c>
      <c r="J212" s="3">
        <v>0</v>
      </c>
      <c r="K212" s="74">
        <f>J212*VLOOKUP(D212,GWPs!$B$3:$C$6,2,FALSE)</f>
        <v>0</v>
      </c>
      <c r="M212" s="3">
        <v>4</v>
      </c>
      <c r="N212" s="3">
        <v>2</v>
      </c>
      <c r="O212" s="3">
        <v>1</v>
      </c>
      <c r="P212" s="3">
        <v>4</v>
      </c>
      <c r="Q212" s="3">
        <v>1</v>
      </c>
      <c r="T212" s="70" t="s">
        <v>772</v>
      </c>
      <c r="U212" s="70">
        <v>0.35899999999999999</v>
      </c>
      <c r="X212" s="70" t="s">
        <v>788</v>
      </c>
      <c r="Y212" s="70">
        <v>0.29900000000000004</v>
      </c>
      <c r="AA212" s="70" t="s">
        <v>788</v>
      </c>
      <c r="AB212" s="406">
        <v>4.9000000000000002E-2</v>
      </c>
    </row>
    <row r="213" spans="1:28">
      <c r="A213" t="s">
        <v>1429</v>
      </c>
      <c r="B213" s="3" t="s">
        <v>413</v>
      </c>
      <c r="C213" s="3" t="s">
        <v>414</v>
      </c>
      <c r="D213" s="3" t="s">
        <v>15</v>
      </c>
      <c r="E213" s="3" t="s">
        <v>16</v>
      </c>
      <c r="F213" s="3">
        <v>5.0000000000000001E-3</v>
      </c>
      <c r="G213" s="74">
        <f>F213*VLOOKUP(D213,GWPs!$B$3:$C$6,2,FALSE)</f>
        <v>5.0000000000000001E-3</v>
      </c>
      <c r="H213" s="3">
        <v>0</v>
      </c>
      <c r="I213" s="74">
        <f>H213*VLOOKUP(D213,GWPs!$B$3:$C$6,2,FALSE)</f>
        <v>0</v>
      </c>
      <c r="J213" s="3">
        <v>5.0000000000000001E-3</v>
      </c>
      <c r="K213" s="74">
        <f>J213*VLOOKUP(D213,GWPs!$B$3:$C$6,2,FALSE)</f>
        <v>5.0000000000000001E-3</v>
      </c>
      <c r="M213" s="3">
        <v>4</v>
      </c>
      <c r="N213" s="3">
        <v>2</v>
      </c>
      <c r="O213" s="3">
        <v>1</v>
      </c>
      <c r="P213" s="3">
        <v>4</v>
      </c>
      <c r="Q213" s="3">
        <v>1</v>
      </c>
      <c r="T213" s="70" t="s">
        <v>850</v>
      </c>
      <c r="U213" s="70">
        <v>0.18099999999999999</v>
      </c>
      <c r="X213" s="70" t="s">
        <v>805</v>
      </c>
      <c r="Y213" s="70">
        <v>8.299999999999999E-2</v>
      </c>
      <c r="AA213" s="70" t="s">
        <v>805</v>
      </c>
      <c r="AB213" s="406">
        <v>5.3999999999999999E-2</v>
      </c>
    </row>
    <row r="214" spans="1:28">
      <c r="A214" t="s">
        <v>1429</v>
      </c>
      <c r="B214" s="3" t="s">
        <v>415</v>
      </c>
      <c r="C214" s="3" t="s">
        <v>416</v>
      </c>
      <c r="D214" s="3" t="s">
        <v>11</v>
      </c>
      <c r="E214" s="3" t="s">
        <v>12</v>
      </c>
      <c r="F214" s="3">
        <v>0.191</v>
      </c>
      <c r="G214" s="74">
        <f>F214*VLOOKUP(D214,GWPs!$B$3:$C$6,2,FALSE)</f>
        <v>0.191</v>
      </c>
      <c r="H214" s="3">
        <v>5.1999999999999998E-2</v>
      </c>
      <c r="I214" s="74">
        <f>H214*VLOOKUP(D214,GWPs!$B$3:$C$6,2,FALSE)</f>
        <v>5.1999999999999998E-2</v>
      </c>
      <c r="J214" s="3">
        <v>0.24299999999999999</v>
      </c>
      <c r="K214" s="74">
        <f>J214*VLOOKUP(D214,GWPs!$B$3:$C$6,2,FALSE)</f>
        <v>0.24299999999999999</v>
      </c>
      <c r="M214" s="3">
        <v>3</v>
      </c>
      <c r="N214" s="3">
        <v>2</v>
      </c>
      <c r="O214" s="3">
        <v>1</v>
      </c>
      <c r="P214" s="3">
        <v>4</v>
      </c>
      <c r="Q214" s="3">
        <v>1</v>
      </c>
      <c r="T214" s="70" t="s">
        <v>788</v>
      </c>
      <c r="U214" s="70">
        <v>0.34800000000000003</v>
      </c>
      <c r="X214" s="70" t="s">
        <v>744</v>
      </c>
      <c r="Y214" s="70">
        <v>0.25800000000000001</v>
      </c>
      <c r="AA214" s="70" t="s">
        <v>744</v>
      </c>
      <c r="AB214" s="406">
        <v>7.3999999999999996E-2</v>
      </c>
    </row>
    <row r="215" spans="1:28">
      <c r="A215" t="s">
        <v>1429</v>
      </c>
      <c r="B215" s="3" t="s">
        <v>415</v>
      </c>
      <c r="C215" s="3" t="s">
        <v>416</v>
      </c>
      <c r="D215" s="3" t="s">
        <v>13</v>
      </c>
      <c r="E215" s="3" t="s">
        <v>12</v>
      </c>
      <c r="F215" s="3">
        <v>1E-3</v>
      </c>
      <c r="G215" s="74">
        <f>F215*VLOOKUP(D215,GWPs!$B$3:$C$6,2,FALSE)</f>
        <v>2.8000000000000001E-2</v>
      </c>
      <c r="H215" s="3">
        <v>0</v>
      </c>
      <c r="I215" s="74">
        <f>H215*VLOOKUP(D215,GWPs!$B$3:$C$6,2,FALSE)</f>
        <v>0</v>
      </c>
      <c r="J215" s="3">
        <v>2E-3</v>
      </c>
      <c r="K215" s="74">
        <f>J215*VLOOKUP(D215,GWPs!$B$3:$C$6,2,FALSE)</f>
        <v>5.6000000000000001E-2</v>
      </c>
      <c r="M215" s="3">
        <v>3</v>
      </c>
      <c r="N215" s="3">
        <v>2</v>
      </c>
      <c r="O215" s="3">
        <v>1</v>
      </c>
      <c r="P215" s="3">
        <v>1</v>
      </c>
      <c r="Q215" s="3">
        <v>1</v>
      </c>
      <c r="T215" s="70" t="s">
        <v>805</v>
      </c>
      <c r="U215" s="70">
        <v>0.16500000000000001</v>
      </c>
      <c r="X215" s="70" t="s">
        <v>916</v>
      </c>
      <c r="Y215" s="70">
        <v>4.4999999999999998E-2</v>
      </c>
      <c r="AA215" s="70" t="s">
        <v>916</v>
      </c>
      <c r="AB215" s="406">
        <v>6.0000000000000001E-3</v>
      </c>
    </row>
    <row r="216" spans="1:28">
      <c r="A216" t="s">
        <v>1429</v>
      </c>
      <c r="B216" s="3" t="s">
        <v>415</v>
      </c>
      <c r="C216" s="3" t="s">
        <v>416</v>
      </c>
      <c r="D216" s="3" t="s">
        <v>14</v>
      </c>
      <c r="E216" s="3" t="s">
        <v>12</v>
      </c>
      <c r="F216" s="3">
        <v>0</v>
      </c>
      <c r="G216" s="74">
        <f>F216*VLOOKUP(D216,GWPs!$B$3:$C$6,2,FALSE)</f>
        <v>0</v>
      </c>
      <c r="H216" s="3">
        <v>0</v>
      </c>
      <c r="I216" s="74">
        <f>H216*VLOOKUP(D216,GWPs!$B$3:$C$6,2,FALSE)</f>
        <v>0</v>
      </c>
      <c r="J216" s="3">
        <v>0</v>
      </c>
      <c r="K216" s="74">
        <f>J216*VLOOKUP(D216,GWPs!$B$3:$C$6,2,FALSE)</f>
        <v>0</v>
      </c>
      <c r="M216" s="3">
        <v>4</v>
      </c>
      <c r="N216" s="3">
        <v>2</v>
      </c>
      <c r="O216" s="3">
        <v>1</v>
      </c>
      <c r="P216" s="3">
        <v>4</v>
      </c>
      <c r="Q216" s="3">
        <v>1</v>
      </c>
      <c r="T216" s="70" t="s">
        <v>744</v>
      </c>
      <c r="U216" s="70">
        <v>0.33100000000000002</v>
      </c>
      <c r="X216" s="70" t="s">
        <v>378</v>
      </c>
      <c r="Y216" s="70">
        <v>0.113</v>
      </c>
      <c r="AA216" s="70" t="s">
        <v>378</v>
      </c>
      <c r="AB216" s="406">
        <v>0</v>
      </c>
    </row>
    <row r="217" spans="1:28">
      <c r="A217" t="s">
        <v>1429</v>
      </c>
      <c r="B217" s="3" t="s">
        <v>415</v>
      </c>
      <c r="C217" s="3" t="s">
        <v>416</v>
      </c>
      <c r="D217" s="3" t="s">
        <v>15</v>
      </c>
      <c r="E217" s="3" t="s">
        <v>16</v>
      </c>
      <c r="F217" s="3">
        <v>6.0000000000000001E-3</v>
      </c>
      <c r="G217" s="74">
        <f>F217*VLOOKUP(D217,GWPs!$B$3:$C$6,2,FALSE)</f>
        <v>6.0000000000000001E-3</v>
      </c>
      <c r="H217" s="3">
        <v>0</v>
      </c>
      <c r="I217" s="74">
        <f>H217*VLOOKUP(D217,GWPs!$B$3:$C$6,2,FALSE)</f>
        <v>0</v>
      </c>
      <c r="J217" s="3">
        <v>6.0000000000000001E-3</v>
      </c>
      <c r="K217" s="74">
        <f>J217*VLOOKUP(D217,GWPs!$B$3:$C$6,2,FALSE)</f>
        <v>6.0000000000000001E-3</v>
      </c>
      <c r="M217" s="3">
        <v>4</v>
      </c>
      <c r="N217" s="3">
        <v>2</v>
      </c>
      <c r="O217" s="3">
        <v>1</v>
      </c>
      <c r="P217" s="3">
        <v>4</v>
      </c>
      <c r="Q217" s="3">
        <v>1</v>
      </c>
      <c r="T217" s="70" t="s">
        <v>916</v>
      </c>
      <c r="U217" s="70">
        <v>0.05</v>
      </c>
      <c r="X217" s="70" t="s">
        <v>1051</v>
      </c>
      <c r="Y217" s="70">
        <v>0.20599999999999999</v>
      </c>
      <c r="AA217" s="70" t="s">
        <v>1051</v>
      </c>
      <c r="AB217" s="406">
        <v>0</v>
      </c>
    </row>
    <row r="218" spans="1:28">
      <c r="A218" t="s">
        <v>1429</v>
      </c>
      <c r="B218" s="3" t="s">
        <v>417</v>
      </c>
      <c r="C218" s="3" t="s">
        <v>418</v>
      </c>
      <c r="D218" s="3" t="s">
        <v>11</v>
      </c>
      <c r="E218" s="3" t="s">
        <v>12</v>
      </c>
      <c r="F218" s="3">
        <v>0.39300000000000002</v>
      </c>
      <c r="G218" s="74">
        <f>F218*VLOOKUP(D218,GWPs!$B$3:$C$6,2,FALSE)</f>
        <v>0.39300000000000002</v>
      </c>
      <c r="H218" s="3">
        <v>8.5000000000000006E-2</v>
      </c>
      <c r="I218" s="74">
        <f>H218*VLOOKUP(D218,GWPs!$B$3:$C$6,2,FALSE)</f>
        <v>8.5000000000000006E-2</v>
      </c>
      <c r="J218" s="3">
        <v>0.47799999999999998</v>
      </c>
      <c r="K218" s="74">
        <f>J218*VLOOKUP(D218,GWPs!$B$3:$C$6,2,FALSE)</f>
        <v>0.47799999999999998</v>
      </c>
      <c r="M218" s="3">
        <v>3</v>
      </c>
      <c r="N218" s="3">
        <v>2</v>
      </c>
      <c r="O218" s="3">
        <v>1</v>
      </c>
      <c r="P218" s="3">
        <v>4</v>
      </c>
      <c r="Q218" s="3">
        <v>1</v>
      </c>
      <c r="T218" s="70" t="s">
        <v>378</v>
      </c>
      <c r="U218" s="70">
        <v>0.113</v>
      </c>
      <c r="X218" s="70" t="s">
        <v>249</v>
      </c>
      <c r="Y218" s="70">
        <v>0.83000000000000007</v>
      </c>
      <c r="AA218" s="70" t="s">
        <v>249</v>
      </c>
      <c r="AB218" s="406">
        <v>0</v>
      </c>
    </row>
    <row r="219" spans="1:28">
      <c r="A219" t="s">
        <v>1429</v>
      </c>
      <c r="B219" s="3" t="s">
        <v>417</v>
      </c>
      <c r="C219" s="3" t="s">
        <v>418</v>
      </c>
      <c r="D219" s="3" t="s">
        <v>13</v>
      </c>
      <c r="E219" s="3" t="s">
        <v>12</v>
      </c>
      <c r="F219" s="3">
        <v>4.0000000000000001E-3</v>
      </c>
      <c r="G219" s="74">
        <f>F219*VLOOKUP(D219,GWPs!$B$3:$C$6,2,FALSE)</f>
        <v>0.112</v>
      </c>
      <c r="H219" s="3">
        <v>0</v>
      </c>
      <c r="I219" s="74">
        <f>H219*VLOOKUP(D219,GWPs!$B$3:$C$6,2,FALSE)</f>
        <v>0</v>
      </c>
      <c r="J219" s="3">
        <v>4.0000000000000001E-3</v>
      </c>
      <c r="K219" s="74">
        <f>J219*VLOOKUP(D219,GWPs!$B$3:$C$6,2,FALSE)</f>
        <v>0.112</v>
      </c>
      <c r="M219" s="3">
        <v>3</v>
      </c>
      <c r="N219" s="3">
        <v>2</v>
      </c>
      <c r="O219" s="3">
        <v>1</v>
      </c>
      <c r="P219" s="3">
        <v>1</v>
      </c>
      <c r="Q219" s="3">
        <v>1</v>
      </c>
      <c r="T219" s="70" t="s">
        <v>1051</v>
      </c>
      <c r="U219" s="70">
        <v>0.20599999999999999</v>
      </c>
      <c r="X219" s="70" t="s">
        <v>710</v>
      </c>
      <c r="Y219" s="70">
        <v>3.9E-2</v>
      </c>
      <c r="AA219" s="70" t="s">
        <v>710</v>
      </c>
      <c r="AB219" s="406">
        <v>1.7999999999999999E-2</v>
      </c>
    </row>
    <row r="220" spans="1:28">
      <c r="A220" t="s">
        <v>1429</v>
      </c>
      <c r="B220" s="3" t="s">
        <v>417</v>
      </c>
      <c r="C220" s="3" t="s">
        <v>418</v>
      </c>
      <c r="D220" s="3" t="s">
        <v>14</v>
      </c>
      <c r="E220" s="3" t="s">
        <v>12</v>
      </c>
      <c r="F220" s="3">
        <v>1E-3</v>
      </c>
      <c r="G220" s="74">
        <f>F220*VLOOKUP(D220,GWPs!$B$3:$C$6,2,FALSE)</f>
        <v>0.26500000000000001</v>
      </c>
      <c r="H220" s="3">
        <v>0</v>
      </c>
      <c r="I220" s="74">
        <f>H220*VLOOKUP(D220,GWPs!$B$3:$C$6,2,FALSE)</f>
        <v>0</v>
      </c>
      <c r="J220" s="3">
        <v>1E-3</v>
      </c>
      <c r="K220" s="74">
        <f>J220*VLOOKUP(D220,GWPs!$B$3:$C$6,2,FALSE)</f>
        <v>0.26500000000000001</v>
      </c>
      <c r="M220" s="3">
        <v>4</v>
      </c>
      <c r="N220" s="3">
        <v>2</v>
      </c>
      <c r="O220" s="3">
        <v>1</v>
      </c>
      <c r="P220" s="3">
        <v>4</v>
      </c>
      <c r="Q220" s="3">
        <v>1</v>
      </c>
      <c r="T220" s="70" t="s">
        <v>249</v>
      </c>
      <c r="U220" s="70">
        <v>0.83000000000000007</v>
      </c>
      <c r="X220" s="70" t="s">
        <v>934</v>
      </c>
      <c r="Y220" s="70">
        <v>0.14799999999999999</v>
      </c>
      <c r="AA220" s="70" t="s">
        <v>934</v>
      </c>
      <c r="AB220" s="406">
        <v>0</v>
      </c>
    </row>
    <row r="221" spans="1:28">
      <c r="A221" t="s">
        <v>1429</v>
      </c>
      <c r="B221" s="3" t="s">
        <v>417</v>
      </c>
      <c r="C221" s="3" t="s">
        <v>418</v>
      </c>
      <c r="D221" s="3" t="s">
        <v>15</v>
      </c>
      <c r="E221" s="3" t="s">
        <v>16</v>
      </c>
      <c r="F221" s="3">
        <v>1.0999999999999999E-2</v>
      </c>
      <c r="G221" s="74">
        <f>F221*VLOOKUP(D221,GWPs!$B$3:$C$6,2,FALSE)</f>
        <v>1.0999999999999999E-2</v>
      </c>
      <c r="H221" s="3">
        <v>0</v>
      </c>
      <c r="I221" s="74">
        <f>H221*VLOOKUP(D221,GWPs!$B$3:$C$6,2,FALSE)</f>
        <v>0</v>
      </c>
      <c r="J221" s="3">
        <v>1.0999999999999999E-2</v>
      </c>
      <c r="K221" s="74">
        <f>J221*VLOOKUP(D221,GWPs!$B$3:$C$6,2,FALSE)</f>
        <v>1.0999999999999999E-2</v>
      </c>
      <c r="M221" s="3">
        <v>4</v>
      </c>
      <c r="N221" s="3">
        <v>2</v>
      </c>
      <c r="O221" s="3">
        <v>1</v>
      </c>
      <c r="P221" s="3">
        <v>5</v>
      </c>
      <c r="Q221" s="3">
        <v>1</v>
      </c>
      <c r="T221" s="70" t="s">
        <v>710</v>
      </c>
      <c r="U221" s="70">
        <v>5.7000000000000002E-2</v>
      </c>
      <c r="X221" s="70" t="s">
        <v>906</v>
      </c>
      <c r="Y221" s="70">
        <v>0.109</v>
      </c>
      <c r="AA221" s="70" t="s">
        <v>906</v>
      </c>
      <c r="AB221" s="406">
        <v>9.6000000000000002E-2</v>
      </c>
    </row>
    <row r="222" spans="1:28">
      <c r="A222" t="s">
        <v>1429</v>
      </c>
      <c r="B222" s="3" t="s">
        <v>419</v>
      </c>
      <c r="C222" s="3" t="s">
        <v>420</v>
      </c>
      <c r="D222" s="3" t="s">
        <v>11</v>
      </c>
      <c r="E222" s="3" t="s">
        <v>12</v>
      </c>
      <c r="F222" s="3">
        <v>0.17499999999999999</v>
      </c>
      <c r="G222" s="74">
        <f>F222*VLOOKUP(D222,GWPs!$B$3:$C$6,2,FALSE)</f>
        <v>0.17499999999999999</v>
      </c>
      <c r="H222" s="3">
        <v>3.6999999999999998E-2</v>
      </c>
      <c r="I222" s="74">
        <f>H222*VLOOKUP(D222,GWPs!$B$3:$C$6,2,FALSE)</f>
        <v>3.6999999999999998E-2</v>
      </c>
      <c r="J222" s="3">
        <v>0.21199999999999999</v>
      </c>
      <c r="K222" s="74">
        <f>J222*VLOOKUP(D222,GWPs!$B$3:$C$6,2,FALSE)</f>
        <v>0.21199999999999999</v>
      </c>
      <c r="M222" s="3">
        <v>3</v>
      </c>
      <c r="N222" s="3">
        <v>2</v>
      </c>
      <c r="O222" s="3">
        <v>1</v>
      </c>
      <c r="P222" s="3">
        <v>4</v>
      </c>
      <c r="Q222" s="3">
        <v>1</v>
      </c>
      <c r="T222" s="70" t="s">
        <v>934</v>
      </c>
      <c r="U222" s="70">
        <v>0.14799999999999999</v>
      </c>
      <c r="X222" s="70" t="s">
        <v>936</v>
      </c>
      <c r="Y222" s="70">
        <v>6.6000000000000003E-2</v>
      </c>
      <c r="AA222" s="70" t="s">
        <v>936</v>
      </c>
      <c r="AB222" s="406">
        <v>0</v>
      </c>
    </row>
    <row r="223" spans="1:28">
      <c r="A223" t="s">
        <v>1429</v>
      </c>
      <c r="B223" s="3" t="s">
        <v>419</v>
      </c>
      <c r="C223" s="3" t="s">
        <v>420</v>
      </c>
      <c r="D223" s="3" t="s">
        <v>13</v>
      </c>
      <c r="E223" s="3" t="s">
        <v>12</v>
      </c>
      <c r="F223" s="3">
        <v>1E-3</v>
      </c>
      <c r="G223" s="74">
        <f>F223*VLOOKUP(D223,GWPs!$B$3:$C$6,2,FALSE)</f>
        <v>2.8000000000000001E-2</v>
      </c>
      <c r="H223" s="3">
        <v>0</v>
      </c>
      <c r="I223" s="74">
        <f>H223*VLOOKUP(D223,GWPs!$B$3:$C$6,2,FALSE)</f>
        <v>0</v>
      </c>
      <c r="J223" s="3">
        <v>1E-3</v>
      </c>
      <c r="K223" s="74">
        <f>J223*VLOOKUP(D223,GWPs!$B$3:$C$6,2,FALSE)</f>
        <v>2.8000000000000001E-2</v>
      </c>
      <c r="M223" s="3">
        <v>3</v>
      </c>
      <c r="N223" s="3">
        <v>2</v>
      </c>
      <c r="O223" s="3">
        <v>1</v>
      </c>
      <c r="P223" s="3">
        <v>1</v>
      </c>
      <c r="Q223" s="3">
        <v>1</v>
      </c>
      <c r="T223" s="70" t="s">
        <v>906</v>
      </c>
      <c r="U223" s="70">
        <v>0.20399999999999999</v>
      </c>
      <c r="X223" s="70" t="s">
        <v>582</v>
      </c>
      <c r="Y223" s="70">
        <v>0.53100000000000003</v>
      </c>
      <c r="AA223" s="70" t="s">
        <v>582</v>
      </c>
      <c r="AB223" s="406">
        <v>3.6999999999999998E-2</v>
      </c>
    </row>
    <row r="224" spans="1:28">
      <c r="A224" t="s">
        <v>1429</v>
      </c>
      <c r="B224" s="3" t="s">
        <v>419</v>
      </c>
      <c r="C224" s="3" t="s">
        <v>420</v>
      </c>
      <c r="D224" s="3" t="s">
        <v>14</v>
      </c>
      <c r="E224" s="3" t="s">
        <v>12</v>
      </c>
      <c r="F224" s="3">
        <v>0</v>
      </c>
      <c r="G224" s="74">
        <f>F224*VLOOKUP(D224,GWPs!$B$3:$C$6,2,FALSE)</f>
        <v>0</v>
      </c>
      <c r="H224" s="3">
        <v>0</v>
      </c>
      <c r="I224" s="74">
        <f>H224*VLOOKUP(D224,GWPs!$B$3:$C$6,2,FALSE)</f>
        <v>0</v>
      </c>
      <c r="J224" s="3">
        <v>0</v>
      </c>
      <c r="K224" s="74">
        <f>J224*VLOOKUP(D224,GWPs!$B$3:$C$6,2,FALSE)</f>
        <v>0</v>
      </c>
      <c r="M224" s="3">
        <v>4</v>
      </c>
      <c r="N224" s="3">
        <v>2</v>
      </c>
      <c r="O224" s="3">
        <v>1</v>
      </c>
      <c r="P224" s="3">
        <v>4</v>
      </c>
      <c r="Q224" s="3">
        <v>1</v>
      </c>
      <c r="T224" s="70" t="s">
        <v>936</v>
      </c>
      <c r="U224" s="70">
        <v>6.6000000000000003E-2</v>
      </c>
      <c r="X224" s="70" t="s">
        <v>590</v>
      </c>
      <c r="Y224" s="70">
        <v>0.33100000000000002</v>
      </c>
      <c r="AA224" s="70" t="s">
        <v>590</v>
      </c>
      <c r="AB224" s="406">
        <v>1.7000000000000001E-2</v>
      </c>
    </row>
    <row r="225" spans="1:28">
      <c r="A225" t="s">
        <v>1429</v>
      </c>
      <c r="B225" s="3" t="s">
        <v>419</v>
      </c>
      <c r="C225" s="3" t="s">
        <v>420</v>
      </c>
      <c r="D225" s="3" t="s">
        <v>15</v>
      </c>
      <c r="E225" s="3" t="s">
        <v>16</v>
      </c>
      <c r="F225" s="3">
        <v>8.9999999999999993E-3</v>
      </c>
      <c r="G225" s="74">
        <f>F225*VLOOKUP(D225,GWPs!$B$3:$C$6,2,FALSE)</f>
        <v>8.9999999999999993E-3</v>
      </c>
      <c r="H225" s="3">
        <v>0</v>
      </c>
      <c r="I225" s="74">
        <f>H225*VLOOKUP(D225,GWPs!$B$3:$C$6,2,FALSE)</f>
        <v>0</v>
      </c>
      <c r="J225" s="3">
        <v>8.9999999999999993E-3</v>
      </c>
      <c r="K225" s="74">
        <f>J225*VLOOKUP(D225,GWPs!$B$3:$C$6,2,FALSE)</f>
        <v>8.9999999999999993E-3</v>
      </c>
      <c r="M225" s="3">
        <v>4</v>
      </c>
      <c r="N225" s="3">
        <v>2</v>
      </c>
      <c r="O225" s="3">
        <v>1</v>
      </c>
      <c r="P225" s="3">
        <v>5</v>
      </c>
      <c r="Q225" s="3">
        <v>1</v>
      </c>
      <c r="T225" s="70" t="s">
        <v>582</v>
      </c>
      <c r="U225" s="70">
        <v>0.59600000000000009</v>
      </c>
      <c r="X225" s="70" t="s">
        <v>358</v>
      </c>
      <c r="Y225" s="70">
        <v>0.48399999999999999</v>
      </c>
      <c r="AA225" s="70" t="s">
        <v>358</v>
      </c>
      <c r="AB225" s="406">
        <v>0</v>
      </c>
    </row>
    <row r="226" spans="1:28">
      <c r="A226" t="s">
        <v>1429</v>
      </c>
      <c r="B226" s="3" t="s">
        <v>421</v>
      </c>
      <c r="C226" s="3" t="s">
        <v>422</v>
      </c>
      <c r="D226" s="3" t="s">
        <v>11</v>
      </c>
      <c r="E226" s="3" t="s">
        <v>12</v>
      </c>
      <c r="F226" s="3">
        <v>0.184</v>
      </c>
      <c r="G226" s="74">
        <f>F226*VLOOKUP(D226,GWPs!$B$3:$C$6,2,FALSE)</f>
        <v>0.184</v>
      </c>
      <c r="H226" s="3">
        <v>3.9E-2</v>
      </c>
      <c r="I226" s="74">
        <f>H226*VLOOKUP(D226,GWPs!$B$3:$C$6,2,FALSE)</f>
        <v>3.9E-2</v>
      </c>
      <c r="J226" s="3">
        <v>0.222</v>
      </c>
      <c r="K226" s="74">
        <f>J226*VLOOKUP(D226,GWPs!$B$3:$C$6,2,FALSE)</f>
        <v>0.222</v>
      </c>
      <c r="M226" s="3">
        <v>3</v>
      </c>
      <c r="N226" s="3">
        <v>2</v>
      </c>
      <c r="O226" s="3">
        <v>1</v>
      </c>
      <c r="P226" s="3">
        <v>4</v>
      </c>
      <c r="Q226" s="3">
        <v>1</v>
      </c>
      <c r="T226" s="70" t="s">
        <v>590</v>
      </c>
      <c r="U226" s="70">
        <v>0.34800000000000003</v>
      </c>
      <c r="X226" s="70" t="s">
        <v>882</v>
      </c>
      <c r="Y226" s="70">
        <v>9.8000000000000004E-2</v>
      </c>
      <c r="AA226" s="70" t="s">
        <v>882</v>
      </c>
      <c r="AB226" s="406">
        <v>0</v>
      </c>
    </row>
    <row r="227" spans="1:28">
      <c r="A227" t="s">
        <v>1429</v>
      </c>
      <c r="B227" s="3" t="s">
        <v>421</v>
      </c>
      <c r="C227" s="3" t="s">
        <v>422</v>
      </c>
      <c r="D227" s="3" t="s">
        <v>13</v>
      </c>
      <c r="E227" s="3" t="s">
        <v>12</v>
      </c>
      <c r="F227" s="3">
        <v>1E-3</v>
      </c>
      <c r="G227" s="74">
        <f>F227*VLOOKUP(D227,GWPs!$B$3:$C$6,2,FALSE)</f>
        <v>2.8000000000000001E-2</v>
      </c>
      <c r="H227" s="3">
        <v>0</v>
      </c>
      <c r="I227" s="74">
        <f>H227*VLOOKUP(D227,GWPs!$B$3:$C$6,2,FALSE)</f>
        <v>0</v>
      </c>
      <c r="J227" s="3">
        <v>1E-3</v>
      </c>
      <c r="K227" s="74">
        <f>J227*VLOOKUP(D227,GWPs!$B$3:$C$6,2,FALSE)</f>
        <v>2.8000000000000001E-2</v>
      </c>
      <c r="M227" s="3">
        <v>3</v>
      </c>
      <c r="N227" s="3">
        <v>2</v>
      </c>
      <c r="O227" s="3">
        <v>1</v>
      </c>
      <c r="P227" s="3">
        <v>1</v>
      </c>
      <c r="Q227" s="3">
        <v>1</v>
      </c>
      <c r="T227" s="70" t="s">
        <v>358</v>
      </c>
      <c r="U227" s="70">
        <v>0.48399999999999999</v>
      </c>
      <c r="X227" s="70" t="s">
        <v>1033</v>
      </c>
      <c r="Y227" s="70">
        <v>0.17399999999999999</v>
      </c>
      <c r="AA227" s="70" t="s">
        <v>1033</v>
      </c>
      <c r="AB227" s="406">
        <v>0</v>
      </c>
    </row>
    <row r="228" spans="1:28">
      <c r="A228" t="s">
        <v>1429</v>
      </c>
      <c r="B228" s="3" t="s">
        <v>421</v>
      </c>
      <c r="C228" s="3" t="s">
        <v>422</v>
      </c>
      <c r="D228" s="3" t="s">
        <v>14</v>
      </c>
      <c r="E228" s="3" t="s">
        <v>12</v>
      </c>
      <c r="F228" s="3">
        <v>0</v>
      </c>
      <c r="G228" s="74">
        <f>F228*VLOOKUP(D228,GWPs!$B$3:$C$6,2,FALSE)</f>
        <v>0</v>
      </c>
      <c r="H228" s="3">
        <v>0</v>
      </c>
      <c r="I228" s="74">
        <f>H228*VLOOKUP(D228,GWPs!$B$3:$C$6,2,FALSE)</f>
        <v>0</v>
      </c>
      <c r="J228" s="3">
        <v>0</v>
      </c>
      <c r="K228" s="74">
        <f>J228*VLOOKUP(D228,GWPs!$B$3:$C$6,2,FALSE)</f>
        <v>0</v>
      </c>
      <c r="M228" s="3">
        <v>4</v>
      </c>
      <c r="N228" s="3">
        <v>2</v>
      </c>
      <c r="O228" s="3">
        <v>1</v>
      </c>
      <c r="P228" s="3">
        <v>4</v>
      </c>
      <c r="Q228" s="3">
        <v>1</v>
      </c>
      <c r="T228" s="70" t="s">
        <v>882</v>
      </c>
      <c r="U228" s="70">
        <v>9.8000000000000004E-2</v>
      </c>
      <c r="X228" s="70" t="s">
        <v>994</v>
      </c>
      <c r="Y228" s="70">
        <v>8.6000000000000007E-2</v>
      </c>
      <c r="AA228" s="70" t="s">
        <v>994</v>
      </c>
      <c r="AB228" s="406">
        <v>0</v>
      </c>
    </row>
    <row r="229" spans="1:28">
      <c r="A229" t="s">
        <v>1429</v>
      </c>
      <c r="B229" s="3" t="s">
        <v>421</v>
      </c>
      <c r="C229" s="3" t="s">
        <v>422</v>
      </c>
      <c r="D229" s="3" t="s">
        <v>15</v>
      </c>
      <c r="E229" s="3" t="s">
        <v>16</v>
      </c>
      <c r="F229" s="3">
        <v>5.0000000000000001E-3</v>
      </c>
      <c r="G229" s="74">
        <f>F229*VLOOKUP(D229,GWPs!$B$3:$C$6,2,FALSE)</f>
        <v>5.0000000000000001E-3</v>
      </c>
      <c r="H229" s="3">
        <v>0</v>
      </c>
      <c r="I229" s="74">
        <f>H229*VLOOKUP(D229,GWPs!$B$3:$C$6,2,FALSE)</f>
        <v>0</v>
      </c>
      <c r="J229" s="3">
        <v>5.0000000000000001E-3</v>
      </c>
      <c r="K229" s="74">
        <f>J229*VLOOKUP(D229,GWPs!$B$3:$C$6,2,FALSE)</f>
        <v>5.0000000000000001E-3</v>
      </c>
      <c r="M229" s="3">
        <v>3</v>
      </c>
      <c r="N229" s="3">
        <v>2</v>
      </c>
      <c r="O229" s="3">
        <v>1</v>
      </c>
      <c r="P229" s="3">
        <v>3</v>
      </c>
      <c r="Q229" s="3">
        <v>1</v>
      </c>
      <c r="T229" s="70" t="s">
        <v>1033</v>
      </c>
      <c r="U229" s="70">
        <v>0.17399999999999999</v>
      </c>
      <c r="X229" s="70" t="s">
        <v>822</v>
      </c>
      <c r="Y229" s="70">
        <v>0.28400000000000003</v>
      </c>
      <c r="AA229" s="70" t="s">
        <v>822</v>
      </c>
      <c r="AB229" s="406">
        <v>0.12</v>
      </c>
    </row>
    <row r="230" spans="1:28">
      <c r="A230" t="s">
        <v>1429</v>
      </c>
      <c r="B230" s="3" t="s">
        <v>423</v>
      </c>
      <c r="C230" s="3" t="s">
        <v>424</v>
      </c>
      <c r="D230" s="3" t="s">
        <v>11</v>
      </c>
      <c r="E230" s="3" t="s">
        <v>12</v>
      </c>
      <c r="F230" s="3">
        <v>8.5000000000000006E-2</v>
      </c>
      <c r="G230" s="74">
        <f>F230*VLOOKUP(D230,GWPs!$B$3:$C$6,2,FALSE)</f>
        <v>8.5000000000000006E-2</v>
      </c>
      <c r="H230" s="3">
        <v>8.9999999999999993E-3</v>
      </c>
      <c r="I230" s="74">
        <f>H230*VLOOKUP(D230,GWPs!$B$3:$C$6,2,FALSE)</f>
        <v>8.9999999999999993E-3</v>
      </c>
      <c r="J230" s="3">
        <v>9.4E-2</v>
      </c>
      <c r="K230" s="74">
        <f>J230*VLOOKUP(D230,GWPs!$B$3:$C$6,2,FALSE)</f>
        <v>9.4E-2</v>
      </c>
      <c r="M230" s="3">
        <v>3</v>
      </c>
      <c r="N230" s="3">
        <v>2</v>
      </c>
      <c r="O230" s="3">
        <v>1</v>
      </c>
      <c r="P230" s="3">
        <v>4</v>
      </c>
      <c r="Q230" s="3">
        <v>1</v>
      </c>
      <c r="T230" s="70" t="s">
        <v>994</v>
      </c>
      <c r="U230" s="70">
        <v>8.6000000000000007E-2</v>
      </c>
      <c r="X230" s="70" t="s">
        <v>842</v>
      </c>
      <c r="Y230" s="70">
        <v>0.28400000000000003</v>
      </c>
      <c r="AA230" s="70" t="s">
        <v>842</v>
      </c>
      <c r="AB230" s="406">
        <v>0.24</v>
      </c>
    </row>
    <row r="231" spans="1:28">
      <c r="A231" t="s">
        <v>1429</v>
      </c>
      <c r="B231" s="3" t="s">
        <v>423</v>
      </c>
      <c r="C231" s="3" t="s">
        <v>424</v>
      </c>
      <c r="D231" s="3" t="s">
        <v>13</v>
      </c>
      <c r="E231" s="3" t="s">
        <v>12</v>
      </c>
      <c r="F231" s="3">
        <v>1E-3</v>
      </c>
      <c r="G231" s="74">
        <f>F231*VLOOKUP(D231,GWPs!$B$3:$C$6,2,FALSE)</f>
        <v>2.8000000000000001E-2</v>
      </c>
      <c r="H231" s="3">
        <v>0</v>
      </c>
      <c r="I231" s="74">
        <f>H231*VLOOKUP(D231,GWPs!$B$3:$C$6,2,FALSE)</f>
        <v>0</v>
      </c>
      <c r="J231" s="3">
        <v>1E-3</v>
      </c>
      <c r="K231" s="74">
        <f>J231*VLOOKUP(D231,GWPs!$B$3:$C$6,2,FALSE)</f>
        <v>2.8000000000000001E-2</v>
      </c>
      <c r="M231" s="3">
        <v>3</v>
      </c>
      <c r="N231" s="3">
        <v>2</v>
      </c>
      <c r="O231" s="3">
        <v>1</v>
      </c>
      <c r="P231" s="3">
        <v>1</v>
      </c>
      <c r="Q231" s="3">
        <v>1</v>
      </c>
      <c r="T231" s="70" t="s">
        <v>822</v>
      </c>
      <c r="U231" s="70">
        <v>0.40400000000000003</v>
      </c>
      <c r="X231" s="70" t="s">
        <v>832</v>
      </c>
      <c r="Y231" s="70">
        <v>0.12</v>
      </c>
      <c r="AA231" s="70" t="s">
        <v>832</v>
      </c>
      <c r="AB231" s="406">
        <v>0.26100000000000001</v>
      </c>
    </row>
    <row r="232" spans="1:28">
      <c r="A232" t="s">
        <v>1429</v>
      </c>
      <c r="B232" s="3" t="s">
        <v>423</v>
      </c>
      <c r="C232" s="3" t="s">
        <v>424</v>
      </c>
      <c r="D232" s="3" t="s">
        <v>14</v>
      </c>
      <c r="E232" s="3" t="s">
        <v>12</v>
      </c>
      <c r="F232" s="3">
        <v>0</v>
      </c>
      <c r="G232" s="74">
        <f>F232*VLOOKUP(D232,GWPs!$B$3:$C$6,2,FALSE)</f>
        <v>0</v>
      </c>
      <c r="H232" s="3">
        <v>0</v>
      </c>
      <c r="I232" s="74">
        <f>H232*VLOOKUP(D232,GWPs!$B$3:$C$6,2,FALSE)</f>
        <v>0</v>
      </c>
      <c r="J232" s="3">
        <v>0</v>
      </c>
      <c r="K232" s="74">
        <f>J232*VLOOKUP(D232,GWPs!$B$3:$C$6,2,FALSE)</f>
        <v>0</v>
      </c>
      <c r="M232" s="3">
        <v>4</v>
      </c>
      <c r="N232" s="3">
        <v>2</v>
      </c>
      <c r="O232" s="3">
        <v>1</v>
      </c>
      <c r="P232" s="3">
        <v>4</v>
      </c>
      <c r="Q232" s="3">
        <v>1</v>
      </c>
      <c r="T232" s="70" t="s">
        <v>842</v>
      </c>
      <c r="U232" s="70">
        <v>0.52400000000000002</v>
      </c>
      <c r="X232" s="70" t="s">
        <v>644</v>
      </c>
      <c r="Y232" s="70">
        <v>0.123</v>
      </c>
      <c r="AA232" s="70" t="s">
        <v>644</v>
      </c>
      <c r="AB232" s="406">
        <v>9.1999999999999998E-2</v>
      </c>
    </row>
    <row r="233" spans="1:28">
      <c r="A233" t="s">
        <v>1429</v>
      </c>
      <c r="B233" s="3" t="s">
        <v>423</v>
      </c>
      <c r="C233" s="3" t="s">
        <v>424</v>
      </c>
      <c r="D233" s="3" t="s">
        <v>15</v>
      </c>
      <c r="E233" s="3" t="s">
        <v>16</v>
      </c>
      <c r="F233" s="3">
        <v>7.0000000000000001E-3</v>
      </c>
      <c r="G233" s="74">
        <f>F233*VLOOKUP(D233,GWPs!$B$3:$C$6,2,FALSE)</f>
        <v>7.0000000000000001E-3</v>
      </c>
      <c r="H233" s="3">
        <v>0</v>
      </c>
      <c r="I233" s="74">
        <f>H233*VLOOKUP(D233,GWPs!$B$3:$C$6,2,FALSE)</f>
        <v>0</v>
      </c>
      <c r="J233" s="3">
        <v>7.0000000000000001E-3</v>
      </c>
      <c r="K233" s="74">
        <f>J233*VLOOKUP(D233,GWPs!$B$3:$C$6,2,FALSE)</f>
        <v>7.0000000000000001E-3</v>
      </c>
      <c r="M233" s="3">
        <v>3</v>
      </c>
      <c r="N233" s="3">
        <v>2</v>
      </c>
      <c r="O233" s="3">
        <v>1</v>
      </c>
      <c r="P233" s="3">
        <v>3</v>
      </c>
      <c r="Q233" s="3">
        <v>1</v>
      </c>
      <c r="T233" s="70" t="s">
        <v>832</v>
      </c>
      <c r="U233" s="70">
        <v>0.38100000000000001</v>
      </c>
      <c r="X233" s="70" t="s">
        <v>793</v>
      </c>
      <c r="Y233" s="70">
        <v>6.6000000000000003E-2</v>
      </c>
      <c r="AA233" s="70" t="s">
        <v>793</v>
      </c>
      <c r="AB233" s="406">
        <v>5.0000000000000001E-3</v>
      </c>
    </row>
    <row r="234" spans="1:28">
      <c r="A234" t="s">
        <v>1429</v>
      </c>
      <c r="B234" s="3" t="s">
        <v>425</v>
      </c>
      <c r="C234" s="3" t="s">
        <v>426</v>
      </c>
      <c r="D234" s="3" t="s">
        <v>11</v>
      </c>
      <c r="E234" s="3" t="s">
        <v>12</v>
      </c>
      <c r="F234" s="3">
        <v>0.159</v>
      </c>
      <c r="G234" s="74">
        <f>F234*VLOOKUP(D234,GWPs!$B$3:$C$6,2,FALSE)</f>
        <v>0.159</v>
      </c>
      <c r="H234" s="3">
        <v>0.03</v>
      </c>
      <c r="I234" s="74">
        <f>H234*VLOOKUP(D234,GWPs!$B$3:$C$6,2,FALSE)</f>
        <v>0.03</v>
      </c>
      <c r="J234" s="3">
        <v>0.189</v>
      </c>
      <c r="K234" s="74">
        <f>J234*VLOOKUP(D234,GWPs!$B$3:$C$6,2,FALSE)</f>
        <v>0.189</v>
      </c>
      <c r="M234" s="3">
        <v>3</v>
      </c>
      <c r="N234" s="3">
        <v>2</v>
      </c>
      <c r="O234" s="3">
        <v>1</v>
      </c>
      <c r="P234" s="3">
        <v>4</v>
      </c>
      <c r="Q234" s="3">
        <v>1</v>
      </c>
      <c r="T234" s="70" t="s">
        <v>644</v>
      </c>
      <c r="U234" s="70">
        <v>0.214</v>
      </c>
      <c r="X234" s="70" t="s">
        <v>384</v>
      </c>
      <c r="Y234" s="70">
        <v>0.56100000000000005</v>
      </c>
      <c r="AA234" s="70" t="s">
        <v>384</v>
      </c>
      <c r="AB234" s="406">
        <v>3.4000000000000002E-2</v>
      </c>
    </row>
    <row r="235" spans="1:28">
      <c r="A235" t="s">
        <v>1429</v>
      </c>
      <c r="B235" s="3" t="s">
        <v>425</v>
      </c>
      <c r="C235" s="3" t="s">
        <v>426</v>
      </c>
      <c r="D235" s="3" t="s">
        <v>13</v>
      </c>
      <c r="E235" s="3" t="s">
        <v>12</v>
      </c>
      <c r="F235" s="3">
        <v>2E-3</v>
      </c>
      <c r="G235" s="74">
        <f>F235*VLOOKUP(D235,GWPs!$B$3:$C$6,2,FALSE)</f>
        <v>5.6000000000000001E-2</v>
      </c>
      <c r="H235" s="3">
        <v>0</v>
      </c>
      <c r="I235" s="74">
        <f>H235*VLOOKUP(D235,GWPs!$B$3:$C$6,2,FALSE)</f>
        <v>0</v>
      </c>
      <c r="J235" s="3">
        <v>2E-3</v>
      </c>
      <c r="K235" s="74">
        <f>J235*VLOOKUP(D235,GWPs!$B$3:$C$6,2,FALSE)</f>
        <v>5.6000000000000001E-2</v>
      </c>
      <c r="M235" s="3">
        <v>3</v>
      </c>
      <c r="N235" s="3">
        <v>2</v>
      </c>
      <c r="O235" s="3">
        <v>1</v>
      </c>
      <c r="P235" s="3">
        <v>1</v>
      </c>
      <c r="Q235" s="3">
        <v>1</v>
      </c>
      <c r="T235" s="70" t="s">
        <v>793</v>
      </c>
      <c r="U235" s="70">
        <v>7.1000000000000008E-2</v>
      </c>
      <c r="X235" s="70" t="s">
        <v>498</v>
      </c>
      <c r="Y235" s="70">
        <v>0.76200000000000001</v>
      </c>
      <c r="AA235" s="70" t="s">
        <v>498</v>
      </c>
      <c r="AB235" s="406">
        <v>0.104</v>
      </c>
    </row>
    <row r="236" spans="1:28">
      <c r="A236" t="s">
        <v>1429</v>
      </c>
      <c r="B236" s="3" t="s">
        <v>425</v>
      </c>
      <c r="C236" s="3" t="s">
        <v>426</v>
      </c>
      <c r="D236" s="3" t="s">
        <v>14</v>
      </c>
      <c r="E236" s="3" t="s">
        <v>12</v>
      </c>
      <c r="F236" s="3">
        <v>0</v>
      </c>
      <c r="G236" s="74">
        <f>F236*VLOOKUP(D236,GWPs!$B$3:$C$6,2,FALSE)</f>
        <v>0</v>
      </c>
      <c r="H236" s="3">
        <v>0</v>
      </c>
      <c r="I236" s="74">
        <f>H236*VLOOKUP(D236,GWPs!$B$3:$C$6,2,FALSE)</f>
        <v>0</v>
      </c>
      <c r="J236" s="3">
        <v>0</v>
      </c>
      <c r="K236" s="74">
        <f>J236*VLOOKUP(D236,GWPs!$B$3:$C$6,2,FALSE)</f>
        <v>0</v>
      </c>
      <c r="M236" s="3">
        <v>4</v>
      </c>
      <c r="N236" s="3">
        <v>2</v>
      </c>
      <c r="O236" s="3">
        <v>1</v>
      </c>
      <c r="P236" s="3">
        <v>4</v>
      </c>
      <c r="Q236" s="3">
        <v>1</v>
      </c>
      <c r="T236" s="70" t="s">
        <v>384</v>
      </c>
      <c r="U236" s="70">
        <v>0.59500000000000008</v>
      </c>
      <c r="X236" s="70" t="s">
        <v>500</v>
      </c>
      <c r="Y236" s="70">
        <v>1.4870000000000003</v>
      </c>
      <c r="AA236" s="70" t="s">
        <v>500</v>
      </c>
      <c r="AB236" s="406">
        <v>3.1E-2</v>
      </c>
    </row>
    <row r="237" spans="1:28">
      <c r="A237" t="s">
        <v>1429</v>
      </c>
      <c r="B237" s="3" t="s">
        <v>425</v>
      </c>
      <c r="C237" s="3" t="s">
        <v>426</v>
      </c>
      <c r="D237" s="3" t="s">
        <v>15</v>
      </c>
      <c r="E237" s="3" t="s">
        <v>16</v>
      </c>
      <c r="F237" s="3">
        <v>7.0000000000000001E-3</v>
      </c>
      <c r="G237" s="74">
        <f>F237*VLOOKUP(D237,GWPs!$B$3:$C$6,2,FALSE)</f>
        <v>7.0000000000000001E-3</v>
      </c>
      <c r="H237" s="3">
        <v>0</v>
      </c>
      <c r="I237" s="74">
        <f>H237*VLOOKUP(D237,GWPs!$B$3:$C$6,2,FALSE)</f>
        <v>0</v>
      </c>
      <c r="J237" s="3">
        <v>7.0000000000000001E-3</v>
      </c>
      <c r="K237" s="74">
        <f>J237*VLOOKUP(D237,GWPs!$B$3:$C$6,2,FALSE)</f>
        <v>7.0000000000000001E-3</v>
      </c>
      <c r="M237" s="3">
        <v>4</v>
      </c>
      <c r="N237" s="3">
        <v>2</v>
      </c>
      <c r="O237" s="3">
        <v>1</v>
      </c>
      <c r="P237" s="3">
        <v>4</v>
      </c>
      <c r="Q237" s="3">
        <v>1</v>
      </c>
      <c r="T237" s="70" t="s">
        <v>498</v>
      </c>
      <c r="U237" s="70">
        <v>0.83899999999999997</v>
      </c>
      <c r="X237" s="70" t="s">
        <v>648</v>
      </c>
      <c r="Y237" s="70">
        <v>0.36799999999999999</v>
      </c>
      <c r="AA237" s="70" t="s">
        <v>648</v>
      </c>
      <c r="AB237" s="406">
        <v>0.128</v>
      </c>
    </row>
    <row r="238" spans="1:28">
      <c r="A238" t="s">
        <v>1430</v>
      </c>
      <c r="B238" s="3" t="s">
        <v>427</v>
      </c>
      <c r="C238" s="3" t="s">
        <v>428</v>
      </c>
      <c r="D238" s="3" t="s">
        <v>11</v>
      </c>
      <c r="E238" s="3" t="s">
        <v>12</v>
      </c>
      <c r="F238" s="3">
        <v>0.14899999999999999</v>
      </c>
      <c r="G238" s="74">
        <f>F238*VLOOKUP(D238,GWPs!$B$3:$C$6,2,FALSE)</f>
        <v>0.14899999999999999</v>
      </c>
      <c r="H238" s="3">
        <v>3.7999999999999999E-2</v>
      </c>
      <c r="I238" s="74">
        <f>H238*VLOOKUP(D238,GWPs!$B$3:$C$6,2,FALSE)</f>
        <v>3.7999999999999999E-2</v>
      </c>
      <c r="J238" s="3">
        <v>0.188</v>
      </c>
      <c r="K238" s="74">
        <f>J238*VLOOKUP(D238,GWPs!$B$3:$C$6,2,FALSE)</f>
        <v>0.188</v>
      </c>
      <c r="M238" s="3">
        <v>3</v>
      </c>
      <c r="N238" s="3">
        <v>2</v>
      </c>
      <c r="O238" s="3">
        <v>1</v>
      </c>
      <c r="P238" s="3">
        <v>4</v>
      </c>
      <c r="Q238" s="3">
        <v>1</v>
      </c>
      <c r="T238" s="70" t="s">
        <v>500</v>
      </c>
      <c r="U238" s="70">
        <v>1.518</v>
      </c>
      <c r="X238" s="70" t="s">
        <v>976</v>
      </c>
      <c r="Y238" s="70">
        <v>7.0000000000000007E-2</v>
      </c>
      <c r="AA238" s="70" t="s">
        <v>976</v>
      </c>
      <c r="AB238" s="406">
        <v>0</v>
      </c>
    </row>
    <row r="239" spans="1:28">
      <c r="A239" t="s">
        <v>1430</v>
      </c>
      <c r="B239" s="3" t="s">
        <v>427</v>
      </c>
      <c r="C239" s="3" t="s">
        <v>428</v>
      </c>
      <c r="D239" s="3" t="s">
        <v>13</v>
      </c>
      <c r="E239" s="3" t="s">
        <v>12</v>
      </c>
      <c r="F239" s="3">
        <v>2E-3</v>
      </c>
      <c r="G239" s="74">
        <f>F239*VLOOKUP(D239,GWPs!$B$3:$C$6,2,FALSE)</f>
        <v>5.6000000000000001E-2</v>
      </c>
      <c r="H239" s="3">
        <v>0</v>
      </c>
      <c r="I239" s="74">
        <f>H239*VLOOKUP(D239,GWPs!$B$3:$C$6,2,FALSE)</f>
        <v>0</v>
      </c>
      <c r="J239" s="3">
        <v>2E-3</v>
      </c>
      <c r="K239" s="74">
        <f>J239*VLOOKUP(D239,GWPs!$B$3:$C$6,2,FALSE)</f>
        <v>5.6000000000000001E-2</v>
      </c>
      <c r="M239" s="3">
        <v>3</v>
      </c>
      <c r="N239" s="3">
        <v>2</v>
      </c>
      <c r="O239" s="3">
        <v>1</v>
      </c>
      <c r="P239" s="3">
        <v>1</v>
      </c>
      <c r="Q239" s="3">
        <v>1</v>
      </c>
      <c r="T239" s="70" t="s">
        <v>648</v>
      </c>
      <c r="U239" s="70">
        <v>0.496</v>
      </c>
      <c r="X239" s="70" t="s">
        <v>560</v>
      </c>
      <c r="Y239" s="70">
        <v>0.39700000000000002</v>
      </c>
      <c r="AA239" s="70" t="s">
        <v>560</v>
      </c>
      <c r="AB239" s="406">
        <v>8.5000000000000006E-2</v>
      </c>
    </row>
    <row r="240" spans="1:28">
      <c r="A240" t="s">
        <v>1430</v>
      </c>
      <c r="B240" s="3" t="s">
        <v>427</v>
      </c>
      <c r="C240" s="3" t="s">
        <v>428</v>
      </c>
      <c r="D240" s="3" t="s">
        <v>14</v>
      </c>
      <c r="E240" s="3" t="s">
        <v>12</v>
      </c>
      <c r="F240" s="3">
        <v>0</v>
      </c>
      <c r="G240" s="74">
        <f>F240*VLOOKUP(D240,GWPs!$B$3:$C$6,2,FALSE)</f>
        <v>0</v>
      </c>
      <c r="H240" s="3">
        <v>0</v>
      </c>
      <c r="I240" s="74">
        <f>H240*VLOOKUP(D240,GWPs!$B$3:$C$6,2,FALSE)</f>
        <v>0</v>
      </c>
      <c r="J240" s="3">
        <v>0</v>
      </c>
      <c r="K240" s="74">
        <f>J240*VLOOKUP(D240,GWPs!$B$3:$C$6,2,FALSE)</f>
        <v>0</v>
      </c>
      <c r="M240" s="3">
        <v>4</v>
      </c>
      <c r="N240" s="3">
        <v>2</v>
      </c>
      <c r="O240" s="3">
        <v>1</v>
      </c>
      <c r="P240" s="3">
        <v>4</v>
      </c>
      <c r="Q240" s="3">
        <v>1</v>
      </c>
      <c r="T240" s="70" t="s">
        <v>976</v>
      </c>
      <c r="U240" s="70">
        <v>7.0000000000000007E-2</v>
      </c>
      <c r="X240" s="70" t="s">
        <v>858</v>
      </c>
      <c r="Y240" s="70">
        <v>0.20599999999999999</v>
      </c>
      <c r="AA240" s="70" t="s">
        <v>858</v>
      </c>
      <c r="AB240" s="406">
        <v>0</v>
      </c>
    </row>
    <row r="241" spans="1:28">
      <c r="A241" t="s">
        <v>1430</v>
      </c>
      <c r="B241" s="3" t="s">
        <v>427</v>
      </c>
      <c r="C241" s="3" t="s">
        <v>428</v>
      </c>
      <c r="D241" s="3" t="s">
        <v>15</v>
      </c>
      <c r="E241" s="3" t="s">
        <v>16</v>
      </c>
      <c r="F241" s="3">
        <v>6.0000000000000001E-3</v>
      </c>
      <c r="G241" s="74">
        <f>F241*VLOOKUP(D241,GWPs!$B$3:$C$6,2,FALSE)</f>
        <v>6.0000000000000001E-3</v>
      </c>
      <c r="H241" s="3">
        <v>0</v>
      </c>
      <c r="I241" s="74">
        <f>H241*VLOOKUP(D241,GWPs!$B$3:$C$6,2,FALSE)</f>
        <v>0</v>
      </c>
      <c r="J241" s="3">
        <v>6.0000000000000001E-3</v>
      </c>
      <c r="K241" s="74">
        <f>J241*VLOOKUP(D241,GWPs!$B$3:$C$6,2,FALSE)</f>
        <v>6.0000000000000001E-3</v>
      </c>
      <c r="M241" s="3">
        <v>4</v>
      </c>
      <c r="N241" s="3">
        <v>2</v>
      </c>
      <c r="O241" s="3">
        <v>1</v>
      </c>
      <c r="P241" s="3">
        <v>4</v>
      </c>
      <c r="Q241" s="3">
        <v>1</v>
      </c>
      <c r="T241" s="70" t="s">
        <v>560</v>
      </c>
      <c r="U241" s="70">
        <v>0.48199999999999998</v>
      </c>
      <c r="X241" s="70" t="s">
        <v>1016</v>
      </c>
      <c r="Y241" s="70">
        <v>0.152</v>
      </c>
      <c r="AA241" s="70" t="s">
        <v>1016</v>
      </c>
      <c r="AB241" s="406">
        <v>0</v>
      </c>
    </row>
    <row r="242" spans="1:28">
      <c r="A242" t="s">
        <v>1429</v>
      </c>
      <c r="B242" s="3" t="s">
        <v>429</v>
      </c>
      <c r="C242" s="3" t="s">
        <v>430</v>
      </c>
      <c r="D242" s="3" t="s">
        <v>11</v>
      </c>
      <c r="E242" s="3" t="s">
        <v>12</v>
      </c>
      <c r="F242" s="3">
        <v>0.20499999999999999</v>
      </c>
      <c r="G242" s="74">
        <f>F242*VLOOKUP(D242,GWPs!$B$3:$C$6,2,FALSE)</f>
        <v>0.20499999999999999</v>
      </c>
      <c r="H242" s="3">
        <v>4.2999999999999997E-2</v>
      </c>
      <c r="I242" s="74">
        <f>H242*VLOOKUP(D242,GWPs!$B$3:$C$6,2,FALSE)</f>
        <v>4.2999999999999997E-2</v>
      </c>
      <c r="J242" s="3">
        <v>0.248</v>
      </c>
      <c r="K242" s="74">
        <f>J242*VLOOKUP(D242,GWPs!$B$3:$C$6,2,FALSE)</f>
        <v>0.248</v>
      </c>
      <c r="M242" s="3">
        <v>3</v>
      </c>
      <c r="N242" s="3">
        <v>2</v>
      </c>
      <c r="O242" s="3">
        <v>1</v>
      </c>
      <c r="P242" s="3">
        <v>3</v>
      </c>
      <c r="Q242" s="3">
        <v>1</v>
      </c>
      <c r="T242" s="70" t="s">
        <v>858</v>
      </c>
      <c r="U242" s="70">
        <v>0.20599999999999999</v>
      </c>
      <c r="X242" s="70" t="s">
        <v>670</v>
      </c>
      <c r="Y242" s="70">
        <v>0.252</v>
      </c>
      <c r="AA242" s="70" t="s">
        <v>670</v>
      </c>
      <c r="AB242" s="406">
        <v>3.9E-2</v>
      </c>
    </row>
    <row r="243" spans="1:28">
      <c r="A243" t="s">
        <v>1429</v>
      </c>
      <c r="B243" s="3" t="s">
        <v>429</v>
      </c>
      <c r="C243" s="3" t="s">
        <v>430</v>
      </c>
      <c r="D243" s="3" t="s">
        <v>13</v>
      </c>
      <c r="E243" s="3" t="s">
        <v>12</v>
      </c>
      <c r="F243" s="3">
        <v>1E-3</v>
      </c>
      <c r="G243" s="74">
        <f>F243*VLOOKUP(D243,GWPs!$B$3:$C$6,2,FALSE)</f>
        <v>2.8000000000000001E-2</v>
      </c>
      <c r="H243" s="3">
        <v>0</v>
      </c>
      <c r="I243" s="74">
        <f>H243*VLOOKUP(D243,GWPs!$B$3:$C$6,2,FALSE)</f>
        <v>0</v>
      </c>
      <c r="J243" s="3">
        <v>1E-3</v>
      </c>
      <c r="K243" s="74">
        <f>J243*VLOOKUP(D243,GWPs!$B$3:$C$6,2,FALSE)</f>
        <v>2.8000000000000001E-2</v>
      </c>
      <c r="M243" s="3">
        <v>3</v>
      </c>
      <c r="N243" s="3">
        <v>2</v>
      </c>
      <c r="O243" s="3">
        <v>1</v>
      </c>
      <c r="P243" s="3">
        <v>1</v>
      </c>
      <c r="Q243" s="3">
        <v>1</v>
      </c>
      <c r="T243" s="70" t="s">
        <v>1016</v>
      </c>
      <c r="U243" s="70">
        <v>0.152</v>
      </c>
      <c r="X243" s="70" t="s">
        <v>628</v>
      </c>
      <c r="Y243" s="70">
        <v>0.37000000000000005</v>
      </c>
      <c r="AA243" s="70" t="s">
        <v>628</v>
      </c>
      <c r="AB243" s="406">
        <v>7.0000000000000007E-2</v>
      </c>
    </row>
    <row r="244" spans="1:28">
      <c r="A244" t="s">
        <v>1429</v>
      </c>
      <c r="B244" s="3" t="s">
        <v>429</v>
      </c>
      <c r="C244" s="3" t="s">
        <v>430</v>
      </c>
      <c r="D244" s="3" t="s">
        <v>14</v>
      </c>
      <c r="E244" s="3" t="s">
        <v>12</v>
      </c>
      <c r="F244" s="3">
        <v>0</v>
      </c>
      <c r="G244" s="74">
        <f>F244*VLOOKUP(D244,GWPs!$B$3:$C$6,2,FALSE)</f>
        <v>0</v>
      </c>
      <c r="H244" s="3">
        <v>0</v>
      </c>
      <c r="I244" s="74">
        <f>H244*VLOOKUP(D244,GWPs!$B$3:$C$6,2,FALSE)</f>
        <v>0</v>
      </c>
      <c r="J244" s="3">
        <v>0</v>
      </c>
      <c r="K244" s="74">
        <f>J244*VLOOKUP(D244,GWPs!$B$3:$C$6,2,FALSE)</f>
        <v>0</v>
      </c>
      <c r="M244" s="3">
        <v>4</v>
      </c>
      <c r="N244" s="3">
        <v>2</v>
      </c>
      <c r="O244" s="3">
        <v>1</v>
      </c>
      <c r="P244" s="3">
        <v>4</v>
      </c>
      <c r="Q244" s="3">
        <v>1</v>
      </c>
      <c r="T244" s="70" t="s">
        <v>670</v>
      </c>
      <c r="U244" s="70">
        <v>0.29100000000000004</v>
      </c>
      <c r="X244" s="70" t="s">
        <v>818</v>
      </c>
      <c r="Y244" s="70">
        <v>0.36100000000000004</v>
      </c>
      <c r="AA244" s="70" t="s">
        <v>818</v>
      </c>
      <c r="AB244" s="406">
        <v>0.54600000000000004</v>
      </c>
    </row>
    <row r="245" spans="1:28">
      <c r="A245" t="s">
        <v>1429</v>
      </c>
      <c r="B245" s="3" t="s">
        <v>429</v>
      </c>
      <c r="C245" s="3" t="s">
        <v>430</v>
      </c>
      <c r="D245" s="3" t="s">
        <v>15</v>
      </c>
      <c r="E245" s="3" t="s">
        <v>16</v>
      </c>
      <c r="F245" s="3">
        <v>2.4E-2</v>
      </c>
      <c r="G245" s="74">
        <f>F245*VLOOKUP(D245,GWPs!$B$3:$C$6,2,FALSE)</f>
        <v>2.4E-2</v>
      </c>
      <c r="H245" s="3">
        <v>0</v>
      </c>
      <c r="I245" s="74">
        <f>H245*VLOOKUP(D245,GWPs!$B$3:$C$6,2,FALSE)</f>
        <v>0</v>
      </c>
      <c r="J245" s="3">
        <v>2.4E-2</v>
      </c>
      <c r="K245" s="74">
        <f>J245*VLOOKUP(D245,GWPs!$B$3:$C$6,2,FALSE)</f>
        <v>2.4E-2</v>
      </c>
      <c r="M245" s="3">
        <v>3</v>
      </c>
      <c r="N245" s="3">
        <v>2</v>
      </c>
      <c r="O245" s="3">
        <v>1</v>
      </c>
      <c r="P245" s="3">
        <v>3</v>
      </c>
      <c r="Q245" s="3">
        <v>1</v>
      </c>
      <c r="T245" s="70" t="s">
        <v>628</v>
      </c>
      <c r="U245" s="70">
        <v>0.46900000000000003</v>
      </c>
      <c r="X245" s="70" t="s">
        <v>760</v>
      </c>
      <c r="Y245" s="70">
        <v>0.19</v>
      </c>
      <c r="AA245" s="70" t="s">
        <v>760</v>
      </c>
      <c r="AB245" s="406">
        <v>5.5E-2</v>
      </c>
    </row>
    <row r="246" spans="1:28">
      <c r="A246" t="s">
        <v>1429</v>
      </c>
      <c r="B246" s="3" t="s">
        <v>431</v>
      </c>
      <c r="C246" s="3" t="s">
        <v>432</v>
      </c>
      <c r="D246" s="3" t="s">
        <v>11</v>
      </c>
      <c r="E246" s="3" t="s">
        <v>12</v>
      </c>
      <c r="F246" s="3">
        <v>0.25900000000000001</v>
      </c>
      <c r="G246" s="74">
        <f>F246*VLOOKUP(D246,GWPs!$B$3:$C$6,2,FALSE)</f>
        <v>0.25900000000000001</v>
      </c>
      <c r="H246" s="3">
        <v>9.9000000000000005E-2</v>
      </c>
      <c r="I246" s="74">
        <f>H246*VLOOKUP(D246,GWPs!$B$3:$C$6,2,FALSE)</f>
        <v>9.9000000000000005E-2</v>
      </c>
      <c r="J246" s="3">
        <v>0.35899999999999999</v>
      </c>
      <c r="K246" s="74">
        <f>J246*VLOOKUP(D246,GWPs!$B$3:$C$6,2,FALSE)</f>
        <v>0.35899999999999999</v>
      </c>
      <c r="M246" s="3">
        <v>3</v>
      </c>
      <c r="N246" s="3">
        <v>2</v>
      </c>
      <c r="O246" s="3">
        <v>1</v>
      </c>
      <c r="P246" s="3">
        <v>4</v>
      </c>
      <c r="Q246" s="3">
        <v>1</v>
      </c>
      <c r="T246" s="70" t="s">
        <v>818</v>
      </c>
      <c r="U246" s="70">
        <v>0.90800000000000003</v>
      </c>
      <c r="X246" s="70" t="s">
        <v>866</v>
      </c>
      <c r="Y246" s="70">
        <v>0.20100000000000001</v>
      </c>
      <c r="AA246" s="70" t="s">
        <v>866</v>
      </c>
      <c r="AB246" s="406">
        <v>0</v>
      </c>
    </row>
    <row r="247" spans="1:28">
      <c r="A247" t="s">
        <v>1429</v>
      </c>
      <c r="B247" s="3" t="s">
        <v>431</v>
      </c>
      <c r="C247" s="3" t="s">
        <v>432</v>
      </c>
      <c r="D247" s="3" t="s">
        <v>13</v>
      </c>
      <c r="E247" s="3" t="s">
        <v>12</v>
      </c>
      <c r="F247" s="3">
        <v>1E-3</v>
      </c>
      <c r="G247" s="74">
        <f>F247*VLOOKUP(D247,GWPs!$B$3:$C$6,2,FALSE)</f>
        <v>2.8000000000000001E-2</v>
      </c>
      <c r="H247" s="3">
        <v>1E-3</v>
      </c>
      <c r="I247" s="74">
        <f>H247*VLOOKUP(D247,GWPs!$B$3:$C$6,2,FALSE)</f>
        <v>2.8000000000000001E-2</v>
      </c>
      <c r="J247" s="3">
        <v>2E-3</v>
      </c>
      <c r="K247" s="74">
        <f>J247*VLOOKUP(D247,GWPs!$B$3:$C$6,2,FALSE)</f>
        <v>5.6000000000000001E-2</v>
      </c>
      <c r="M247" s="3">
        <v>3</v>
      </c>
      <c r="N247" s="3">
        <v>2</v>
      </c>
      <c r="O247" s="3">
        <v>1</v>
      </c>
      <c r="P247" s="3">
        <v>1</v>
      </c>
      <c r="Q247" s="3">
        <v>1</v>
      </c>
      <c r="T247" s="70" t="s">
        <v>760</v>
      </c>
      <c r="U247" s="70">
        <v>0.245</v>
      </c>
      <c r="X247" s="70" t="s">
        <v>572</v>
      </c>
      <c r="Y247" s="70">
        <v>0.75</v>
      </c>
      <c r="AA247" s="70" t="s">
        <v>572</v>
      </c>
      <c r="AB247" s="406">
        <v>0.104</v>
      </c>
    </row>
    <row r="248" spans="1:28">
      <c r="A248" t="s">
        <v>1429</v>
      </c>
      <c r="B248" s="3" t="s">
        <v>431</v>
      </c>
      <c r="C248" s="3" t="s">
        <v>432</v>
      </c>
      <c r="D248" s="3" t="s">
        <v>14</v>
      </c>
      <c r="E248" s="3" t="s">
        <v>12</v>
      </c>
      <c r="F248" s="3">
        <v>0</v>
      </c>
      <c r="G248" s="74">
        <f>F248*VLOOKUP(D248,GWPs!$B$3:$C$6,2,FALSE)</f>
        <v>0</v>
      </c>
      <c r="H248" s="3">
        <v>0</v>
      </c>
      <c r="I248" s="74">
        <f>H248*VLOOKUP(D248,GWPs!$B$3:$C$6,2,FALSE)</f>
        <v>0</v>
      </c>
      <c r="J248" s="3">
        <v>0</v>
      </c>
      <c r="K248" s="74">
        <f>J248*VLOOKUP(D248,GWPs!$B$3:$C$6,2,FALSE)</f>
        <v>0</v>
      </c>
      <c r="M248" s="3">
        <v>4</v>
      </c>
      <c r="N248" s="3">
        <v>2</v>
      </c>
      <c r="O248" s="3">
        <v>1</v>
      </c>
      <c r="P248" s="3">
        <v>4</v>
      </c>
      <c r="Q248" s="3">
        <v>1</v>
      </c>
      <c r="T248" s="70" t="s">
        <v>866</v>
      </c>
      <c r="U248" s="70">
        <v>0.20100000000000001</v>
      </c>
      <c r="X248" s="70" t="s">
        <v>374</v>
      </c>
      <c r="Y248" s="70">
        <v>0.42799999999999999</v>
      </c>
      <c r="AA248" s="70" t="s">
        <v>374</v>
      </c>
      <c r="AB248" s="406">
        <v>0</v>
      </c>
    </row>
    <row r="249" spans="1:28">
      <c r="A249" t="s">
        <v>1429</v>
      </c>
      <c r="B249" s="3" t="s">
        <v>431</v>
      </c>
      <c r="C249" s="3" t="s">
        <v>432</v>
      </c>
      <c r="D249" s="3" t="s">
        <v>15</v>
      </c>
      <c r="E249" s="3" t="s">
        <v>16</v>
      </c>
      <c r="F249" s="3">
        <v>0.01</v>
      </c>
      <c r="G249" s="74">
        <f>F249*VLOOKUP(D249,GWPs!$B$3:$C$6,2,FALSE)</f>
        <v>0.01</v>
      </c>
      <c r="H249" s="3">
        <v>0</v>
      </c>
      <c r="I249" s="74">
        <f>H249*VLOOKUP(D249,GWPs!$B$3:$C$6,2,FALSE)</f>
        <v>0</v>
      </c>
      <c r="J249" s="3">
        <v>0.01</v>
      </c>
      <c r="K249" s="74">
        <f>J249*VLOOKUP(D249,GWPs!$B$3:$C$6,2,FALSE)</f>
        <v>0.01</v>
      </c>
      <c r="M249" s="3">
        <v>3</v>
      </c>
      <c r="N249" s="3">
        <v>2</v>
      </c>
      <c r="O249" s="3">
        <v>1</v>
      </c>
      <c r="P249" s="3">
        <v>3</v>
      </c>
      <c r="Q249" s="3">
        <v>1</v>
      </c>
      <c r="T249" s="70" t="s">
        <v>572</v>
      </c>
      <c r="U249" s="70">
        <v>0.85500000000000009</v>
      </c>
      <c r="X249" s="70" t="s">
        <v>490</v>
      </c>
      <c r="Y249" s="70">
        <v>0.89</v>
      </c>
      <c r="AA249" s="70" t="s">
        <v>490</v>
      </c>
      <c r="AB249" s="406">
        <v>9.5000000000000001E-2</v>
      </c>
    </row>
    <row r="250" spans="1:28">
      <c r="A250" t="s">
        <v>1429</v>
      </c>
      <c r="B250" s="3" t="s">
        <v>433</v>
      </c>
      <c r="C250" s="3" t="s">
        <v>434</v>
      </c>
      <c r="D250" s="3" t="s">
        <v>11</v>
      </c>
      <c r="E250" s="3" t="s">
        <v>12</v>
      </c>
      <c r="F250" s="3">
        <v>0.155</v>
      </c>
      <c r="G250" s="74">
        <f>F250*VLOOKUP(D250,GWPs!$B$3:$C$6,2,FALSE)</f>
        <v>0.155</v>
      </c>
      <c r="H250" s="3">
        <v>0.14499999999999999</v>
      </c>
      <c r="I250" s="74">
        <f>H250*VLOOKUP(D250,GWPs!$B$3:$C$6,2,FALSE)</f>
        <v>0.14499999999999999</v>
      </c>
      <c r="J250" s="3">
        <v>0.3</v>
      </c>
      <c r="K250" s="74">
        <f>J250*VLOOKUP(D250,GWPs!$B$3:$C$6,2,FALSE)</f>
        <v>0.3</v>
      </c>
      <c r="M250" s="3">
        <v>3</v>
      </c>
      <c r="N250" s="3">
        <v>2</v>
      </c>
      <c r="O250" s="3">
        <v>1</v>
      </c>
      <c r="P250" s="3">
        <v>3</v>
      </c>
      <c r="Q250" s="3">
        <v>1</v>
      </c>
      <c r="T250" s="70" t="s">
        <v>374</v>
      </c>
      <c r="U250" s="70">
        <v>0.42799999999999999</v>
      </c>
      <c r="X250" s="70" t="s">
        <v>542</v>
      </c>
      <c r="Y250" s="70">
        <v>4.3000000000000003E-2</v>
      </c>
      <c r="AA250" s="70" t="s">
        <v>542</v>
      </c>
      <c r="AB250" s="406">
        <v>4.0000000000000001E-3</v>
      </c>
    </row>
    <row r="251" spans="1:28">
      <c r="A251" t="s">
        <v>1429</v>
      </c>
      <c r="B251" s="3" t="s">
        <v>433</v>
      </c>
      <c r="C251" s="3" t="s">
        <v>434</v>
      </c>
      <c r="D251" s="3" t="s">
        <v>13</v>
      </c>
      <c r="E251" s="3" t="s">
        <v>12</v>
      </c>
      <c r="F251" s="3">
        <v>1E-3</v>
      </c>
      <c r="G251" s="74">
        <f>F251*VLOOKUP(D251,GWPs!$B$3:$C$6,2,FALSE)</f>
        <v>2.8000000000000001E-2</v>
      </c>
      <c r="H251" s="3">
        <v>1E-3</v>
      </c>
      <c r="I251" s="74">
        <f>H251*VLOOKUP(D251,GWPs!$B$3:$C$6,2,FALSE)</f>
        <v>2.8000000000000001E-2</v>
      </c>
      <c r="J251" s="3">
        <v>1E-3</v>
      </c>
      <c r="K251" s="74">
        <f>J251*VLOOKUP(D251,GWPs!$B$3:$C$6,2,FALSE)</f>
        <v>2.8000000000000001E-2</v>
      </c>
      <c r="M251" s="3">
        <v>3</v>
      </c>
      <c r="N251" s="3">
        <v>2</v>
      </c>
      <c r="O251" s="3">
        <v>1</v>
      </c>
      <c r="P251" s="3">
        <v>1</v>
      </c>
      <c r="Q251" s="3">
        <v>1</v>
      </c>
      <c r="T251" s="70" t="s">
        <v>490</v>
      </c>
      <c r="U251" s="70">
        <v>0.98499999999999999</v>
      </c>
      <c r="X251" s="70" t="s">
        <v>21</v>
      </c>
      <c r="Y251" s="70">
        <v>0.41800000000000004</v>
      </c>
      <c r="AA251" s="70" t="s">
        <v>21</v>
      </c>
      <c r="AB251" s="406">
        <v>0</v>
      </c>
    </row>
    <row r="252" spans="1:28">
      <c r="A252" t="s">
        <v>1429</v>
      </c>
      <c r="B252" s="3" t="s">
        <v>433</v>
      </c>
      <c r="C252" s="3" t="s">
        <v>434</v>
      </c>
      <c r="D252" s="3" t="s">
        <v>14</v>
      </c>
      <c r="E252" s="3" t="s">
        <v>12</v>
      </c>
      <c r="F252" s="3">
        <v>0</v>
      </c>
      <c r="G252" s="74">
        <f>F252*VLOOKUP(D252,GWPs!$B$3:$C$6,2,FALSE)</f>
        <v>0</v>
      </c>
      <c r="H252" s="3">
        <v>0</v>
      </c>
      <c r="I252" s="74">
        <f>H252*VLOOKUP(D252,GWPs!$B$3:$C$6,2,FALSE)</f>
        <v>0</v>
      </c>
      <c r="J252" s="3">
        <v>0</v>
      </c>
      <c r="K252" s="74">
        <f>J252*VLOOKUP(D252,GWPs!$B$3:$C$6,2,FALSE)</f>
        <v>0</v>
      </c>
      <c r="M252" s="3">
        <v>4</v>
      </c>
      <c r="N252" s="3">
        <v>2</v>
      </c>
      <c r="O252" s="3">
        <v>1</v>
      </c>
      <c r="P252" s="3">
        <v>4</v>
      </c>
      <c r="Q252" s="3">
        <v>1</v>
      </c>
      <c r="T252" s="70" t="s">
        <v>542</v>
      </c>
      <c r="U252" s="70">
        <v>4.7E-2</v>
      </c>
      <c r="X252" s="70" t="s">
        <v>380</v>
      </c>
      <c r="Y252" s="70">
        <v>0.35500000000000004</v>
      </c>
      <c r="AA252" s="70" t="s">
        <v>380</v>
      </c>
      <c r="AB252" s="406">
        <v>0</v>
      </c>
    </row>
    <row r="253" spans="1:28">
      <c r="A253" t="s">
        <v>1429</v>
      </c>
      <c r="B253" s="3" t="s">
        <v>433</v>
      </c>
      <c r="C253" s="3" t="s">
        <v>434</v>
      </c>
      <c r="D253" s="3" t="s">
        <v>15</v>
      </c>
      <c r="E253" s="3" t="s">
        <v>16</v>
      </c>
      <c r="F253" s="3">
        <v>5.0000000000000001E-3</v>
      </c>
      <c r="G253" s="74">
        <f>F253*VLOOKUP(D253,GWPs!$B$3:$C$6,2,FALSE)</f>
        <v>5.0000000000000001E-3</v>
      </c>
      <c r="H253" s="3">
        <v>0</v>
      </c>
      <c r="I253" s="74">
        <f>H253*VLOOKUP(D253,GWPs!$B$3:$C$6,2,FALSE)</f>
        <v>0</v>
      </c>
      <c r="J253" s="3">
        <v>5.0000000000000001E-3</v>
      </c>
      <c r="K253" s="74">
        <f>J253*VLOOKUP(D253,GWPs!$B$3:$C$6,2,FALSE)</f>
        <v>5.0000000000000001E-3</v>
      </c>
      <c r="M253" s="3">
        <v>3</v>
      </c>
      <c r="N253" s="3">
        <v>2</v>
      </c>
      <c r="O253" s="3">
        <v>1</v>
      </c>
      <c r="P253" s="3">
        <v>3</v>
      </c>
      <c r="Q253" s="3">
        <v>1</v>
      </c>
      <c r="T253" s="70" t="s">
        <v>21</v>
      </c>
      <c r="U253" s="70">
        <v>0.41800000000000004</v>
      </c>
      <c r="X253" s="70" t="s">
        <v>548</v>
      </c>
      <c r="Y253" s="70">
        <v>0.19800000000000001</v>
      </c>
      <c r="AA253" s="70" t="s">
        <v>548</v>
      </c>
      <c r="AB253" s="406">
        <v>1.7999999999999999E-2</v>
      </c>
    </row>
    <row r="254" spans="1:28">
      <c r="A254" t="s">
        <v>1429</v>
      </c>
      <c r="B254" s="3" t="s">
        <v>435</v>
      </c>
      <c r="C254" s="3" t="s">
        <v>436</v>
      </c>
      <c r="D254" s="3" t="s">
        <v>11</v>
      </c>
      <c r="E254" s="3" t="s">
        <v>12</v>
      </c>
      <c r="F254" s="3">
        <v>0.29099999999999998</v>
      </c>
      <c r="G254" s="74">
        <f>F254*VLOOKUP(D254,GWPs!$B$3:$C$6,2,FALSE)</f>
        <v>0.29099999999999998</v>
      </c>
      <c r="H254" s="3">
        <v>8.2000000000000003E-2</v>
      </c>
      <c r="I254" s="74">
        <f>H254*VLOOKUP(D254,GWPs!$B$3:$C$6,2,FALSE)</f>
        <v>8.2000000000000003E-2</v>
      </c>
      <c r="J254" s="3">
        <v>0.373</v>
      </c>
      <c r="K254" s="74">
        <f>J254*VLOOKUP(D254,GWPs!$B$3:$C$6,2,FALSE)</f>
        <v>0.373</v>
      </c>
      <c r="M254" s="3">
        <v>3</v>
      </c>
      <c r="N254" s="3">
        <v>2</v>
      </c>
      <c r="O254" s="3">
        <v>1</v>
      </c>
      <c r="P254" s="3">
        <v>4</v>
      </c>
      <c r="Q254" s="3">
        <v>1</v>
      </c>
      <c r="T254" s="70" t="s">
        <v>380</v>
      </c>
      <c r="U254" s="70">
        <v>0.35500000000000004</v>
      </c>
      <c r="X254" s="70" t="s">
        <v>586</v>
      </c>
      <c r="Y254" s="70">
        <v>0.44800000000000001</v>
      </c>
      <c r="AA254" s="70" t="s">
        <v>586</v>
      </c>
      <c r="AB254" s="406">
        <v>2.1000000000000001E-2</v>
      </c>
    </row>
    <row r="255" spans="1:28">
      <c r="A255" t="s">
        <v>1429</v>
      </c>
      <c r="B255" s="3" t="s">
        <v>435</v>
      </c>
      <c r="C255" s="3" t="s">
        <v>436</v>
      </c>
      <c r="D255" s="3" t="s">
        <v>13</v>
      </c>
      <c r="E255" s="3" t="s">
        <v>12</v>
      </c>
      <c r="F255" s="3">
        <v>1E-3</v>
      </c>
      <c r="G255" s="74">
        <f>F255*VLOOKUP(D255,GWPs!$B$3:$C$6,2,FALSE)</f>
        <v>2.8000000000000001E-2</v>
      </c>
      <c r="H255" s="3">
        <v>0</v>
      </c>
      <c r="I255" s="74">
        <f>H255*VLOOKUP(D255,GWPs!$B$3:$C$6,2,FALSE)</f>
        <v>0</v>
      </c>
      <c r="J255" s="3">
        <v>2E-3</v>
      </c>
      <c r="K255" s="74">
        <f>J255*VLOOKUP(D255,GWPs!$B$3:$C$6,2,FALSE)</f>
        <v>5.6000000000000001E-2</v>
      </c>
      <c r="M255" s="3">
        <v>3</v>
      </c>
      <c r="N255" s="3">
        <v>2</v>
      </c>
      <c r="O255" s="3">
        <v>1</v>
      </c>
      <c r="P255" s="3">
        <v>1</v>
      </c>
      <c r="Q255" s="3">
        <v>1</v>
      </c>
      <c r="T255" s="70" t="s">
        <v>548</v>
      </c>
      <c r="U255" s="70">
        <v>0.217</v>
      </c>
      <c r="X255" s="70" t="s">
        <v>351</v>
      </c>
      <c r="Y255" s="70">
        <v>0.63700000000000001</v>
      </c>
      <c r="AA255" s="70" t="s">
        <v>351</v>
      </c>
      <c r="AB255" s="406">
        <v>0</v>
      </c>
    </row>
    <row r="256" spans="1:28">
      <c r="A256" t="s">
        <v>1429</v>
      </c>
      <c r="B256" s="3" t="s">
        <v>435</v>
      </c>
      <c r="C256" s="3" t="s">
        <v>436</v>
      </c>
      <c r="D256" s="3" t="s">
        <v>14</v>
      </c>
      <c r="E256" s="3" t="s">
        <v>12</v>
      </c>
      <c r="F256" s="3">
        <v>0</v>
      </c>
      <c r="G256" s="74">
        <f>F256*VLOOKUP(D256,GWPs!$B$3:$C$6,2,FALSE)</f>
        <v>0</v>
      </c>
      <c r="H256" s="3">
        <v>0</v>
      </c>
      <c r="I256" s="74">
        <f>H256*VLOOKUP(D256,GWPs!$B$3:$C$6,2,FALSE)</f>
        <v>0</v>
      </c>
      <c r="J256" s="3">
        <v>0</v>
      </c>
      <c r="K256" s="74">
        <f>J256*VLOOKUP(D256,GWPs!$B$3:$C$6,2,FALSE)</f>
        <v>0</v>
      </c>
      <c r="M256" s="3">
        <v>4</v>
      </c>
      <c r="N256" s="3">
        <v>2</v>
      </c>
      <c r="O256" s="3">
        <v>1</v>
      </c>
      <c r="P256" s="3">
        <v>4</v>
      </c>
      <c r="Q256" s="3">
        <v>1</v>
      </c>
      <c r="T256" s="70" t="s">
        <v>586</v>
      </c>
      <c r="U256" s="70">
        <v>0.47000000000000003</v>
      </c>
      <c r="X256" s="70" t="s">
        <v>1008</v>
      </c>
      <c r="Y256" s="70">
        <v>0.16600000000000001</v>
      </c>
      <c r="AA256" s="70" t="s">
        <v>1008</v>
      </c>
      <c r="AB256" s="406">
        <v>0</v>
      </c>
    </row>
    <row r="257" spans="1:28">
      <c r="A257" t="s">
        <v>1429</v>
      </c>
      <c r="B257" s="3" t="s">
        <v>435</v>
      </c>
      <c r="C257" s="3" t="s">
        <v>436</v>
      </c>
      <c r="D257" s="3" t="s">
        <v>15</v>
      </c>
      <c r="E257" s="3" t="s">
        <v>16</v>
      </c>
      <c r="F257" s="3">
        <v>4.0000000000000001E-3</v>
      </c>
      <c r="G257" s="74">
        <f>F257*VLOOKUP(D257,GWPs!$B$3:$C$6,2,FALSE)</f>
        <v>4.0000000000000001E-3</v>
      </c>
      <c r="H257" s="3">
        <v>0</v>
      </c>
      <c r="I257" s="74">
        <f>H257*VLOOKUP(D257,GWPs!$B$3:$C$6,2,FALSE)</f>
        <v>0</v>
      </c>
      <c r="J257" s="3">
        <v>4.0000000000000001E-3</v>
      </c>
      <c r="K257" s="74">
        <f>J257*VLOOKUP(D257,GWPs!$B$3:$C$6,2,FALSE)</f>
        <v>4.0000000000000001E-3</v>
      </c>
      <c r="M257" s="3">
        <v>3</v>
      </c>
      <c r="N257" s="3">
        <v>2</v>
      </c>
      <c r="O257" s="3">
        <v>1</v>
      </c>
      <c r="P257" s="3">
        <v>4</v>
      </c>
      <c r="Q257" s="3">
        <v>1</v>
      </c>
      <c r="T257" s="70" t="s">
        <v>351</v>
      </c>
      <c r="U257" s="70">
        <v>0.63700000000000001</v>
      </c>
      <c r="X257" s="70" t="s">
        <v>450</v>
      </c>
      <c r="Y257" s="70">
        <v>0.40899999999999997</v>
      </c>
      <c r="AA257" s="70" t="s">
        <v>450</v>
      </c>
      <c r="AB257" s="406">
        <v>0.24299999999999999</v>
      </c>
    </row>
    <row r="258" spans="1:28">
      <c r="A258" t="s">
        <v>1429</v>
      </c>
      <c r="B258" s="3" t="s">
        <v>437</v>
      </c>
      <c r="C258" s="3" t="s">
        <v>438</v>
      </c>
      <c r="D258" s="3" t="s">
        <v>11</v>
      </c>
      <c r="E258" s="3" t="s">
        <v>12</v>
      </c>
      <c r="F258" s="3">
        <v>0.109</v>
      </c>
      <c r="G258" s="74">
        <f>F258*VLOOKUP(D258,GWPs!$B$3:$C$6,2,FALSE)</f>
        <v>0.109</v>
      </c>
      <c r="H258" s="3">
        <v>7.5999999999999998E-2</v>
      </c>
      <c r="I258" s="74">
        <f>H258*VLOOKUP(D258,GWPs!$B$3:$C$6,2,FALSE)</f>
        <v>7.5999999999999998E-2</v>
      </c>
      <c r="J258" s="3">
        <v>0.185</v>
      </c>
      <c r="K258" s="74">
        <f>J258*VLOOKUP(D258,GWPs!$B$3:$C$6,2,FALSE)</f>
        <v>0.185</v>
      </c>
      <c r="M258" s="3">
        <v>3</v>
      </c>
      <c r="N258" s="3">
        <v>2</v>
      </c>
      <c r="O258" s="3">
        <v>1</v>
      </c>
      <c r="P258" s="3">
        <v>3</v>
      </c>
      <c r="Q258" s="3">
        <v>1</v>
      </c>
      <c r="T258" s="70" t="s">
        <v>1008</v>
      </c>
      <c r="U258" s="70">
        <v>0.16600000000000001</v>
      </c>
      <c r="X258" s="70" t="s">
        <v>18</v>
      </c>
      <c r="Y258" s="70">
        <v>0.27</v>
      </c>
      <c r="AA258" s="70" t="s">
        <v>18</v>
      </c>
      <c r="AB258" s="406">
        <v>5.7000000000000002E-2</v>
      </c>
    </row>
    <row r="259" spans="1:28">
      <c r="A259" t="s">
        <v>1429</v>
      </c>
      <c r="B259" s="3" t="s">
        <v>437</v>
      </c>
      <c r="C259" s="3" t="s">
        <v>438</v>
      </c>
      <c r="D259" s="3" t="s">
        <v>13</v>
      </c>
      <c r="E259" s="3" t="s">
        <v>12</v>
      </c>
      <c r="F259" s="3">
        <v>0</v>
      </c>
      <c r="G259" s="74">
        <f>F259*VLOOKUP(D259,GWPs!$B$3:$C$6,2,FALSE)</f>
        <v>0</v>
      </c>
      <c r="H259" s="3">
        <v>0</v>
      </c>
      <c r="I259" s="74">
        <f>H259*VLOOKUP(D259,GWPs!$B$3:$C$6,2,FALSE)</f>
        <v>0</v>
      </c>
      <c r="J259" s="3">
        <v>1E-3</v>
      </c>
      <c r="K259" s="74">
        <f>J259*VLOOKUP(D259,GWPs!$B$3:$C$6,2,FALSE)</f>
        <v>2.8000000000000001E-2</v>
      </c>
      <c r="M259" s="3">
        <v>4</v>
      </c>
      <c r="N259" s="3">
        <v>2</v>
      </c>
      <c r="O259" s="3">
        <v>1</v>
      </c>
      <c r="P259" s="3">
        <v>1</v>
      </c>
      <c r="Q259" s="3">
        <v>1</v>
      </c>
      <c r="T259" s="70" t="s">
        <v>450</v>
      </c>
      <c r="U259" s="70">
        <v>0.65200000000000002</v>
      </c>
      <c r="X259" s="70" t="s">
        <v>786</v>
      </c>
      <c r="Y259" s="70">
        <v>0.36200000000000004</v>
      </c>
      <c r="AA259" s="70" t="s">
        <v>786</v>
      </c>
      <c r="AB259" s="406">
        <v>5.3999999999999999E-2</v>
      </c>
    </row>
    <row r="260" spans="1:28">
      <c r="A260" t="s">
        <v>1429</v>
      </c>
      <c r="B260" s="3" t="s">
        <v>437</v>
      </c>
      <c r="C260" s="3" t="s">
        <v>438</v>
      </c>
      <c r="D260" s="3" t="s">
        <v>14</v>
      </c>
      <c r="E260" s="3" t="s">
        <v>12</v>
      </c>
      <c r="F260" s="3">
        <v>0</v>
      </c>
      <c r="G260" s="74">
        <f>F260*VLOOKUP(D260,GWPs!$B$3:$C$6,2,FALSE)</f>
        <v>0</v>
      </c>
      <c r="H260" s="3">
        <v>0</v>
      </c>
      <c r="I260" s="74">
        <f>H260*VLOOKUP(D260,GWPs!$B$3:$C$6,2,FALSE)</f>
        <v>0</v>
      </c>
      <c r="J260" s="3">
        <v>0</v>
      </c>
      <c r="K260" s="74">
        <f>J260*VLOOKUP(D260,GWPs!$B$3:$C$6,2,FALSE)</f>
        <v>0</v>
      </c>
      <c r="M260" s="3">
        <v>4</v>
      </c>
      <c r="N260" s="3">
        <v>2</v>
      </c>
      <c r="O260" s="3">
        <v>1</v>
      </c>
      <c r="P260" s="3">
        <v>4</v>
      </c>
      <c r="Q260" s="3">
        <v>1</v>
      </c>
      <c r="T260" s="70" t="s">
        <v>18</v>
      </c>
      <c r="U260" s="70">
        <v>0.32700000000000001</v>
      </c>
      <c r="X260" s="70" t="s">
        <v>1024</v>
      </c>
      <c r="Y260" s="70">
        <v>0.14500000000000002</v>
      </c>
      <c r="AA260" s="70" t="s">
        <v>1024</v>
      </c>
      <c r="AB260" s="406">
        <v>0</v>
      </c>
    </row>
    <row r="261" spans="1:28">
      <c r="A261" t="s">
        <v>1429</v>
      </c>
      <c r="B261" s="3" t="s">
        <v>437</v>
      </c>
      <c r="C261" s="3" t="s">
        <v>438</v>
      </c>
      <c r="D261" s="3" t="s">
        <v>15</v>
      </c>
      <c r="E261" s="3" t="s">
        <v>16</v>
      </c>
      <c r="F261" s="3">
        <v>2E-3</v>
      </c>
      <c r="G261" s="74">
        <f>F261*VLOOKUP(D261,GWPs!$B$3:$C$6,2,FALSE)</f>
        <v>2E-3</v>
      </c>
      <c r="H261" s="3">
        <v>0</v>
      </c>
      <c r="I261" s="74">
        <f>H261*VLOOKUP(D261,GWPs!$B$3:$C$6,2,FALSE)</f>
        <v>0</v>
      </c>
      <c r="J261" s="3">
        <v>2E-3</v>
      </c>
      <c r="K261" s="74">
        <f>J261*VLOOKUP(D261,GWPs!$B$3:$C$6,2,FALSE)</f>
        <v>2E-3</v>
      </c>
      <c r="M261" s="3">
        <v>3</v>
      </c>
      <c r="N261" s="3">
        <v>2</v>
      </c>
      <c r="O261" s="3">
        <v>1</v>
      </c>
      <c r="P261" s="3">
        <v>3</v>
      </c>
      <c r="Q261" s="3">
        <v>1</v>
      </c>
      <c r="T261" s="70" t="s">
        <v>786</v>
      </c>
      <c r="U261" s="70">
        <v>0.44400000000000001</v>
      </c>
      <c r="X261" s="70" t="s">
        <v>952</v>
      </c>
      <c r="Y261" s="70">
        <v>2.3E-2</v>
      </c>
      <c r="AA261" s="70" t="s">
        <v>952</v>
      </c>
      <c r="AB261" s="406">
        <v>0</v>
      </c>
    </row>
    <row r="262" spans="1:28">
      <c r="A262" t="s">
        <v>1429</v>
      </c>
      <c r="B262" s="3" t="s">
        <v>439</v>
      </c>
      <c r="C262" s="3" t="s">
        <v>440</v>
      </c>
      <c r="D262" s="3" t="s">
        <v>11</v>
      </c>
      <c r="E262" s="3" t="s">
        <v>12</v>
      </c>
      <c r="F262" s="3">
        <v>0.48899999999999999</v>
      </c>
      <c r="G262" s="74">
        <f>F262*VLOOKUP(D262,GWPs!$B$3:$C$6,2,FALSE)</f>
        <v>0.48899999999999999</v>
      </c>
      <c r="H262" s="3">
        <v>3.7999999999999999E-2</v>
      </c>
      <c r="I262" s="74">
        <f>H262*VLOOKUP(D262,GWPs!$B$3:$C$6,2,FALSE)</f>
        <v>3.7999999999999999E-2</v>
      </c>
      <c r="J262" s="3">
        <v>0.52700000000000002</v>
      </c>
      <c r="K262" s="74">
        <f>J262*VLOOKUP(D262,GWPs!$B$3:$C$6,2,FALSE)</f>
        <v>0.52700000000000002</v>
      </c>
      <c r="M262" s="3">
        <v>3</v>
      </c>
      <c r="N262" s="3">
        <v>2</v>
      </c>
      <c r="O262" s="3">
        <v>1</v>
      </c>
      <c r="P262" s="3">
        <v>3</v>
      </c>
      <c r="Q262" s="3">
        <v>1</v>
      </c>
      <c r="T262" s="70" t="s">
        <v>1024</v>
      </c>
      <c r="U262" s="70">
        <v>0.14500000000000002</v>
      </c>
      <c r="X262" s="70" t="s">
        <v>412</v>
      </c>
      <c r="Y262" s="70">
        <v>2.1</v>
      </c>
      <c r="AA262" s="70" t="s">
        <v>412</v>
      </c>
      <c r="AB262" s="406">
        <v>5.0999999999999997E-2</v>
      </c>
    </row>
    <row r="263" spans="1:28">
      <c r="A263" t="s">
        <v>1429</v>
      </c>
      <c r="B263" s="3" t="s">
        <v>439</v>
      </c>
      <c r="C263" s="3" t="s">
        <v>440</v>
      </c>
      <c r="D263" s="3" t="s">
        <v>13</v>
      </c>
      <c r="E263" s="3" t="s">
        <v>12</v>
      </c>
      <c r="F263" s="3">
        <v>2E-3</v>
      </c>
      <c r="G263" s="74">
        <f>F263*VLOOKUP(D263,GWPs!$B$3:$C$6,2,FALSE)</f>
        <v>5.6000000000000001E-2</v>
      </c>
      <c r="H263" s="3">
        <v>0</v>
      </c>
      <c r="I263" s="74">
        <f>H263*VLOOKUP(D263,GWPs!$B$3:$C$6,2,FALSE)</f>
        <v>0</v>
      </c>
      <c r="J263" s="3">
        <v>3.0000000000000001E-3</v>
      </c>
      <c r="K263" s="74">
        <f>J263*VLOOKUP(D263,GWPs!$B$3:$C$6,2,FALSE)</f>
        <v>8.4000000000000005E-2</v>
      </c>
      <c r="M263" s="3">
        <v>3</v>
      </c>
      <c r="N263" s="3">
        <v>2</v>
      </c>
      <c r="O263" s="3">
        <v>1</v>
      </c>
      <c r="P263" s="3">
        <v>1</v>
      </c>
      <c r="Q263" s="3">
        <v>1</v>
      </c>
      <c r="T263" s="70" t="s">
        <v>952</v>
      </c>
      <c r="U263" s="70">
        <v>2.3E-2</v>
      </c>
      <c r="X263" s="70" t="s">
        <v>410</v>
      </c>
      <c r="Y263" s="70">
        <v>0.91500000000000004</v>
      </c>
      <c r="AA263" s="70" t="s">
        <v>410</v>
      </c>
      <c r="AB263" s="406">
        <v>0.05</v>
      </c>
    </row>
    <row r="264" spans="1:28">
      <c r="A264" t="s">
        <v>1429</v>
      </c>
      <c r="B264" s="3" t="s">
        <v>439</v>
      </c>
      <c r="C264" s="3" t="s">
        <v>440</v>
      </c>
      <c r="D264" s="3" t="s">
        <v>14</v>
      </c>
      <c r="E264" s="3" t="s">
        <v>12</v>
      </c>
      <c r="F264" s="3">
        <v>0</v>
      </c>
      <c r="G264" s="74">
        <f>F264*VLOOKUP(D264,GWPs!$B$3:$C$6,2,FALSE)</f>
        <v>0</v>
      </c>
      <c r="H264" s="3">
        <v>0</v>
      </c>
      <c r="I264" s="74">
        <f>H264*VLOOKUP(D264,GWPs!$B$3:$C$6,2,FALSE)</f>
        <v>0</v>
      </c>
      <c r="J264" s="3">
        <v>0</v>
      </c>
      <c r="K264" s="74">
        <f>J264*VLOOKUP(D264,GWPs!$B$3:$C$6,2,FALSE)</f>
        <v>0</v>
      </c>
      <c r="M264" s="3">
        <v>4</v>
      </c>
      <c r="N264" s="3">
        <v>2</v>
      </c>
      <c r="O264" s="3">
        <v>1</v>
      </c>
      <c r="P264" s="3">
        <v>4</v>
      </c>
      <c r="Q264" s="3">
        <v>1</v>
      </c>
      <c r="T264" s="70" t="s">
        <v>412</v>
      </c>
      <c r="U264" s="70">
        <v>2.1510000000000002</v>
      </c>
      <c r="X264" s="70" t="s">
        <v>680</v>
      </c>
      <c r="Y264" s="70">
        <v>0.19800000000000001</v>
      </c>
      <c r="AA264" s="70" t="s">
        <v>680</v>
      </c>
      <c r="AB264" s="406">
        <v>4.3999999999999997E-2</v>
      </c>
    </row>
    <row r="265" spans="1:28">
      <c r="A265" t="s">
        <v>1429</v>
      </c>
      <c r="B265" s="3" t="s">
        <v>439</v>
      </c>
      <c r="C265" s="3" t="s">
        <v>440</v>
      </c>
      <c r="D265" s="3" t="s">
        <v>15</v>
      </c>
      <c r="E265" s="3" t="s">
        <v>16</v>
      </c>
      <c r="F265" s="3">
        <v>5.0000000000000001E-3</v>
      </c>
      <c r="G265" s="74">
        <f>F265*VLOOKUP(D265,GWPs!$B$3:$C$6,2,FALSE)</f>
        <v>5.0000000000000001E-3</v>
      </c>
      <c r="H265" s="3">
        <v>0</v>
      </c>
      <c r="I265" s="74">
        <f>H265*VLOOKUP(D265,GWPs!$B$3:$C$6,2,FALSE)</f>
        <v>0</v>
      </c>
      <c r="J265" s="3">
        <v>5.0000000000000001E-3</v>
      </c>
      <c r="K265" s="74">
        <f>J265*VLOOKUP(D265,GWPs!$B$3:$C$6,2,FALSE)</f>
        <v>5.0000000000000001E-3</v>
      </c>
      <c r="M265" s="3">
        <v>3</v>
      </c>
      <c r="N265" s="3">
        <v>2</v>
      </c>
      <c r="O265" s="3">
        <v>1</v>
      </c>
      <c r="P265" s="3">
        <v>3</v>
      </c>
      <c r="Q265" s="3">
        <v>1</v>
      </c>
      <c r="T265" s="70" t="s">
        <v>410</v>
      </c>
      <c r="U265" s="70">
        <v>0.96600000000000008</v>
      </c>
      <c r="X265" s="70" t="s">
        <v>518</v>
      </c>
      <c r="Y265" s="70">
        <v>0.38300000000000001</v>
      </c>
      <c r="AA265" s="70" t="s">
        <v>518</v>
      </c>
      <c r="AB265" s="406">
        <v>0.03</v>
      </c>
    </row>
    <row r="266" spans="1:28">
      <c r="A266" t="s">
        <v>1430</v>
      </c>
      <c r="B266" s="3" t="s">
        <v>441</v>
      </c>
      <c r="C266" s="3" t="s">
        <v>442</v>
      </c>
      <c r="D266" s="3" t="s">
        <v>11</v>
      </c>
      <c r="E266" s="3" t="s">
        <v>12</v>
      </c>
      <c r="F266" s="3">
        <v>0.376</v>
      </c>
      <c r="G266" s="74">
        <f>F266*VLOOKUP(D266,GWPs!$B$3:$C$6,2,FALSE)</f>
        <v>0.376</v>
      </c>
      <c r="H266" s="3">
        <v>5.3999999999999999E-2</v>
      </c>
      <c r="I266" s="74">
        <f>H266*VLOOKUP(D266,GWPs!$B$3:$C$6,2,FALSE)</f>
        <v>5.3999999999999999E-2</v>
      </c>
      <c r="J266" s="3">
        <v>0.43</v>
      </c>
      <c r="K266" s="74">
        <f>J266*VLOOKUP(D266,GWPs!$B$3:$C$6,2,FALSE)</f>
        <v>0.43</v>
      </c>
      <c r="M266" s="3">
        <v>3</v>
      </c>
      <c r="N266" s="3">
        <v>2</v>
      </c>
      <c r="O266" s="3">
        <v>1</v>
      </c>
      <c r="P266" s="3">
        <v>3</v>
      </c>
      <c r="Q266" s="3">
        <v>1</v>
      </c>
      <c r="T266" s="70" t="s">
        <v>680</v>
      </c>
      <c r="U266" s="70">
        <v>0.24199999999999999</v>
      </c>
      <c r="X266" s="70" t="s">
        <v>466</v>
      </c>
      <c r="Y266" s="70">
        <v>0.92199999999999993</v>
      </c>
      <c r="AA266" s="70" t="s">
        <v>466</v>
      </c>
      <c r="AB266" s="406">
        <v>0.111</v>
      </c>
    </row>
    <row r="267" spans="1:28">
      <c r="A267" t="s">
        <v>1430</v>
      </c>
      <c r="B267" s="3" t="s">
        <v>441</v>
      </c>
      <c r="C267" s="3" t="s">
        <v>442</v>
      </c>
      <c r="D267" s="3" t="s">
        <v>13</v>
      </c>
      <c r="E267" s="3" t="s">
        <v>12</v>
      </c>
      <c r="F267" s="3">
        <v>2E-3</v>
      </c>
      <c r="G267" s="74">
        <f>F267*VLOOKUP(D267,GWPs!$B$3:$C$6,2,FALSE)</f>
        <v>5.6000000000000001E-2</v>
      </c>
      <c r="H267" s="3">
        <v>0</v>
      </c>
      <c r="I267" s="74">
        <f>H267*VLOOKUP(D267,GWPs!$B$3:$C$6,2,FALSE)</f>
        <v>0</v>
      </c>
      <c r="J267" s="3">
        <v>2E-3</v>
      </c>
      <c r="K267" s="74">
        <f>J267*VLOOKUP(D267,GWPs!$B$3:$C$6,2,FALSE)</f>
        <v>5.6000000000000001E-2</v>
      </c>
      <c r="M267" s="3">
        <v>3</v>
      </c>
      <c r="N267" s="3">
        <v>2</v>
      </c>
      <c r="O267" s="3">
        <v>1</v>
      </c>
      <c r="P267" s="3">
        <v>1</v>
      </c>
      <c r="Q267" s="3">
        <v>1</v>
      </c>
      <c r="T267" s="70" t="s">
        <v>518</v>
      </c>
      <c r="U267" s="70">
        <v>0.41300000000000003</v>
      </c>
      <c r="X267" s="70" t="s">
        <v>472</v>
      </c>
      <c r="Y267" s="70">
        <v>0.46800000000000003</v>
      </c>
      <c r="AA267" s="70" t="s">
        <v>472</v>
      </c>
      <c r="AB267" s="406">
        <v>4.9000000000000002E-2</v>
      </c>
    </row>
    <row r="268" spans="1:28">
      <c r="A268" t="s">
        <v>1430</v>
      </c>
      <c r="B268" s="3" t="s">
        <v>441</v>
      </c>
      <c r="C268" s="3" t="s">
        <v>442</v>
      </c>
      <c r="D268" s="3" t="s">
        <v>14</v>
      </c>
      <c r="E268" s="3" t="s">
        <v>12</v>
      </c>
      <c r="F268" s="3">
        <v>0</v>
      </c>
      <c r="G268" s="74">
        <f>F268*VLOOKUP(D268,GWPs!$B$3:$C$6,2,FALSE)</f>
        <v>0</v>
      </c>
      <c r="H268" s="3">
        <v>0</v>
      </c>
      <c r="I268" s="74">
        <f>H268*VLOOKUP(D268,GWPs!$B$3:$C$6,2,FALSE)</f>
        <v>0</v>
      </c>
      <c r="J268" s="3">
        <v>0</v>
      </c>
      <c r="K268" s="74">
        <f>J268*VLOOKUP(D268,GWPs!$B$3:$C$6,2,FALSE)</f>
        <v>0</v>
      </c>
      <c r="M268" s="3">
        <v>4</v>
      </c>
      <c r="N268" s="3">
        <v>2</v>
      </c>
      <c r="O268" s="3">
        <v>1</v>
      </c>
      <c r="P268" s="3">
        <v>3</v>
      </c>
      <c r="Q268" s="3">
        <v>1</v>
      </c>
      <c r="T268" s="70" t="s">
        <v>466</v>
      </c>
      <c r="U268" s="70">
        <v>1.004</v>
      </c>
      <c r="X268" s="70" t="s">
        <v>892</v>
      </c>
      <c r="Y268" s="70">
        <v>0.41800000000000004</v>
      </c>
      <c r="AA268" s="70" t="s">
        <v>892</v>
      </c>
      <c r="AB268" s="406">
        <v>0</v>
      </c>
    </row>
    <row r="269" spans="1:28">
      <c r="A269" t="s">
        <v>1430</v>
      </c>
      <c r="B269" s="3" t="s">
        <v>441</v>
      </c>
      <c r="C269" s="3" t="s">
        <v>442</v>
      </c>
      <c r="D269" s="3" t="s">
        <v>15</v>
      </c>
      <c r="E269" s="3" t="s">
        <v>16</v>
      </c>
      <c r="F269" s="3">
        <v>4.0000000000000001E-3</v>
      </c>
      <c r="G269" s="74">
        <f>F269*VLOOKUP(D269,GWPs!$B$3:$C$6,2,FALSE)</f>
        <v>4.0000000000000001E-3</v>
      </c>
      <c r="H269" s="3">
        <v>0</v>
      </c>
      <c r="I269" s="74">
        <f>H269*VLOOKUP(D269,GWPs!$B$3:$C$6,2,FALSE)</f>
        <v>0</v>
      </c>
      <c r="J269" s="3">
        <v>4.0000000000000001E-3</v>
      </c>
      <c r="K269" s="74">
        <f>J269*VLOOKUP(D269,GWPs!$B$3:$C$6,2,FALSE)</f>
        <v>4.0000000000000001E-3</v>
      </c>
      <c r="M269" s="3">
        <v>3</v>
      </c>
      <c r="N269" s="3">
        <v>2</v>
      </c>
      <c r="O269" s="3">
        <v>1</v>
      </c>
      <c r="P269" s="3">
        <v>3</v>
      </c>
      <c r="Q269" s="3">
        <v>1</v>
      </c>
      <c r="T269" s="70" t="s">
        <v>472</v>
      </c>
      <c r="U269" s="70">
        <v>0.54400000000000004</v>
      </c>
      <c r="X269" s="70" t="s">
        <v>1043</v>
      </c>
      <c r="Y269" s="70">
        <v>8.7000000000000008E-2</v>
      </c>
      <c r="AA269" s="70" t="s">
        <v>1043</v>
      </c>
      <c r="AB269" s="406">
        <v>0</v>
      </c>
    </row>
    <row r="270" spans="1:28">
      <c r="A270" t="s">
        <v>1429</v>
      </c>
      <c r="B270" s="3" t="s">
        <v>443</v>
      </c>
      <c r="C270" s="3" t="s">
        <v>444</v>
      </c>
      <c r="D270" s="3" t="s">
        <v>11</v>
      </c>
      <c r="E270" s="3" t="s">
        <v>12</v>
      </c>
      <c r="F270" s="3">
        <v>0.251</v>
      </c>
      <c r="G270" s="74">
        <f>F270*VLOOKUP(D270,GWPs!$B$3:$C$6,2,FALSE)</f>
        <v>0.251</v>
      </c>
      <c r="H270" s="3">
        <v>2.5000000000000001E-2</v>
      </c>
      <c r="I270" s="74">
        <f>H270*VLOOKUP(D270,GWPs!$B$3:$C$6,2,FALSE)</f>
        <v>2.5000000000000001E-2</v>
      </c>
      <c r="J270" s="3">
        <v>0.27600000000000002</v>
      </c>
      <c r="K270" s="74">
        <f>J270*VLOOKUP(D270,GWPs!$B$3:$C$6,2,FALSE)</f>
        <v>0.27600000000000002</v>
      </c>
      <c r="M270" s="3">
        <v>3</v>
      </c>
      <c r="N270" s="3">
        <v>2</v>
      </c>
      <c r="O270" s="3">
        <v>1</v>
      </c>
      <c r="P270" s="3">
        <v>4</v>
      </c>
      <c r="Q270" s="3">
        <v>1</v>
      </c>
      <c r="T270" s="70" t="s">
        <v>892</v>
      </c>
      <c r="U270" s="70">
        <v>0.41800000000000004</v>
      </c>
      <c r="X270" s="70" t="s">
        <v>508</v>
      </c>
      <c r="Y270" s="70">
        <v>0.17599999999999999</v>
      </c>
      <c r="AA270" s="70" t="s">
        <v>508</v>
      </c>
      <c r="AB270" s="406">
        <v>1.6E-2</v>
      </c>
    </row>
    <row r="271" spans="1:28">
      <c r="A271" t="s">
        <v>1429</v>
      </c>
      <c r="B271" s="3" t="s">
        <v>443</v>
      </c>
      <c r="C271" s="3" t="s">
        <v>444</v>
      </c>
      <c r="D271" s="3" t="s">
        <v>13</v>
      </c>
      <c r="E271" s="3" t="s">
        <v>12</v>
      </c>
      <c r="F271" s="3">
        <v>1E-3</v>
      </c>
      <c r="G271" s="74">
        <f>F271*VLOOKUP(D271,GWPs!$B$3:$C$6,2,FALSE)</f>
        <v>2.8000000000000001E-2</v>
      </c>
      <c r="H271" s="3">
        <v>0</v>
      </c>
      <c r="I271" s="74">
        <f>H271*VLOOKUP(D271,GWPs!$B$3:$C$6,2,FALSE)</f>
        <v>0</v>
      </c>
      <c r="J271" s="3">
        <v>1E-3</v>
      </c>
      <c r="K271" s="74">
        <f>J271*VLOOKUP(D271,GWPs!$B$3:$C$6,2,FALSE)</f>
        <v>2.8000000000000001E-2</v>
      </c>
      <c r="M271" s="3">
        <v>3</v>
      </c>
      <c r="N271" s="3">
        <v>2</v>
      </c>
      <c r="O271" s="3">
        <v>1</v>
      </c>
      <c r="P271" s="3">
        <v>1</v>
      </c>
      <c r="Q271" s="3">
        <v>1</v>
      </c>
      <c r="T271" s="70" t="s">
        <v>1043</v>
      </c>
      <c r="U271" s="70">
        <v>8.7000000000000008E-2</v>
      </c>
      <c r="X271" s="70" t="s">
        <v>1081</v>
      </c>
      <c r="Y271" s="70">
        <v>0.14100000000000001</v>
      </c>
      <c r="AA271" s="70" t="s">
        <v>1081</v>
      </c>
      <c r="AB271" s="406">
        <v>0</v>
      </c>
    </row>
    <row r="272" spans="1:28">
      <c r="A272" t="s">
        <v>1429</v>
      </c>
      <c r="B272" s="3" t="s">
        <v>443</v>
      </c>
      <c r="C272" s="3" t="s">
        <v>444</v>
      </c>
      <c r="D272" s="3" t="s">
        <v>14</v>
      </c>
      <c r="E272" s="3" t="s">
        <v>12</v>
      </c>
      <c r="F272" s="3">
        <v>0</v>
      </c>
      <c r="G272" s="74">
        <f>F272*VLOOKUP(D272,GWPs!$B$3:$C$6,2,FALSE)</f>
        <v>0</v>
      </c>
      <c r="H272" s="3">
        <v>0</v>
      </c>
      <c r="I272" s="74">
        <f>H272*VLOOKUP(D272,GWPs!$B$3:$C$6,2,FALSE)</f>
        <v>0</v>
      </c>
      <c r="J272" s="3">
        <v>0</v>
      </c>
      <c r="K272" s="74">
        <f>J272*VLOOKUP(D272,GWPs!$B$3:$C$6,2,FALSE)</f>
        <v>0</v>
      </c>
      <c r="M272" s="3">
        <v>4</v>
      </c>
      <c r="N272" s="3">
        <v>2</v>
      </c>
      <c r="O272" s="3">
        <v>1</v>
      </c>
      <c r="P272" s="3">
        <v>3</v>
      </c>
      <c r="Q272" s="3">
        <v>1</v>
      </c>
      <c r="T272" s="70" t="s">
        <v>508</v>
      </c>
      <c r="U272" s="70">
        <v>0.192</v>
      </c>
      <c r="X272" s="70" t="s">
        <v>492</v>
      </c>
      <c r="Y272" s="70">
        <v>0.83400000000000007</v>
      </c>
      <c r="AA272" s="70" t="s">
        <v>492</v>
      </c>
      <c r="AB272" s="406">
        <v>2.5999999999999999E-2</v>
      </c>
    </row>
    <row r="273" spans="1:28">
      <c r="A273" t="s">
        <v>1429</v>
      </c>
      <c r="B273" s="3" t="s">
        <v>443</v>
      </c>
      <c r="C273" s="3" t="s">
        <v>444</v>
      </c>
      <c r="D273" s="3" t="s">
        <v>15</v>
      </c>
      <c r="E273" s="3" t="s">
        <v>16</v>
      </c>
      <c r="F273" s="3">
        <v>5.0000000000000001E-3</v>
      </c>
      <c r="G273" s="74">
        <f>F273*VLOOKUP(D273,GWPs!$B$3:$C$6,2,FALSE)</f>
        <v>5.0000000000000001E-3</v>
      </c>
      <c r="H273" s="3">
        <v>0</v>
      </c>
      <c r="I273" s="74">
        <f>H273*VLOOKUP(D273,GWPs!$B$3:$C$6,2,FALSE)</f>
        <v>0</v>
      </c>
      <c r="J273" s="3">
        <v>5.0000000000000001E-3</v>
      </c>
      <c r="K273" s="74">
        <f>J273*VLOOKUP(D273,GWPs!$B$3:$C$6,2,FALSE)</f>
        <v>5.0000000000000001E-3</v>
      </c>
      <c r="M273" s="3">
        <v>3</v>
      </c>
      <c r="N273" s="3">
        <v>2</v>
      </c>
      <c r="O273" s="3">
        <v>1</v>
      </c>
      <c r="P273" s="3">
        <v>3</v>
      </c>
      <c r="Q273" s="3">
        <v>1</v>
      </c>
      <c r="T273" s="70" t="s">
        <v>1081</v>
      </c>
      <c r="U273" s="70">
        <v>0.14100000000000001</v>
      </c>
      <c r="X273" s="70" t="s">
        <v>864</v>
      </c>
      <c r="Y273" s="70">
        <v>0.107</v>
      </c>
      <c r="AA273" s="70" t="s">
        <v>864</v>
      </c>
      <c r="AB273" s="406">
        <v>0</v>
      </c>
    </row>
    <row r="274" spans="1:28">
      <c r="A274" t="s">
        <v>1430</v>
      </c>
      <c r="B274" s="3" t="s">
        <v>445</v>
      </c>
      <c r="C274" s="3" t="s">
        <v>446</v>
      </c>
      <c r="D274" s="3" t="s">
        <v>11</v>
      </c>
      <c r="E274" s="3" t="s">
        <v>12</v>
      </c>
      <c r="F274" s="3">
        <v>0.439</v>
      </c>
      <c r="G274" s="74">
        <f>F274*VLOOKUP(D274,GWPs!$B$3:$C$6,2,FALSE)</f>
        <v>0.439</v>
      </c>
      <c r="H274" s="3">
        <v>0.21199999999999999</v>
      </c>
      <c r="I274" s="74">
        <f>H274*VLOOKUP(D274,GWPs!$B$3:$C$6,2,FALSE)</f>
        <v>0.21199999999999999</v>
      </c>
      <c r="J274" s="3">
        <v>0.65100000000000002</v>
      </c>
      <c r="K274" s="74">
        <f>J274*VLOOKUP(D274,GWPs!$B$3:$C$6,2,FALSE)</f>
        <v>0.65100000000000002</v>
      </c>
      <c r="M274" s="3">
        <v>3</v>
      </c>
      <c r="N274" s="3">
        <v>2</v>
      </c>
      <c r="O274" s="3">
        <v>1</v>
      </c>
      <c r="P274" s="3">
        <v>3</v>
      </c>
      <c r="Q274" s="3">
        <v>1</v>
      </c>
      <c r="T274" s="70" t="s">
        <v>492</v>
      </c>
      <c r="U274" s="70">
        <v>0.86099999999999999</v>
      </c>
      <c r="X274" s="70" t="s">
        <v>512</v>
      </c>
      <c r="Y274" s="524">
        <v>0.19</v>
      </c>
      <c r="AA274" s="70" t="s">
        <v>512</v>
      </c>
      <c r="AB274" s="407">
        <v>0.27600000000000002</v>
      </c>
    </row>
    <row r="275" spans="1:28">
      <c r="A275" t="s">
        <v>1430</v>
      </c>
      <c r="B275" s="3" t="s">
        <v>445</v>
      </c>
      <c r="C275" s="3" t="s">
        <v>446</v>
      </c>
      <c r="D275" s="3" t="s">
        <v>13</v>
      </c>
      <c r="E275" s="3" t="s">
        <v>12</v>
      </c>
      <c r="F275" s="3">
        <v>2E-3</v>
      </c>
      <c r="G275" s="74">
        <f>F275*VLOOKUP(D275,GWPs!$B$3:$C$6,2,FALSE)</f>
        <v>5.6000000000000001E-2</v>
      </c>
      <c r="H275" s="3">
        <v>1E-3</v>
      </c>
      <c r="I275" s="74">
        <f>H275*VLOOKUP(D275,GWPs!$B$3:$C$6,2,FALSE)</f>
        <v>2.8000000000000001E-2</v>
      </c>
      <c r="J275" s="3">
        <v>3.0000000000000001E-3</v>
      </c>
      <c r="K275" s="74">
        <f>J275*VLOOKUP(D275,GWPs!$B$3:$C$6,2,FALSE)</f>
        <v>8.4000000000000005E-2</v>
      </c>
      <c r="M275" s="3">
        <v>3</v>
      </c>
      <c r="N275" s="3">
        <v>2</v>
      </c>
      <c r="O275" s="3">
        <v>1</v>
      </c>
      <c r="P275" s="3">
        <v>1</v>
      </c>
      <c r="Q275" s="3">
        <v>1</v>
      </c>
      <c r="T275" s="70" t="s">
        <v>864</v>
      </c>
      <c r="U275" s="70">
        <v>0.107</v>
      </c>
      <c r="X275" s="70" t="s">
        <v>986</v>
      </c>
      <c r="Y275" s="70">
        <v>0.107</v>
      </c>
      <c r="AA275" s="70" t="s">
        <v>986</v>
      </c>
      <c r="AB275" s="406">
        <v>0</v>
      </c>
    </row>
    <row r="276" spans="1:28">
      <c r="A276" t="s">
        <v>1430</v>
      </c>
      <c r="B276" s="3" t="s">
        <v>445</v>
      </c>
      <c r="C276" s="3" t="s">
        <v>446</v>
      </c>
      <c r="D276" s="3" t="s">
        <v>14</v>
      </c>
      <c r="E276" s="3" t="s">
        <v>12</v>
      </c>
      <c r="F276" s="3">
        <v>0</v>
      </c>
      <c r="G276" s="74">
        <f>F276*VLOOKUP(D276,GWPs!$B$3:$C$6,2,FALSE)</f>
        <v>0</v>
      </c>
      <c r="H276" s="3">
        <v>0</v>
      </c>
      <c r="I276" s="74">
        <f>H276*VLOOKUP(D276,GWPs!$B$3:$C$6,2,FALSE)</f>
        <v>0</v>
      </c>
      <c r="J276" s="3">
        <v>0</v>
      </c>
      <c r="K276" s="74">
        <f>J276*VLOOKUP(D276,GWPs!$B$3:$C$6,2,FALSE)</f>
        <v>0</v>
      </c>
      <c r="M276" s="3">
        <v>4</v>
      </c>
      <c r="N276" s="3">
        <v>2</v>
      </c>
      <c r="O276" s="3">
        <v>1</v>
      </c>
      <c r="P276" s="3">
        <v>3</v>
      </c>
      <c r="Q276" s="3">
        <v>1</v>
      </c>
      <c r="T276" s="70" t="s">
        <v>512</v>
      </c>
      <c r="U276" s="524">
        <v>0.46599999999999997</v>
      </c>
      <c r="X276" s="70" t="s">
        <v>646</v>
      </c>
      <c r="Y276" s="70">
        <v>0.23600000000000002</v>
      </c>
      <c r="AA276" s="70" t="s">
        <v>646</v>
      </c>
      <c r="AB276" s="406">
        <v>0.28000000000000003</v>
      </c>
    </row>
    <row r="277" spans="1:28">
      <c r="A277" t="s">
        <v>1430</v>
      </c>
      <c r="B277" s="3" t="s">
        <v>445</v>
      </c>
      <c r="C277" s="3" t="s">
        <v>446</v>
      </c>
      <c r="D277" s="3" t="s">
        <v>15</v>
      </c>
      <c r="E277" s="3" t="s">
        <v>16</v>
      </c>
      <c r="F277" s="3">
        <v>6.0000000000000001E-3</v>
      </c>
      <c r="G277" s="74">
        <f>F277*VLOOKUP(D277,GWPs!$B$3:$C$6,2,FALSE)</f>
        <v>6.0000000000000001E-3</v>
      </c>
      <c r="H277" s="3">
        <v>0</v>
      </c>
      <c r="I277" s="74">
        <f>H277*VLOOKUP(D277,GWPs!$B$3:$C$6,2,FALSE)</f>
        <v>0</v>
      </c>
      <c r="J277" s="3">
        <v>6.0000000000000001E-3</v>
      </c>
      <c r="K277" s="74">
        <f>J277*VLOOKUP(D277,GWPs!$B$3:$C$6,2,FALSE)</f>
        <v>6.0000000000000001E-3</v>
      </c>
      <c r="M277" s="3">
        <v>3</v>
      </c>
      <c r="N277" s="3">
        <v>2</v>
      </c>
      <c r="O277" s="3">
        <v>1</v>
      </c>
      <c r="P277" s="3">
        <v>4</v>
      </c>
      <c r="Q277" s="3">
        <v>1</v>
      </c>
      <c r="T277" s="70" t="s">
        <v>986</v>
      </c>
      <c r="U277" s="70">
        <v>0.107</v>
      </c>
      <c r="X277" s="70" t="s">
        <v>1018</v>
      </c>
      <c r="Y277" s="70">
        <v>7.5999999999999998E-2</v>
      </c>
      <c r="AA277" s="70" t="s">
        <v>1018</v>
      </c>
      <c r="AB277" s="406">
        <v>0</v>
      </c>
    </row>
    <row r="278" spans="1:28">
      <c r="A278" t="s">
        <v>1430</v>
      </c>
      <c r="B278" s="3" t="s">
        <v>447</v>
      </c>
      <c r="C278" s="3" t="s">
        <v>448</v>
      </c>
      <c r="D278" s="3" t="s">
        <v>11</v>
      </c>
      <c r="E278" s="3" t="s">
        <v>12</v>
      </c>
      <c r="F278" s="3">
        <v>0.25600000000000001</v>
      </c>
      <c r="G278" s="74">
        <f>F278*VLOOKUP(D278,GWPs!$B$3:$C$6,2,FALSE)</f>
        <v>0.25600000000000001</v>
      </c>
      <c r="H278" s="3">
        <v>0.77900000000000003</v>
      </c>
      <c r="I278" s="74">
        <f>H278*VLOOKUP(D278,GWPs!$B$3:$C$6,2,FALSE)</f>
        <v>0.77900000000000003</v>
      </c>
      <c r="J278" s="3">
        <v>1.0349999999999999</v>
      </c>
      <c r="K278" s="74">
        <f>J278*VLOOKUP(D278,GWPs!$B$3:$C$6,2,FALSE)</f>
        <v>1.0349999999999999</v>
      </c>
      <c r="M278" s="3">
        <v>3</v>
      </c>
      <c r="N278" s="3">
        <v>2</v>
      </c>
      <c r="O278" s="3">
        <v>1</v>
      </c>
      <c r="P278" s="3">
        <v>3</v>
      </c>
      <c r="Q278" s="3">
        <v>1</v>
      </c>
      <c r="T278" s="70" t="s">
        <v>646</v>
      </c>
      <c r="U278" s="70">
        <v>0.51600000000000001</v>
      </c>
      <c r="X278" s="70" t="s">
        <v>764</v>
      </c>
      <c r="Y278" s="70">
        <v>0.27400000000000002</v>
      </c>
      <c r="AA278" s="70" t="s">
        <v>764</v>
      </c>
      <c r="AB278" s="406">
        <v>3.1E-2</v>
      </c>
    </row>
    <row r="279" spans="1:28">
      <c r="A279" t="s">
        <v>1430</v>
      </c>
      <c r="B279" s="3" t="s">
        <v>447</v>
      </c>
      <c r="C279" s="3" t="s">
        <v>448</v>
      </c>
      <c r="D279" s="3" t="s">
        <v>13</v>
      </c>
      <c r="E279" s="3" t="s">
        <v>12</v>
      </c>
      <c r="F279" s="3">
        <v>1E-3</v>
      </c>
      <c r="G279" s="74">
        <f>F279*VLOOKUP(D279,GWPs!$B$3:$C$6,2,FALSE)</f>
        <v>2.8000000000000001E-2</v>
      </c>
      <c r="H279" s="3">
        <v>4.0000000000000001E-3</v>
      </c>
      <c r="I279" s="74">
        <f>H279*VLOOKUP(D279,GWPs!$B$3:$C$6,2,FALSE)</f>
        <v>0.112</v>
      </c>
      <c r="J279" s="3">
        <v>5.0000000000000001E-3</v>
      </c>
      <c r="K279" s="74">
        <f>J279*VLOOKUP(D279,GWPs!$B$3:$C$6,2,FALSE)</f>
        <v>0.14000000000000001</v>
      </c>
      <c r="M279" s="3">
        <v>3</v>
      </c>
      <c r="N279" s="3">
        <v>2</v>
      </c>
      <c r="O279" s="3">
        <v>1</v>
      </c>
      <c r="P279" s="3">
        <v>1</v>
      </c>
      <c r="Q279" s="3">
        <v>1</v>
      </c>
      <c r="T279" s="70" t="s">
        <v>1018</v>
      </c>
      <c r="U279" s="70">
        <v>7.5999999999999998E-2</v>
      </c>
      <c r="X279" s="70" t="s">
        <v>894</v>
      </c>
      <c r="Y279" s="70">
        <v>2.0150000000000001</v>
      </c>
      <c r="AA279" s="70" t="s">
        <v>894</v>
      </c>
      <c r="AB279" s="406">
        <v>0</v>
      </c>
    </row>
    <row r="280" spans="1:28">
      <c r="A280" t="s">
        <v>1430</v>
      </c>
      <c r="B280" s="3" t="s">
        <v>447</v>
      </c>
      <c r="C280" s="3" t="s">
        <v>448</v>
      </c>
      <c r="D280" s="3" t="s">
        <v>14</v>
      </c>
      <c r="E280" s="3" t="s">
        <v>12</v>
      </c>
      <c r="F280" s="3">
        <v>0</v>
      </c>
      <c r="G280" s="74">
        <f>F280*VLOOKUP(D280,GWPs!$B$3:$C$6,2,FALSE)</f>
        <v>0</v>
      </c>
      <c r="H280" s="3">
        <v>0</v>
      </c>
      <c r="I280" s="74">
        <f>H280*VLOOKUP(D280,GWPs!$B$3:$C$6,2,FALSE)</f>
        <v>0</v>
      </c>
      <c r="J280" s="3">
        <v>0</v>
      </c>
      <c r="K280" s="74">
        <f>J280*VLOOKUP(D280,GWPs!$B$3:$C$6,2,FALSE)</f>
        <v>0</v>
      </c>
      <c r="M280" s="3">
        <v>4</v>
      </c>
      <c r="N280" s="3">
        <v>2</v>
      </c>
      <c r="O280" s="3">
        <v>1</v>
      </c>
      <c r="P280" s="3">
        <v>3</v>
      </c>
      <c r="Q280" s="3">
        <v>1</v>
      </c>
      <c r="T280" s="70" t="s">
        <v>764</v>
      </c>
      <c r="U280" s="70">
        <v>0.30400000000000005</v>
      </c>
      <c r="X280" s="70" t="s">
        <v>530</v>
      </c>
      <c r="Y280" s="70">
        <v>0.49900000000000005</v>
      </c>
      <c r="AA280" s="70" t="s">
        <v>530</v>
      </c>
      <c r="AB280" s="406">
        <v>2.1000000000000001E-2</v>
      </c>
    </row>
    <row r="281" spans="1:28">
      <c r="A281" t="s">
        <v>1430</v>
      </c>
      <c r="B281" s="3" t="s">
        <v>447</v>
      </c>
      <c r="C281" s="3" t="s">
        <v>448</v>
      </c>
      <c r="D281" s="3" t="s">
        <v>15</v>
      </c>
      <c r="E281" s="3" t="s">
        <v>16</v>
      </c>
      <c r="F281" s="3">
        <v>7.0000000000000001E-3</v>
      </c>
      <c r="G281" s="74">
        <f>F281*VLOOKUP(D281,GWPs!$B$3:$C$6,2,FALSE)</f>
        <v>7.0000000000000001E-3</v>
      </c>
      <c r="H281" s="3">
        <v>0</v>
      </c>
      <c r="I281" s="74">
        <f>H281*VLOOKUP(D281,GWPs!$B$3:$C$6,2,FALSE)</f>
        <v>0</v>
      </c>
      <c r="J281" s="3">
        <v>7.0000000000000001E-3</v>
      </c>
      <c r="K281" s="74">
        <f>J281*VLOOKUP(D281,GWPs!$B$3:$C$6,2,FALSE)</f>
        <v>7.0000000000000001E-3</v>
      </c>
      <c r="M281" s="3">
        <v>3</v>
      </c>
      <c r="N281" s="3">
        <v>2</v>
      </c>
      <c r="O281" s="3">
        <v>1</v>
      </c>
      <c r="P281" s="3">
        <v>3</v>
      </c>
      <c r="Q281" s="3">
        <v>1</v>
      </c>
      <c r="T281" s="70" t="s">
        <v>894</v>
      </c>
      <c r="U281" s="70">
        <v>2.0150000000000001</v>
      </c>
      <c r="X281" s="70" t="s">
        <v>540</v>
      </c>
      <c r="Y281" s="70">
        <v>0.33700000000000002</v>
      </c>
      <c r="AA281" s="70" t="s">
        <v>540</v>
      </c>
      <c r="AB281" s="406">
        <v>1.2E-2</v>
      </c>
    </row>
    <row r="282" spans="1:28">
      <c r="A282" t="s">
        <v>1430</v>
      </c>
      <c r="B282" s="3" t="s">
        <v>449</v>
      </c>
      <c r="C282" s="3" t="s">
        <v>450</v>
      </c>
      <c r="D282" s="3" t="s">
        <v>11</v>
      </c>
      <c r="E282" s="3" t="s">
        <v>12</v>
      </c>
      <c r="F282" s="3">
        <v>0.34399999999999997</v>
      </c>
      <c r="G282" s="74">
        <f>F282*VLOOKUP(D282,GWPs!$B$3:$C$6,2,FALSE)</f>
        <v>0.34399999999999997</v>
      </c>
      <c r="H282" s="3">
        <v>0.215</v>
      </c>
      <c r="I282" s="74">
        <f>H282*VLOOKUP(D282,GWPs!$B$3:$C$6,2,FALSE)</f>
        <v>0.215</v>
      </c>
      <c r="J282" s="3">
        <v>0.55900000000000005</v>
      </c>
      <c r="K282" s="74">
        <f>J282*VLOOKUP(D282,GWPs!$B$3:$C$6,2,FALSE)</f>
        <v>0.55900000000000005</v>
      </c>
      <c r="M282" s="3">
        <v>3</v>
      </c>
      <c r="N282" s="3">
        <v>2</v>
      </c>
      <c r="O282" s="3">
        <v>1</v>
      </c>
      <c r="P282" s="3">
        <v>3</v>
      </c>
      <c r="Q282" s="3">
        <v>1</v>
      </c>
      <c r="T282" s="70" t="s">
        <v>530</v>
      </c>
      <c r="U282" s="70">
        <v>0.54800000000000004</v>
      </c>
      <c r="X282" s="70" t="s">
        <v>532</v>
      </c>
      <c r="Y282" s="70">
        <v>0.6140000000000001</v>
      </c>
      <c r="AA282" s="70" t="s">
        <v>532</v>
      </c>
      <c r="AB282" s="406">
        <v>0.04</v>
      </c>
    </row>
    <row r="283" spans="1:28">
      <c r="A283" t="s">
        <v>1430</v>
      </c>
      <c r="B283" s="3" t="s">
        <v>449</v>
      </c>
      <c r="C283" s="3" t="s">
        <v>450</v>
      </c>
      <c r="D283" s="3" t="s">
        <v>13</v>
      </c>
      <c r="E283" s="3" t="s">
        <v>12</v>
      </c>
      <c r="F283" s="3">
        <v>2E-3</v>
      </c>
      <c r="G283" s="74">
        <f>F283*VLOOKUP(D283,GWPs!$B$3:$C$6,2,FALSE)</f>
        <v>5.6000000000000001E-2</v>
      </c>
      <c r="H283" s="3">
        <v>1E-3</v>
      </c>
      <c r="I283" s="74">
        <f>H283*VLOOKUP(D283,GWPs!$B$3:$C$6,2,FALSE)</f>
        <v>2.8000000000000001E-2</v>
      </c>
      <c r="J283" s="3">
        <v>3.0000000000000001E-3</v>
      </c>
      <c r="K283" s="74">
        <f>J283*VLOOKUP(D283,GWPs!$B$3:$C$6,2,FALSE)</f>
        <v>8.4000000000000005E-2</v>
      </c>
      <c r="M283" s="3">
        <v>3</v>
      </c>
      <c r="N283" s="3">
        <v>2</v>
      </c>
      <c r="O283" s="3">
        <v>1</v>
      </c>
      <c r="P283" s="3">
        <v>1</v>
      </c>
      <c r="Q283" s="3">
        <v>1</v>
      </c>
      <c r="T283" s="70" t="s">
        <v>540</v>
      </c>
      <c r="U283" s="70">
        <v>0.34900000000000003</v>
      </c>
      <c r="X283" s="70" t="s">
        <v>502</v>
      </c>
      <c r="Y283" s="70">
        <v>1.5680000000000001</v>
      </c>
      <c r="AA283" s="70" t="s">
        <v>502</v>
      </c>
      <c r="AB283" s="406">
        <v>3.6999999999999998E-2</v>
      </c>
    </row>
    <row r="284" spans="1:28">
      <c r="A284" t="s">
        <v>1430</v>
      </c>
      <c r="B284" s="3" t="s">
        <v>449</v>
      </c>
      <c r="C284" s="3" t="s">
        <v>450</v>
      </c>
      <c r="D284" s="3" t="s">
        <v>14</v>
      </c>
      <c r="E284" s="3" t="s">
        <v>12</v>
      </c>
      <c r="F284" s="3">
        <v>0</v>
      </c>
      <c r="G284" s="74">
        <f>F284*VLOOKUP(D284,GWPs!$B$3:$C$6,2,FALSE)</f>
        <v>0</v>
      </c>
      <c r="H284" s="3">
        <v>0</v>
      </c>
      <c r="I284" s="74">
        <f>H284*VLOOKUP(D284,GWPs!$B$3:$C$6,2,FALSE)</f>
        <v>0</v>
      </c>
      <c r="J284" s="3">
        <v>0</v>
      </c>
      <c r="K284" s="74">
        <f>J284*VLOOKUP(D284,GWPs!$B$3:$C$6,2,FALSE)</f>
        <v>0</v>
      </c>
      <c r="M284" s="3">
        <v>4</v>
      </c>
      <c r="N284" s="3">
        <v>2</v>
      </c>
      <c r="O284" s="3">
        <v>1</v>
      </c>
      <c r="P284" s="3">
        <v>3</v>
      </c>
      <c r="Q284" s="3">
        <v>1</v>
      </c>
      <c r="T284" s="70" t="s">
        <v>532</v>
      </c>
      <c r="U284" s="70">
        <v>0.65400000000000003</v>
      </c>
      <c r="X284" s="70" t="s">
        <v>458</v>
      </c>
      <c r="Y284" s="70">
        <v>0.35100000000000003</v>
      </c>
      <c r="AA284" s="70" t="s">
        <v>458</v>
      </c>
      <c r="AB284" s="406">
        <v>5.2999999999999999E-2</v>
      </c>
    </row>
    <row r="285" spans="1:28">
      <c r="A285" t="s">
        <v>1430</v>
      </c>
      <c r="B285" s="3" t="s">
        <v>449</v>
      </c>
      <c r="C285" s="3" t="s">
        <v>450</v>
      </c>
      <c r="D285" s="3" t="s">
        <v>15</v>
      </c>
      <c r="E285" s="3" t="s">
        <v>16</v>
      </c>
      <c r="F285" s="3">
        <v>8.9999999999999993E-3</v>
      </c>
      <c r="G285" s="74">
        <f>F285*VLOOKUP(D285,GWPs!$B$3:$C$6,2,FALSE)</f>
        <v>8.9999999999999993E-3</v>
      </c>
      <c r="H285" s="3">
        <v>0</v>
      </c>
      <c r="I285" s="74">
        <f>H285*VLOOKUP(D285,GWPs!$B$3:$C$6,2,FALSE)</f>
        <v>0</v>
      </c>
      <c r="J285" s="3">
        <v>8.9999999999999993E-3</v>
      </c>
      <c r="K285" s="74">
        <f>J285*VLOOKUP(D285,GWPs!$B$3:$C$6,2,FALSE)</f>
        <v>8.9999999999999993E-3</v>
      </c>
      <c r="M285" s="3">
        <v>3</v>
      </c>
      <c r="N285" s="3">
        <v>2</v>
      </c>
      <c r="O285" s="3">
        <v>1</v>
      </c>
      <c r="P285" s="3">
        <v>3</v>
      </c>
      <c r="Q285" s="3">
        <v>1</v>
      </c>
      <c r="T285" s="70" t="s">
        <v>502</v>
      </c>
      <c r="U285" s="70">
        <v>1.6330000000000002</v>
      </c>
      <c r="X285" s="70" t="s">
        <v>536</v>
      </c>
      <c r="Y285" s="70">
        <v>0.65900000000000003</v>
      </c>
      <c r="AA285" s="70" t="s">
        <v>536</v>
      </c>
      <c r="AB285" s="406">
        <v>0.06</v>
      </c>
    </row>
    <row r="286" spans="1:28">
      <c r="A286" t="s">
        <v>1430</v>
      </c>
      <c r="B286" s="3" t="s">
        <v>451</v>
      </c>
      <c r="C286" s="3" t="s">
        <v>452</v>
      </c>
      <c r="D286" s="3" t="s">
        <v>11</v>
      </c>
      <c r="E286" s="3" t="s">
        <v>12</v>
      </c>
      <c r="F286" s="3">
        <v>0.11700000000000001</v>
      </c>
      <c r="G286" s="74">
        <f>F286*VLOOKUP(D286,GWPs!$B$3:$C$6,2,FALSE)</f>
        <v>0.11700000000000001</v>
      </c>
      <c r="H286" s="3">
        <v>1.603</v>
      </c>
      <c r="I286" s="74">
        <f>H286*VLOOKUP(D286,GWPs!$B$3:$C$6,2,FALSE)</f>
        <v>1.603</v>
      </c>
      <c r="J286" s="3">
        <v>1.72</v>
      </c>
      <c r="K286" s="74">
        <f>J286*VLOOKUP(D286,GWPs!$B$3:$C$6,2,FALSE)</f>
        <v>1.72</v>
      </c>
      <c r="M286" s="3">
        <v>3</v>
      </c>
      <c r="N286" s="3">
        <v>2</v>
      </c>
      <c r="O286" s="3">
        <v>1</v>
      </c>
      <c r="P286" s="3">
        <v>3</v>
      </c>
      <c r="Q286" s="3">
        <v>1</v>
      </c>
      <c r="T286" s="70" t="s">
        <v>458</v>
      </c>
      <c r="U286" s="70">
        <v>0.40500000000000003</v>
      </c>
      <c r="X286" s="70" t="s">
        <v>898</v>
      </c>
      <c r="Y286" s="70">
        <v>0.20899999999999999</v>
      </c>
      <c r="AA286" s="70" t="s">
        <v>898</v>
      </c>
      <c r="AB286" s="406">
        <v>0</v>
      </c>
    </row>
    <row r="287" spans="1:28">
      <c r="A287" t="s">
        <v>1430</v>
      </c>
      <c r="B287" s="3" t="s">
        <v>451</v>
      </c>
      <c r="C287" s="3" t="s">
        <v>452</v>
      </c>
      <c r="D287" s="3" t="s">
        <v>13</v>
      </c>
      <c r="E287" s="3" t="s">
        <v>12</v>
      </c>
      <c r="F287" s="3">
        <v>1E-3</v>
      </c>
      <c r="G287" s="74">
        <f>F287*VLOOKUP(D287,GWPs!$B$3:$C$6,2,FALSE)</f>
        <v>2.8000000000000001E-2</v>
      </c>
      <c r="H287" s="3">
        <v>8.0000000000000002E-3</v>
      </c>
      <c r="I287" s="74">
        <f>H287*VLOOKUP(D287,GWPs!$B$3:$C$6,2,FALSE)</f>
        <v>0.224</v>
      </c>
      <c r="J287" s="3">
        <v>8.9999999999999993E-3</v>
      </c>
      <c r="K287" s="74">
        <f>J287*VLOOKUP(D287,GWPs!$B$3:$C$6,2,FALSE)</f>
        <v>0.252</v>
      </c>
      <c r="M287" s="3">
        <v>3</v>
      </c>
      <c r="N287" s="3">
        <v>2</v>
      </c>
      <c r="O287" s="3">
        <v>1</v>
      </c>
      <c r="P287" s="3">
        <v>1</v>
      </c>
      <c r="Q287" s="3">
        <v>1</v>
      </c>
      <c r="T287" s="70" t="s">
        <v>536</v>
      </c>
      <c r="U287" s="70">
        <v>0.71900000000000008</v>
      </c>
      <c r="X287" s="70" t="s">
        <v>327</v>
      </c>
      <c r="Y287" s="70">
        <v>1.1080000000000001</v>
      </c>
      <c r="AA287" s="70" t="s">
        <v>327</v>
      </c>
      <c r="AB287" s="406">
        <v>8.5000000000000006E-2</v>
      </c>
    </row>
    <row r="288" spans="1:28">
      <c r="A288" t="s">
        <v>1430</v>
      </c>
      <c r="B288" s="3" t="s">
        <v>451</v>
      </c>
      <c r="C288" s="3" t="s">
        <v>452</v>
      </c>
      <c r="D288" s="3" t="s">
        <v>14</v>
      </c>
      <c r="E288" s="3" t="s">
        <v>12</v>
      </c>
      <c r="F288" s="3">
        <v>0</v>
      </c>
      <c r="G288" s="74">
        <f>F288*VLOOKUP(D288,GWPs!$B$3:$C$6,2,FALSE)</f>
        <v>0</v>
      </c>
      <c r="H288" s="3">
        <v>0</v>
      </c>
      <c r="I288" s="74">
        <f>H288*VLOOKUP(D288,GWPs!$B$3:$C$6,2,FALSE)</f>
        <v>0</v>
      </c>
      <c r="J288" s="3">
        <v>0</v>
      </c>
      <c r="K288" s="74">
        <f>J288*VLOOKUP(D288,GWPs!$B$3:$C$6,2,FALSE)</f>
        <v>0</v>
      </c>
      <c r="M288" s="3">
        <v>4</v>
      </c>
      <c r="N288" s="3">
        <v>2</v>
      </c>
      <c r="O288" s="3">
        <v>1</v>
      </c>
      <c r="P288" s="3">
        <v>3</v>
      </c>
      <c r="Q288" s="3">
        <v>1</v>
      </c>
      <c r="T288" s="70" t="s">
        <v>898</v>
      </c>
      <c r="U288" s="70">
        <v>0.20899999999999999</v>
      </c>
      <c r="X288" s="70" t="s">
        <v>366</v>
      </c>
      <c r="Y288" s="70">
        <v>0.48500000000000004</v>
      </c>
      <c r="AA288" s="70" t="s">
        <v>366</v>
      </c>
      <c r="AB288" s="406">
        <v>0</v>
      </c>
    </row>
    <row r="289" spans="1:28">
      <c r="A289" t="s">
        <v>1430</v>
      </c>
      <c r="B289" s="3" t="s">
        <v>451</v>
      </c>
      <c r="C289" s="3" t="s">
        <v>452</v>
      </c>
      <c r="D289" s="3" t="s">
        <v>15</v>
      </c>
      <c r="E289" s="3" t="s">
        <v>16</v>
      </c>
      <c r="F289" s="3">
        <v>2E-3</v>
      </c>
      <c r="G289" s="74">
        <f>F289*VLOOKUP(D289,GWPs!$B$3:$C$6,2,FALSE)</f>
        <v>2E-3</v>
      </c>
      <c r="H289" s="3">
        <v>0</v>
      </c>
      <c r="I289" s="74">
        <f>H289*VLOOKUP(D289,GWPs!$B$3:$C$6,2,FALSE)</f>
        <v>0</v>
      </c>
      <c r="J289" s="3">
        <v>2E-3</v>
      </c>
      <c r="K289" s="74">
        <f>J289*VLOOKUP(D289,GWPs!$B$3:$C$6,2,FALSE)</f>
        <v>2E-3</v>
      </c>
      <c r="M289" s="3">
        <v>3</v>
      </c>
      <c r="N289" s="3">
        <v>2</v>
      </c>
      <c r="O289" s="3">
        <v>1</v>
      </c>
      <c r="P289" s="3">
        <v>4</v>
      </c>
      <c r="Q289" s="3">
        <v>1</v>
      </c>
      <c r="T289" s="70" t="s">
        <v>327</v>
      </c>
      <c r="U289" s="70">
        <v>1.1929999999999998</v>
      </c>
      <c r="X289" s="70" t="s">
        <v>604</v>
      </c>
      <c r="Y289" s="70">
        <v>0.28100000000000003</v>
      </c>
      <c r="AA289" s="70" t="s">
        <v>604</v>
      </c>
      <c r="AB289" s="406">
        <v>4.4999999999999998E-2</v>
      </c>
    </row>
    <row r="290" spans="1:28">
      <c r="A290" t="s">
        <v>1429</v>
      </c>
      <c r="B290" s="3" t="s">
        <v>453</v>
      </c>
      <c r="C290" s="3" t="s">
        <v>454</v>
      </c>
      <c r="D290" s="3" t="s">
        <v>11</v>
      </c>
      <c r="E290" s="3" t="s">
        <v>12</v>
      </c>
      <c r="F290" s="3">
        <v>0.106</v>
      </c>
      <c r="G290" s="74">
        <f>F290*VLOOKUP(D290,GWPs!$B$3:$C$6,2,FALSE)</f>
        <v>0.106</v>
      </c>
      <c r="H290" s="3">
        <v>0.69499999999999995</v>
      </c>
      <c r="I290" s="74">
        <f>H290*VLOOKUP(D290,GWPs!$B$3:$C$6,2,FALSE)</f>
        <v>0.69499999999999995</v>
      </c>
      <c r="J290" s="3">
        <v>0.80100000000000005</v>
      </c>
      <c r="K290" s="74">
        <f>J290*VLOOKUP(D290,GWPs!$B$3:$C$6,2,FALSE)</f>
        <v>0.80100000000000005</v>
      </c>
      <c r="M290" s="3">
        <v>3</v>
      </c>
      <c r="N290" s="3">
        <v>2</v>
      </c>
      <c r="O290" s="3">
        <v>1</v>
      </c>
      <c r="P290" s="3">
        <v>4</v>
      </c>
      <c r="Q290" s="3">
        <v>1</v>
      </c>
      <c r="T290" s="70" t="s">
        <v>366</v>
      </c>
      <c r="U290" s="70">
        <v>0.48500000000000004</v>
      </c>
      <c r="X290" s="70" t="s">
        <v>678</v>
      </c>
      <c r="Y290" s="70">
        <v>0.23</v>
      </c>
      <c r="AA290" s="70" t="s">
        <v>678</v>
      </c>
      <c r="AB290" s="406">
        <v>0.314</v>
      </c>
    </row>
    <row r="291" spans="1:28">
      <c r="A291" t="s">
        <v>1429</v>
      </c>
      <c r="B291" s="3" t="s">
        <v>453</v>
      </c>
      <c r="C291" s="3" t="s">
        <v>454</v>
      </c>
      <c r="D291" s="3" t="s">
        <v>13</v>
      </c>
      <c r="E291" s="3" t="s">
        <v>12</v>
      </c>
      <c r="F291" s="3">
        <v>4.0000000000000001E-3</v>
      </c>
      <c r="G291" s="74">
        <f>F291*VLOOKUP(D291,GWPs!$B$3:$C$6,2,FALSE)</f>
        <v>0.112</v>
      </c>
      <c r="H291" s="3">
        <v>4.0000000000000001E-3</v>
      </c>
      <c r="I291" s="74">
        <f>H291*VLOOKUP(D291,GWPs!$B$3:$C$6,2,FALSE)</f>
        <v>0.112</v>
      </c>
      <c r="J291" s="3">
        <v>7.0000000000000001E-3</v>
      </c>
      <c r="K291" s="74">
        <f>J291*VLOOKUP(D291,GWPs!$B$3:$C$6,2,FALSE)</f>
        <v>0.19600000000000001</v>
      </c>
      <c r="M291" s="3">
        <v>4</v>
      </c>
      <c r="N291" s="3">
        <v>2</v>
      </c>
      <c r="O291" s="3">
        <v>1</v>
      </c>
      <c r="P291" s="3">
        <v>1</v>
      </c>
      <c r="Q291" s="3">
        <v>1</v>
      </c>
      <c r="T291" s="70" t="s">
        <v>604</v>
      </c>
      <c r="U291" s="70">
        <v>0.32700000000000001</v>
      </c>
      <c r="X291" s="70" t="s">
        <v>752</v>
      </c>
      <c r="Y291" s="70">
        <v>0.31100000000000005</v>
      </c>
      <c r="AA291" s="70" t="s">
        <v>752</v>
      </c>
      <c r="AB291" s="406">
        <v>0.21099999999999999</v>
      </c>
    </row>
    <row r="292" spans="1:28">
      <c r="A292" t="s">
        <v>1429</v>
      </c>
      <c r="B292" s="3" t="s">
        <v>453</v>
      </c>
      <c r="C292" s="3" t="s">
        <v>454</v>
      </c>
      <c r="D292" s="3" t="s">
        <v>14</v>
      </c>
      <c r="E292" s="3" t="s">
        <v>12</v>
      </c>
      <c r="F292" s="3">
        <v>0</v>
      </c>
      <c r="G292" s="74">
        <f>F292*VLOOKUP(D292,GWPs!$B$3:$C$6,2,FALSE)</f>
        <v>0</v>
      </c>
      <c r="H292" s="3">
        <v>0</v>
      </c>
      <c r="I292" s="74">
        <f>H292*VLOOKUP(D292,GWPs!$B$3:$C$6,2,FALSE)</f>
        <v>0</v>
      </c>
      <c r="J292" s="3">
        <v>0</v>
      </c>
      <c r="K292" s="74">
        <f>J292*VLOOKUP(D292,GWPs!$B$3:$C$6,2,FALSE)</f>
        <v>0</v>
      </c>
      <c r="M292" s="3">
        <v>4</v>
      </c>
      <c r="N292" s="3">
        <v>2</v>
      </c>
      <c r="O292" s="3">
        <v>1</v>
      </c>
      <c r="P292" s="3">
        <v>4</v>
      </c>
      <c r="Q292" s="3">
        <v>1</v>
      </c>
      <c r="T292" s="70" t="s">
        <v>678</v>
      </c>
      <c r="U292" s="70">
        <v>0.54500000000000004</v>
      </c>
      <c r="X292" s="70" t="s">
        <v>574</v>
      </c>
      <c r="Y292" s="70">
        <v>0.71799999999999997</v>
      </c>
      <c r="AA292" s="70" t="s">
        <v>574</v>
      </c>
      <c r="AB292" s="406">
        <v>3.2000000000000001E-2</v>
      </c>
    </row>
    <row r="293" spans="1:28">
      <c r="A293" t="s">
        <v>1429</v>
      </c>
      <c r="B293" s="3" t="s">
        <v>453</v>
      </c>
      <c r="C293" s="3" t="s">
        <v>454</v>
      </c>
      <c r="D293" s="3" t="s">
        <v>15</v>
      </c>
      <c r="E293" s="3" t="s">
        <v>16</v>
      </c>
      <c r="F293" s="3">
        <v>4.0000000000000001E-3</v>
      </c>
      <c r="G293" s="74">
        <f>F293*VLOOKUP(D293,GWPs!$B$3:$C$6,2,FALSE)</f>
        <v>4.0000000000000001E-3</v>
      </c>
      <c r="H293" s="3">
        <v>0</v>
      </c>
      <c r="I293" s="74">
        <f>H293*VLOOKUP(D293,GWPs!$B$3:$C$6,2,FALSE)</f>
        <v>0</v>
      </c>
      <c r="J293" s="3">
        <v>4.0000000000000001E-3</v>
      </c>
      <c r="K293" s="74">
        <f>J293*VLOOKUP(D293,GWPs!$B$3:$C$6,2,FALSE)</f>
        <v>4.0000000000000001E-3</v>
      </c>
      <c r="M293" s="3">
        <v>4</v>
      </c>
      <c r="N293" s="3">
        <v>2</v>
      </c>
      <c r="O293" s="3">
        <v>1</v>
      </c>
      <c r="P293" s="3">
        <v>4</v>
      </c>
      <c r="Q293" s="3">
        <v>1</v>
      </c>
      <c r="T293" s="70" t="s">
        <v>752</v>
      </c>
      <c r="U293" s="70">
        <v>0.52200000000000002</v>
      </c>
      <c r="X293" s="70" t="s">
        <v>704</v>
      </c>
      <c r="Y293" s="70">
        <v>9.9999999999999992E-2</v>
      </c>
      <c r="AA293" s="70" t="s">
        <v>704</v>
      </c>
      <c r="AB293" s="406">
        <v>2.4E-2</v>
      </c>
    </row>
    <row r="294" spans="1:28">
      <c r="A294" t="s">
        <v>1429</v>
      </c>
      <c r="B294" s="3" t="s">
        <v>455</v>
      </c>
      <c r="C294" s="3" t="s">
        <v>456</v>
      </c>
      <c r="D294" s="3" t="s">
        <v>11</v>
      </c>
      <c r="E294" s="3" t="s">
        <v>12</v>
      </c>
      <c r="F294" s="3">
        <v>0.193</v>
      </c>
      <c r="G294" s="74">
        <f>F294*VLOOKUP(D294,GWPs!$B$3:$C$6,2,FALSE)</f>
        <v>0.193</v>
      </c>
      <c r="H294" s="3">
        <v>4.2000000000000003E-2</v>
      </c>
      <c r="I294" s="74">
        <f>H294*VLOOKUP(D294,GWPs!$B$3:$C$6,2,FALSE)</f>
        <v>4.2000000000000003E-2</v>
      </c>
      <c r="J294" s="3">
        <v>0.23599999999999999</v>
      </c>
      <c r="K294" s="74">
        <f>J294*VLOOKUP(D294,GWPs!$B$3:$C$6,2,FALSE)</f>
        <v>0.23599999999999999</v>
      </c>
      <c r="M294" s="3">
        <v>3</v>
      </c>
      <c r="N294" s="3">
        <v>2</v>
      </c>
      <c r="O294" s="3">
        <v>1</v>
      </c>
      <c r="P294" s="3">
        <v>3</v>
      </c>
      <c r="Q294" s="3">
        <v>1</v>
      </c>
      <c r="T294" s="70" t="s">
        <v>574</v>
      </c>
      <c r="U294" s="70">
        <v>0.77800000000000002</v>
      </c>
      <c r="X294" s="70" t="s">
        <v>482</v>
      </c>
      <c r="Y294" s="70">
        <v>0.24299999999999999</v>
      </c>
      <c r="AA294" s="70" t="s">
        <v>482</v>
      </c>
      <c r="AB294" s="406">
        <v>0.03</v>
      </c>
    </row>
    <row r="295" spans="1:28">
      <c r="A295" t="s">
        <v>1429</v>
      </c>
      <c r="B295" s="3" t="s">
        <v>455</v>
      </c>
      <c r="C295" s="3" t="s">
        <v>456</v>
      </c>
      <c r="D295" s="3" t="s">
        <v>13</v>
      </c>
      <c r="E295" s="3" t="s">
        <v>12</v>
      </c>
      <c r="F295" s="3">
        <v>1E-3</v>
      </c>
      <c r="G295" s="74">
        <f>F295*VLOOKUP(D295,GWPs!$B$3:$C$6,2,FALSE)</f>
        <v>2.8000000000000001E-2</v>
      </c>
      <c r="H295" s="3">
        <v>0</v>
      </c>
      <c r="I295" s="74">
        <f>H295*VLOOKUP(D295,GWPs!$B$3:$C$6,2,FALSE)</f>
        <v>0</v>
      </c>
      <c r="J295" s="3">
        <v>1E-3</v>
      </c>
      <c r="K295" s="74">
        <f>J295*VLOOKUP(D295,GWPs!$B$3:$C$6,2,FALSE)</f>
        <v>2.8000000000000001E-2</v>
      </c>
      <c r="M295" s="3">
        <v>4</v>
      </c>
      <c r="N295" s="3">
        <v>2</v>
      </c>
      <c r="O295" s="3">
        <v>1</v>
      </c>
      <c r="P295" s="3">
        <v>1</v>
      </c>
      <c r="Q295" s="3">
        <v>1</v>
      </c>
      <c r="T295" s="70" t="s">
        <v>704</v>
      </c>
      <c r="U295" s="70">
        <v>0.124</v>
      </c>
      <c r="X295" s="70" t="s">
        <v>852</v>
      </c>
      <c r="Y295" s="70">
        <v>9.6000000000000002E-2</v>
      </c>
      <c r="AA295" s="70" t="s">
        <v>852</v>
      </c>
      <c r="AB295" s="406">
        <v>0</v>
      </c>
    </row>
    <row r="296" spans="1:28">
      <c r="A296" t="s">
        <v>1429</v>
      </c>
      <c r="B296" s="3" t="s">
        <v>455</v>
      </c>
      <c r="C296" s="3" t="s">
        <v>456</v>
      </c>
      <c r="D296" s="3" t="s">
        <v>14</v>
      </c>
      <c r="E296" s="3" t="s">
        <v>12</v>
      </c>
      <c r="F296" s="3">
        <v>0</v>
      </c>
      <c r="G296" s="74">
        <f>F296*VLOOKUP(D296,GWPs!$B$3:$C$6,2,FALSE)</f>
        <v>0</v>
      </c>
      <c r="H296" s="3">
        <v>0</v>
      </c>
      <c r="I296" s="74">
        <f>H296*VLOOKUP(D296,GWPs!$B$3:$C$6,2,FALSE)</f>
        <v>0</v>
      </c>
      <c r="J296" s="3">
        <v>0</v>
      </c>
      <c r="K296" s="74">
        <f>J296*VLOOKUP(D296,GWPs!$B$3:$C$6,2,FALSE)</f>
        <v>0</v>
      </c>
      <c r="M296" s="3">
        <v>3</v>
      </c>
      <c r="N296" s="3">
        <v>2</v>
      </c>
      <c r="O296" s="3">
        <v>1</v>
      </c>
      <c r="P296" s="3">
        <v>3</v>
      </c>
      <c r="Q296" s="3">
        <v>1</v>
      </c>
      <c r="T296" s="70" t="s">
        <v>482</v>
      </c>
      <c r="U296" s="70">
        <v>0.27300000000000002</v>
      </c>
      <c r="X296" s="70" t="s">
        <v>1049</v>
      </c>
      <c r="Y296" s="70">
        <v>0.109</v>
      </c>
      <c r="AA296" s="70" t="s">
        <v>1049</v>
      </c>
      <c r="AB296" s="406">
        <v>0</v>
      </c>
    </row>
    <row r="297" spans="1:28">
      <c r="A297" t="s">
        <v>1429</v>
      </c>
      <c r="B297" s="3" t="s">
        <v>455</v>
      </c>
      <c r="C297" s="3" t="s">
        <v>456</v>
      </c>
      <c r="D297" s="3" t="s">
        <v>15</v>
      </c>
      <c r="E297" s="3" t="s">
        <v>16</v>
      </c>
      <c r="F297" s="3">
        <v>6.0000000000000001E-3</v>
      </c>
      <c r="G297" s="74">
        <f>F297*VLOOKUP(D297,GWPs!$B$3:$C$6,2,FALSE)</f>
        <v>6.0000000000000001E-3</v>
      </c>
      <c r="H297" s="3">
        <v>0</v>
      </c>
      <c r="I297" s="74">
        <f>H297*VLOOKUP(D297,GWPs!$B$3:$C$6,2,FALSE)</f>
        <v>0</v>
      </c>
      <c r="J297" s="3">
        <v>6.0000000000000001E-3</v>
      </c>
      <c r="K297" s="74">
        <f>J297*VLOOKUP(D297,GWPs!$B$3:$C$6,2,FALSE)</f>
        <v>6.0000000000000001E-3</v>
      </c>
      <c r="M297" s="3">
        <v>3</v>
      </c>
      <c r="N297" s="3">
        <v>2</v>
      </c>
      <c r="O297" s="3">
        <v>1</v>
      </c>
      <c r="P297" s="3">
        <v>4</v>
      </c>
      <c r="Q297" s="3">
        <v>1</v>
      </c>
      <c r="T297" s="70" t="s">
        <v>852</v>
      </c>
      <c r="U297" s="70">
        <v>9.6000000000000002E-2</v>
      </c>
      <c r="X297" s="70" t="s">
        <v>797</v>
      </c>
      <c r="Y297" s="70">
        <v>0.105</v>
      </c>
      <c r="AA297" s="70" t="s">
        <v>797</v>
      </c>
      <c r="AB297" s="406">
        <v>8.0000000000000002E-3</v>
      </c>
    </row>
    <row r="298" spans="1:28">
      <c r="A298" t="s">
        <v>1429</v>
      </c>
      <c r="B298" s="3" t="s">
        <v>457</v>
      </c>
      <c r="C298" s="3" t="s">
        <v>458</v>
      </c>
      <c r="D298" s="3" t="s">
        <v>11</v>
      </c>
      <c r="E298" s="3" t="s">
        <v>12</v>
      </c>
      <c r="F298" s="3">
        <v>0.318</v>
      </c>
      <c r="G298" s="74">
        <f>F298*VLOOKUP(D298,GWPs!$B$3:$C$6,2,FALSE)</f>
        <v>0.318</v>
      </c>
      <c r="H298" s="3">
        <v>5.2999999999999999E-2</v>
      </c>
      <c r="I298" s="74">
        <f>H298*VLOOKUP(D298,GWPs!$B$3:$C$6,2,FALSE)</f>
        <v>5.2999999999999999E-2</v>
      </c>
      <c r="J298" s="3">
        <v>0.372</v>
      </c>
      <c r="K298" s="74">
        <f>J298*VLOOKUP(D298,GWPs!$B$3:$C$6,2,FALSE)</f>
        <v>0.372</v>
      </c>
      <c r="M298" s="3">
        <v>3</v>
      </c>
      <c r="N298" s="3">
        <v>2</v>
      </c>
      <c r="O298" s="3">
        <v>1</v>
      </c>
      <c r="P298" s="3">
        <v>4</v>
      </c>
      <c r="Q298" s="3">
        <v>1</v>
      </c>
      <c r="T298" s="70" t="s">
        <v>1049</v>
      </c>
      <c r="U298" s="70">
        <v>0.109</v>
      </c>
      <c r="X298" s="70" t="s">
        <v>674</v>
      </c>
      <c r="Y298" s="70">
        <v>0.19400000000000001</v>
      </c>
      <c r="AA298" s="70" t="s">
        <v>674</v>
      </c>
      <c r="AB298" s="406">
        <v>3.4000000000000002E-2</v>
      </c>
    </row>
    <row r="299" spans="1:28">
      <c r="A299" t="s">
        <v>1429</v>
      </c>
      <c r="B299" s="3" t="s">
        <v>457</v>
      </c>
      <c r="C299" s="3" t="s">
        <v>458</v>
      </c>
      <c r="D299" s="3" t="s">
        <v>13</v>
      </c>
      <c r="E299" s="3" t="s">
        <v>12</v>
      </c>
      <c r="F299" s="3">
        <v>1E-3</v>
      </c>
      <c r="G299" s="74">
        <f>F299*VLOOKUP(D299,GWPs!$B$3:$C$6,2,FALSE)</f>
        <v>2.8000000000000001E-2</v>
      </c>
      <c r="H299" s="3">
        <v>0</v>
      </c>
      <c r="I299" s="74">
        <f>H299*VLOOKUP(D299,GWPs!$B$3:$C$6,2,FALSE)</f>
        <v>0</v>
      </c>
      <c r="J299" s="3">
        <v>1E-3</v>
      </c>
      <c r="K299" s="74">
        <f>J299*VLOOKUP(D299,GWPs!$B$3:$C$6,2,FALSE)</f>
        <v>2.8000000000000001E-2</v>
      </c>
      <c r="M299" s="3">
        <v>4</v>
      </c>
      <c r="N299" s="3">
        <v>2</v>
      </c>
      <c r="O299" s="3">
        <v>1</v>
      </c>
      <c r="P299" s="3">
        <v>1</v>
      </c>
      <c r="Q299" s="3">
        <v>1</v>
      </c>
      <c r="T299" s="70" t="s">
        <v>797</v>
      </c>
      <c r="U299" s="70">
        <v>0.113</v>
      </c>
      <c r="X299" s="70" t="s">
        <v>920</v>
      </c>
      <c r="Y299" s="70">
        <v>7.0000000000000007E-2</v>
      </c>
      <c r="AA299" s="70" t="s">
        <v>920</v>
      </c>
      <c r="AB299" s="406">
        <v>0</v>
      </c>
    </row>
    <row r="300" spans="1:28">
      <c r="A300" t="s">
        <v>1429</v>
      </c>
      <c r="B300" s="3" t="s">
        <v>457</v>
      </c>
      <c r="C300" s="3" t="s">
        <v>458</v>
      </c>
      <c r="D300" s="3" t="s">
        <v>14</v>
      </c>
      <c r="E300" s="3" t="s">
        <v>12</v>
      </c>
      <c r="F300" s="3">
        <v>0</v>
      </c>
      <c r="G300" s="74">
        <f>F300*VLOOKUP(D300,GWPs!$B$3:$C$6,2,FALSE)</f>
        <v>0</v>
      </c>
      <c r="H300" s="3">
        <v>0</v>
      </c>
      <c r="I300" s="74">
        <f>H300*VLOOKUP(D300,GWPs!$B$3:$C$6,2,FALSE)</f>
        <v>0</v>
      </c>
      <c r="J300" s="3">
        <v>0</v>
      </c>
      <c r="K300" s="74">
        <f>J300*VLOOKUP(D300,GWPs!$B$3:$C$6,2,FALSE)</f>
        <v>0</v>
      </c>
      <c r="M300" s="3">
        <v>3</v>
      </c>
      <c r="N300" s="3">
        <v>2</v>
      </c>
      <c r="O300" s="3">
        <v>1</v>
      </c>
      <c r="P300" s="3">
        <v>3</v>
      </c>
      <c r="Q300" s="3">
        <v>1</v>
      </c>
      <c r="T300" s="70" t="s">
        <v>674</v>
      </c>
      <c r="U300" s="70">
        <v>0.22800000000000001</v>
      </c>
      <c r="X300" s="70" t="s">
        <v>886</v>
      </c>
      <c r="Y300" s="70">
        <v>0.76200000000000001</v>
      </c>
      <c r="AA300" s="70" t="s">
        <v>886</v>
      </c>
      <c r="AB300" s="406">
        <v>0</v>
      </c>
    </row>
    <row r="301" spans="1:28">
      <c r="A301" t="s">
        <v>1429</v>
      </c>
      <c r="B301" s="3" t="s">
        <v>457</v>
      </c>
      <c r="C301" s="3" t="s">
        <v>458</v>
      </c>
      <c r="D301" s="3" t="s">
        <v>15</v>
      </c>
      <c r="E301" s="3" t="s">
        <v>16</v>
      </c>
      <c r="F301" s="3">
        <v>5.0000000000000001E-3</v>
      </c>
      <c r="G301" s="74">
        <f>F301*VLOOKUP(D301,GWPs!$B$3:$C$6,2,FALSE)</f>
        <v>5.0000000000000001E-3</v>
      </c>
      <c r="H301" s="3">
        <v>0</v>
      </c>
      <c r="I301" s="74">
        <f>H301*VLOOKUP(D301,GWPs!$B$3:$C$6,2,FALSE)</f>
        <v>0</v>
      </c>
      <c r="J301" s="3">
        <v>5.0000000000000001E-3</v>
      </c>
      <c r="K301" s="74">
        <f>J301*VLOOKUP(D301,GWPs!$B$3:$C$6,2,FALSE)</f>
        <v>5.0000000000000001E-3</v>
      </c>
      <c r="M301" s="3">
        <v>3</v>
      </c>
      <c r="N301" s="3">
        <v>2</v>
      </c>
      <c r="O301" s="3">
        <v>1</v>
      </c>
      <c r="P301" s="3">
        <v>3</v>
      </c>
      <c r="Q301" s="3">
        <v>1</v>
      </c>
      <c r="T301" s="70" t="s">
        <v>920</v>
      </c>
      <c r="U301" s="70">
        <v>7.0000000000000007E-2</v>
      </c>
      <c r="X301" s="70" t="s">
        <v>799</v>
      </c>
      <c r="Y301" s="70">
        <v>0.29000000000000004</v>
      </c>
      <c r="AA301" s="70" t="s">
        <v>799</v>
      </c>
      <c r="AB301" s="406">
        <v>2.4E-2</v>
      </c>
    </row>
    <row r="302" spans="1:28">
      <c r="A302" t="s">
        <v>1429</v>
      </c>
      <c r="B302" s="3" t="s">
        <v>459</v>
      </c>
      <c r="C302" s="3" t="s">
        <v>460</v>
      </c>
      <c r="D302" s="3" t="s">
        <v>11</v>
      </c>
      <c r="E302" s="3" t="s">
        <v>12</v>
      </c>
      <c r="F302" s="3">
        <v>0.20300000000000001</v>
      </c>
      <c r="G302" s="74">
        <f>F302*VLOOKUP(D302,GWPs!$B$3:$C$6,2,FALSE)</f>
        <v>0.20300000000000001</v>
      </c>
      <c r="H302" s="3">
        <v>6.4000000000000001E-2</v>
      </c>
      <c r="I302" s="74">
        <f>H302*VLOOKUP(D302,GWPs!$B$3:$C$6,2,FALSE)</f>
        <v>6.4000000000000001E-2</v>
      </c>
      <c r="J302" s="3">
        <v>0.26700000000000002</v>
      </c>
      <c r="K302" s="74">
        <f>J302*VLOOKUP(D302,GWPs!$B$3:$C$6,2,FALSE)</f>
        <v>0.26700000000000002</v>
      </c>
      <c r="M302" s="3">
        <v>3</v>
      </c>
      <c r="N302" s="3">
        <v>2</v>
      </c>
      <c r="O302" s="3">
        <v>1</v>
      </c>
      <c r="P302" s="3">
        <v>3</v>
      </c>
      <c r="Q302" s="3">
        <v>1</v>
      </c>
      <c r="T302" s="70" t="s">
        <v>886</v>
      </c>
      <c r="U302" s="70">
        <v>0.76200000000000001</v>
      </c>
      <c r="X302" s="70" t="s">
        <v>556</v>
      </c>
      <c r="Y302" s="70">
        <v>1.1419999999999999</v>
      </c>
      <c r="AA302" s="70" t="s">
        <v>556</v>
      </c>
      <c r="AB302" s="406">
        <v>0.124</v>
      </c>
    </row>
    <row r="303" spans="1:28">
      <c r="A303" t="s">
        <v>1429</v>
      </c>
      <c r="B303" s="3" t="s">
        <v>459</v>
      </c>
      <c r="C303" s="3" t="s">
        <v>460</v>
      </c>
      <c r="D303" s="3" t="s">
        <v>13</v>
      </c>
      <c r="E303" s="3" t="s">
        <v>12</v>
      </c>
      <c r="F303" s="3">
        <v>1E-3</v>
      </c>
      <c r="G303" s="74">
        <f>F303*VLOOKUP(D303,GWPs!$B$3:$C$6,2,FALSE)</f>
        <v>2.8000000000000001E-2</v>
      </c>
      <c r="H303" s="3">
        <v>0</v>
      </c>
      <c r="I303" s="74">
        <f>H303*VLOOKUP(D303,GWPs!$B$3:$C$6,2,FALSE)</f>
        <v>0</v>
      </c>
      <c r="J303" s="3">
        <v>1E-3</v>
      </c>
      <c r="K303" s="74">
        <f>J303*VLOOKUP(D303,GWPs!$B$3:$C$6,2,FALSE)</f>
        <v>2.8000000000000001E-2</v>
      </c>
      <c r="M303" s="3">
        <v>3</v>
      </c>
      <c r="N303" s="3">
        <v>2</v>
      </c>
      <c r="O303" s="3">
        <v>1</v>
      </c>
      <c r="P303" s="3">
        <v>1</v>
      </c>
      <c r="Q303" s="3">
        <v>1</v>
      </c>
      <c r="T303" s="70" t="s">
        <v>799</v>
      </c>
      <c r="U303" s="70">
        <v>0.31400000000000006</v>
      </c>
      <c r="X303" s="70" t="s">
        <v>392</v>
      </c>
      <c r="Y303" s="70">
        <v>0.67799999999999994</v>
      </c>
      <c r="AA303" s="70" t="s">
        <v>392</v>
      </c>
      <c r="AB303" s="406">
        <v>3.1E-2</v>
      </c>
    </row>
    <row r="304" spans="1:28">
      <c r="A304" t="s">
        <v>1429</v>
      </c>
      <c r="B304" s="3" t="s">
        <v>459</v>
      </c>
      <c r="C304" s="3" t="s">
        <v>460</v>
      </c>
      <c r="D304" s="3" t="s">
        <v>14</v>
      </c>
      <c r="E304" s="3" t="s">
        <v>12</v>
      </c>
      <c r="F304" s="3">
        <v>0</v>
      </c>
      <c r="G304" s="74">
        <f>F304*VLOOKUP(D304,GWPs!$B$3:$C$6,2,FALSE)</f>
        <v>0</v>
      </c>
      <c r="H304" s="3">
        <v>0</v>
      </c>
      <c r="I304" s="74">
        <f>H304*VLOOKUP(D304,GWPs!$B$3:$C$6,2,FALSE)</f>
        <v>0</v>
      </c>
      <c r="J304" s="3">
        <v>0</v>
      </c>
      <c r="K304" s="74">
        <f>J304*VLOOKUP(D304,GWPs!$B$3:$C$6,2,FALSE)</f>
        <v>0</v>
      </c>
      <c r="M304" s="3">
        <v>3</v>
      </c>
      <c r="N304" s="3">
        <v>2</v>
      </c>
      <c r="O304" s="3">
        <v>1</v>
      </c>
      <c r="P304" s="3">
        <v>3</v>
      </c>
      <c r="Q304" s="3">
        <v>1</v>
      </c>
      <c r="T304" s="70" t="s">
        <v>556</v>
      </c>
      <c r="U304" s="70">
        <v>1.2669999999999999</v>
      </c>
      <c r="X304" s="70" t="s">
        <v>748</v>
      </c>
      <c r="Y304" s="70">
        <v>0.191</v>
      </c>
      <c r="AA304" s="70" t="s">
        <v>748</v>
      </c>
      <c r="AB304" s="406">
        <v>5.8999999999999997E-2</v>
      </c>
    </row>
    <row r="305" spans="1:28">
      <c r="A305" t="s">
        <v>1429</v>
      </c>
      <c r="B305" s="3" t="s">
        <v>459</v>
      </c>
      <c r="C305" s="3" t="s">
        <v>460</v>
      </c>
      <c r="D305" s="3" t="s">
        <v>15</v>
      </c>
      <c r="E305" s="3" t="s">
        <v>16</v>
      </c>
      <c r="F305" s="3">
        <v>1.9E-2</v>
      </c>
      <c r="G305" s="74">
        <f>F305*VLOOKUP(D305,GWPs!$B$3:$C$6,2,FALSE)</f>
        <v>1.9E-2</v>
      </c>
      <c r="H305" s="3">
        <v>0</v>
      </c>
      <c r="I305" s="74">
        <f>H305*VLOOKUP(D305,GWPs!$B$3:$C$6,2,FALSE)</f>
        <v>0</v>
      </c>
      <c r="J305" s="3">
        <v>1.9E-2</v>
      </c>
      <c r="K305" s="74">
        <f>J305*VLOOKUP(D305,GWPs!$B$3:$C$6,2,FALSE)</f>
        <v>1.9E-2</v>
      </c>
      <c r="M305" s="3">
        <v>4</v>
      </c>
      <c r="N305" s="3">
        <v>2</v>
      </c>
      <c r="O305" s="3">
        <v>1</v>
      </c>
      <c r="P305" s="3">
        <v>5</v>
      </c>
      <c r="Q305" s="3">
        <v>1</v>
      </c>
      <c r="T305" s="70" t="s">
        <v>392</v>
      </c>
      <c r="U305" s="70">
        <v>0.71</v>
      </c>
      <c r="X305" s="70" t="s">
        <v>1083</v>
      </c>
      <c r="Y305" s="70">
        <v>0.252</v>
      </c>
      <c r="AA305" s="70" t="s">
        <v>1083</v>
      </c>
      <c r="AB305" s="406">
        <v>0</v>
      </c>
    </row>
    <row r="306" spans="1:28">
      <c r="A306" t="s">
        <v>1429</v>
      </c>
      <c r="B306" s="3" t="s">
        <v>461</v>
      </c>
      <c r="C306" s="3" t="s">
        <v>462</v>
      </c>
      <c r="D306" s="3" t="s">
        <v>11</v>
      </c>
      <c r="E306" s="3" t="s">
        <v>12</v>
      </c>
      <c r="F306" s="3">
        <v>0.23599999999999999</v>
      </c>
      <c r="G306" s="74">
        <f>F306*VLOOKUP(D306,GWPs!$B$3:$C$6,2,FALSE)</f>
        <v>0.23599999999999999</v>
      </c>
      <c r="H306" s="3">
        <v>7.5999999999999998E-2</v>
      </c>
      <c r="I306" s="74">
        <f>H306*VLOOKUP(D306,GWPs!$B$3:$C$6,2,FALSE)</f>
        <v>7.5999999999999998E-2</v>
      </c>
      <c r="J306" s="3">
        <v>0.312</v>
      </c>
      <c r="K306" s="74">
        <f>J306*VLOOKUP(D306,GWPs!$B$3:$C$6,2,FALSE)</f>
        <v>0.312</v>
      </c>
      <c r="M306" s="3">
        <v>3</v>
      </c>
      <c r="N306" s="3">
        <v>2</v>
      </c>
      <c r="O306" s="3">
        <v>1</v>
      </c>
      <c r="P306" s="3">
        <v>3</v>
      </c>
      <c r="Q306" s="3">
        <v>1</v>
      </c>
      <c r="T306" s="70" t="s">
        <v>748</v>
      </c>
      <c r="U306" s="70">
        <v>0.25</v>
      </c>
      <c r="X306" s="70" t="s">
        <v>360</v>
      </c>
      <c r="Y306" s="70">
        <v>0.378</v>
      </c>
      <c r="AA306" s="70" t="s">
        <v>360</v>
      </c>
      <c r="AB306" s="406">
        <v>0</v>
      </c>
    </row>
    <row r="307" spans="1:28">
      <c r="A307" t="s">
        <v>1429</v>
      </c>
      <c r="B307" s="3" t="s">
        <v>461</v>
      </c>
      <c r="C307" s="3" t="s">
        <v>462</v>
      </c>
      <c r="D307" s="3" t="s">
        <v>13</v>
      </c>
      <c r="E307" s="3" t="s">
        <v>12</v>
      </c>
      <c r="F307" s="3">
        <v>1E-3</v>
      </c>
      <c r="G307" s="74">
        <f>F307*VLOOKUP(D307,GWPs!$B$3:$C$6,2,FALSE)</f>
        <v>2.8000000000000001E-2</v>
      </c>
      <c r="H307" s="3">
        <v>1E-3</v>
      </c>
      <c r="I307" s="74">
        <f>H307*VLOOKUP(D307,GWPs!$B$3:$C$6,2,FALSE)</f>
        <v>2.8000000000000001E-2</v>
      </c>
      <c r="J307" s="3">
        <v>1E-3</v>
      </c>
      <c r="K307" s="74">
        <f>J307*VLOOKUP(D307,GWPs!$B$3:$C$6,2,FALSE)</f>
        <v>2.8000000000000001E-2</v>
      </c>
      <c r="M307" s="3">
        <v>4</v>
      </c>
      <c r="N307" s="3">
        <v>2</v>
      </c>
      <c r="O307" s="3">
        <v>1</v>
      </c>
      <c r="P307" s="3">
        <v>1</v>
      </c>
      <c r="Q307" s="3">
        <v>1</v>
      </c>
      <c r="T307" s="70" t="s">
        <v>1083</v>
      </c>
      <c r="U307" s="70">
        <v>0.252</v>
      </c>
      <c r="X307" s="70" t="s">
        <v>1035</v>
      </c>
      <c r="Y307" s="70">
        <v>0.20400000000000001</v>
      </c>
      <c r="AA307" s="70" t="s">
        <v>1035</v>
      </c>
      <c r="AB307" s="406">
        <v>0</v>
      </c>
    </row>
    <row r="308" spans="1:28">
      <c r="A308" t="s">
        <v>1429</v>
      </c>
      <c r="B308" s="3" t="s">
        <v>461</v>
      </c>
      <c r="C308" s="3" t="s">
        <v>462</v>
      </c>
      <c r="D308" s="3" t="s">
        <v>14</v>
      </c>
      <c r="E308" s="3" t="s">
        <v>12</v>
      </c>
      <c r="F308" s="3">
        <v>0</v>
      </c>
      <c r="G308" s="74">
        <f>F308*VLOOKUP(D308,GWPs!$B$3:$C$6,2,FALSE)</f>
        <v>0</v>
      </c>
      <c r="H308" s="3">
        <v>0</v>
      </c>
      <c r="I308" s="74">
        <f>H308*VLOOKUP(D308,GWPs!$B$3:$C$6,2,FALSE)</f>
        <v>0</v>
      </c>
      <c r="J308" s="3">
        <v>0</v>
      </c>
      <c r="K308" s="74">
        <f>J308*VLOOKUP(D308,GWPs!$B$3:$C$6,2,FALSE)</f>
        <v>0</v>
      </c>
      <c r="M308" s="3">
        <v>3</v>
      </c>
      <c r="N308" s="3">
        <v>2</v>
      </c>
      <c r="O308" s="3">
        <v>1</v>
      </c>
      <c r="P308" s="3">
        <v>3</v>
      </c>
      <c r="Q308" s="3">
        <v>1</v>
      </c>
      <c r="T308" s="70" t="s">
        <v>360</v>
      </c>
      <c r="U308" s="70">
        <v>0.378</v>
      </c>
      <c r="X308" s="70" t="s">
        <v>546</v>
      </c>
      <c r="Y308" s="70">
        <v>0.33700000000000002</v>
      </c>
      <c r="AA308" s="70" t="s">
        <v>546</v>
      </c>
      <c r="AB308" s="406">
        <v>6.0999999999999999E-2</v>
      </c>
    </row>
    <row r="309" spans="1:28">
      <c r="A309" t="s">
        <v>1429</v>
      </c>
      <c r="B309" s="3" t="s">
        <v>461</v>
      </c>
      <c r="C309" s="3" t="s">
        <v>462</v>
      </c>
      <c r="D309" s="3" t="s">
        <v>15</v>
      </c>
      <c r="E309" s="3" t="s">
        <v>16</v>
      </c>
      <c r="F309" s="3">
        <v>1.7000000000000001E-2</v>
      </c>
      <c r="G309" s="74">
        <f>F309*VLOOKUP(D309,GWPs!$B$3:$C$6,2,FALSE)</f>
        <v>1.7000000000000001E-2</v>
      </c>
      <c r="H309" s="3">
        <v>0</v>
      </c>
      <c r="I309" s="74">
        <f>H309*VLOOKUP(D309,GWPs!$B$3:$C$6,2,FALSE)</f>
        <v>0</v>
      </c>
      <c r="J309" s="3">
        <v>1.7000000000000001E-2</v>
      </c>
      <c r="K309" s="74">
        <f>J309*VLOOKUP(D309,GWPs!$B$3:$C$6,2,FALSE)</f>
        <v>1.7000000000000001E-2</v>
      </c>
      <c r="M309" s="3">
        <v>4</v>
      </c>
      <c r="N309" s="3">
        <v>2</v>
      </c>
      <c r="O309" s="3">
        <v>1</v>
      </c>
      <c r="P309" s="3">
        <v>4</v>
      </c>
      <c r="Q309" s="3">
        <v>1</v>
      </c>
      <c r="T309" s="70" t="s">
        <v>1035</v>
      </c>
      <c r="U309" s="70">
        <v>0.20400000000000001</v>
      </c>
      <c r="X309" s="70" t="s">
        <v>544</v>
      </c>
      <c r="Y309" s="70">
        <v>0.32</v>
      </c>
      <c r="AA309" s="70" t="s">
        <v>544</v>
      </c>
      <c r="AB309" s="406">
        <v>0.13500000000000001</v>
      </c>
    </row>
    <row r="310" spans="1:28">
      <c r="A310" t="s">
        <v>1429</v>
      </c>
      <c r="B310" s="3" t="s">
        <v>463</v>
      </c>
      <c r="C310" s="3" t="s">
        <v>464</v>
      </c>
      <c r="D310" s="3" t="s">
        <v>11</v>
      </c>
      <c r="E310" s="3" t="s">
        <v>12</v>
      </c>
      <c r="F310" s="3">
        <v>0.72599999999999998</v>
      </c>
      <c r="G310" s="74">
        <f>F310*VLOOKUP(D310,GWPs!$B$3:$C$6,2,FALSE)</f>
        <v>0.72599999999999998</v>
      </c>
      <c r="H310" s="3">
        <v>6.3E-2</v>
      </c>
      <c r="I310" s="74">
        <f>H310*VLOOKUP(D310,GWPs!$B$3:$C$6,2,FALSE)</f>
        <v>6.3E-2</v>
      </c>
      <c r="J310" s="3">
        <v>0.78900000000000003</v>
      </c>
      <c r="K310" s="74">
        <f>J310*VLOOKUP(D310,GWPs!$B$3:$C$6,2,FALSE)</f>
        <v>0.78900000000000003</v>
      </c>
      <c r="M310" s="3">
        <v>3</v>
      </c>
      <c r="N310" s="3">
        <v>2</v>
      </c>
      <c r="O310" s="3">
        <v>1</v>
      </c>
      <c r="P310" s="3">
        <v>4</v>
      </c>
      <c r="Q310" s="3">
        <v>1</v>
      </c>
      <c r="T310" s="70" t="s">
        <v>546</v>
      </c>
      <c r="U310" s="70">
        <v>0.42499999999999999</v>
      </c>
      <c r="X310" s="70" t="s">
        <v>1075</v>
      </c>
      <c r="Y310" s="70">
        <v>0.151</v>
      </c>
      <c r="AA310" s="70" t="s">
        <v>1075</v>
      </c>
      <c r="AB310" s="406">
        <v>0</v>
      </c>
    </row>
    <row r="311" spans="1:28">
      <c r="A311" t="s">
        <v>1429</v>
      </c>
      <c r="B311" s="3" t="s">
        <v>463</v>
      </c>
      <c r="C311" s="3" t="s">
        <v>464</v>
      </c>
      <c r="D311" s="3" t="s">
        <v>13</v>
      </c>
      <c r="E311" s="3" t="s">
        <v>12</v>
      </c>
      <c r="F311" s="3">
        <v>3.0000000000000001E-3</v>
      </c>
      <c r="G311" s="74">
        <f>F311*VLOOKUP(D311,GWPs!$B$3:$C$6,2,FALSE)</f>
        <v>8.4000000000000005E-2</v>
      </c>
      <c r="H311" s="3">
        <v>1E-3</v>
      </c>
      <c r="I311" s="74">
        <f>H311*VLOOKUP(D311,GWPs!$B$3:$C$6,2,FALSE)</f>
        <v>2.8000000000000001E-2</v>
      </c>
      <c r="J311" s="3">
        <v>4.0000000000000001E-3</v>
      </c>
      <c r="K311" s="74">
        <f>J311*VLOOKUP(D311,GWPs!$B$3:$C$6,2,FALSE)</f>
        <v>0.112</v>
      </c>
      <c r="M311" s="3">
        <v>4</v>
      </c>
      <c r="N311" s="3">
        <v>2</v>
      </c>
      <c r="O311" s="3">
        <v>1</v>
      </c>
      <c r="P311" s="3">
        <v>1</v>
      </c>
      <c r="Q311" s="3">
        <v>1</v>
      </c>
      <c r="T311" s="70" t="s">
        <v>544</v>
      </c>
      <c r="U311" s="70">
        <v>0.45500000000000002</v>
      </c>
      <c r="X311" s="70" t="s">
        <v>347</v>
      </c>
      <c r="Y311" s="70">
        <v>0.63900000000000001</v>
      </c>
      <c r="AA311" s="70" t="s">
        <v>347</v>
      </c>
      <c r="AB311" s="406">
        <v>0.21199999999999999</v>
      </c>
    </row>
    <row r="312" spans="1:28">
      <c r="A312" t="s">
        <v>1429</v>
      </c>
      <c r="B312" s="3" t="s">
        <v>463</v>
      </c>
      <c r="C312" s="3" t="s">
        <v>464</v>
      </c>
      <c r="D312" s="3" t="s">
        <v>14</v>
      </c>
      <c r="E312" s="3" t="s">
        <v>12</v>
      </c>
      <c r="F312" s="3">
        <v>0</v>
      </c>
      <c r="G312" s="74">
        <f>F312*VLOOKUP(D312,GWPs!$B$3:$C$6,2,FALSE)</f>
        <v>0</v>
      </c>
      <c r="H312" s="3">
        <v>0</v>
      </c>
      <c r="I312" s="74">
        <f>H312*VLOOKUP(D312,GWPs!$B$3:$C$6,2,FALSE)</f>
        <v>0</v>
      </c>
      <c r="J312" s="3">
        <v>0</v>
      </c>
      <c r="K312" s="74">
        <f>J312*VLOOKUP(D312,GWPs!$B$3:$C$6,2,FALSE)</f>
        <v>0</v>
      </c>
      <c r="M312" s="3">
        <v>3</v>
      </c>
      <c r="N312" s="3">
        <v>2</v>
      </c>
      <c r="O312" s="3">
        <v>1</v>
      </c>
      <c r="P312" s="3">
        <v>3</v>
      </c>
      <c r="Q312" s="3">
        <v>1</v>
      </c>
      <c r="T312" s="70" t="s">
        <v>1075</v>
      </c>
      <c r="U312" s="70">
        <v>0.151</v>
      </c>
      <c r="X312" s="70" t="s">
        <v>476</v>
      </c>
      <c r="Y312" s="70">
        <v>0.49100000000000005</v>
      </c>
      <c r="AA312" s="70" t="s">
        <v>476</v>
      </c>
      <c r="AB312" s="406">
        <v>0.17299999999999999</v>
      </c>
    </row>
    <row r="313" spans="1:28">
      <c r="A313" t="s">
        <v>1429</v>
      </c>
      <c r="B313" s="3" t="s">
        <v>463</v>
      </c>
      <c r="C313" s="3" t="s">
        <v>464</v>
      </c>
      <c r="D313" s="3" t="s">
        <v>15</v>
      </c>
      <c r="E313" s="3" t="s">
        <v>16</v>
      </c>
      <c r="F313" s="3">
        <v>5.0000000000000001E-3</v>
      </c>
      <c r="G313" s="74">
        <f>F313*VLOOKUP(D313,GWPs!$B$3:$C$6,2,FALSE)</f>
        <v>5.0000000000000001E-3</v>
      </c>
      <c r="H313" s="3">
        <v>0</v>
      </c>
      <c r="I313" s="74">
        <f>H313*VLOOKUP(D313,GWPs!$B$3:$C$6,2,FALSE)</f>
        <v>0</v>
      </c>
      <c r="J313" s="3">
        <v>5.0000000000000001E-3</v>
      </c>
      <c r="K313" s="74">
        <f>J313*VLOOKUP(D313,GWPs!$B$3:$C$6,2,FALSE)</f>
        <v>5.0000000000000001E-3</v>
      </c>
      <c r="M313" s="3">
        <v>3</v>
      </c>
      <c r="N313" s="3">
        <v>2</v>
      </c>
      <c r="O313" s="3">
        <v>1</v>
      </c>
      <c r="P313" s="3">
        <v>3</v>
      </c>
      <c r="Q313" s="3">
        <v>1</v>
      </c>
      <c r="T313" s="70" t="s">
        <v>347</v>
      </c>
      <c r="U313" s="70">
        <v>0.82299999999999995</v>
      </c>
      <c r="X313" s="70" t="s">
        <v>928</v>
      </c>
      <c r="Y313" s="70">
        <v>0.106</v>
      </c>
      <c r="AA313" s="70" t="s">
        <v>928</v>
      </c>
      <c r="AB313" s="406">
        <v>0</v>
      </c>
    </row>
    <row r="314" spans="1:28">
      <c r="A314" t="s">
        <v>1430</v>
      </c>
      <c r="B314" s="3" t="s">
        <v>465</v>
      </c>
      <c r="C314" s="3" t="s">
        <v>466</v>
      </c>
      <c r="D314" s="3" t="s">
        <v>11</v>
      </c>
      <c r="E314" s="3" t="s">
        <v>12</v>
      </c>
      <c r="F314" s="3">
        <v>0.83299999999999996</v>
      </c>
      <c r="G314" s="74">
        <f>F314*VLOOKUP(D314,GWPs!$B$3:$C$6,2,FALSE)</f>
        <v>0.83299999999999996</v>
      </c>
      <c r="H314" s="3">
        <v>8.3000000000000004E-2</v>
      </c>
      <c r="I314" s="74">
        <f>H314*VLOOKUP(D314,GWPs!$B$3:$C$6,2,FALSE)</f>
        <v>8.3000000000000004E-2</v>
      </c>
      <c r="J314" s="3">
        <v>0.91500000000000004</v>
      </c>
      <c r="K314" s="74">
        <f>J314*VLOOKUP(D314,GWPs!$B$3:$C$6,2,FALSE)</f>
        <v>0.91500000000000004</v>
      </c>
      <c r="M314" s="3">
        <v>3</v>
      </c>
      <c r="N314" s="3">
        <v>2</v>
      </c>
      <c r="O314" s="3">
        <v>1</v>
      </c>
      <c r="P314" s="3">
        <v>4</v>
      </c>
      <c r="Q314" s="3">
        <v>1</v>
      </c>
      <c r="T314" s="70" t="s">
        <v>476</v>
      </c>
      <c r="U314" s="70">
        <v>0.66400000000000003</v>
      </c>
      <c r="X314" s="70" t="s">
        <v>896</v>
      </c>
      <c r="Y314" s="70">
        <v>0.30099999999999999</v>
      </c>
      <c r="AA314" s="70" t="s">
        <v>896</v>
      </c>
      <c r="AB314" s="406">
        <v>0</v>
      </c>
    </row>
    <row r="315" spans="1:28">
      <c r="A315" t="s">
        <v>1430</v>
      </c>
      <c r="B315" s="3" t="s">
        <v>465</v>
      </c>
      <c r="C315" s="3" t="s">
        <v>466</v>
      </c>
      <c r="D315" s="3" t="s">
        <v>13</v>
      </c>
      <c r="E315" s="3" t="s">
        <v>12</v>
      </c>
      <c r="F315" s="3">
        <v>3.0000000000000001E-3</v>
      </c>
      <c r="G315" s="74">
        <f>F315*VLOOKUP(D315,GWPs!$B$3:$C$6,2,FALSE)</f>
        <v>8.4000000000000005E-2</v>
      </c>
      <c r="H315" s="3">
        <v>1E-3</v>
      </c>
      <c r="I315" s="74">
        <f>H315*VLOOKUP(D315,GWPs!$B$3:$C$6,2,FALSE)</f>
        <v>2.8000000000000001E-2</v>
      </c>
      <c r="J315" s="3">
        <v>3.0000000000000001E-3</v>
      </c>
      <c r="K315" s="74">
        <f>J315*VLOOKUP(D315,GWPs!$B$3:$C$6,2,FALSE)</f>
        <v>8.4000000000000005E-2</v>
      </c>
      <c r="M315" s="3">
        <v>4</v>
      </c>
      <c r="N315" s="3">
        <v>2</v>
      </c>
      <c r="O315" s="3">
        <v>1</v>
      </c>
      <c r="P315" s="3">
        <v>1</v>
      </c>
      <c r="Q315" s="3">
        <v>1</v>
      </c>
      <c r="T315" s="70" t="s">
        <v>928</v>
      </c>
      <c r="U315" s="70">
        <v>0.106</v>
      </c>
      <c r="X315" s="70" t="s">
        <v>982</v>
      </c>
      <c r="Y315" s="70">
        <v>0.19</v>
      </c>
      <c r="AA315" s="70" t="s">
        <v>982</v>
      </c>
      <c r="AB315" s="406">
        <v>0</v>
      </c>
    </row>
    <row r="316" spans="1:28">
      <c r="A316" t="s">
        <v>1430</v>
      </c>
      <c r="B316" s="3" t="s">
        <v>465</v>
      </c>
      <c r="C316" s="3" t="s">
        <v>466</v>
      </c>
      <c r="D316" s="3" t="s">
        <v>14</v>
      </c>
      <c r="E316" s="3" t="s">
        <v>12</v>
      </c>
      <c r="F316" s="3">
        <v>0</v>
      </c>
      <c r="G316" s="74">
        <f>F316*VLOOKUP(D316,GWPs!$B$3:$C$6,2,FALSE)</f>
        <v>0</v>
      </c>
      <c r="H316" s="3">
        <v>0</v>
      </c>
      <c r="I316" s="74">
        <f>H316*VLOOKUP(D316,GWPs!$B$3:$C$6,2,FALSE)</f>
        <v>0</v>
      </c>
      <c r="J316" s="3">
        <v>0</v>
      </c>
      <c r="K316" s="74">
        <f>J316*VLOOKUP(D316,GWPs!$B$3:$C$6,2,FALSE)</f>
        <v>0</v>
      </c>
      <c r="M316" s="3">
        <v>4</v>
      </c>
      <c r="N316" s="3">
        <v>2</v>
      </c>
      <c r="O316" s="3">
        <v>1</v>
      </c>
      <c r="P316" s="3">
        <v>3</v>
      </c>
      <c r="Q316" s="3">
        <v>1</v>
      </c>
      <c r="T316" s="70" t="s">
        <v>896</v>
      </c>
      <c r="U316" s="70">
        <v>0.30099999999999999</v>
      </c>
      <c r="X316" s="70" t="s">
        <v>616</v>
      </c>
      <c r="Y316" s="70">
        <v>0.31000000000000005</v>
      </c>
      <c r="AA316" s="70" t="s">
        <v>616</v>
      </c>
      <c r="AB316" s="406">
        <v>3.5000000000000003E-2</v>
      </c>
    </row>
    <row r="317" spans="1:28">
      <c r="A317" t="s">
        <v>1430</v>
      </c>
      <c r="B317" s="3" t="s">
        <v>465</v>
      </c>
      <c r="C317" s="3" t="s">
        <v>466</v>
      </c>
      <c r="D317" s="3" t="s">
        <v>15</v>
      </c>
      <c r="E317" s="3" t="s">
        <v>16</v>
      </c>
      <c r="F317" s="3">
        <v>5.0000000000000001E-3</v>
      </c>
      <c r="G317" s="74">
        <f>F317*VLOOKUP(D317,GWPs!$B$3:$C$6,2,FALSE)</f>
        <v>5.0000000000000001E-3</v>
      </c>
      <c r="H317" s="3">
        <v>0</v>
      </c>
      <c r="I317" s="74">
        <f>H317*VLOOKUP(D317,GWPs!$B$3:$C$6,2,FALSE)</f>
        <v>0</v>
      </c>
      <c r="J317" s="3">
        <v>5.0000000000000001E-3</v>
      </c>
      <c r="K317" s="74">
        <f>J317*VLOOKUP(D317,GWPs!$B$3:$C$6,2,FALSE)</f>
        <v>5.0000000000000001E-3</v>
      </c>
      <c r="M317" s="3">
        <v>3</v>
      </c>
      <c r="N317" s="3">
        <v>2</v>
      </c>
      <c r="O317" s="3">
        <v>1</v>
      </c>
      <c r="P317" s="3">
        <v>3</v>
      </c>
      <c r="Q317" s="3">
        <v>1</v>
      </c>
      <c r="T317" s="70" t="s">
        <v>982</v>
      </c>
      <c r="U317" s="70">
        <v>0.19</v>
      </c>
      <c r="X317" s="70" t="s">
        <v>414</v>
      </c>
      <c r="Y317" s="70">
        <v>0.39300000000000002</v>
      </c>
      <c r="AA317" s="70" t="s">
        <v>414</v>
      </c>
      <c r="AB317" s="406">
        <v>5.6000000000000001E-2</v>
      </c>
    </row>
    <row r="318" spans="1:28">
      <c r="A318" t="s">
        <v>1429</v>
      </c>
      <c r="B318" s="3" t="s">
        <v>467</v>
      </c>
      <c r="C318" s="3" t="s">
        <v>468</v>
      </c>
      <c r="D318" s="3" t="s">
        <v>11</v>
      </c>
      <c r="E318" s="3" t="s">
        <v>12</v>
      </c>
      <c r="F318" s="3">
        <v>0.74399999999999999</v>
      </c>
      <c r="G318" s="74">
        <f>F318*VLOOKUP(D318,GWPs!$B$3:$C$6,2,FALSE)</f>
        <v>0.74399999999999999</v>
      </c>
      <c r="H318" s="3">
        <v>0.05</v>
      </c>
      <c r="I318" s="74">
        <f>H318*VLOOKUP(D318,GWPs!$B$3:$C$6,2,FALSE)</f>
        <v>0.05</v>
      </c>
      <c r="J318" s="3">
        <v>0.79500000000000004</v>
      </c>
      <c r="K318" s="74">
        <f>J318*VLOOKUP(D318,GWPs!$B$3:$C$6,2,FALSE)</f>
        <v>0.79500000000000004</v>
      </c>
      <c r="M318" s="3">
        <v>3</v>
      </c>
      <c r="N318" s="3">
        <v>2</v>
      </c>
      <c r="O318" s="3">
        <v>1</v>
      </c>
      <c r="P318" s="3">
        <v>4</v>
      </c>
      <c r="Q318" s="3">
        <v>1</v>
      </c>
      <c r="T318" s="70" t="s">
        <v>616</v>
      </c>
      <c r="U318" s="70">
        <v>0.34600000000000003</v>
      </c>
      <c r="X318" s="70" t="s">
        <v>426</v>
      </c>
      <c r="Y318" s="70">
        <v>0.222</v>
      </c>
      <c r="AA318" s="70" t="s">
        <v>426</v>
      </c>
      <c r="AB318" s="406">
        <v>0.03</v>
      </c>
    </row>
    <row r="319" spans="1:28">
      <c r="A319" t="s">
        <v>1429</v>
      </c>
      <c r="B319" s="3" t="s">
        <v>467</v>
      </c>
      <c r="C319" s="3" t="s">
        <v>468</v>
      </c>
      <c r="D319" s="3" t="s">
        <v>13</v>
      </c>
      <c r="E319" s="3" t="s">
        <v>12</v>
      </c>
      <c r="F319" s="3">
        <v>3.0000000000000001E-3</v>
      </c>
      <c r="G319" s="74">
        <f>F319*VLOOKUP(D319,GWPs!$B$3:$C$6,2,FALSE)</f>
        <v>8.4000000000000005E-2</v>
      </c>
      <c r="H319" s="3">
        <v>1E-3</v>
      </c>
      <c r="I319" s="74">
        <f>H319*VLOOKUP(D319,GWPs!$B$3:$C$6,2,FALSE)</f>
        <v>2.8000000000000001E-2</v>
      </c>
      <c r="J319" s="3">
        <v>3.0000000000000001E-3</v>
      </c>
      <c r="K319" s="74">
        <f>J319*VLOOKUP(D319,GWPs!$B$3:$C$6,2,FALSE)</f>
        <v>8.4000000000000005E-2</v>
      </c>
      <c r="M319" s="3">
        <v>4</v>
      </c>
      <c r="N319" s="3">
        <v>2</v>
      </c>
      <c r="O319" s="3">
        <v>1</v>
      </c>
      <c r="P319" s="3">
        <v>1</v>
      </c>
      <c r="Q319" s="3">
        <v>1</v>
      </c>
      <c r="T319" s="70" t="s">
        <v>414</v>
      </c>
      <c r="U319" s="70">
        <v>0.44900000000000001</v>
      </c>
      <c r="X319" s="70" t="s">
        <v>584</v>
      </c>
      <c r="Y319" s="70">
        <v>0.50900000000000001</v>
      </c>
      <c r="AA319" s="70" t="s">
        <v>584</v>
      </c>
      <c r="AB319" s="406">
        <v>2.5000000000000001E-2</v>
      </c>
    </row>
    <row r="320" spans="1:28">
      <c r="A320" t="s">
        <v>1429</v>
      </c>
      <c r="B320" s="3" t="s">
        <v>467</v>
      </c>
      <c r="C320" s="3" t="s">
        <v>468</v>
      </c>
      <c r="D320" s="3" t="s">
        <v>14</v>
      </c>
      <c r="E320" s="3" t="s">
        <v>12</v>
      </c>
      <c r="F320" s="3">
        <v>0</v>
      </c>
      <c r="G320" s="74">
        <f>F320*VLOOKUP(D320,GWPs!$B$3:$C$6,2,FALSE)</f>
        <v>0</v>
      </c>
      <c r="H320" s="3">
        <v>0</v>
      </c>
      <c r="I320" s="74">
        <f>H320*VLOOKUP(D320,GWPs!$B$3:$C$6,2,FALSE)</f>
        <v>0</v>
      </c>
      <c r="J320" s="3">
        <v>0</v>
      </c>
      <c r="K320" s="74">
        <f>J320*VLOOKUP(D320,GWPs!$B$3:$C$6,2,FALSE)</f>
        <v>0</v>
      </c>
      <c r="M320" s="3">
        <v>4</v>
      </c>
      <c r="N320" s="3">
        <v>2</v>
      </c>
      <c r="O320" s="3">
        <v>1</v>
      </c>
      <c r="P320" s="3">
        <v>3</v>
      </c>
      <c r="Q320" s="3">
        <v>1</v>
      </c>
      <c r="T320" s="70" t="s">
        <v>426</v>
      </c>
      <c r="U320" s="70">
        <v>0.252</v>
      </c>
      <c r="X320" s="70" t="s">
        <v>576</v>
      </c>
      <c r="Y320" s="70">
        <v>0.46900000000000003</v>
      </c>
      <c r="AA320" s="70" t="s">
        <v>576</v>
      </c>
      <c r="AB320" s="406">
        <v>3.9E-2</v>
      </c>
    </row>
    <row r="321" spans="1:28">
      <c r="A321" t="s">
        <v>1429</v>
      </c>
      <c r="B321" s="3" t="s">
        <v>467</v>
      </c>
      <c r="C321" s="3" t="s">
        <v>468</v>
      </c>
      <c r="D321" s="3" t="s">
        <v>15</v>
      </c>
      <c r="E321" s="3" t="s">
        <v>16</v>
      </c>
      <c r="F321" s="3">
        <v>5.0000000000000001E-3</v>
      </c>
      <c r="G321" s="74">
        <f>F321*VLOOKUP(D321,GWPs!$B$3:$C$6,2,FALSE)</f>
        <v>5.0000000000000001E-3</v>
      </c>
      <c r="H321" s="3">
        <v>0</v>
      </c>
      <c r="I321" s="74">
        <f>H321*VLOOKUP(D321,GWPs!$B$3:$C$6,2,FALSE)</f>
        <v>0</v>
      </c>
      <c r="J321" s="3">
        <v>5.0000000000000001E-3</v>
      </c>
      <c r="K321" s="74">
        <f>J321*VLOOKUP(D321,GWPs!$B$3:$C$6,2,FALSE)</f>
        <v>5.0000000000000001E-3</v>
      </c>
      <c r="M321" s="3">
        <v>3</v>
      </c>
      <c r="N321" s="3">
        <v>2</v>
      </c>
      <c r="O321" s="3">
        <v>1</v>
      </c>
      <c r="P321" s="3">
        <v>3</v>
      </c>
      <c r="Q321" s="3">
        <v>1</v>
      </c>
      <c r="T321" s="70" t="s">
        <v>584</v>
      </c>
      <c r="U321" s="70">
        <v>0.56200000000000006</v>
      </c>
      <c r="X321" s="70" t="s">
        <v>940</v>
      </c>
      <c r="Y321" s="70">
        <v>6.6000000000000003E-2</v>
      </c>
      <c r="AA321" s="70" t="s">
        <v>940</v>
      </c>
      <c r="AB321" s="406">
        <v>0</v>
      </c>
    </row>
    <row r="322" spans="1:28">
      <c r="A322" t="s">
        <v>1429</v>
      </c>
      <c r="B322" s="3" t="s">
        <v>469</v>
      </c>
      <c r="C322" s="3" t="s">
        <v>470</v>
      </c>
      <c r="D322" s="3" t="s">
        <v>11</v>
      </c>
      <c r="E322" s="3" t="s">
        <v>12</v>
      </c>
      <c r="F322" s="3">
        <v>0.48</v>
      </c>
      <c r="G322" s="74">
        <f>F322*VLOOKUP(D322,GWPs!$B$3:$C$6,2,FALSE)</f>
        <v>0.48</v>
      </c>
      <c r="H322" s="3">
        <v>0.03</v>
      </c>
      <c r="I322" s="74">
        <f>H322*VLOOKUP(D322,GWPs!$B$3:$C$6,2,FALSE)</f>
        <v>0.03</v>
      </c>
      <c r="J322" s="3">
        <v>0.51</v>
      </c>
      <c r="K322" s="74">
        <f>J322*VLOOKUP(D322,GWPs!$B$3:$C$6,2,FALSE)</f>
        <v>0.51</v>
      </c>
      <c r="M322" s="3">
        <v>3</v>
      </c>
      <c r="N322" s="3">
        <v>2</v>
      </c>
      <c r="O322" s="3">
        <v>1</v>
      </c>
      <c r="P322" s="3">
        <v>4</v>
      </c>
      <c r="Q322" s="3">
        <v>1</v>
      </c>
      <c r="T322" s="70" t="s">
        <v>576</v>
      </c>
      <c r="U322" s="70">
        <v>0.50700000000000001</v>
      </c>
      <c r="X322" s="70" t="s">
        <v>640</v>
      </c>
      <c r="Y322" s="70">
        <v>0.17899999999999999</v>
      </c>
      <c r="AA322" s="70" t="s">
        <v>640</v>
      </c>
      <c r="AB322" s="406">
        <v>4.2999999999999997E-2</v>
      </c>
    </row>
    <row r="323" spans="1:28">
      <c r="A323" t="s">
        <v>1429</v>
      </c>
      <c r="B323" s="3" t="s">
        <v>469</v>
      </c>
      <c r="C323" s="3" t="s">
        <v>470</v>
      </c>
      <c r="D323" s="3" t="s">
        <v>13</v>
      </c>
      <c r="E323" s="3" t="s">
        <v>12</v>
      </c>
      <c r="F323" s="3">
        <v>2E-3</v>
      </c>
      <c r="G323" s="74">
        <f>F323*VLOOKUP(D323,GWPs!$B$3:$C$6,2,FALSE)</f>
        <v>5.6000000000000001E-2</v>
      </c>
      <c r="H323" s="3">
        <v>0</v>
      </c>
      <c r="I323" s="74">
        <f>H323*VLOOKUP(D323,GWPs!$B$3:$C$6,2,FALSE)</f>
        <v>0</v>
      </c>
      <c r="J323" s="3">
        <v>2E-3</v>
      </c>
      <c r="K323" s="74">
        <f>J323*VLOOKUP(D323,GWPs!$B$3:$C$6,2,FALSE)</f>
        <v>5.6000000000000001E-2</v>
      </c>
      <c r="M323" s="3">
        <v>4</v>
      </c>
      <c r="N323" s="3">
        <v>2</v>
      </c>
      <c r="O323" s="3">
        <v>1</v>
      </c>
      <c r="P323" s="3">
        <v>1</v>
      </c>
      <c r="Q323" s="3">
        <v>1</v>
      </c>
      <c r="T323" s="70" t="s">
        <v>940</v>
      </c>
      <c r="U323" s="70">
        <v>6.6000000000000003E-2</v>
      </c>
      <c r="X323" s="70" t="s">
        <v>702</v>
      </c>
      <c r="Y323" s="70">
        <v>0.186</v>
      </c>
      <c r="AA323" s="70" t="s">
        <v>702</v>
      </c>
      <c r="AB323" s="406">
        <v>4.2999999999999997E-2</v>
      </c>
    </row>
    <row r="324" spans="1:28">
      <c r="A324" t="s">
        <v>1429</v>
      </c>
      <c r="B324" s="3" t="s">
        <v>469</v>
      </c>
      <c r="C324" s="3" t="s">
        <v>470</v>
      </c>
      <c r="D324" s="3" t="s">
        <v>14</v>
      </c>
      <c r="E324" s="3" t="s">
        <v>12</v>
      </c>
      <c r="F324" s="3">
        <v>0</v>
      </c>
      <c r="G324" s="74">
        <f>F324*VLOOKUP(D324,GWPs!$B$3:$C$6,2,FALSE)</f>
        <v>0</v>
      </c>
      <c r="H324" s="3">
        <v>0</v>
      </c>
      <c r="I324" s="74">
        <f>H324*VLOOKUP(D324,GWPs!$B$3:$C$6,2,FALSE)</f>
        <v>0</v>
      </c>
      <c r="J324" s="3">
        <v>0</v>
      </c>
      <c r="K324" s="74">
        <f>J324*VLOOKUP(D324,GWPs!$B$3:$C$6,2,FALSE)</f>
        <v>0</v>
      </c>
      <c r="M324" s="3">
        <v>3</v>
      </c>
      <c r="N324" s="3">
        <v>2</v>
      </c>
      <c r="O324" s="3">
        <v>1</v>
      </c>
      <c r="P324" s="3">
        <v>3</v>
      </c>
      <c r="Q324" s="3">
        <v>1</v>
      </c>
      <c r="T324" s="70" t="s">
        <v>640</v>
      </c>
      <c r="U324" s="70">
        <v>0.223</v>
      </c>
      <c r="X324" s="70" t="s">
        <v>820</v>
      </c>
      <c r="Y324" s="70">
        <v>0.36800000000000005</v>
      </c>
      <c r="AA324" s="70" t="s">
        <v>820</v>
      </c>
      <c r="AB324" s="406">
        <v>0.23799999999999999</v>
      </c>
    </row>
    <row r="325" spans="1:28">
      <c r="A325" t="s">
        <v>1429</v>
      </c>
      <c r="B325" s="3" t="s">
        <v>469</v>
      </c>
      <c r="C325" s="3" t="s">
        <v>470</v>
      </c>
      <c r="D325" s="3" t="s">
        <v>15</v>
      </c>
      <c r="E325" s="3" t="s">
        <v>16</v>
      </c>
      <c r="F325" s="3">
        <v>6.0000000000000001E-3</v>
      </c>
      <c r="G325" s="74">
        <f>F325*VLOOKUP(D325,GWPs!$B$3:$C$6,2,FALSE)</f>
        <v>6.0000000000000001E-3</v>
      </c>
      <c r="H325" s="3">
        <v>0</v>
      </c>
      <c r="I325" s="74">
        <f>H325*VLOOKUP(D325,GWPs!$B$3:$C$6,2,FALSE)</f>
        <v>0</v>
      </c>
      <c r="J325" s="3">
        <v>6.0000000000000001E-3</v>
      </c>
      <c r="K325" s="74">
        <f>J325*VLOOKUP(D325,GWPs!$B$3:$C$6,2,FALSE)</f>
        <v>6.0000000000000001E-3</v>
      </c>
      <c r="M325" s="3">
        <v>3</v>
      </c>
      <c r="N325" s="3">
        <v>2</v>
      </c>
      <c r="O325" s="3">
        <v>1</v>
      </c>
      <c r="P325" s="3">
        <v>4</v>
      </c>
      <c r="Q325" s="3">
        <v>1</v>
      </c>
      <c r="T325" s="70" t="s">
        <v>702</v>
      </c>
      <c r="U325" s="70">
        <v>0.25700000000000001</v>
      </c>
      <c r="X325" s="70" t="s">
        <v>801</v>
      </c>
      <c r="Y325" s="70">
        <v>0.17200000000000001</v>
      </c>
      <c r="AA325" s="70" t="s">
        <v>801</v>
      </c>
      <c r="AB325" s="406">
        <v>8.0000000000000002E-3</v>
      </c>
    </row>
    <row r="326" spans="1:28">
      <c r="A326" t="s">
        <v>1429</v>
      </c>
      <c r="B326" s="3" t="s">
        <v>471</v>
      </c>
      <c r="C326" s="3" t="s">
        <v>472</v>
      </c>
      <c r="D326" s="3" t="s">
        <v>11</v>
      </c>
      <c r="E326" s="3" t="s">
        <v>12</v>
      </c>
      <c r="F326" s="3">
        <v>0.434</v>
      </c>
      <c r="G326" s="74">
        <f>F326*VLOOKUP(D326,GWPs!$B$3:$C$6,2,FALSE)</f>
        <v>0.434</v>
      </c>
      <c r="H326" s="3">
        <v>4.9000000000000002E-2</v>
      </c>
      <c r="I326" s="74">
        <f>H326*VLOOKUP(D326,GWPs!$B$3:$C$6,2,FALSE)</f>
        <v>4.9000000000000002E-2</v>
      </c>
      <c r="J326" s="3">
        <v>0.48199999999999998</v>
      </c>
      <c r="K326" s="74">
        <f>J326*VLOOKUP(D326,GWPs!$B$3:$C$6,2,FALSE)</f>
        <v>0.48199999999999998</v>
      </c>
      <c r="M326" s="3">
        <v>3</v>
      </c>
      <c r="N326" s="3">
        <v>2</v>
      </c>
      <c r="O326" s="3">
        <v>1</v>
      </c>
      <c r="P326" s="3">
        <v>4</v>
      </c>
      <c r="Q326" s="3">
        <v>1</v>
      </c>
      <c r="T326" s="70" t="s">
        <v>820</v>
      </c>
      <c r="U326" s="70">
        <v>0.60599999999999998</v>
      </c>
      <c r="X326" s="70" t="s">
        <v>718</v>
      </c>
      <c r="Y326" s="70">
        <v>5.7000000000000002E-2</v>
      </c>
      <c r="AA326" s="70" t="s">
        <v>718</v>
      </c>
      <c r="AB326" s="406">
        <v>0.03</v>
      </c>
    </row>
    <row r="327" spans="1:28">
      <c r="A327" t="s">
        <v>1429</v>
      </c>
      <c r="B327" s="3" t="s">
        <v>471</v>
      </c>
      <c r="C327" s="3" t="s">
        <v>472</v>
      </c>
      <c r="D327" s="3" t="s">
        <v>13</v>
      </c>
      <c r="E327" s="3" t="s">
        <v>12</v>
      </c>
      <c r="F327" s="3">
        <v>1E-3</v>
      </c>
      <c r="G327" s="74">
        <f>F327*VLOOKUP(D327,GWPs!$B$3:$C$6,2,FALSE)</f>
        <v>2.8000000000000001E-2</v>
      </c>
      <c r="H327" s="3">
        <v>0</v>
      </c>
      <c r="I327" s="74">
        <f>H327*VLOOKUP(D327,GWPs!$B$3:$C$6,2,FALSE)</f>
        <v>0</v>
      </c>
      <c r="J327" s="3">
        <v>2E-3</v>
      </c>
      <c r="K327" s="74">
        <f>J327*VLOOKUP(D327,GWPs!$B$3:$C$6,2,FALSE)</f>
        <v>5.6000000000000001E-2</v>
      </c>
      <c r="M327" s="3">
        <v>4</v>
      </c>
      <c r="N327" s="3">
        <v>2</v>
      </c>
      <c r="O327" s="3">
        <v>1</v>
      </c>
      <c r="P327" s="3">
        <v>1</v>
      </c>
      <c r="Q327" s="3">
        <v>1</v>
      </c>
      <c r="T327" s="70" t="s">
        <v>801</v>
      </c>
      <c r="U327" s="70">
        <v>0.18</v>
      </c>
      <c r="X327" s="70" t="s">
        <v>844</v>
      </c>
      <c r="Y327" s="70">
        <v>0.29100000000000004</v>
      </c>
      <c r="AA327" s="70" t="s">
        <v>844</v>
      </c>
      <c r="AB327" s="406">
        <v>0.123</v>
      </c>
    </row>
    <row r="328" spans="1:28">
      <c r="A328" t="s">
        <v>1429</v>
      </c>
      <c r="B328" s="3" t="s">
        <v>471</v>
      </c>
      <c r="C328" s="3" t="s">
        <v>472</v>
      </c>
      <c r="D328" s="3" t="s">
        <v>14</v>
      </c>
      <c r="E328" s="3" t="s">
        <v>12</v>
      </c>
      <c r="F328" s="3">
        <v>0</v>
      </c>
      <c r="G328" s="74">
        <f>F328*VLOOKUP(D328,GWPs!$B$3:$C$6,2,FALSE)</f>
        <v>0</v>
      </c>
      <c r="H328" s="3">
        <v>0</v>
      </c>
      <c r="I328" s="74">
        <f>H328*VLOOKUP(D328,GWPs!$B$3:$C$6,2,FALSE)</f>
        <v>0</v>
      </c>
      <c r="J328" s="3">
        <v>0</v>
      </c>
      <c r="K328" s="74">
        <f>J328*VLOOKUP(D328,GWPs!$B$3:$C$6,2,FALSE)</f>
        <v>0</v>
      </c>
      <c r="M328" s="3">
        <v>3</v>
      </c>
      <c r="N328" s="3">
        <v>2</v>
      </c>
      <c r="O328" s="3">
        <v>1</v>
      </c>
      <c r="P328" s="3">
        <v>3</v>
      </c>
      <c r="Q328" s="3">
        <v>1</v>
      </c>
      <c r="T328" s="70" t="s">
        <v>718</v>
      </c>
      <c r="U328" s="70">
        <v>8.7000000000000008E-2</v>
      </c>
      <c r="X328" s="70" t="s">
        <v>376</v>
      </c>
      <c r="Y328" s="70">
        <v>0.22900000000000001</v>
      </c>
      <c r="AA328" s="70" t="s">
        <v>376</v>
      </c>
      <c r="AB328" s="406">
        <v>0</v>
      </c>
    </row>
    <row r="329" spans="1:28">
      <c r="A329" t="s">
        <v>1429</v>
      </c>
      <c r="B329" s="3" t="s">
        <v>471</v>
      </c>
      <c r="C329" s="3" t="s">
        <v>472</v>
      </c>
      <c r="D329" s="3" t="s">
        <v>15</v>
      </c>
      <c r="E329" s="3" t="s">
        <v>16</v>
      </c>
      <c r="F329" s="3">
        <v>6.0000000000000001E-3</v>
      </c>
      <c r="G329" s="74">
        <f>F329*VLOOKUP(D329,GWPs!$B$3:$C$6,2,FALSE)</f>
        <v>6.0000000000000001E-3</v>
      </c>
      <c r="H329" s="3">
        <v>0</v>
      </c>
      <c r="I329" s="74">
        <f>H329*VLOOKUP(D329,GWPs!$B$3:$C$6,2,FALSE)</f>
        <v>0</v>
      </c>
      <c r="J329" s="3">
        <v>6.0000000000000001E-3</v>
      </c>
      <c r="K329" s="74">
        <f>J329*VLOOKUP(D329,GWPs!$B$3:$C$6,2,FALSE)</f>
        <v>6.0000000000000001E-3</v>
      </c>
      <c r="M329" s="3">
        <v>3</v>
      </c>
      <c r="N329" s="3">
        <v>2</v>
      </c>
      <c r="O329" s="3">
        <v>1</v>
      </c>
      <c r="P329" s="3">
        <v>3</v>
      </c>
      <c r="Q329" s="3">
        <v>1</v>
      </c>
      <c r="T329" s="70" t="s">
        <v>844</v>
      </c>
      <c r="U329" s="70">
        <v>0.41499999999999998</v>
      </c>
      <c r="X329" s="70" t="s">
        <v>732</v>
      </c>
      <c r="Y329" s="70">
        <v>0.26900000000000002</v>
      </c>
      <c r="AA329" s="70" t="s">
        <v>732</v>
      </c>
      <c r="AB329" s="406">
        <v>0.83199999999999996</v>
      </c>
    </row>
    <row r="330" spans="1:28">
      <c r="A330" t="s">
        <v>1429</v>
      </c>
      <c r="B330" s="3" t="s">
        <v>473</v>
      </c>
      <c r="C330" s="3" t="s">
        <v>474</v>
      </c>
      <c r="D330" s="3" t="s">
        <v>11</v>
      </c>
      <c r="E330" s="3" t="s">
        <v>12</v>
      </c>
      <c r="F330" s="3">
        <v>0.39500000000000002</v>
      </c>
      <c r="G330" s="74">
        <f>F330*VLOOKUP(D330,GWPs!$B$3:$C$6,2,FALSE)</f>
        <v>0.39500000000000002</v>
      </c>
      <c r="H330" s="3">
        <v>4.3999999999999997E-2</v>
      </c>
      <c r="I330" s="74">
        <f>H330*VLOOKUP(D330,GWPs!$B$3:$C$6,2,FALSE)</f>
        <v>4.3999999999999997E-2</v>
      </c>
      <c r="J330" s="3">
        <v>0.439</v>
      </c>
      <c r="K330" s="74">
        <f>J330*VLOOKUP(D330,GWPs!$B$3:$C$6,2,FALSE)</f>
        <v>0.439</v>
      </c>
      <c r="M330" s="3">
        <v>3</v>
      </c>
      <c r="N330" s="3">
        <v>2</v>
      </c>
      <c r="O330" s="3">
        <v>1</v>
      </c>
      <c r="P330" s="3">
        <v>4</v>
      </c>
      <c r="Q330" s="3">
        <v>1</v>
      </c>
      <c r="T330" s="70" t="s">
        <v>376</v>
      </c>
      <c r="U330" s="70">
        <v>0.22900000000000001</v>
      </c>
      <c r="X330" s="70" t="s">
        <v>420</v>
      </c>
      <c r="Y330" s="70">
        <v>0.21199999999999999</v>
      </c>
      <c r="AA330" s="70" t="s">
        <v>420</v>
      </c>
      <c r="AB330" s="406">
        <v>3.6999999999999998E-2</v>
      </c>
    </row>
    <row r="331" spans="1:28">
      <c r="A331" t="s">
        <v>1429</v>
      </c>
      <c r="B331" s="3" t="s">
        <v>473</v>
      </c>
      <c r="C331" s="3" t="s">
        <v>474</v>
      </c>
      <c r="D331" s="3" t="s">
        <v>13</v>
      </c>
      <c r="E331" s="3" t="s">
        <v>12</v>
      </c>
      <c r="F331" s="3">
        <v>1E-3</v>
      </c>
      <c r="G331" s="74">
        <f>F331*VLOOKUP(D331,GWPs!$B$3:$C$6,2,FALSE)</f>
        <v>2.8000000000000001E-2</v>
      </c>
      <c r="H331" s="3">
        <v>0</v>
      </c>
      <c r="I331" s="74">
        <f>H331*VLOOKUP(D331,GWPs!$B$3:$C$6,2,FALSE)</f>
        <v>0</v>
      </c>
      <c r="J331" s="3">
        <v>2E-3</v>
      </c>
      <c r="K331" s="74">
        <f>J331*VLOOKUP(D331,GWPs!$B$3:$C$6,2,FALSE)</f>
        <v>5.6000000000000001E-2</v>
      </c>
      <c r="M331" s="3">
        <v>4</v>
      </c>
      <c r="N331" s="3">
        <v>2</v>
      </c>
      <c r="O331" s="3">
        <v>1</v>
      </c>
      <c r="P331" s="3">
        <v>1</v>
      </c>
      <c r="Q331" s="3">
        <v>1</v>
      </c>
      <c r="T331" s="70" t="s">
        <v>732</v>
      </c>
      <c r="U331" s="70">
        <v>1.101</v>
      </c>
      <c r="X331" s="70" t="s">
        <v>522</v>
      </c>
      <c r="Y331" s="70">
        <v>0.37200000000000005</v>
      </c>
      <c r="AA331" s="70" t="s">
        <v>522</v>
      </c>
      <c r="AB331" s="406">
        <v>4.2000000000000003E-2</v>
      </c>
    </row>
    <row r="332" spans="1:28">
      <c r="A332" t="s">
        <v>1429</v>
      </c>
      <c r="B332" s="3" t="s">
        <v>473</v>
      </c>
      <c r="C332" s="3" t="s">
        <v>474</v>
      </c>
      <c r="D332" s="3" t="s">
        <v>14</v>
      </c>
      <c r="E332" s="3" t="s">
        <v>12</v>
      </c>
      <c r="F332" s="3">
        <v>0</v>
      </c>
      <c r="G332" s="74">
        <f>F332*VLOOKUP(D332,GWPs!$B$3:$C$6,2,FALSE)</f>
        <v>0</v>
      </c>
      <c r="H332" s="3">
        <v>0</v>
      </c>
      <c r="I332" s="74">
        <f>H332*VLOOKUP(D332,GWPs!$B$3:$C$6,2,FALSE)</f>
        <v>0</v>
      </c>
      <c r="J332" s="3">
        <v>0</v>
      </c>
      <c r="K332" s="74">
        <f>J332*VLOOKUP(D332,GWPs!$B$3:$C$6,2,FALSE)</f>
        <v>0</v>
      </c>
      <c r="M332" s="3">
        <v>3</v>
      </c>
      <c r="N332" s="3">
        <v>2</v>
      </c>
      <c r="O332" s="3">
        <v>1</v>
      </c>
      <c r="P332" s="3">
        <v>3</v>
      </c>
      <c r="Q332" s="3">
        <v>1</v>
      </c>
      <c r="T332" s="70" t="s">
        <v>420</v>
      </c>
      <c r="U332" s="70">
        <v>0.249</v>
      </c>
      <c r="X332" s="70" t="s">
        <v>430</v>
      </c>
      <c r="Y332" s="70">
        <v>0.25700000000000001</v>
      </c>
      <c r="AA332" s="70" t="s">
        <v>430</v>
      </c>
      <c r="AB332" s="406">
        <v>4.2999999999999997E-2</v>
      </c>
    </row>
    <row r="333" spans="1:28">
      <c r="A333" t="s">
        <v>1429</v>
      </c>
      <c r="B333" s="3" t="s">
        <v>473</v>
      </c>
      <c r="C333" s="3" t="s">
        <v>474</v>
      </c>
      <c r="D333" s="3" t="s">
        <v>15</v>
      </c>
      <c r="E333" s="3" t="s">
        <v>16</v>
      </c>
      <c r="F333" s="3">
        <v>5.0000000000000001E-3</v>
      </c>
      <c r="G333" s="74">
        <f>F333*VLOOKUP(D333,GWPs!$B$3:$C$6,2,FALSE)</f>
        <v>5.0000000000000001E-3</v>
      </c>
      <c r="H333" s="3">
        <v>0</v>
      </c>
      <c r="I333" s="74">
        <f>H333*VLOOKUP(D333,GWPs!$B$3:$C$6,2,FALSE)</f>
        <v>0</v>
      </c>
      <c r="J333" s="3">
        <v>5.0000000000000001E-3</v>
      </c>
      <c r="K333" s="74">
        <f>J333*VLOOKUP(D333,GWPs!$B$3:$C$6,2,FALSE)</f>
        <v>5.0000000000000001E-3</v>
      </c>
      <c r="M333" s="3">
        <v>3</v>
      </c>
      <c r="N333" s="3">
        <v>2</v>
      </c>
      <c r="O333" s="3">
        <v>1</v>
      </c>
      <c r="P333" s="3">
        <v>4</v>
      </c>
      <c r="Q333" s="3">
        <v>1</v>
      </c>
      <c r="T333" s="70" t="s">
        <v>522</v>
      </c>
      <c r="U333" s="70">
        <v>0.41400000000000003</v>
      </c>
      <c r="X333" s="70" t="s">
        <v>914</v>
      </c>
      <c r="Y333" s="70">
        <v>3.7000000000000005E-2</v>
      </c>
      <c r="AA333" s="70" t="s">
        <v>914</v>
      </c>
      <c r="AB333" s="406">
        <v>3.5999999999999997E-2</v>
      </c>
    </row>
    <row r="334" spans="1:28">
      <c r="A334" t="s">
        <v>1430</v>
      </c>
      <c r="B334" s="3" t="s">
        <v>475</v>
      </c>
      <c r="C334" s="3" t="s">
        <v>476</v>
      </c>
      <c r="D334" s="3" t="s">
        <v>11</v>
      </c>
      <c r="E334" s="3" t="s">
        <v>12</v>
      </c>
      <c r="F334" s="3">
        <v>0.45800000000000002</v>
      </c>
      <c r="G334" s="74">
        <f>F334*VLOOKUP(D334,GWPs!$B$3:$C$6,2,FALSE)</f>
        <v>0.45800000000000002</v>
      </c>
      <c r="H334" s="3">
        <v>0.14499999999999999</v>
      </c>
      <c r="I334" s="74">
        <f>H334*VLOOKUP(D334,GWPs!$B$3:$C$6,2,FALSE)</f>
        <v>0.14499999999999999</v>
      </c>
      <c r="J334" s="3">
        <v>0.60299999999999998</v>
      </c>
      <c r="K334" s="74">
        <f>J334*VLOOKUP(D334,GWPs!$B$3:$C$6,2,FALSE)</f>
        <v>0.60299999999999998</v>
      </c>
      <c r="M334" s="3">
        <v>3</v>
      </c>
      <c r="N334" s="3">
        <v>2</v>
      </c>
      <c r="O334" s="3">
        <v>1</v>
      </c>
      <c r="P334" s="3">
        <v>3</v>
      </c>
      <c r="Q334" s="3">
        <v>1</v>
      </c>
      <c r="T334" s="70" t="s">
        <v>430</v>
      </c>
      <c r="U334" s="70">
        <v>0.30000000000000004</v>
      </c>
      <c r="X334" s="70" t="s">
        <v>918</v>
      </c>
      <c r="Y334" s="70">
        <v>2.7E-2</v>
      </c>
      <c r="AA334" s="70" t="s">
        <v>918</v>
      </c>
      <c r="AB334" s="406">
        <v>4.1000000000000002E-2</v>
      </c>
    </row>
    <row r="335" spans="1:28">
      <c r="A335" t="s">
        <v>1430</v>
      </c>
      <c r="B335" s="3" t="s">
        <v>475</v>
      </c>
      <c r="C335" s="3" t="s">
        <v>476</v>
      </c>
      <c r="D335" s="3" t="s">
        <v>13</v>
      </c>
      <c r="E335" s="3" t="s">
        <v>12</v>
      </c>
      <c r="F335" s="3">
        <v>1E-3</v>
      </c>
      <c r="G335" s="74">
        <f>F335*VLOOKUP(D335,GWPs!$B$3:$C$6,2,FALSE)</f>
        <v>2.8000000000000001E-2</v>
      </c>
      <c r="H335" s="3">
        <v>1E-3</v>
      </c>
      <c r="I335" s="74">
        <f>H335*VLOOKUP(D335,GWPs!$B$3:$C$6,2,FALSE)</f>
        <v>2.8000000000000001E-2</v>
      </c>
      <c r="J335" s="3">
        <v>2E-3</v>
      </c>
      <c r="K335" s="74">
        <f>J335*VLOOKUP(D335,GWPs!$B$3:$C$6,2,FALSE)</f>
        <v>5.6000000000000001E-2</v>
      </c>
      <c r="M335" s="3">
        <v>4</v>
      </c>
      <c r="N335" s="3">
        <v>2</v>
      </c>
      <c r="O335" s="3">
        <v>1</v>
      </c>
      <c r="P335" s="3">
        <v>1</v>
      </c>
      <c r="Q335" s="3">
        <v>1</v>
      </c>
      <c r="T335" s="70" t="s">
        <v>914</v>
      </c>
      <c r="U335" s="70">
        <v>7.2999999999999995E-2</v>
      </c>
      <c r="X335" s="70" t="s">
        <v>390</v>
      </c>
      <c r="Y335" s="70">
        <v>5.5999999999999994E-2</v>
      </c>
      <c r="AA335" s="70" t="s">
        <v>390</v>
      </c>
      <c r="AB335" s="406">
        <v>6.0000000000000001E-3</v>
      </c>
    </row>
    <row r="336" spans="1:28">
      <c r="A336" t="s">
        <v>1430</v>
      </c>
      <c r="B336" s="3" t="s">
        <v>475</v>
      </c>
      <c r="C336" s="3" t="s">
        <v>476</v>
      </c>
      <c r="D336" s="3" t="s">
        <v>14</v>
      </c>
      <c r="E336" s="3" t="s">
        <v>12</v>
      </c>
      <c r="F336" s="3">
        <v>0</v>
      </c>
      <c r="G336" s="74">
        <f>F336*VLOOKUP(D336,GWPs!$B$3:$C$6,2,FALSE)</f>
        <v>0</v>
      </c>
      <c r="H336" s="3">
        <v>0</v>
      </c>
      <c r="I336" s="74">
        <f>H336*VLOOKUP(D336,GWPs!$B$3:$C$6,2,FALSE)</f>
        <v>0</v>
      </c>
      <c r="J336" s="3">
        <v>0</v>
      </c>
      <c r="K336" s="74">
        <f>J336*VLOOKUP(D336,GWPs!$B$3:$C$6,2,FALSE)</f>
        <v>0</v>
      </c>
      <c r="M336" s="3">
        <v>4</v>
      </c>
      <c r="N336" s="3">
        <v>2</v>
      </c>
      <c r="O336" s="3">
        <v>1</v>
      </c>
      <c r="P336" s="3">
        <v>3</v>
      </c>
      <c r="Q336" s="3">
        <v>1</v>
      </c>
      <c r="T336" s="70" t="s">
        <v>918</v>
      </c>
      <c r="U336" s="70">
        <v>6.8000000000000005E-2</v>
      </c>
      <c r="X336" s="70" t="s">
        <v>658</v>
      </c>
      <c r="Y336" s="70">
        <v>0.23700000000000002</v>
      </c>
      <c r="AA336" s="70" t="s">
        <v>658</v>
      </c>
      <c r="AB336" s="406">
        <v>3.4000000000000002E-2</v>
      </c>
    </row>
    <row r="337" spans="1:28">
      <c r="A337" t="s">
        <v>1430</v>
      </c>
      <c r="B337" s="3" t="s">
        <v>475</v>
      </c>
      <c r="C337" s="3" t="s">
        <v>476</v>
      </c>
      <c r="D337" s="3" t="s">
        <v>15</v>
      </c>
      <c r="E337" s="3" t="s">
        <v>16</v>
      </c>
      <c r="F337" s="3">
        <v>5.0000000000000001E-3</v>
      </c>
      <c r="G337" s="74">
        <f>F337*VLOOKUP(D337,GWPs!$B$3:$C$6,2,FALSE)</f>
        <v>5.0000000000000001E-3</v>
      </c>
      <c r="H337" s="3">
        <v>0</v>
      </c>
      <c r="I337" s="74">
        <f>H337*VLOOKUP(D337,GWPs!$B$3:$C$6,2,FALSE)</f>
        <v>0</v>
      </c>
      <c r="J337" s="3">
        <v>5.0000000000000001E-3</v>
      </c>
      <c r="K337" s="74">
        <f>J337*VLOOKUP(D337,GWPs!$B$3:$C$6,2,FALSE)</f>
        <v>5.0000000000000001E-3</v>
      </c>
      <c r="M337" s="3">
        <v>3</v>
      </c>
      <c r="N337" s="3">
        <v>2</v>
      </c>
      <c r="O337" s="3">
        <v>1</v>
      </c>
      <c r="P337" s="3">
        <v>3</v>
      </c>
      <c r="Q337" s="3">
        <v>1</v>
      </c>
      <c r="T337" s="70" t="s">
        <v>390</v>
      </c>
      <c r="U337" s="70">
        <v>6.2E-2</v>
      </c>
      <c r="X337" s="70" t="s">
        <v>970</v>
      </c>
      <c r="Y337" s="70">
        <v>8.4000000000000005E-2</v>
      </c>
      <c r="AA337" s="70" t="s">
        <v>970</v>
      </c>
      <c r="AB337" s="406">
        <v>0</v>
      </c>
    </row>
    <row r="338" spans="1:28">
      <c r="A338" t="s">
        <v>1430</v>
      </c>
      <c r="B338" s="3" t="s">
        <v>477</v>
      </c>
      <c r="C338" s="3" t="s">
        <v>478</v>
      </c>
      <c r="D338" s="3" t="s">
        <v>11</v>
      </c>
      <c r="E338" s="3" t="s">
        <v>12</v>
      </c>
      <c r="F338" s="3">
        <v>0.371</v>
      </c>
      <c r="G338" s="74">
        <f>F338*VLOOKUP(D338,GWPs!$B$3:$C$6,2,FALSE)</f>
        <v>0.371</v>
      </c>
      <c r="H338" s="3">
        <v>5.1999999999999998E-2</v>
      </c>
      <c r="I338" s="74">
        <f>H338*VLOOKUP(D338,GWPs!$B$3:$C$6,2,FALSE)</f>
        <v>5.1999999999999998E-2</v>
      </c>
      <c r="J338" s="3">
        <v>0.42299999999999999</v>
      </c>
      <c r="K338" s="74">
        <f>J338*VLOOKUP(D338,GWPs!$B$3:$C$6,2,FALSE)</f>
        <v>0.42299999999999999</v>
      </c>
      <c r="M338" s="3">
        <v>3</v>
      </c>
      <c r="N338" s="3">
        <v>2</v>
      </c>
      <c r="O338" s="3">
        <v>1</v>
      </c>
      <c r="P338" s="3">
        <v>4</v>
      </c>
      <c r="Q338" s="3">
        <v>1</v>
      </c>
      <c r="T338" s="70" t="s">
        <v>658</v>
      </c>
      <c r="U338" s="70">
        <v>0.27100000000000002</v>
      </c>
      <c r="X338" s="70" t="s">
        <v>742</v>
      </c>
      <c r="Y338" s="70">
        <v>0.29600000000000004</v>
      </c>
      <c r="AA338" s="70" t="s">
        <v>742</v>
      </c>
      <c r="AB338" s="406">
        <v>4.7E-2</v>
      </c>
    </row>
    <row r="339" spans="1:28">
      <c r="A339" t="s">
        <v>1430</v>
      </c>
      <c r="B339" s="3" t="s">
        <v>477</v>
      </c>
      <c r="C339" s="3" t="s">
        <v>478</v>
      </c>
      <c r="D339" s="3" t="s">
        <v>13</v>
      </c>
      <c r="E339" s="3" t="s">
        <v>12</v>
      </c>
      <c r="F339" s="3">
        <v>1E-3</v>
      </c>
      <c r="G339" s="74">
        <f>F339*VLOOKUP(D339,GWPs!$B$3:$C$6,2,FALSE)</f>
        <v>2.8000000000000001E-2</v>
      </c>
      <c r="H339" s="3">
        <v>0</v>
      </c>
      <c r="I339" s="74">
        <f>H339*VLOOKUP(D339,GWPs!$B$3:$C$6,2,FALSE)</f>
        <v>0</v>
      </c>
      <c r="J339" s="3">
        <v>2E-3</v>
      </c>
      <c r="K339" s="74">
        <f>J339*VLOOKUP(D339,GWPs!$B$3:$C$6,2,FALSE)</f>
        <v>5.6000000000000001E-2</v>
      </c>
      <c r="M339" s="3">
        <v>4</v>
      </c>
      <c r="N339" s="3">
        <v>2</v>
      </c>
      <c r="O339" s="3">
        <v>1</v>
      </c>
      <c r="P339" s="3">
        <v>1</v>
      </c>
      <c r="Q339" s="3">
        <v>1</v>
      </c>
      <c r="T339" s="70" t="s">
        <v>970</v>
      </c>
      <c r="U339" s="70">
        <v>8.4000000000000005E-2</v>
      </c>
      <c r="X339" s="70" t="s">
        <v>666</v>
      </c>
      <c r="Y339" s="70">
        <v>0.15</v>
      </c>
      <c r="AA339" s="70" t="s">
        <v>666</v>
      </c>
      <c r="AB339" s="406">
        <v>4.1000000000000002E-2</v>
      </c>
    </row>
    <row r="340" spans="1:28">
      <c r="A340" t="s">
        <v>1430</v>
      </c>
      <c r="B340" s="3" t="s">
        <v>477</v>
      </c>
      <c r="C340" s="3" t="s">
        <v>478</v>
      </c>
      <c r="D340" s="3" t="s">
        <v>14</v>
      </c>
      <c r="E340" s="3" t="s">
        <v>12</v>
      </c>
      <c r="F340" s="3">
        <v>0</v>
      </c>
      <c r="G340" s="74">
        <f>F340*VLOOKUP(D340,GWPs!$B$3:$C$6,2,FALSE)</f>
        <v>0</v>
      </c>
      <c r="H340" s="3">
        <v>0</v>
      </c>
      <c r="I340" s="74">
        <f>H340*VLOOKUP(D340,GWPs!$B$3:$C$6,2,FALSE)</f>
        <v>0</v>
      </c>
      <c r="J340" s="3">
        <v>0</v>
      </c>
      <c r="K340" s="74">
        <f>J340*VLOOKUP(D340,GWPs!$B$3:$C$6,2,FALSE)</f>
        <v>0</v>
      </c>
      <c r="M340" s="3">
        <v>3</v>
      </c>
      <c r="N340" s="3">
        <v>2</v>
      </c>
      <c r="O340" s="3">
        <v>1</v>
      </c>
      <c r="P340" s="3">
        <v>3</v>
      </c>
      <c r="Q340" s="3">
        <v>1</v>
      </c>
      <c r="T340" s="70" t="s">
        <v>742</v>
      </c>
      <c r="U340" s="70">
        <v>0.371</v>
      </c>
      <c r="X340" s="70" t="s">
        <v>838</v>
      </c>
      <c r="Y340" s="70">
        <v>0.28000000000000003</v>
      </c>
      <c r="AA340" s="70" t="s">
        <v>838</v>
      </c>
      <c r="AB340" s="406">
        <v>0.441</v>
      </c>
    </row>
    <row r="341" spans="1:28">
      <c r="A341" t="s">
        <v>1430</v>
      </c>
      <c r="B341" s="3" t="s">
        <v>477</v>
      </c>
      <c r="C341" s="3" t="s">
        <v>478</v>
      </c>
      <c r="D341" s="3" t="s">
        <v>15</v>
      </c>
      <c r="E341" s="3" t="s">
        <v>16</v>
      </c>
      <c r="F341" s="3">
        <v>5.0000000000000001E-3</v>
      </c>
      <c r="G341" s="74">
        <f>F341*VLOOKUP(D341,GWPs!$B$3:$C$6,2,FALSE)</f>
        <v>5.0000000000000001E-3</v>
      </c>
      <c r="H341" s="3">
        <v>0</v>
      </c>
      <c r="I341" s="74">
        <f>H341*VLOOKUP(D341,GWPs!$B$3:$C$6,2,FALSE)</f>
        <v>0</v>
      </c>
      <c r="J341" s="3">
        <v>5.0000000000000001E-3</v>
      </c>
      <c r="K341" s="74">
        <f>J341*VLOOKUP(D341,GWPs!$B$3:$C$6,2,FALSE)</f>
        <v>5.0000000000000001E-3</v>
      </c>
      <c r="M341" s="3">
        <v>3</v>
      </c>
      <c r="N341" s="3">
        <v>2</v>
      </c>
      <c r="O341" s="3">
        <v>1</v>
      </c>
      <c r="P341" s="3">
        <v>3</v>
      </c>
      <c r="Q341" s="3">
        <v>1</v>
      </c>
      <c r="T341" s="70" t="s">
        <v>666</v>
      </c>
      <c r="U341" s="70">
        <v>0.22</v>
      </c>
      <c r="X341" s="70" t="s">
        <v>1045</v>
      </c>
      <c r="Y341" s="70">
        <v>7.1000000000000008E-2</v>
      </c>
      <c r="AA341" s="70" t="s">
        <v>1045</v>
      </c>
      <c r="AB341" s="406">
        <v>0</v>
      </c>
    </row>
    <row r="342" spans="1:28">
      <c r="A342" t="s">
        <v>1429</v>
      </c>
      <c r="B342" s="3" t="s">
        <v>479</v>
      </c>
      <c r="C342" s="3" t="s">
        <v>480</v>
      </c>
      <c r="D342" s="3" t="s">
        <v>11</v>
      </c>
      <c r="E342" s="3" t="s">
        <v>12</v>
      </c>
      <c r="F342" s="3">
        <v>0.28399999999999997</v>
      </c>
      <c r="G342" s="74">
        <f>F342*VLOOKUP(D342,GWPs!$B$3:$C$6,2,FALSE)</f>
        <v>0.28399999999999997</v>
      </c>
      <c r="H342" s="3">
        <v>4.4999999999999998E-2</v>
      </c>
      <c r="I342" s="74">
        <f>H342*VLOOKUP(D342,GWPs!$B$3:$C$6,2,FALSE)</f>
        <v>4.4999999999999998E-2</v>
      </c>
      <c r="J342" s="3">
        <v>0.32900000000000001</v>
      </c>
      <c r="K342" s="74">
        <f>J342*VLOOKUP(D342,GWPs!$B$3:$C$6,2,FALSE)</f>
        <v>0.32900000000000001</v>
      </c>
      <c r="M342" s="3">
        <v>3</v>
      </c>
      <c r="N342" s="3">
        <v>2</v>
      </c>
      <c r="O342" s="3">
        <v>1</v>
      </c>
      <c r="P342" s="3">
        <v>4</v>
      </c>
      <c r="Q342" s="3">
        <v>1</v>
      </c>
      <c r="T342" s="70" t="s">
        <v>838</v>
      </c>
      <c r="U342" s="70">
        <v>0.72099999999999997</v>
      </c>
      <c r="X342" s="70" t="s">
        <v>612</v>
      </c>
      <c r="Y342" s="70">
        <v>3.7999999999999999E-2</v>
      </c>
      <c r="AA342" s="70" t="s">
        <v>612</v>
      </c>
      <c r="AB342" s="406">
        <v>3.0000000000000001E-3</v>
      </c>
    </row>
    <row r="343" spans="1:28">
      <c r="A343" t="s">
        <v>1429</v>
      </c>
      <c r="B343" s="3" t="s">
        <v>479</v>
      </c>
      <c r="C343" s="3" t="s">
        <v>480</v>
      </c>
      <c r="D343" s="3" t="s">
        <v>13</v>
      </c>
      <c r="E343" s="3" t="s">
        <v>12</v>
      </c>
      <c r="F343" s="3">
        <v>1E-3</v>
      </c>
      <c r="G343" s="74">
        <f>F343*VLOOKUP(D343,GWPs!$B$3:$C$6,2,FALSE)</f>
        <v>2.8000000000000001E-2</v>
      </c>
      <c r="H343" s="3">
        <v>0</v>
      </c>
      <c r="I343" s="74">
        <f>H343*VLOOKUP(D343,GWPs!$B$3:$C$6,2,FALSE)</f>
        <v>0</v>
      </c>
      <c r="J343" s="3">
        <v>1E-3</v>
      </c>
      <c r="K343" s="74">
        <f>J343*VLOOKUP(D343,GWPs!$B$3:$C$6,2,FALSE)</f>
        <v>2.8000000000000001E-2</v>
      </c>
      <c r="M343" s="3">
        <v>4</v>
      </c>
      <c r="N343" s="3">
        <v>2</v>
      </c>
      <c r="O343" s="3">
        <v>1</v>
      </c>
      <c r="P343" s="3">
        <v>1</v>
      </c>
      <c r="Q343" s="3">
        <v>1</v>
      </c>
      <c r="T343" s="70" t="s">
        <v>1045</v>
      </c>
      <c r="U343" s="70">
        <v>7.1000000000000008E-2</v>
      </c>
      <c r="X343" s="70" t="s">
        <v>474</v>
      </c>
      <c r="Y343" s="70">
        <v>0.42800000000000005</v>
      </c>
      <c r="AA343" s="70" t="s">
        <v>474</v>
      </c>
      <c r="AB343" s="406">
        <v>4.3999999999999997E-2</v>
      </c>
    </row>
    <row r="344" spans="1:28">
      <c r="A344" t="s">
        <v>1429</v>
      </c>
      <c r="B344" s="3" t="s">
        <v>479</v>
      </c>
      <c r="C344" s="3" t="s">
        <v>480</v>
      </c>
      <c r="D344" s="3" t="s">
        <v>14</v>
      </c>
      <c r="E344" s="3" t="s">
        <v>12</v>
      </c>
      <c r="F344" s="3">
        <v>0</v>
      </c>
      <c r="G344" s="74">
        <f>F344*VLOOKUP(D344,GWPs!$B$3:$C$6,2,FALSE)</f>
        <v>0</v>
      </c>
      <c r="H344" s="3">
        <v>0</v>
      </c>
      <c r="I344" s="74">
        <f>H344*VLOOKUP(D344,GWPs!$B$3:$C$6,2,FALSE)</f>
        <v>0</v>
      </c>
      <c r="J344" s="3">
        <v>0</v>
      </c>
      <c r="K344" s="74">
        <f>J344*VLOOKUP(D344,GWPs!$B$3:$C$6,2,FALSE)</f>
        <v>0</v>
      </c>
      <c r="M344" s="3">
        <v>4</v>
      </c>
      <c r="N344" s="3">
        <v>2</v>
      </c>
      <c r="O344" s="3">
        <v>1</v>
      </c>
      <c r="P344" s="3">
        <v>3</v>
      </c>
      <c r="Q344" s="3">
        <v>1</v>
      </c>
      <c r="T344" s="70" t="s">
        <v>612</v>
      </c>
      <c r="U344" s="70">
        <v>4.1000000000000002E-2</v>
      </c>
      <c r="X344" s="70" t="s">
        <v>750</v>
      </c>
      <c r="Y344" s="70">
        <v>0.42500000000000004</v>
      </c>
      <c r="AA344" s="70" t="s">
        <v>750</v>
      </c>
      <c r="AB344" s="406">
        <v>0.13400000000000001</v>
      </c>
    </row>
    <row r="345" spans="1:28">
      <c r="A345" t="s">
        <v>1429</v>
      </c>
      <c r="B345" s="3" t="s">
        <v>479</v>
      </c>
      <c r="C345" s="3" t="s">
        <v>480</v>
      </c>
      <c r="D345" s="3" t="s">
        <v>15</v>
      </c>
      <c r="E345" s="3" t="s">
        <v>16</v>
      </c>
      <c r="F345" s="3">
        <v>4.0000000000000001E-3</v>
      </c>
      <c r="G345" s="74">
        <f>F345*VLOOKUP(D345,GWPs!$B$3:$C$6,2,FALSE)</f>
        <v>4.0000000000000001E-3</v>
      </c>
      <c r="H345" s="3">
        <v>0</v>
      </c>
      <c r="I345" s="74">
        <f>H345*VLOOKUP(D345,GWPs!$B$3:$C$6,2,FALSE)</f>
        <v>0</v>
      </c>
      <c r="J345" s="3">
        <v>4.0000000000000001E-3</v>
      </c>
      <c r="K345" s="74">
        <f>J345*VLOOKUP(D345,GWPs!$B$3:$C$6,2,FALSE)</f>
        <v>4.0000000000000001E-3</v>
      </c>
      <c r="M345" s="3">
        <v>3</v>
      </c>
      <c r="N345" s="3">
        <v>2</v>
      </c>
      <c r="O345" s="3">
        <v>1</v>
      </c>
      <c r="P345" s="3">
        <v>3</v>
      </c>
      <c r="Q345" s="3">
        <v>1</v>
      </c>
      <c r="T345" s="70" t="s">
        <v>474</v>
      </c>
      <c r="U345" s="70">
        <v>0.5</v>
      </c>
      <c r="X345" s="70" t="s">
        <v>396</v>
      </c>
      <c r="Y345" s="70">
        <v>0.52900000000000003</v>
      </c>
      <c r="AA345" s="70" t="s">
        <v>396</v>
      </c>
      <c r="AB345" s="406">
        <v>7.8E-2</v>
      </c>
    </row>
    <row r="346" spans="1:28">
      <c r="A346" t="s">
        <v>1429</v>
      </c>
      <c r="B346" s="3" t="s">
        <v>481</v>
      </c>
      <c r="C346" s="3" t="s">
        <v>482</v>
      </c>
      <c r="D346" s="3" t="s">
        <v>11</v>
      </c>
      <c r="E346" s="3" t="s">
        <v>12</v>
      </c>
      <c r="F346" s="3">
        <v>0.21199999999999999</v>
      </c>
      <c r="G346" s="74">
        <f>F346*VLOOKUP(D346,GWPs!$B$3:$C$6,2,FALSE)</f>
        <v>0.21199999999999999</v>
      </c>
      <c r="H346" s="3">
        <v>0.03</v>
      </c>
      <c r="I346" s="74">
        <f>H346*VLOOKUP(D346,GWPs!$B$3:$C$6,2,FALSE)</f>
        <v>0.03</v>
      </c>
      <c r="J346" s="3">
        <v>0.24199999999999999</v>
      </c>
      <c r="K346" s="74">
        <f>J346*VLOOKUP(D346,GWPs!$B$3:$C$6,2,FALSE)</f>
        <v>0.24199999999999999</v>
      </c>
      <c r="M346" s="3">
        <v>3</v>
      </c>
      <c r="N346" s="3">
        <v>2</v>
      </c>
      <c r="O346" s="3">
        <v>1</v>
      </c>
      <c r="P346" s="3">
        <v>3</v>
      </c>
      <c r="Q346" s="3">
        <v>1</v>
      </c>
      <c r="T346" s="70" t="s">
        <v>750</v>
      </c>
      <c r="U346" s="70">
        <v>0.56000000000000005</v>
      </c>
      <c r="X346" s="70" t="s">
        <v>826</v>
      </c>
      <c r="Y346" s="70">
        <v>0.17</v>
      </c>
      <c r="AA346" s="70" t="s">
        <v>826</v>
      </c>
      <c r="AB346" s="406">
        <v>4.3999999999999997E-2</v>
      </c>
    </row>
    <row r="347" spans="1:28">
      <c r="A347" t="s">
        <v>1429</v>
      </c>
      <c r="B347" s="3" t="s">
        <v>481</v>
      </c>
      <c r="C347" s="3" t="s">
        <v>482</v>
      </c>
      <c r="D347" s="3" t="s">
        <v>13</v>
      </c>
      <c r="E347" s="3" t="s">
        <v>12</v>
      </c>
      <c r="F347" s="3">
        <v>1E-3</v>
      </c>
      <c r="G347" s="74">
        <f>F347*VLOOKUP(D347,GWPs!$B$3:$C$6,2,FALSE)</f>
        <v>2.8000000000000001E-2</v>
      </c>
      <c r="H347" s="3">
        <v>0</v>
      </c>
      <c r="I347" s="74">
        <f>H347*VLOOKUP(D347,GWPs!$B$3:$C$6,2,FALSE)</f>
        <v>0</v>
      </c>
      <c r="J347" s="3">
        <v>1E-3</v>
      </c>
      <c r="K347" s="74">
        <f>J347*VLOOKUP(D347,GWPs!$B$3:$C$6,2,FALSE)</f>
        <v>2.8000000000000001E-2</v>
      </c>
      <c r="M347" s="3">
        <v>4</v>
      </c>
      <c r="N347" s="3">
        <v>2</v>
      </c>
      <c r="O347" s="3">
        <v>1</v>
      </c>
      <c r="P347" s="3">
        <v>1</v>
      </c>
      <c r="Q347" s="3">
        <v>1</v>
      </c>
      <c r="T347" s="70" t="s">
        <v>396</v>
      </c>
      <c r="U347" s="70">
        <v>0.60699999999999998</v>
      </c>
      <c r="X347" s="70" t="s">
        <v>828</v>
      </c>
      <c r="Y347" s="70">
        <v>0.184</v>
      </c>
      <c r="AA347" s="70" t="s">
        <v>828</v>
      </c>
      <c r="AB347" s="406">
        <v>0.128</v>
      </c>
    </row>
    <row r="348" spans="1:28">
      <c r="A348" t="s">
        <v>1429</v>
      </c>
      <c r="B348" s="3" t="s">
        <v>481</v>
      </c>
      <c r="C348" s="3" t="s">
        <v>482</v>
      </c>
      <c r="D348" s="3" t="s">
        <v>14</v>
      </c>
      <c r="E348" s="3" t="s">
        <v>12</v>
      </c>
      <c r="F348" s="3">
        <v>0</v>
      </c>
      <c r="G348" s="74">
        <f>F348*VLOOKUP(D348,GWPs!$B$3:$C$6,2,FALSE)</f>
        <v>0</v>
      </c>
      <c r="H348" s="3">
        <v>0</v>
      </c>
      <c r="I348" s="74">
        <f>H348*VLOOKUP(D348,GWPs!$B$3:$C$6,2,FALSE)</f>
        <v>0</v>
      </c>
      <c r="J348" s="3">
        <v>0</v>
      </c>
      <c r="K348" s="74">
        <f>J348*VLOOKUP(D348,GWPs!$B$3:$C$6,2,FALSE)</f>
        <v>0</v>
      </c>
      <c r="M348" s="3">
        <v>3</v>
      </c>
      <c r="N348" s="3">
        <v>2</v>
      </c>
      <c r="O348" s="3">
        <v>1</v>
      </c>
      <c r="P348" s="3">
        <v>3</v>
      </c>
      <c r="Q348" s="3">
        <v>1</v>
      </c>
      <c r="T348" s="70" t="s">
        <v>826</v>
      </c>
      <c r="U348" s="70">
        <v>0.214</v>
      </c>
      <c r="X348" s="70" t="s">
        <v>746</v>
      </c>
      <c r="Y348" s="70">
        <v>0.27</v>
      </c>
      <c r="AA348" s="70" t="s">
        <v>746</v>
      </c>
      <c r="AB348" s="406">
        <v>4.8000000000000001E-2</v>
      </c>
    </row>
    <row r="349" spans="1:28">
      <c r="A349" t="s">
        <v>1429</v>
      </c>
      <c r="B349" s="3" t="s">
        <v>481</v>
      </c>
      <c r="C349" s="3" t="s">
        <v>482</v>
      </c>
      <c r="D349" s="3" t="s">
        <v>15</v>
      </c>
      <c r="E349" s="3" t="s">
        <v>16</v>
      </c>
      <c r="F349" s="3">
        <v>3.0000000000000001E-3</v>
      </c>
      <c r="G349" s="74">
        <f>F349*VLOOKUP(D349,GWPs!$B$3:$C$6,2,FALSE)</f>
        <v>3.0000000000000001E-3</v>
      </c>
      <c r="H349" s="3">
        <v>0</v>
      </c>
      <c r="I349" s="74">
        <f>H349*VLOOKUP(D349,GWPs!$B$3:$C$6,2,FALSE)</f>
        <v>0</v>
      </c>
      <c r="J349" s="3">
        <v>3.0000000000000001E-3</v>
      </c>
      <c r="K349" s="74">
        <f>J349*VLOOKUP(D349,GWPs!$B$3:$C$6,2,FALSE)</f>
        <v>3.0000000000000001E-3</v>
      </c>
      <c r="M349" s="3">
        <v>3</v>
      </c>
      <c r="N349" s="3">
        <v>2</v>
      </c>
      <c r="O349" s="3">
        <v>1</v>
      </c>
      <c r="P349" s="3">
        <v>3</v>
      </c>
      <c r="Q349" s="3">
        <v>1</v>
      </c>
      <c r="T349" s="70" t="s">
        <v>828</v>
      </c>
      <c r="U349" s="70">
        <v>0.28400000000000003</v>
      </c>
      <c r="X349" s="70" t="s">
        <v>496</v>
      </c>
      <c r="Y349" s="70">
        <v>1.5840000000000001</v>
      </c>
      <c r="AA349" s="70" t="s">
        <v>496</v>
      </c>
      <c r="AB349" s="406">
        <v>0.09</v>
      </c>
    </row>
    <row r="350" spans="1:28">
      <c r="A350" t="s">
        <v>1429</v>
      </c>
      <c r="B350" s="3" t="s">
        <v>483</v>
      </c>
      <c r="C350" s="3" t="s">
        <v>484</v>
      </c>
      <c r="D350" s="3" t="s">
        <v>11</v>
      </c>
      <c r="E350" s="3" t="s">
        <v>12</v>
      </c>
      <c r="F350" s="3">
        <v>0.45100000000000001</v>
      </c>
      <c r="G350" s="74">
        <f>F350*VLOOKUP(D350,GWPs!$B$3:$C$6,2,FALSE)</f>
        <v>0.45100000000000001</v>
      </c>
      <c r="H350" s="3">
        <v>4.9000000000000002E-2</v>
      </c>
      <c r="I350" s="74">
        <f>H350*VLOOKUP(D350,GWPs!$B$3:$C$6,2,FALSE)</f>
        <v>4.9000000000000002E-2</v>
      </c>
      <c r="J350" s="3">
        <v>0.5</v>
      </c>
      <c r="K350" s="74">
        <f>J350*VLOOKUP(D350,GWPs!$B$3:$C$6,2,FALSE)</f>
        <v>0.5</v>
      </c>
      <c r="M350" s="3">
        <v>4</v>
      </c>
      <c r="N350" s="3">
        <v>2</v>
      </c>
      <c r="O350" s="3">
        <v>1</v>
      </c>
      <c r="P350" s="3">
        <v>3</v>
      </c>
      <c r="Q350" s="3">
        <v>1</v>
      </c>
      <c r="T350" s="70" t="s">
        <v>746</v>
      </c>
      <c r="U350" s="70">
        <v>0.318</v>
      </c>
      <c r="X350" s="70" t="s">
        <v>504</v>
      </c>
      <c r="Y350" s="70">
        <v>0.72699999999999998</v>
      </c>
      <c r="AA350" s="70" t="s">
        <v>504</v>
      </c>
      <c r="AB350" s="406">
        <v>1.4999999999999999E-2</v>
      </c>
    </row>
    <row r="351" spans="1:28">
      <c r="A351" t="s">
        <v>1429</v>
      </c>
      <c r="B351" s="3" t="s">
        <v>483</v>
      </c>
      <c r="C351" s="3" t="s">
        <v>484</v>
      </c>
      <c r="D351" s="3" t="s">
        <v>13</v>
      </c>
      <c r="E351" s="3" t="s">
        <v>12</v>
      </c>
      <c r="F351" s="3">
        <v>1.2E-2</v>
      </c>
      <c r="G351" s="74">
        <f>F351*VLOOKUP(D351,GWPs!$B$3:$C$6,2,FALSE)</f>
        <v>0.33600000000000002</v>
      </c>
      <c r="H351" s="3">
        <v>0</v>
      </c>
      <c r="I351" s="74">
        <f>H351*VLOOKUP(D351,GWPs!$B$3:$C$6,2,FALSE)</f>
        <v>0</v>
      </c>
      <c r="J351" s="3">
        <v>1.2999999999999999E-2</v>
      </c>
      <c r="K351" s="74">
        <f>J351*VLOOKUP(D351,GWPs!$B$3:$C$6,2,FALSE)</f>
        <v>0.36399999999999999</v>
      </c>
      <c r="M351" s="3">
        <v>4</v>
      </c>
      <c r="N351" s="3">
        <v>2</v>
      </c>
      <c r="O351" s="3">
        <v>1</v>
      </c>
      <c r="P351" s="3">
        <v>1</v>
      </c>
      <c r="Q351" s="3">
        <v>1</v>
      </c>
      <c r="T351" s="70" t="s">
        <v>496</v>
      </c>
      <c r="U351" s="70">
        <v>1.647</v>
      </c>
      <c r="X351" s="70" t="s">
        <v>924</v>
      </c>
      <c r="Y351" s="70">
        <v>8.2000000000000003E-2</v>
      </c>
      <c r="AA351" s="70" t="s">
        <v>924</v>
      </c>
      <c r="AB351" s="406">
        <v>0</v>
      </c>
    </row>
    <row r="352" spans="1:28">
      <c r="A352" t="s">
        <v>1429</v>
      </c>
      <c r="B352" s="3" t="s">
        <v>483</v>
      </c>
      <c r="C352" s="3" t="s">
        <v>484</v>
      </c>
      <c r="D352" s="3" t="s">
        <v>14</v>
      </c>
      <c r="E352" s="3" t="s">
        <v>12</v>
      </c>
      <c r="F352" s="3">
        <v>0</v>
      </c>
      <c r="G352" s="74">
        <f>F352*VLOOKUP(D352,GWPs!$B$3:$C$6,2,FALSE)</f>
        <v>0</v>
      </c>
      <c r="H352" s="3">
        <v>0</v>
      </c>
      <c r="I352" s="74">
        <f>H352*VLOOKUP(D352,GWPs!$B$3:$C$6,2,FALSE)</f>
        <v>0</v>
      </c>
      <c r="J352" s="3">
        <v>0</v>
      </c>
      <c r="K352" s="74">
        <f>J352*VLOOKUP(D352,GWPs!$B$3:$C$6,2,FALSE)</f>
        <v>0</v>
      </c>
      <c r="M352" s="3">
        <v>3</v>
      </c>
      <c r="N352" s="3">
        <v>2</v>
      </c>
      <c r="O352" s="3">
        <v>1</v>
      </c>
      <c r="P352" s="3">
        <v>3</v>
      </c>
      <c r="Q352" s="3">
        <v>1</v>
      </c>
      <c r="T352" s="70" t="s">
        <v>504</v>
      </c>
      <c r="U352" s="70">
        <v>0.74199999999999999</v>
      </c>
      <c r="X352" s="70" t="s">
        <v>694</v>
      </c>
      <c r="Y352" s="70">
        <v>0.05</v>
      </c>
      <c r="AA352" s="70" t="s">
        <v>694</v>
      </c>
      <c r="AB352" s="406">
        <v>0.189</v>
      </c>
    </row>
    <row r="353" spans="1:28">
      <c r="A353" t="s">
        <v>1429</v>
      </c>
      <c r="B353" s="3" t="s">
        <v>483</v>
      </c>
      <c r="C353" s="3" t="s">
        <v>484</v>
      </c>
      <c r="D353" s="3" t="s">
        <v>15</v>
      </c>
      <c r="E353" s="3" t="s">
        <v>16</v>
      </c>
      <c r="F353" s="3">
        <v>4.0000000000000001E-3</v>
      </c>
      <c r="G353" s="74">
        <f>F353*VLOOKUP(D353,GWPs!$B$3:$C$6,2,FALSE)</f>
        <v>4.0000000000000001E-3</v>
      </c>
      <c r="H353" s="3">
        <v>0</v>
      </c>
      <c r="I353" s="74">
        <f>H353*VLOOKUP(D353,GWPs!$B$3:$C$6,2,FALSE)</f>
        <v>0</v>
      </c>
      <c r="J353" s="3">
        <v>4.0000000000000001E-3</v>
      </c>
      <c r="K353" s="74">
        <f>J353*VLOOKUP(D353,GWPs!$B$3:$C$6,2,FALSE)</f>
        <v>4.0000000000000001E-3</v>
      </c>
      <c r="M353" s="3">
        <v>3</v>
      </c>
      <c r="N353" s="3">
        <v>2</v>
      </c>
      <c r="O353" s="3">
        <v>1</v>
      </c>
      <c r="P353" s="3">
        <v>3</v>
      </c>
      <c r="Q353" s="3">
        <v>1</v>
      </c>
      <c r="T353" s="70" t="s">
        <v>924</v>
      </c>
      <c r="U353" s="70">
        <v>8.2000000000000003E-2</v>
      </c>
      <c r="X353" s="70" t="s">
        <v>954</v>
      </c>
      <c r="Y353" s="70">
        <v>1.0999999999999999E-2</v>
      </c>
      <c r="AA353" s="70" t="s">
        <v>954</v>
      </c>
      <c r="AB353" s="406">
        <v>0</v>
      </c>
    </row>
    <row r="354" spans="1:28">
      <c r="A354" t="s">
        <v>1429</v>
      </c>
      <c r="B354" s="3" t="s">
        <v>485</v>
      </c>
      <c r="C354" s="3" t="s">
        <v>486</v>
      </c>
      <c r="D354" s="3" t="s">
        <v>11</v>
      </c>
      <c r="E354" s="3" t="s">
        <v>12</v>
      </c>
      <c r="F354" s="3">
        <v>0.98399999999999999</v>
      </c>
      <c r="G354" s="74">
        <f>F354*VLOOKUP(D354,GWPs!$B$3:$C$6,2,FALSE)</f>
        <v>0.98399999999999999</v>
      </c>
      <c r="H354" s="3">
        <v>3.3000000000000002E-2</v>
      </c>
      <c r="I354" s="74">
        <f>H354*VLOOKUP(D354,GWPs!$B$3:$C$6,2,FALSE)</f>
        <v>3.3000000000000002E-2</v>
      </c>
      <c r="J354" s="3">
        <v>1.0169999999999999</v>
      </c>
      <c r="K354" s="74">
        <f>J354*VLOOKUP(D354,GWPs!$B$3:$C$6,2,FALSE)</f>
        <v>1.0169999999999999</v>
      </c>
      <c r="M354" s="3">
        <v>4</v>
      </c>
      <c r="N354" s="3">
        <v>2</v>
      </c>
      <c r="O354" s="3">
        <v>1</v>
      </c>
      <c r="P354" s="3">
        <v>4</v>
      </c>
      <c r="Q354" s="3">
        <v>1</v>
      </c>
      <c r="T354" s="70" t="s">
        <v>694</v>
      </c>
      <c r="U354" s="70">
        <v>0.23899999999999999</v>
      </c>
      <c r="X354" s="70" t="s">
        <v>331</v>
      </c>
      <c r="Y354" s="70">
        <v>0.21099999999999999</v>
      </c>
      <c r="AA354" s="70" t="s">
        <v>331</v>
      </c>
      <c r="AB354" s="406">
        <v>9.5000000000000001E-2</v>
      </c>
    </row>
    <row r="355" spans="1:28">
      <c r="A355" t="s">
        <v>1429</v>
      </c>
      <c r="B355" s="3" t="s">
        <v>485</v>
      </c>
      <c r="C355" s="3" t="s">
        <v>486</v>
      </c>
      <c r="D355" s="3" t="s">
        <v>13</v>
      </c>
      <c r="E355" s="3" t="s">
        <v>12</v>
      </c>
      <c r="F355" s="3">
        <v>5.0000000000000001E-3</v>
      </c>
      <c r="G355" s="74">
        <f>F355*VLOOKUP(D355,GWPs!$B$3:$C$6,2,FALSE)</f>
        <v>0.14000000000000001</v>
      </c>
      <c r="H355" s="3">
        <v>0</v>
      </c>
      <c r="I355" s="74">
        <f>H355*VLOOKUP(D355,GWPs!$B$3:$C$6,2,FALSE)</f>
        <v>0</v>
      </c>
      <c r="J355" s="3">
        <v>5.0000000000000001E-3</v>
      </c>
      <c r="K355" s="74">
        <f>J355*VLOOKUP(D355,GWPs!$B$3:$C$6,2,FALSE)</f>
        <v>0.14000000000000001</v>
      </c>
      <c r="M355" s="3">
        <v>4</v>
      </c>
      <c r="N355" s="3">
        <v>2</v>
      </c>
      <c r="O355" s="3">
        <v>1</v>
      </c>
      <c r="P355" s="3">
        <v>1</v>
      </c>
      <c r="Q355" s="3">
        <v>1</v>
      </c>
      <c r="T355" s="70" t="s">
        <v>954</v>
      </c>
      <c r="U355" s="70">
        <v>1.0999999999999999E-2</v>
      </c>
      <c r="X355" s="70" t="s">
        <v>438</v>
      </c>
      <c r="Y355" s="70">
        <v>0.111</v>
      </c>
      <c r="AA355" s="70" t="s">
        <v>438</v>
      </c>
      <c r="AB355" s="406">
        <v>7.5999999999999998E-2</v>
      </c>
    </row>
    <row r="356" spans="1:28">
      <c r="A356" t="s">
        <v>1429</v>
      </c>
      <c r="B356" s="3" t="s">
        <v>485</v>
      </c>
      <c r="C356" s="3" t="s">
        <v>486</v>
      </c>
      <c r="D356" s="3" t="s">
        <v>14</v>
      </c>
      <c r="E356" s="3" t="s">
        <v>12</v>
      </c>
      <c r="F356" s="3">
        <v>0</v>
      </c>
      <c r="G356" s="74">
        <f>F356*VLOOKUP(D356,GWPs!$B$3:$C$6,2,FALSE)</f>
        <v>0</v>
      </c>
      <c r="H356" s="3">
        <v>0</v>
      </c>
      <c r="I356" s="74">
        <f>H356*VLOOKUP(D356,GWPs!$B$3:$C$6,2,FALSE)</f>
        <v>0</v>
      </c>
      <c r="J356" s="3">
        <v>0</v>
      </c>
      <c r="K356" s="74">
        <f>J356*VLOOKUP(D356,GWPs!$B$3:$C$6,2,FALSE)</f>
        <v>0</v>
      </c>
      <c r="M356" s="3">
        <v>3</v>
      </c>
      <c r="N356" s="3">
        <v>2</v>
      </c>
      <c r="O356" s="3">
        <v>1</v>
      </c>
      <c r="P356" s="3">
        <v>3</v>
      </c>
      <c r="Q356" s="3">
        <v>1</v>
      </c>
      <c r="T356" s="70" t="s">
        <v>331</v>
      </c>
      <c r="U356" s="70">
        <v>0.307</v>
      </c>
      <c r="X356" s="70" t="s">
        <v>321</v>
      </c>
      <c r="Y356" s="70">
        <v>0.83900000000000008</v>
      </c>
      <c r="AA356" s="70" t="s">
        <v>321</v>
      </c>
      <c r="AB356" s="406">
        <v>9.4E-2</v>
      </c>
    </row>
    <row r="357" spans="1:28">
      <c r="A357" t="s">
        <v>1429</v>
      </c>
      <c r="B357" s="3" t="s">
        <v>485</v>
      </c>
      <c r="C357" s="3" t="s">
        <v>486</v>
      </c>
      <c r="D357" s="3" t="s">
        <v>15</v>
      </c>
      <c r="E357" s="3" t="s">
        <v>16</v>
      </c>
      <c r="F357" s="3">
        <v>7.0000000000000001E-3</v>
      </c>
      <c r="G357" s="74">
        <f>F357*VLOOKUP(D357,GWPs!$B$3:$C$6,2,FALSE)</f>
        <v>7.0000000000000001E-3</v>
      </c>
      <c r="H357" s="3">
        <v>0</v>
      </c>
      <c r="I357" s="74">
        <f>H357*VLOOKUP(D357,GWPs!$B$3:$C$6,2,FALSE)</f>
        <v>0</v>
      </c>
      <c r="J357" s="3">
        <v>7.0000000000000001E-3</v>
      </c>
      <c r="K357" s="74">
        <f>J357*VLOOKUP(D357,GWPs!$B$3:$C$6,2,FALSE)</f>
        <v>7.0000000000000001E-3</v>
      </c>
      <c r="M357" s="3">
        <v>4</v>
      </c>
      <c r="N357" s="3">
        <v>2</v>
      </c>
      <c r="O357" s="3">
        <v>1</v>
      </c>
      <c r="P357" s="3">
        <v>4</v>
      </c>
      <c r="Q357" s="3">
        <v>1</v>
      </c>
      <c r="T357" s="70" t="s">
        <v>438</v>
      </c>
      <c r="U357" s="70">
        <v>0.215</v>
      </c>
      <c r="X357" s="70" t="s">
        <v>524</v>
      </c>
      <c r="Y357" s="70">
        <v>0.24</v>
      </c>
      <c r="AA357" s="70" t="s">
        <v>524</v>
      </c>
      <c r="AB357" s="406">
        <v>0.187</v>
      </c>
    </row>
    <row r="358" spans="1:28">
      <c r="A358" t="s">
        <v>1429</v>
      </c>
      <c r="B358" s="3" t="s">
        <v>487</v>
      </c>
      <c r="C358" s="3" t="s">
        <v>488</v>
      </c>
      <c r="D358" s="3" t="s">
        <v>11</v>
      </c>
      <c r="E358" s="3" t="s">
        <v>12</v>
      </c>
      <c r="F358" s="3">
        <v>0.68500000000000005</v>
      </c>
      <c r="G358" s="74">
        <f>F358*VLOOKUP(D358,GWPs!$B$3:$C$6,2,FALSE)</f>
        <v>0.68500000000000005</v>
      </c>
      <c r="H358" s="3">
        <v>0.03</v>
      </c>
      <c r="I358" s="74">
        <f>H358*VLOOKUP(D358,GWPs!$B$3:$C$6,2,FALSE)</f>
        <v>0.03</v>
      </c>
      <c r="J358" s="3">
        <v>0.71499999999999997</v>
      </c>
      <c r="K358" s="74">
        <f>J358*VLOOKUP(D358,GWPs!$B$3:$C$6,2,FALSE)</f>
        <v>0.71499999999999997</v>
      </c>
      <c r="M358" s="3">
        <v>4</v>
      </c>
      <c r="N358" s="3">
        <v>2</v>
      </c>
      <c r="O358" s="3">
        <v>1</v>
      </c>
      <c r="P358" s="3">
        <v>4</v>
      </c>
      <c r="Q358" s="3">
        <v>1</v>
      </c>
      <c r="T358" s="70" t="s">
        <v>321</v>
      </c>
      <c r="U358" s="70">
        <v>0.93400000000000005</v>
      </c>
      <c r="X358" s="70" t="s">
        <v>780</v>
      </c>
      <c r="Y358" s="70">
        <v>0.22800000000000001</v>
      </c>
      <c r="AA358" s="70" t="s">
        <v>780</v>
      </c>
      <c r="AB358" s="406">
        <v>2.8000000000000001E-2</v>
      </c>
    </row>
    <row r="359" spans="1:28">
      <c r="A359" t="s">
        <v>1429</v>
      </c>
      <c r="B359" s="3" t="s">
        <v>487</v>
      </c>
      <c r="C359" s="3" t="s">
        <v>488</v>
      </c>
      <c r="D359" s="3" t="s">
        <v>13</v>
      </c>
      <c r="E359" s="3" t="s">
        <v>12</v>
      </c>
      <c r="F359" s="3">
        <v>4.0000000000000001E-3</v>
      </c>
      <c r="G359" s="74">
        <f>F359*VLOOKUP(D359,GWPs!$B$3:$C$6,2,FALSE)</f>
        <v>0.112</v>
      </c>
      <c r="H359" s="3">
        <v>0</v>
      </c>
      <c r="I359" s="74">
        <f>H359*VLOOKUP(D359,GWPs!$B$3:$C$6,2,FALSE)</f>
        <v>0</v>
      </c>
      <c r="J359" s="3">
        <v>4.0000000000000001E-3</v>
      </c>
      <c r="K359" s="74">
        <f>J359*VLOOKUP(D359,GWPs!$B$3:$C$6,2,FALSE)</f>
        <v>0.112</v>
      </c>
      <c r="M359" s="3">
        <v>4</v>
      </c>
      <c r="N359" s="3">
        <v>2</v>
      </c>
      <c r="O359" s="3">
        <v>1</v>
      </c>
      <c r="P359" s="3">
        <v>1</v>
      </c>
      <c r="Q359" s="3">
        <v>1</v>
      </c>
      <c r="T359" s="70" t="s">
        <v>524</v>
      </c>
      <c r="U359" s="70">
        <v>0.42699999999999999</v>
      </c>
      <c r="X359" s="70" t="s">
        <v>372</v>
      </c>
      <c r="Y359" s="70">
        <v>0.47500000000000003</v>
      </c>
      <c r="AA359" s="70" t="s">
        <v>372</v>
      </c>
      <c r="AB359" s="406">
        <v>0</v>
      </c>
    </row>
    <row r="360" spans="1:28">
      <c r="A360" t="s">
        <v>1429</v>
      </c>
      <c r="B360" s="3" t="s">
        <v>487</v>
      </c>
      <c r="C360" s="3" t="s">
        <v>488</v>
      </c>
      <c r="D360" s="3" t="s">
        <v>14</v>
      </c>
      <c r="E360" s="3" t="s">
        <v>12</v>
      </c>
      <c r="F360" s="3">
        <v>0</v>
      </c>
      <c r="G360" s="74">
        <f>F360*VLOOKUP(D360,GWPs!$B$3:$C$6,2,FALSE)</f>
        <v>0</v>
      </c>
      <c r="H360" s="3">
        <v>0</v>
      </c>
      <c r="I360" s="74">
        <f>H360*VLOOKUP(D360,GWPs!$B$3:$C$6,2,FALSE)</f>
        <v>0</v>
      </c>
      <c r="J360" s="3">
        <v>0</v>
      </c>
      <c r="K360" s="74">
        <f>J360*VLOOKUP(D360,GWPs!$B$3:$C$6,2,FALSE)</f>
        <v>0</v>
      </c>
      <c r="M360" s="3">
        <v>3</v>
      </c>
      <c r="N360" s="3">
        <v>2</v>
      </c>
      <c r="O360" s="3">
        <v>1</v>
      </c>
      <c r="P360" s="3">
        <v>3</v>
      </c>
      <c r="Q360" s="3">
        <v>1</v>
      </c>
      <c r="T360" s="70" t="s">
        <v>780</v>
      </c>
      <c r="U360" s="70">
        <v>0.25600000000000001</v>
      </c>
      <c r="X360" s="70" t="s">
        <v>1002</v>
      </c>
      <c r="Y360" s="70">
        <v>9.2999999999999999E-2</v>
      </c>
      <c r="AA360" s="70" t="s">
        <v>1002</v>
      </c>
      <c r="AB360" s="406">
        <v>0</v>
      </c>
    </row>
    <row r="361" spans="1:28">
      <c r="A361" t="s">
        <v>1429</v>
      </c>
      <c r="B361" s="3" t="s">
        <v>487</v>
      </c>
      <c r="C361" s="3" t="s">
        <v>488</v>
      </c>
      <c r="D361" s="3" t="s">
        <v>15</v>
      </c>
      <c r="E361" s="3" t="s">
        <v>16</v>
      </c>
      <c r="F361" s="3">
        <v>4.0000000000000001E-3</v>
      </c>
      <c r="G361" s="74">
        <f>F361*VLOOKUP(D361,GWPs!$B$3:$C$6,2,FALSE)</f>
        <v>4.0000000000000001E-3</v>
      </c>
      <c r="H361" s="3">
        <v>0</v>
      </c>
      <c r="I361" s="74">
        <f>H361*VLOOKUP(D361,GWPs!$B$3:$C$6,2,FALSE)</f>
        <v>0</v>
      </c>
      <c r="J361" s="3">
        <v>4.0000000000000001E-3</v>
      </c>
      <c r="K361" s="74">
        <f>J361*VLOOKUP(D361,GWPs!$B$3:$C$6,2,FALSE)</f>
        <v>4.0000000000000001E-3</v>
      </c>
      <c r="M361" s="3">
        <v>3</v>
      </c>
      <c r="N361" s="3">
        <v>2</v>
      </c>
      <c r="O361" s="3">
        <v>1</v>
      </c>
      <c r="P361" s="3">
        <v>3</v>
      </c>
      <c r="Q361" s="3">
        <v>1</v>
      </c>
      <c r="T361" s="70" t="s">
        <v>372</v>
      </c>
      <c r="U361" s="70">
        <v>0.47500000000000003</v>
      </c>
      <c r="X361" s="70" t="s">
        <v>774</v>
      </c>
      <c r="Y361" s="70">
        <v>0.44399999999999995</v>
      </c>
      <c r="AA361" s="70" t="s">
        <v>774</v>
      </c>
      <c r="AB361" s="406">
        <v>6.3E-2</v>
      </c>
    </row>
    <row r="362" spans="1:28">
      <c r="A362" t="s">
        <v>1429</v>
      </c>
      <c r="B362" s="3" t="s">
        <v>489</v>
      </c>
      <c r="C362" s="3" t="s">
        <v>490</v>
      </c>
      <c r="D362" s="3" t="s">
        <v>11</v>
      </c>
      <c r="E362" s="3" t="s">
        <v>12</v>
      </c>
      <c r="F362" s="3">
        <v>0.66100000000000003</v>
      </c>
      <c r="G362" s="74">
        <f>F362*VLOOKUP(D362,GWPs!$B$3:$C$6,2,FALSE)</f>
        <v>0.66100000000000003</v>
      </c>
      <c r="H362" s="3">
        <v>6.7000000000000004E-2</v>
      </c>
      <c r="I362" s="74">
        <f>H362*VLOOKUP(D362,GWPs!$B$3:$C$6,2,FALSE)</f>
        <v>6.7000000000000004E-2</v>
      </c>
      <c r="J362" s="3">
        <v>0.72799999999999998</v>
      </c>
      <c r="K362" s="74">
        <f>J362*VLOOKUP(D362,GWPs!$B$3:$C$6,2,FALSE)</f>
        <v>0.72799999999999998</v>
      </c>
      <c r="M362" s="3">
        <v>4</v>
      </c>
      <c r="N362" s="3">
        <v>2</v>
      </c>
      <c r="O362" s="3">
        <v>1</v>
      </c>
      <c r="P362" s="3">
        <v>4</v>
      </c>
      <c r="Q362" s="3">
        <v>1</v>
      </c>
      <c r="T362" s="70" t="s">
        <v>1002</v>
      </c>
      <c r="U362" s="70">
        <v>9.2999999999999999E-2</v>
      </c>
      <c r="X362" s="70" t="s">
        <v>770</v>
      </c>
      <c r="Y362" s="70">
        <v>0.23899999999999999</v>
      </c>
      <c r="AA362" s="70" t="s">
        <v>770</v>
      </c>
      <c r="AB362" s="406">
        <v>2.7E-2</v>
      </c>
    </row>
    <row r="363" spans="1:28">
      <c r="A363" t="s">
        <v>1429</v>
      </c>
      <c r="B363" s="3" t="s">
        <v>489</v>
      </c>
      <c r="C363" s="3" t="s">
        <v>490</v>
      </c>
      <c r="D363" s="3" t="s">
        <v>13</v>
      </c>
      <c r="E363" s="3" t="s">
        <v>12</v>
      </c>
      <c r="F363" s="3">
        <v>8.0000000000000002E-3</v>
      </c>
      <c r="G363" s="74">
        <f>F363*VLOOKUP(D363,GWPs!$B$3:$C$6,2,FALSE)</f>
        <v>0.224</v>
      </c>
      <c r="H363" s="3">
        <v>1E-3</v>
      </c>
      <c r="I363" s="74">
        <f>H363*VLOOKUP(D363,GWPs!$B$3:$C$6,2,FALSE)</f>
        <v>2.8000000000000001E-2</v>
      </c>
      <c r="J363" s="3">
        <v>8.9999999999999993E-3</v>
      </c>
      <c r="K363" s="74">
        <f>J363*VLOOKUP(D363,GWPs!$B$3:$C$6,2,FALSE)</f>
        <v>0.252</v>
      </c>
      <c r="M363" s="3">
        <v>4</v>
      </c>
      <c r="N363" s="3">
        <v>2</v>
      </c>
      <c r="O363" s="3">
        <v>1</v>
      </c>
      <c r="P363" s="3">
        <v>1</v>
      </c>
      <c r="Q363" s="3">
        <v>1</v>
      </c>
      <c r="T363" s="70" t="s">
        <v>774</v>
      </c>
      <c r="U363" s="70">
        <v>0.50700000000000001</v>
      </c>
      <c r="X363" s="70" t="s">
        <v>890</v>
      </c>
      <c r="Y363" s="70">
        <v>1.446</v>
      </c>
      <c r="AA363" s="70" t="s">
        <v>890</v>
      </c>
      <c r="AB363" s="406">
        <v>0</v>
      </c>
    </row>
    <row r="364" spans="1:28">
      <c r="A364" t="s">
        <v>1429</v>
      </c>
      <c r="B364" s="3" t="s">
        <v>489</v>
      </c>
      <c r="C364" s="3" t="s">
        <v>490</v>
      </c>
      <c r="D364" s="3" t="s">
        <v>14</v>
      </c>
      <c r="E364" s="3" t="s">
        <v>12</v>
      </c>
      <c r="F364" s="3">
        <v>0</v>
      </c>
      <c r="G364" s="74">
        <f>F364*VLOOKUP(D364,GWPs!$B$3:$C$6,2,FALSE)</f>
        <v>0</v>
      </c>
      <c r="H364" s="3">
        <v>0</v>
      </c>
      <c r="I364" s="74">
        <f>H364*VLOOKUP(D364,GWPs!$B$3:$C$6,2,FALSE)</f>
        <v>0</v>
      </c>
      <c r="J364" s="3">
        <v>0</v>
      </c>
      <c r="K364" s="74">
        <f>J364*VLOOKUP(D364,GWPs!$B$3:$C$6,2,FALSE)</f>
        <v>0</v>
      </c>
      <c r="M364" s="3">
        <v>4</v>
      </c>
      <c r="N364" s="3">
        <v>2</v>
      </c>
      <c r="O364" s="3">
        <v>1</v>
      </c>
      <c r="P364" s="3">
        <v>3</v>
      </c>
      <c r="Q364" s="3">
        <v>1</v>
      </c>
      <c r="T364" s="70" t="s">
        <v>770</v>
      </c>
      <c r="U364" s="70">
        <v>0.26500000000000001</v>
      </c>
      <c r="X364" s="70" t="s">
        <v>664</v>
      </c>
      <c r="Y364" s="70">
        <v>0.26</v>
      </c>
      <c r="AA364" s="70" t="s">
        <v>664</v>
      </c>
      <c r="AB364" s="406">
        <v>4.4999999999999998E-2</v>
      </c>
    </row>
    <row r="365" spans="1:28">
      <c r="A365" t="s">
        <v>1429</v>
      </c>
      <c r="B365" s="3" t="s">
        <v>489</v>
      </c>
      <c r="C365" s="3" t="s">
        <v>490</v>
      </c>
      <c r="D365" s="3" t="s">
        <v>15</v>
      </c>
      <c r="E365" s="3" t="s">
        <v>16</v>
      </c>
      <c r="F365" s="3">
        <v>5.0000000000000001E-3</v>
      </c>
      <c r="G365" s="74">
        <f>F365*VLOOKUP(D365,GWPs!$B$3:$C$6,2,FALSE)</f>
        <v>5.0000000000000001E-3</v>
      </c>
      <c r="H365" s="3">
        <v>0</v>
      </c>
      <c r="I365" s="74">
        <f>H365*VLOOKUP(D365,GWPs!$B$3:$C$6,2,FALSE)</f>
        <v>0</v>
      </c>
      <c r="J365" s="3">
        <v>5.0000000000000001E-3</v>
      </c>
      <c r="K365" s="74">
        <f>J365*VLOOKUP(D365,GWPs!$B$3:$C$6,2,FALSE)</f>
        <v>5.0000000000000001E-3</v>
      </c>
      <c r="M365" s="3">
        <v>3</v>
      </c>
      <c r="N365" s="3">
        <v>2</v>
      </c>
      <c r="O365" s="3">
        <v>1</v>
      </c>
      <c r="P365" s="3">
        <v>4</v>
      </c>
      <c r="Q365" s="3">
        <v>1</v>
      </c>
      <c r="T365" s="70" t="s">
        <v>890</v>
      </c>
      <c r="U365" s="70">
        <v>1.446</v>
      </c>
      <c r="X365" s="70" t="s">
        <v>337</v>
      </c>
      <c r="Y365" s="70">
        <v>0.74099999999999999</v>
      </c>
      <c r="AA365" s="70" t="s">
        <v>337</v>
      </c>
      <c r="AB365" s="406">
        <v>0.10299999999999999</v>
      </c>
    </row>
    <row r="366" spans="1:28">
      <c r="A366" t="s">
        <v>1429</v>
      </c>
      <c r="B366" s="3" t="s">
        <v>491</v>
      </c>
      <c r="C366" s="3" t="s">
        <v>492</v>
      </c>
      <c r="D366" s="3" t="s">
        <v>11</v>
      </c>
      <c r="E366" s="3" t="s">
        <v>12</v>
      </c>
      <c r="F366" s="3">
        <v>0.63400000000000001</v>
      </c>
      <c r="G366" s="74">
        <f>F366*VLOOKUP(D366,GWPs!$B$3:$C$6,2,FALSE)</f>
        <v>0.63400000000000001</v>
      </c>
      <c r="H366" s="3">
        <v>2.5999999999999999E-2</v>
      </c>
      <c r="I366" s="74">
        <f>H366*VLOOKUP(D366,GWPs!$B$3:$C$6,2,FALSE)</f>
        <v>2.5999999999999999E-2</v>
      </c>
      <c r="J366" s="3">
        <v>0.66100000000000003</v>
      </c>
      <c r="K366" s="74">
        <f>J366*VLOOKUP(D366,GWPs!$B$3:$C$6,2,FALSE)</f>
        <v>0.66100000000000003</v>
      </c>
      <c r="M366" s="3">
        <v>4</v>
      </c>
      <c r="N366" s="3">
        <v>2</v>
      </c>
      <c r="O366" s="3">
        <v>1</v>
      </c>
      <c r="P366" s="3">
        <v>4</v>
      </c>
      <c r="Q366" s="3">
        <v>1</v>
      </c>
      <c r="T366" s="70" t="s">
        <v>664</v>
      </c>
      <c r="U366" s="70">
        <v>0.30500000000000005</v>
      </c>
      <c r="X366" s="70" t="s">
        <v>538</v>
      </c>
      <c r="Y366" s="70">
        <v>0.28500000000000003</v>
      </c>
      <c r="AA366" s="70" t="s">
        <v>538</v>
      </c>
      <c r="AB366" s="406">
        <v>2.5999999999999999E-2</v>
      </c>
    </row>
    <row r="367" spans="1:28">
      <c r="A367" t="s">
        <v>1429</v>
      </c>
      <c r="B367" s="3" t="s">
        <v>491</v>
      </c>
      <c r="C367" s="3" t="s">
        <v>492</v>
      </c>
      <c r="D367" s="3" t="s">
        <v>13</v>
      </c>
      <c r="E367" s="3" t="s">
        <v>12</v>
      </c>
      <c r="F367" s="3">
        <v>7.0000000000000001E-3</v>
      </c>
      <c r="G367" s="74">
        <f>F367*VLOOKUP(D367,GWPs!$B$3:$C$6,2,FALSE)</f>
        <v>0.19600000000000001</v>
      </c>
      <c r="H367" s="3">
        <v>0</v>
      </c>
      <c r="I367" s="74">
        <f>H367*VLOOKUP(D367,GWPs!$B$3:$C$6,2,FALSE)</f>
        <v>0</v>
      </c>
      <c r="J367" s="3">
        <v>7.0000000000000001E-3</v>
      </c>
      <c r="K367" s="74">
        <f>J367*VLOOKUP(D367,GWPs!$B$3:$C$6,2,FALSE)</f>
        <v>0.19600000000000001</v>
      </c>
      <c r="M367" s="3">
        <v>4</v>
      </c>
      <c r="N367" s="3">
        <v>2</v>
      </c>
      <c r="O367" s="3">
        <v>1</v>
      </c>
      <c r="P367" s="3">
        <v>1</v>
      </c>
      <c r="Q367" s="3">
        <v>1</v>
      </c>
      <c r="T367" s="70" t="s">
        <v>337</v>
      </c>
      <c r="U367" s="70">
        <v>0.84299999999999997</v>
      </c>
      <c r="X367" s="70" t="s">
        <v>516</v>
      </c>
      <c r="Y367" s="70">
        <v>4.3000000000000003E-2</v>
      </c>
      <c r="AA367" s="70" t="s">
        <v>516</v>
      </c>
      <c r="AB367" s="406">
        <v>4.9000000000000002E-2</v>
      </c>
    </row>
    <row r="368" spans="1:28">
      <c r="A368" t="s">
        <v>1429</v>
      </c>
      <c r="B368" s="3" t="s">
        <v>491</v>
      </c>
      <c r="C368" s="3" t="s">
        <v>492</v>
      </c>
      <c r="D368" s="3" t="s">
        <v>14</v>
      </c>
      <c r="E368" s="3" t="s">
        <v>12</v>
      </c>
      <c r="F368" s="3">
        <v>0</v>
      </c>
      <c r="G368" s="74">
        <f>F368*VLOOKUP(D368,GWPs!$B$3:$C$6,2,FALSE)</f>
        <v>0</v>
      </c>
      <c r="H368" s="3">
        <v>0</v>
      </c>
      <c r="I368" s="74">
        <f>H368*VLOOKUP(D368,GWPs!$B$3:$C$6,2,FALSE)</f>
        <v>0</v>
      </c>
      <c r="J368" s="3">
        <v>0</v>
      </c>
      <c r="K368" s="74">
        <f>J368*VLOOKUP(D368,GWPs!$B$3:$C$6,2,FALSE)</f>
        <v>0</v>
      </c>
      <c r="M368" s="3">
        <v>3</v>
      </c>
      <c r="N368" s="3">
        <v>2</v>
      </c>
      <c r="O368" s="3">
        <v>1</v>
      </c>
      <c r="P368" s="3">
        <v>3</v>
      </c>
      <c r="Q368" s="3">
        <v>1</v>
      </c>
      <c r="T368" s="70" t="s">
        <v>538</v>
      </c>
      <c r="U368" s="70">
        <v>0.311</v>
      </c>
      <c r="X368" s="70" t="s">
        <v>622</v>
      </c>
      <c r="Y368" s="70">
        <v>0.20500000000000002</v>
      </c>
      <c r="AA368" s="70" t="s">
        <v>622</v>
      </c>
      <c r="AB368" s="406">
        <v>4.8000000000000001E-2</v>
      </c>
    </row>
    <row r="369" spans="1:28">
      <c r="A369" t="s">
        <v>1429</v>
      </c>
      <c r="B369" s="3" t="s">
        <v>491</v>
      </c>
      <c r="C369" s="3" t="s">
        <v>492</v>
      </c>
      <c r="D369" s="3" t="s">
        <v>15</v>
      </c>
      <c r="E369" s="3" t="s">
        <v>16</v>
      </c>
      <c r="F369" s="3">
        <v>4.0000000000000001E-3</v>
      </c>
      <c r="G369" s="74">
        <f>F369*VLOOKUP(D369,GWPs!$B$3:$C$6,2,FALSE)</f>
        <v>4.0000000000000001E-3</v>
      </c>
      <c r="H369" s="3">
        <v>0</v>
      </c>
      <c r="I369" s="74">
        <f>H369*VLOOKUP(D369,GWPs!$B$3:$C$6,2,FALSE)</f>
        <v>0</v>
      </c>
      <c r="J369" s="3">
        <v>4.0000000000000001E-3</v>
      </c>
      <c r="K369" s="74">
        <f>J369*VLOOKUP(D369,GWPs!$B$3:$C$6,2,FALSE)</f>
        <v>4.0000000000000001E-3</v>
      </c>
      <c r="M369" s="3">
        <v>3</v>
      </c>
      <c r="N369" s="3">
        <v>2</v>
      </c>
      <c r="O369" s="3">
        <v>1</v>
      </c>
      <c r="P369" s="3">
        <v>3</v>
      </c>
      <c r="Q369" s="3">
        <v>1</v>
      </c>
      <c r="T369" s="70" t="s">
        <v>516</v>
      </c>
      <c r="U369" s="70">
        <v>9.1999999999999998E-2</v>
      </c>
      <c r="X369" s="70" t="s">
        <v>768</v>
      </c>
      <c r="Y369" s="70">
        <v>0.28600000000000003</v>
      </c>
      <c r="AA369" s="70" t="s">
        <v>768</v>
      </c>
      <c r="AB369" s="406">
        <v>4.9000000000000002E-2</v>
      </c>
    </row>
    <row r="370" spans="1:28">
      <c r="A370" t="s">
        <v>1430</v>
      </c>
      <c r="B370" s="3" t="s">
        <v>493</v>
      </c>
      <c r="C370" s="3" t="s">
        <v>494</v>
      </c>
      <c r="D370" s="3" t="s">
        <v>11</v>
      </c>
      <c r="E370" s="3" t="s">
        <v>12</v>
      </c>
      <c r="F370" s="3">
        <v>1.2889999999999999</v>
      </c>
      <c r="G370" s="74">
        <f>F370*VLOOKUP(D370,GWPs!$B$3:$C$6,2,FALSE)</f>
        <v>1.2889999999999999</v>
      </c>
      <c r="H370" s="3">
        <v>0.115</v>
      </c>
      <c r="I370" s="74">
        <f>H370*VLOOKUP(D370,GWPs!$B$3:$C$6,2,FALSE)</f>
        <v>0.115</v>
      </c>
      <c r="J370" s="3">
        <v>1.403</v>
      </c>
      <c r="K370" s="74">
        <f>J370*VLOOKUP(D370,GWPs!$B$3:$C$6,2,FALSE)</f>
        <v>1.403</v>
      </c>
      <c r="M370" s="3">
        <v>3</v>
      </c>
      <c r="N370" s="3">
        <v>2</v>
      </c>
      <c r="O370" s="3">
        <v>1</v>
      </c>
      <c r="P370" s="3">
        <v>3</v>
      </c>
      <c r="Q370" s="3">
        <v>1</v>
      </c>
      <c r="T370" s="70" t="s">
        <v>622</v>
      </c>
      <c r="U370" s="70">
        <v>0.253</v>
      </c>
      <c r="X370" s="70" t="s">
        <v>778</v>
      </c>
      <c r="Y370" s="70">
        <v>0.32800000000000001</v>
      </c>
      <c r="AA370" s="70" t="s">
        <v>778</v>
      </c>
      <c r="AB370" s="406">
        <v>8.8999999999999996E-2</v>
      </c>
    </row>
    <row r="371" spans="1:28">
      <c r="A371" t="s">
        <v>1430</v>
      </c>
      <c r="B371" s="3" t="s">
        <v>493</v>
      </c>
      <c r="C371" s="3" t="s">
        <v>494</v>
      </c>
      <c r="D371" s="3" t="s">
        <v>13</v>
      </c>
      <c r="E371" s="3" t="s">
        <v>12</v>
      </c>
      <c r="F371" s="3">
        <v>4.0000000000000001E-3</v>
      </c>
      <c r="G371" s="74">
        <f>F371*VLOOKUP(D371,GWPs!$B$3:$C$6,2,FALSE)</f>
        <v>0.112</v>
      </c>
      <c r="H371" s="3">
        <v>1E-3</v>
      </c>
      <c r="I371" s="74">
        <f>H371*VLOOKUP(D371,GWPs!$B$3:$C$6,2,FALSE)</f>
        <v>2.8000000000000001E-2</v>
      </c>
      <c r="J371" s="3">
        <v>5.0000000000000001E-3</v>
      </c>
      <c r="K371" s="74">
        <f>J371*VLOOKUP(D371,GWPs!$B$3:$C$6,2,FALSE)</f>
        <v>0.14000000000000001</v>
      </c>
      <c r="M371" s="3">
        <v>4</v>
      </c>
      <c r="N371" s="3">
        <v>2</v>
      </c>
      <c r="O371" s="3">
        <v>1</v>
      </c>
      <c r="P371" s="3">
        <v>1</v>
      </c>
      <c r="Q371" s="3">
        <v>1</v>
      </c>
      <c r="T371" s="70" t="s">
        <v>768</v>
      </c>
      <c r="U371" s="70">
        <v>0.33500000000000002</v>
      </c>
      <c r="X371" s="70" t="s">
        <v>776</v>
      </c>
      <c r="Y371" s="70">
        <v>0.32100000000000001</v>
      </c>
      <c r="AA371" s="70" t="s">
        <v>776</v>
      </c>
      <c r="AB371" s="406">
        <v>5.2999999999999999E-2</v>
      </c>
    </row>
    <row r="372" spans="1:28">
      <c r="A372" t="s">
        <v>1430</v>
      </c>
      <c r="B372" s="3" t="s">
        <v>493</v>
      </c>
      <c r="C372" s="3" t="s">
        <v>494</v>
      </c>
      <c r="D372" s="3" t="s">
        <v>14</v>
      </c>
      <c r="E372" s="3" t="s">
        <v>12</v>
      </c>
      <c r="F372" s="3">
        <v>0</v>
      </c>
      <c r="G372" s="74">
        <f>F372*VLOOKUP(D372,GWPs!$B$3:$C$6,2,FALSE)</f>
        <v>0</v>
      </c>
      <c r="H372" s="3">
        <v>0</v>
      </c>
      <c r="I372" s="74">
        <f>H372*VLOOKUP(D372,GWPs!$B$3:$C$6,2,FALSE)</f>
        <v>0</v>
      </c>
      <c r="J372" s="3">
        <v>0</v>
      </c>
      <c r="K372" s="74">
        <f>J372*VLOOKUP(D372,GWPs!$B$3:$C$6,2,FALSE)</f>
        <v>0</v>
      </c>
      <c r="M372" s="3">
        <v>3</v>
      </c>
      <c r="N372" s="3">
        <v>2</v>
      </c>
      <c r="O372" s="3">
        <v>1</v>
      </c>
      <c r="P372" s="3">
        <v>3</v>
      </c>
      <c r="Q372" s="3">
        <v>1</v>
      </c>
      <c r="T372" s="70" t="s">
        <v>778</v>
      </c>
      <c r="U372" s="70">
        <v>0.41700000000000004</v>
      </c>
      <c r="X372" s="70" t="s">
        <v>784</v>
      </c>
      <c r="Y372" s="70">
        <v>0.45800000000000002</v>
      </c>
      <c r="AA372" s="70" t="s">
        <v>784</v>
      </c>
      <c r="AB372" s="406">
        <v>1.7000000000000001E-2</v>
      </c>
    </row>
    <row r="373" spans="1:28">
      <c r="A373" t="s">
        <v>1430</v>
      </c>
      <c r="B373" s="3" t="s">
        <v>493</v>
      </c>
      <c r="C373" s="3" t="s">
        <v>494</v>
      </c>
      <c r="D373" s="3" t="s">
        <v>15</v>
      </c>
      <c r="E373" s="3" t="s">
        <v>16</v>
      </c>
      <c r="F373" s="3">
        <v>0.29899999999999999</v>
      </c>
      <c r="G373" s="74">
        <f>F373*VLOOKUP(D373,GWPs!$B$3:$C$6,2,FALSE)</f>
        <v>0.29899999999999999</v>
      </c>
      <c r="H373" s="3">
        <v>0</v>
      </c>
      <c r="I373" s="74">
        <f>H373*VLOOKUP(D373,GWPs!$B$3:$C$6,2,FALSE)</f>
        <v>0</v>
      </c>
      <c r="J373" s="3">
        <v>0.29899999999999999</v>
      </c>
      <c r="K373" s="74">
        <f>J373*VLOOKUP(D373,GWPs!$B$3:$C$6,2,FALSE)</f>
        <v>0.29899999999999999</v>
      </c>
      <c r="M373" s="3">
        <v>2</v>
      </c>
      <c r="N373" s="3">
        <v>2</v>
      </c>
      <c r="O373" s="3">
        <v>1</v>
      </c>
      <c r="P373" s="3">
        <v>1</v>
      </c>
      <c r="Q373" s="3">
        <v>1</v>
      </c>
      <c r="T373" s="70" t="s">
        <v>776</v>
      </c>
      <c r="U373" s="70">
        <v>0.37500000000000006</v>
      </c>
      <c r="X373" s="70" t="s">
        <v>957</v>
      </c>
      <c r="Y373" s="70">
        <v>0.17099999999999999</v>
      </c>
      <c r="AA373" s="70" t="s">
        <v>957</v>
      </c>
      <c r="AB373" s="406">
        <v>0</v>
      </c>
    </row>
    <row r="374" spans="1:28">
      <c r="A374" t="s">
        <v>1429</v>
      </c>
      <c r="B374" s="3" t="s">
        <v>495</v>
      </c>
      <c r="C374" s="3" t="s">
        <v>496</v>
      </c>
      <c r="D374" s="3" t="s">
        <v>11</v>
      </c>
      <c r="E374" s="3" t="s">
        <v>12</v>
      </c>
      <c r="F374" s="3">
        <v>1.494</v>
      </c>
      <c r="G374" s="74">
        <f>F374*VLOOKUP(D374,GWPs!$B$3:$C$6,2,FALSE)</f>
        <v>1.494</v>
      </c>
      <c r="H374" s="3">
        <v>6.2E-2</v>
      </c>
      <c r="I374" s="74">
        <f>H374*VLOOKUP(D374,GWPs!$B$3:$C$6,2,FALSE)</f>
        <v>6.2E-2</v>
      </c>
      <c r="J374" s="3">
        <v>1.5569999999999999</v>
      </c>
      <c r="K374" s="74">
        <f>J374*VLOOKUP(D374,GWPs!$B$3:$C$6,2,FALSE)</f>
        <v>1.5569999999999999</v>
      </c>
      <c r="M374" s="3">
        <v>4</v>
      </c>
      <c r="N374" s="3">
        <v>2</v>
      </c>
      <c r="O374" s="3">
        <v>1</v>
      </c>
      <c r="P374" s="3">
        <v>4</v>
      </c>
      <c r="Q374" s="3">
        <v>1</v>
      </c>
      <c r="T374" s="70" t="s">
        <v>784</v>
      </c>
      <c r="U374" s="70">
        <v>0.47499999999999998</v>
      </c>
      <c r="X374" s="70" t="s">
        <v>1067</v>
      </c>
      <c r="Y374" s="70">
        <v>0.16400000000000001</v>
      </c>
      <c r="AA374" s="70" t="s">
        <v>1067</v>
      </c>
      <c r="AB374" s="406">
        <v>0</v>
      </c>
    </row>
    <row r="375" spans="1:28">
      <c r="A375" t="s">
        <v>1429</v>
      </c>
      <c r="B375" s="3" t="s">
        <v>495</v>
      </c>
      <c r="C375" s="3" t="s">
        <v>496</v>
      </c>
      <c r="D375" s="3" t="s">
        <v>13</v>
      </c>
      <c r="E375" s="3" t="s">
        <v>12</v>
      </c>
      <c r="F375" s="3">
        <v>3.0000000000000001E-3</v>
      </c>
      <c r="G375" s="74">
        <f>F375*VLOOKUP(D375,GWPs!$B$3:$C$6,2,FALSE)</f>
        <v>8.4000000000000005E-2</v>
      </c>
      <c r="H375" s="3">
        <v>1E-3</v>
      </c>
      <c r="I375" s="74">
        <f>H375*VLOOKUP(D375,GWPs!$B$3:$C$6,2,FALSE)</f>
        <v>2.8000000000000001E-2</v>
      </c>
      <c r="J375" s="3">
        <v>3.0000000000000001E-3</v>
      </c>
      <c r="K375" s="74">
        <f>J375*VLOOKUP(D375,GWPs!$B$3:$C$6,2,FALSE)</f>
        <v>8.4000000000000005E-2</v>
      </c>
      <c r="M375" s="3">
        <v>4</v>
      </c>
      <c r="N375" s="3">
        <v>2</v>
      </c>
      <c r="O375" s="3">
        <v>1</v>
      </c>
      <c r="P375" s="3">
        <v>1</v>
      </c>
      <c r="Q375" s="3">
        <v>1</v>
      </c>
      <c r="T375" s="70" t="s">
        <v>957</v>
      </c>
      <c r="U375" s="70">
        <v>0.17099999999999999</v>
      </c>
      <c r="X375" s="70" t="s">
        <v>782</v>
      </c>
      <c r="Y375" s="70">
        <v>0.30000000000000004</v>
      </c>
      <c r="AA375" s="70" t="s">
        <v>782</v>
      </c>
      <c r="AB375" s="406">
        <v>0.02</v>
      </c>
    </row>
    <row r="376" spans="1:28">
      <c r="A376" t="s">
        <v>1429</v>
      </c>
      <c r="B376" s="3" t="s">
        <v>495</v>
      </c>
      <c r="C376" s="3" t="s">
        <v>496</v>
      </c>
      <c r="D376" s="3" t="s">
        <v>14</v>
      </c>
      <c r="E376" s="3" t="s">
        <v>12</v>
      </c>
      <c r="F376" s="3">
        <v>0</v>
      </c>
      <c r="G376" s="74">
        <f>F376*VLOOKUP(D376,GWPs!$B$3:$C$6,2,FALSE)</f>
        <v>0</v>
      </c>
      <c r="H376" s="3">
        <v>0</v>
      </c>
      <c r="I376" s="74">
        <f>H376*VLOOKUP(D376,GWPs!$B$3:$C$6,2,FALSE)</f>
        <v>0</v>
      </c>
      <c r="J376" s="3">
        <v>0</v>
      </c>
      <c r="K376" s="74">
        <f>J376*VLOOKUP(D376,GWPs!$B$3:$C$6,2,FALSE)</f>
        <v>0</v>
      </c>
      <c r="M376" s="3">
        <v>3</v>
      </c>
      <c r="N376" s="3">
        <v>2</v>
      </c>
      <c r="O376" s="3">
        <v>1</v>
      </c>
      <c r="P376" s="3">
        <v>3</v>
      </c>
      <c r="Q376" s="3">
        <v>1</v>
      </c>
      <c r="T376" s="70" t="s">
        <v>1067</v>
      </c>
      <c r="U376" s="70">
        <v>0.16400000000000001</v>
      </c>
      <c r="X376" s="70" t="s">
        <v>870</v>
      </c>
      <c r="Y376" s="70">
        <v>0.14700000000000002</v>
      </c>
      <c r="AA376" s="70" t="s">
        <v>870</v>
      </c>
      <c r="AB376" s="406">
        <v>0</v>
      </c>
    </row>
    <row r="377" spans="1:28">
      <c r="A377" t="s">
        <v>1429</v>
      </c>
      <c r="B377" s="3" t="s">
        <v>495</v>
      </c>
      <c r="C377" s="3" t="s">
        <v>496</v>
      </c>
      <c r="D377" s="3" t="s">
        <v>15</v>
      </c>
      <c r="E377" s="3" t="s">
        <v>16</v>
      </c>
      <c r="F377" s="3">
        <v>6.0000000000000001E-3</v>
      </c>
      <c r="G377" s="74">
        <f>F377*VLOOKUP(D377,GWPs!$B$3:$C$6,2,FALSE)</f>
        <v>6.0000000000000001E-3</v>
      </c>
      <c r="H377" s="3">
        <v>0</v>
      </c>
      <c r="I377" s="74">
        <f>H377*VLOOKUP(D377,GWPs!$B$3:$C$6,2,FALSE)</f>
        <v>0</v>
      </c>
      <c r="J377" s="3">
        <v>6.0000000000000001E-3</v>
      </c>
      <c r="K377" s="74">
        <f>J377*VLOOKUP(D377,GWPs!$B$3:$C$6,2,FALSE)</f>
        <v>6.0000000000000001E-3</v>
      </c>
      <c r="M377" s="3">
        <v>3</v>
      </c>
      <c r="N377" s="3">
        <v>2</v>
      </c>
      <c r="O377" s="3">
        <v>1</v>
      </c>
      <c r="P377" s="3">
        <v>3</v>
      </c>
      <c r="Q377" s="3">
        <v>1</v>
      </c>
      <c r="T377" s="70" t="s">
        <v>782</v>
      </c>
      <c r="U377" s="70">
        <v>0.32000000000000006</v>
      </c>
      <c r="X377" s="70" t="s">
        <v>462</v>
      </c>
      <c r="Y377" s="70">
        <v>0.28100000000000003</v>
      </c>
      <c r="AA377" s="70" t="s">
        <v>462</v>
      </c>
      <c r="AB377" s="406">
        <v>0.104</v>
      </c>
    </row>
    <row r="378" spans="1:28">
      <c r="A378" t="s">
        <v>1430</v>
      </c>
      <c r="B378" s="3" t="s">
        <v>497</v>
      </c>
      <c r="C378" s="3" t="s">
        <v>498</v>
      </c>
      <c r="D378" s="3" t="s">
        <v>11</v>
      </c>
      <c r="E378" s="3" t="s">
        <v>12</v>
      </c>
      <c r="F378" s="3">
        <v>0.67100000000000004</v>
      </c>
      <c r="G378" s="74">
        <f>F378*VLOOKUP(D378,GWPs!$B$3:$C$6,2,FALSE)</f>
        <v>0.67100000000000004</v>
      </c>
      <c r="H378" s="3">
        <v>7.5999999999999998E-2</v>
      </c>
      <c r="I378" s="74">
        <f>H378*VLOOKUP(D378,GWPs!$B$3:$C$6,2,FALSE)</f>
        <v>7.5999999999999998E-2</v>
      </c>
      <c r="J378" s="3">
        <v>0.748</v>
      </c>
      <c r="K378" s="74">
        <f>J378*VLOOKUP(D378,GWPs!$B$3:$C$6,2,FALSE)</f>
        <v>0.748</v>
      </c>
      <c r="M378" s="3">
        <v>3</v>
      </c>
      <c r="N378" s="3">
        <v>2</v>
      </c>
      <c r="O378" s="3">
        <v>1</v>
      </c>
      <c r="P378" s="3">
        <v>3</v>
      </c>
      <c r="Q378" s="3">
        <v>1</v>
      </c>
      <c r="T378" s="70" t="s">
        <v>870</v>
      </c>
      <c r="U378" s="70">
        <v>0.14700000000000002</v>
      </c>
      <c r="X378" s="70" t="s">
        <v>988</v>
      </c>
      <c r="Y378" s="70">
        <v>0.128</v>
      </c>
      <c r="AA378" s="70" t="s">
        <v>988</v>
      </c>
      <c r="AB378" s="406">
        <v>0</v>
      </c>
    </row>
    <row r="379" spans="1:28">
      <c r="A379" t="s">
        <v>1430</v>
      </c>
      <c r="B379" s="3" t="s">
        <v>497</v>
      </c>
      <c r="C379" s="3" t="s">
        <v>498</v>
      </c>
      <c r="D379" s="3" t="s">
        <v>13</v>
      </c>
      <c r="E379" s="3" t="s">
        <v>12</v>
      </c>
      <c r="F379" s="3">
        <v>3.0000000000000001E-3</v>
      </c>
      <c r="G379" s="74">
        <f>F379*VLOOKUP(D379,GWPs!$B$3:$C$6,2,FALSE)</f>
        <v>8.4000000000000005E-2</v>
      </c>
      <c r="H379" s="3">
        <v>1E-3</v>
      </c>
      <c r="I379" s="74">
        <f>H379*VLOOKUP(D379,GWPs!$B$3:$C$6,2,FALSE)</f>
        <v>2.8000000000000001E-2</v>
      </c>
      <c r="J379" s="3">
        <v>3.0000000000000001E-3</v>
      </c>
      <c r="K379" s="74">
        <f>J379*VLOOKUP(D379,GWPs!$B$3:$C$6,2,FALSE)</f>
        <v>8.4000000000000005E-2</v>
      </c>
      <c r="M379" s="3">
        <v>4</v>
      </c>
      <c r="N379" s="3">
        <v>2</v>
      </c>
      <c r="O379" s="3">
        <v>1</v>
      </c>
      <c r="P379" s="3">
        <v>1</v>
      </c>
      <c r="Q379" s="3">
        <v>1</v>
      </c>
      <c r="T379" s="70" t="s">
        <v>462</v>
      </c>
      <c r="U379" s="70">
        <v>0.35700000000000004</v>
      </c>
      <c r="X379" s="70" t="s">
        <v>902</v>
      </c>
      <c r="Y379" s="70">
        <v>0.64300000000000002</v>
      </c>
      <c r="AA379" s="70" t="s">
        <v>902</v>
      </c>
      <c r="AB379" s="406">
        <v>0</v>
      </c>
    </row>
    <row r="380" spans="1:28">
      <c r="A380" t="s">
        <v>1430</v>
      </c>
      <c r="B380" s="3" t="s">
        <v>497</v>
      </c>
      <c r="C380" s="3" t="s">
        <v>498</v>
      </c>
      <c r="D380" s="3" t="s">
        <v>14</v>
      </c>
      <c r="E380" s="3" t="s">
        <v>12</v>
      </c>
      <c r="F380" s="3">
        <v>0</v>
      </c>
      <c r="G380" s="74">
        <f>F380*VLOOKUP(D380,GWPs!$B$3:$C$6,2,FALSE)</f>
        <v>0</v>
      </c>
      <c r="H380" s="3">
        <v>0</v>
      </c>
      <c r="I380" s="74">
        <f>H380*VLOOKUP(D380,GWPs!$B$3:$C$6,2,FALSE)</f>
        <v>0</v>
      </c>
      <c r="J380" s="3">
        <v>0</v>
      </c>
      <c r="K380" s="74">
        <f>J380*VLOOKUP(D380,GWPs!$B$3:$C$6,2,FALSE)</f>
        <v>0</v>
      </c>
      <c r="M380" s="3">
        <v>3</v>
      </c>
      <c r="N380" s="3">
        <v>2</v>
      </c>
      <c r="O380" s="3">
        <v>1</v>
      </c>
      <c r="P380" s="3">
        <v>3</v>
      </c>
      <c r="Q380" s="3">
        <v>1</v>
      </c>
      <c r="T380" s="70" t="s">
        <v>988</v>
      </c>
      <c r="U380" s="70">
        <v>0.128</v>
      </c>
      <c r="X380" s="70" t="s">
        <v>1010</v>
      </c>
      <c r="Y380" s="70">
        <v>1.6419999999999999</v>
      </c>
      <c r="AA380" s="70" t="s">
        <v>1010</v>
      </c>
      <c r="AB380" s="406">
        <v>0</v>
      </c>
    </row>
    <row r="381" spans="1:28">
      <c r="A381" t="s">
        <v>1430</v>
      </c>
      <c r="B381" s="3" t="s">
        <v>497</v>
      </c>
      <c r="C381" s="3" t="s">
        <v>498</v>
      </c>
      <c r="D381" s="3" t="s">
        <v>15</v>
      </c>
      <c r="E381" s="3" t="s">
        <v>16</v>
      </c>
      <c r="F381" s="3">
        <v>7.0000000000000001E-3</v>
      </c>
      <c r="G381" s="74">
        <f>F381*VLOOKUP(D381,GWPs!$B$3:$C$6,2,FALSE)</f>
        <v>7.0000000000000001E-3</v>
      </c>
      <c r="H381" s="3">
        <v>0</v>
      </c>
      <c r="I381" s="74">
        <f>H381*VLOOKUP(D381,GWPs!$B$3:$C$6,2,FALSE)</f>
        <v>0</v>
      </c>
      <c r="J381" s="3">
        <v>7.0000000000000001E-3</v>
      </c>
      <c r="K381" s="74">
        <f>J381*VLOOKUP(D381,GWPs!$B$3:$C$6,2,FALSE)</f>
        <v>7.0000000000000001E-3</v>
      </c>
      <c r="M381" s="3">
        <v>3</v>
      </c>
      <c r="N381" s="3">
        <v>2</v>
      </c>
      <c r="O381" s="3">
        <v>1</v>
      </c>
      <c r="P381" s="3">
        <v>3</v>
      </c>
      <c r="Q381" s="3">
        <v>1</v>
      </c>
      <c r="T381" s="70" t="s">
        <v>902</v>
      </c>
      <c r="U381" s="70">
        <v>0.64300000000000002</v>
      </c>
      <c r="X381" s="70" t="s">
        <v>724</v>
      </c>
      <c r="Y381" s="70">
        <v>4.8000000000000001E-2</v>
      </c>
      <c r="AA381" s="70" t="s">
        <v>724</v>
      </c>
      <c r="AB381" s="406">
        <v>0.14899999999999999</v>
      </c>
    </row>
    <row r="382" spans="1:28">
      <c r="A382" t="s">
        <v>1430</v>
      </c>
      <c r="B382" s="3" t="s">
        <v>499</v>
      </c>
      <c r="C382" s="3" t="s">
        <v>500</v>
      </c>
      <c r="D382" s="3" t="s">
        <v>11</v>
      </c>
      <c r="E382" s="3" t="s">
        <v>12</v>
      </c>
      <c r="F382" s="3">
        <v>1.0760000000000001</v>
      </c>
      <c r="G382" s="74">
        <f>F382*VLOOKUP(D382,GWPs!$B$3:$C$6,2,FALSE)</f>
        <v>1.0760000000000001</v>
      </c>
      <c r="H382" s="3">
        <v>3.1E-2</v>
      </c>
      <c r="I382" s="74">
        <f>H382*VLOOKUP(D382,GWPs!$B$3:$C$6,2,FALSE)</f>
        <v>3.1E-2</v>
      </c>
      <c r="J382" s="3">
        <v>1.107</v>
      </c>
      <c r="K382" s="74">
        <f>J382*VLOOKUP(D382,GWPs!$B$3:$C$6,2,FALSE)</f>
        <v>1.107</v>
      </c>
      <c r="M382" s="3">
        <v>4</v>
      </c>
      <c r="N382" s="3">
        <v>2</v>
      </c>
      <c r="O382" s="3">
        <v>1</v>
      </c>
      <c r="P382" s="3">
        <v>4</v>
      </c>
      <c r="Q382" s="3">
        <v>1</v>
      </c>
      <c r="T382" s="70" t="s">
        <v>1010</v>
      </c>
      <c r="U382" s="70">
        <v>1.6419999999999999</v>
      </c>
      <c r="X382" s="70" t="s">
        <v>888</v>
      </c>
      <c r="Y382" s="70">
        <v>0.77400000000000002</v>
      </c>
      <c r="AA382" s="70" t="s">
        <v>888</v>
      </c>
      <c r="AB382" s="406">
        <v>0</v>
      </c>
    </row>
    <row r="383" spans="1:28">
      <c r="A383" t="s">
        <v>1430</v>
      </c>
      <c r="B383" s="3" t="s">
        <v>499</v>
      </c>
      <c r="C383" s="3" t="s">
        <v>500</v>
      </c>
      <c r="D383" s="3" t="s">
        <v>13</v>
      </c>
      <c r="E383" s="3" t="s">
        <v>12</v>
      </c>
      <c r="F383" s="3">
        <v>5.0000000000000001E-3</v>
      </c>
      <c r="G383" s="74">
        <f>F383*VLOOKUP(D383,GWPs!$B$3:$C$6,2,FALSE)</f>
        <v>0.14000000000000001</v>
      </c>
      <c r="H383" s="3">
        <v>0</v>
      </c>
      <c r="I383" s="74">
        <f>H383*VLOOKUP(D383,GWPs!$B$3:$C$6,2,FALSE)</f>
        <v>0</v>
      </c>
      <c r="J383" s="3">
        <v>5.0000000000000001E-3</v>
      </c>
      <c r="K383" s="74">
        <f>J383*VLOOKUP(D383,GWPs!$B$3:$C$6,2,FALSE)</f>
        <v>0.14000000000000001</v>
      </c>
      <c r="M383" s="3">
        <v>3</v>
      </c>
      <c r="N383" s="3">
        <v>2</v>
      </c>
      <c r="O383" s="3">
        <v>1</v>
      </c>
      <c r="P383" s="3">
        <v>1</v>
      </c>
      <c r="Q383" s="3">
        <v>1</v>
      </c>
      <c r="T383" s="70" t="s">
        <v>724</v>
      </c>
      <c r="U383" s="70">
        <v>0.19600000000000001</v>
      </c>
      <c r="X383" s="70" t="s">
        <v>684</v>
      </c>
      <c r="Y383" s="70">
        <v>0.128</v>
      </c>
      <c r="AA383" s="70" t="s">
        <v>684</v>
      </c>
      <c r="AB383" s="406">
        <v>2.5999999999999999E-2</v>
      </c>
    </row>
    <row r="384" spans="1:28">
      <c r="A384" t="s">
        <v>1430</v>
      </c>
      <c r="B384" s="3" t="s">
        <v>499</v>
      </c>
      <c r="C384" s="3" t="s">
        <v>500</v>
      </c>
      <c r="D384" s="3" t="s">
        <v>14</v>
      </c>
      <c r="E384" s="3" t="s">
        <v>12</v>
      </c>
      <c r="F384" s="3">
        <v>1E-3</v>
      </c>
      <c r="G384" s="74">
        <f>F384*VLOOKUP(D384,GWPs!$B$3:$C$6,2,FALSE)</f>
        <v>0.26500000000000001</v>
      </c>
      <c r="H384" s="3">
        <v>0</v>
      </c>
      <c r="I384" s="74">
        <f>H384*VLOOKUP(D384,GWPs!$B$3:$C$6,2,FALSE)</f>
        <v>0</v>
      </c>
      <c r="J384" s="3">
        <v>1E-3</v>
      </c>
      <c r="K384" s="74">
        <f>J384*VLOOKUP(D384,GWPs!$B$3:$C$6,2,FALSE)</f>
        <v>0.26500000000000001</v>
      </c>
      <c r="M384" s="3">
        <v>3</v>
      </c>
      <c r="N384" s="3">
        <v>2</v>
      </c>
      <c r="O384" s="3">
        <v>1</v>
      </c>
      <c r="P384" s="3">
        <v>3</v>
      </c>
      <c r="Q384" s="3">
        <v>1</v>
      </c>
      <c r="T384" s="70" t="s">
        <v>888</v>
      </c>
      <c r="U384" s="70">
        <v>0.77400000000000002</v>
      </c>
      <c r="X384" s="70" t="s">
        <v>349</v>
      </c>
      <c r="Y384" s="70">
        <v>0.56700000000000006</v>
      </c>
      <c r="AA384" s="70" t="s">
        <v>349</v>
      </c>
      <c r="AB384" s="406">
        <v>0</v>
      </c>
    </row>
    <row r="385" spans="1:28">
      <c r="A385" t="s">
        <v>1430</v>
      </c>
      <c r="B385" s="3" t="s">
        <v>499</v>
      </c>
      <c r="C385" s="3" t="s">
        <v>500</v>
      </c>
      <c r="D385" s="3" t="s">
        <v>15</v>
      </c>
      <c r="E385" s="3" t="s">
        <v>16</v>
      </c>
      <c r="F385" s="3">
        <v>6.0000000000000001E-3</v>
      </c>
      <c r="G385" s="74">
        <f>F385*VLOOKUP(D385,GWPs!$B$3:$C$6,2,FALSE)</f>
        <v>6.0000000000000001E-3</v>
      </c>
      <c r="H385" s="3">
        <v>0</v>
      </c>
      <c r="I385" s="74">
        <f>H385*VLOOKUP(D385,GWPs!$B$3:$C$6,2,FALSE)</f>
        <v>0</v>
      </c>
      <c r="J385" s="3">
        <v>6.0000000000000001E-3</v>
      </c>
      <c r="K385" s="74">
        <f>J385*VLOOKUP(D385,GWPs!$B$3:$C$6,2,FALSE)</f>
        <v>6.0000000000000001E-3</v>
      </c>
      <c r="M385" s="3">
        <v>3</v>
      </c>
      <c r="N385" s="3">
        <v>2</v>
      </c>
      <c r="O385" s="3">
        <v>1</v>
      </c>
      <c r="P385" s="3">
        <v>3</v>
      </c>
      <c r="Q385" s="3">
        <v>1</v>
      </c>
      <c r="T385" s="70" t="s">
        <v>684</v>
      </c>
      <c r="U385" s="70">
        <v>0.182</v>
      </c>
      <c r="X385" s="70" t="s">
        <v>868</v>
      </c>
      <c r="Y385" s="70">
        <v>5.3999999999999999E-2</v>
      </c>
      <c r="AA385" s="70" t="s">
        <v>868</v>
      </c>
      <c r="AB385" s="406">
        <v>0</v>
      </c>
    </row>
    <row r="386" spans="1:28">
      <c r="A386" t="s">
        <v>1429</v>
      </c>
      <c r="B386" s="3" t="s">
        <v>501</v>
      </c>
      <c r="C386" s="3" t="s">
        <v>502</v>
      </c>
      <c r="D386" s="3" t="s">
        <v>11</v>
      </c>
      <c r="E386" s="3" t="s">
        <v>12</v>
      </c>
      <c r="F386" s="3">
        <v>1.45</v>
      </c>
      <c r="G386" s="74">
        <f>F386*VLOOKUP(D386,GWPs!$B$3:$C$6,2,FALSE)</f>
        <v>1.45</v>
      </c>
      <c r="H386" s="3">
        <v>3.6999999999999998E-2</v>
      </c>
      <c r="I386" s="74">
        <f>H386*VLOOKUP(D386,GWPs!$B$3:$C$6,2,FALSE)</f>
        <v>3.6999999999999998E-2</v>
      </c>
      <c r="J386" s="3">
        <v>1.4870000000000001</v>
      </c>
      <c r="K386" s="74">
        <f>J386*VLOOKUP(D386,GWPs!$B$3:$C$6,2,FALSE)</f>
        <v>1.4870000000000001</v>
      </c>
      <c r="M386" s="3">
        <v>4</v>
      </c>
      <c r="N386" s="3">
        <v>2</v>
      </c>
      <c r="O386" s="3">
        <v>1</v>
      </c>
      <c r="P386" s="3">
        <v>4</v>
      </c>
      <c r="Q386" s="3">
        <v>1</v>
      </c>
      <c r="T386" s="70" t="s">
        <v>349</v>
      </c>
      <c r="U386" s="70">
        <v>0.56700000000000006</v>
      </c>
      <c r="X386" s="70" t="s">
        <v>333</v>
      </c>
      <c r="Y386" s="70">
        <v>0.25600000000000001</v>
      </c>
      <c r="AA386" s="70" t="s">
        <v>333</v>
      </c>
      <c r="AB386" s="406">
        <v>0.126</v>
      </c>
    </row>
    <row r="387" spans="1:28">
      <c r="A387" t="s">
        <v>1429</v>
      </c>
      <c r="B387" s="3" t="s">
        <v>501</v>
      </c>
      <c r="C387" s="3" t="s">
        <v>502</v>
      </c>
      <c r="D387" s="3" t="s">
        <v>13</v>
      </c>
      <c r="E387" s="3" t="s">
        <v>12</v>
      </c>
      <c r="F387" s="3">
        <v>4.0000000000000001E-3</v>
      </c>
      <c r="G387" s="74">
        <f>F387*VLOOKUP(D387,GWPs!$B$3:$C$6,2,FALSE)</f>
        <v>0.112</v>
      </c>
      <c r="H387" s="3">
        <v>0</v>
      </c>
      <c r="I387" s="74">
        <f>H387*VLOOKUP(D387,GWPs!$B$3:$C$6,2,FALSE)</f>
        <v>0</v>
      </c>
      <c r="J387" s="3">
        <v>5.0000000000000001E-3</v>
      </c>
      <c r="K387" s="74">
        <f>J387*VLOOKUP(D387,GWPs!$B$3:$C$6,2,FALSE)</f>
        <v>0.14000000000000001</v>
      </c>
      <c r="M387" s="3">
        <v>4</v>
      </c>
      <c r="N387" s="3">
        <v>2</v>
      </c>
      <c r="O387" s="3">
        <v>1</v>
      </c>
      <c r="P387" s="3">
        <v>1</v>
      </c>
      <c r="Q387" s="3">
        <v>1</v>
      </c>
      <c r="T387" s="70" t="s">
        <v>868</v>
      </c>
      <c r="U387" s="70">
        <v>5.3999999999999999E-2</v>
      </c>
      <c r="X387" s="70" t="s">
        <v>434</v>
      </c>
      <c r="Y387" s="70">
        <v>0.188</v>
      </c>
      <c r="AA387" s="70" t="s">
        <v>434</v>
      </c>
      <c r="AB387" s="406">
        <v>0.17299999999999999</v>
      </c>
    </row>
    <row r="388" spans="1:28">
      <c r="A388" t="s">
        <v>1429</v>
      </c>
      <c r="B388" s="3" t="s">
        <v>501</v>
      </c>
      <c r="C388" s="3" t="s">
        <v>502</v>
      </c>
      <c r="D388" s="3" t="s">
        <v>14</v>
      </c>
      <c r="E388" s="3" t="s">
        <v>12</v>
      </c>
      <c r="F388" s="3">
        <v>0</v>
      </c>
      <c r="G388" s="74">
        <f>F388*VLOOKUP(D388,GWPs!$B$3:$C$6,2,FALSE)</f>
        <v>0</v>
      </c>
      <c r="H388" s="3">
        <v>0</v>
      </c>
      <c r="I388" s="74">
        <f>H388*VLOOKUP(D388,GWPs!$B$3:$C$6,2,FALSE)</f>
        <v>0</v>
      </c>
      <c r="J388" s="3">
        <v>0</v>
      </c>
      <c r="K388" s="74">
        <f>J388*VLOOKUP(D388,GWPs!$B$3:$C$6,2,FALSE)</f>
        <v>0</v>
      </c>
      <c r="M388" s="3">
        <v>3</v>
      </c>
      <c r="N388" s="3">
        <v>2</v>
      </c>
      <c r="O388" s="3">
        <v>1</v>
      </c>
      <c r="P388" s="3">
        <v>3</v>
      </c>
      <c r="Q388" s="3">
        <v>1</v>
      </c>
      <c r="T388" s="70" t="s">
        <v>333</v>
      </c>
      <c r="U388" s="70">
        <v>0.38200000000000001</v>
      </c>
      <c r="X388" s="70" t="s">
        <v>696</v>
      </c>
      <c r="Y388" s="70">
        <v>4.2000000000000003E-2</v>
      </c>
      <c r="AA388" s="70" t="s">
        <v>696</v>
      </c>
      <c r="AB388" s="406">
        <v>0.17199999999999999</v>
      </c>
    </row>
    <row r="389" spans="1:28">
      <c r="A389" t="s">
        <v>1429</v>
      </c>
      <c r="B389" s="3" t="s">
        <v>501</v>
      </c>
      <c r="C389" s="3" t="s">
        <v>502</v>
      </c>
      <c r="D389" s="3" t="s">
        <v>15</v>
      </c>
      <c r="E389" s="3" t="s">
        <v>16</v>
      </c>
      <c r="F389" s="3">
        <v>6.0000000000000001E-3</v>
      </c>
      <c r="G389" s="74">
        <f>F389*VLOOKUP(D389,GWPs!$B$3:$C$6,2,FALSE)</f>
        <v>6.0000000000000001E-3</v>
      </c>
      <c r="H389" s="3">
        <v>0</v>
      </c>
      <c r="I389" s="74">
        <f>H389*VLOOKUP(D389,GWPs!$B$3:$C$6,2,FALSE)</f>
        <v>0</v>
      </c>
      <c r="J389" s="3">
        <v>6.0000000000000001E-3</v>
      </c>
      <c r="K389" s="74">
        <f>J389*VLOOKUP(D389,GWPs!$B$3:$C$6,2,FALSE)</f>
        <v>6.0000000000000001E-3</v>
      </c>
      <c r="M389" s="3">
        <v>3</v>
      </c>
      <c r="N389" s="3">
        <v>2</v>
      </c>
      <c r="O389" s="3">
        <v>1</v>
      </c>
      <c r="P389" s="3">
        <v>3</v>
      </c>
      <c r="Q389" s="3">
        <v>1</v>
      </c>
      <c r="T389" s="70" t="s">
        <v>434</v>
      </c>
      <c r="U389" s="70">
        <v>0.33300000000000002</v>
      </c>
      <c r="X389" s="70" t="s">
        <v>926</v>
      </c>
      <c r="Y389" s="70">
        <v>0.111</v>
      </c>
      <c r="AA389" s="70" t="s">
        <v>926</v>
      </c>
      <c r="AB389" s="406">
        <v>0</v>
      </c>
    </row>
    <row r="390" spans="1:28">
      <c r="A390" t="s">
        <v>1429</v>
      </c>
      <c r="B390" s="3" t="s">
        <v>503</v>
      </c>
      <c r="C390" s="3" t="s">
        <v>504</v>
      </c>
      <c r="D390" s="3" t="s">
        <v>11</v>
      </c>
      <c r="E390" s="3" t="s">
        <v>12</v>
      </c>
      <c r="F390" s="3">
        <v>0.63800000000000001</v>
      </c>
      <c r="G390" s="74">
        <f>F390*VLOOKUP(D390,GWPs!$B$3:$C$6,2,FALSE)</f>
        <v>0.63800000000000001</v>
      </c>
      <c r="H390" s="3">
        <v>1.4999999999999999E-2</v>
      </c>
      <c r="I390" s="74">
        <f>H390*VLOOKUP(D390,GWPs!$B$3:$C$6,2,FALSE)</f>
        <v>1.4999999999999999E-2</v>
      </c>
      <c r="J390" s="3">
        <v>0.65300000000000002</v>
      </c>
      <c r="K390" s="74">
        <f>J390*VLOOKUP(D390,GWPs!$B$3:$C$6,2,FALSE)</f>
        <v>0.65300000000000002</v>
      </c>
      <c r="M390" s="3">
        <v>4</v>
      </c>
      <c r="N390" s="3">
        <v>2</v>
      </c>
      <c r="O390" s="3">
        <v>1</v>
      </c>
      <c r="P390" s="3">
        <v>3</v>
      </c>
      <c r="Q390" s="3">
        <v>1</v>
      </c>
      <c r="T390" s="70" t="s">
        <v>696</v>
      </c>
      <c r="U390" s="70">
        <v>0.214</v>
      </c>
      <c r="X390" s="70" t="s">
        <v>756</v>
      </c>
      <c r="Y390" s="70">
        <v>0.32700000000000001</v>
      </c>
      <c r="AA390" s="70" t="s">
        <v>756</v>
      </c>
      <c r="AB390" s="406">
        <v>7.5999999999999998E-2</v>
      </c>
    </row>
    <row r="391" spans="1:28">
      <c r="A391" t="s">
        <v>1429</v>
      </c>
      <c r="B391" s="3" t="s">
        <v>503</v>
      </c>
      <c r="C391" s="3" t="s">
        <v>504</v>
      </c>
      <c r="D391" s="3" t="s">
        <v>13</v>
      </c>
      <c r="E391" s="3" t="s">
        <v>12</v>
      </c>
      <c r="F391" s="3">
        <v>3.0000000000000001E-3</v>
      </c>
      <c r="G391" s="74">
        <f>F391*VLOOKUP(D391,GWPs!$B$3:$C$6,2,FALSE)</f>
        <v>8.4000000000000005E-2</v>
      </c>
      <c r="H391" s="3">
        <v>0</v>
      </c>
      <c r="I391" s="74">
        <f>H391*VLOOKUP(D391,GWPs!$B$3:$C$6,2,FALSE)</f>
        <v>0</v>
      </c>
      <c r="J391" s="3">
        <v>3.0000000000000001E-3</v>
      </c>
      <c r="K391" s="74">
        <f>J391*VLOOKUP(D391,GWPs!$B$3:$C$6,2,FALSE)</f>
        <v>8.4000000000000005E-2</v>
      </c>
      <c r="M391" s="3">
        <v>4</v>
      </c>
      <c r="N391" s="3">
        <v>2</v>
      </c>
      <c r="O391" s="3">
        <v>1</v>
      </c>
      <c r="P391" s="3">
        <v>1</v>
      </c>
      <c r="Q391" s="3">
        <v>1</v>
      </c>
      <c r="T391" s="70" t="s">
        <v>926</v>
      </c>
      <c r="U391" s="70">
        <v>0.111</v>
      </c>
      <c r="X391" s="70" t="s">
        <v>810</v>
      </c>
      <c r="Y391" s="70">
        <v>0.182</v>
      </c>
      <c r="AA391" s="70" t="s">
        <v>810</v>
      </c>
      <c r="AB391" s="406">
        <v>0.121</v>
      </c>
    </row>
    <row r="392" spans="1:28">
      <c r="A392" t="s">
        <v>1429</v>
      </c>
      <c r="B392" s="3" t="s">
        <v>503</v>
      </c>
      <c r="C392" s="3" t="s">
        <v>504</v>
      </c>
      <c r="D392" s="3" t="s">
        <v>14</v>
      </c>
      <c r="E392" s="3" t="s">
        <v>12</v>
      </c>
      <c r="F392" s="3">
        <v>0</v>
      </c>
      <c r="G392" s="74">
        <f>F392*VLOOKUP(D392,GWPs!$B$3:$C$6,2,FALSE)</f>
        <v>0</v>
      </c>
      <c r="H392" s="3">
        <v>0</v>
      </c>
      <c r="I392" s="74">
        <f>H392*VLOOKUP(D392,GWPs!$B$3:$C$6,2,FALSE)</f>
        <v>0</v>
      </c>
      <c r="J392" s="3">
        <v>0</v>
      </c>
      <c r="K392" s="74">
        <f>J392*VLOOKUP(D392,GWPs!$B$3:$C$6,2,FALSE)</f>
        <v>0</v>
      </c>
      <c r="M392" s="3">
        <v>4</v>
      </c>
      <c r="N392" s="3">
        <v>2</v>
      </c>
      <c r="O392" s="3">
        <v>1</v>
      </c>
      <c r="P392" s="3">
        <v>3</v>
      </c>
      <c r="Q392" s="3">
        <v>1</v>
      </c>
      <c r="T392" s="70" t="s">
        <v>756</v>
      </c>
      <c r="U392" s="70">
        <v>0.43099999999999999</v>
      </c>
      <c r="X392" s="70" t="s">
        <v>464</v>
      </c>
      <c r="Y392" s="70">
        <v>0.81499999999999995</v>
      </c>
      <c r="AA392" s="70" t="s">
        <v>464</v>
      </c>
      <c r="AB392" s="406">
        <v>9.0999999999999998E-2</v>
      </c>
    </row>
    <row r="393" spans="1:28">
      <c r="A393" t="s">
        <v>1429</v>
      </c>
      <c r="B393" s="3" t="s">
        <v>503</v>
      </c>
      <c r="C393" s="3" t="s">
        <v>504</v>
      </c>
      <c r="D393" s="3" t="s">
        <v>15</v>
      </c>
      <c r="E393" s="3" t="s">
        <v>16</v>
      </c>
      <c r="F393" s="3">
        <v>5.0000000000000001E-3</v>
      </c>
      <c r="G393" s="74">
        <f>F393*VLOOKUP(D393,GWPs!$B$3:$C$6,2,FALSE)</f>
        <v>5.0000000000000001E-3</v>
      </c>
      <c r="H393" s="3">
        <v>0</v>
      </c>
      <c r="I393" s="74">
        <f>H393*VLOOKUP(D393,GWPs!$B$3:$C$6,2,FALSE)</f>
        <v>0</v>
      </c>
      <c r="J393" s="3">
        <v>5.0000000000000001E-3</v>
      </c>
      <c r="K393" s="74">
        <f>J393*VLOOKUP(D393,GWPs!$B$3:$C$6,2,FALSE)</f>
        <v>5.0000000000000001E-3</v>
      </c>
      <c r="M393" s="3">
        <v>3</v>
      </c>
      <c r="N393" s="3">
        <v>2</v>
      </c>
      <c r="O393" s="3">
        <v>1</v>
      </c>
      <c r="P393" s="3">
        <v>3</v>
      </c>
      <c r="Q393" s="3">
        <v>1</v>
      </c>
      <c r="T393" s="70" t="s">
        <v>810</v>
      </c>
      <c r="U393" s="70">
        <v>0.27500000000000002</v>
      </c>
      <c r="X393" s="70" t="s">
        <v>460</v>
      </c>
      <c r="Y393" s="70">
        <v>0.25</v>
      </c>
      <c r="AA393" s="70" t="s">
        <v>460</v>
      </c>
      <c r="AB393" s="406">
        <v>6.4000000000000001E-2</v>
      </c>
    </row>
    <row r="394" spans="1:28">
      <c r="A394" t="s">
        <v>1429</v>
      </c>
      <c r="B394" s="3" t="s">
        <v>505</v>
      </c>
      <c r="C394" s="3" t="s">
        <v>506</v>
      </c>
      <c r="D394" s="3" t="s">
        <v>11</v>
      </c>
      <c r="E394" s="3" t="s">
        <v>12</v>
      </c>
      <c r="F394" s="3">
        <v>0.71899999999999997</v>
      </c>
      <c r="G394" s="74">
        <f>F394*VLOOKUP(D394,GWPs!$B$3:$C$6,2,FALSE)</f>
        <v>0.71899999999999997</v>
      </c>
      <c r="H394" s="3">
        <v>5.0999999999999997E-2</v>
      </c>
      <c r="I394" s="74">
        <f>H394*VLOOKUP(D394,GWPs!$B$3:$C$6,2,FALSE)</f>
        <v>5.0999999999999997E-2</v>
      </c>
      <c r="J394" s="3">
        <v>0.77</v>
      </c>
      <c r="K394" s="74">
        <f>J394*VLOOKUP(D394,GWPs!$B$3:$C$6,2,FALSE)</f>
        <v>0.77</v>
      </c>
      <c r="M394" s="3">
        <v>3</v>
      </c>
      <c r="N394" s="3">
        <v>2</v>
      </c>
      <c r="O394" s="3">
        <v>1</v>
      </c>
      <c r="P394" s="3">
        <v>3</v>
      </c>
      <c r="Q394" s="3">
        <v>1</v>
      </c>
      <c r="T394" s="70" t="s">
        <v>464</v>
      </c>
      <c r="U394" s="70">
        <v>0.90600000000000003</v>
      </c>
      <c r="X394" t="s">
        <v>3593</v>
      </c>
      <c r="Y394" s="70">
        <v>0.51500000000000001</v>
      </c>
      <c r="AA394" t="s">
        <v>3593</v>
      </c>
      <c r="AB394" s="406">
        <v>4.5999999999999999E-2</v>
      </c>
    </row>
    <row r="395" spans="1:28">
      <c r="A395" t="s">
        <v>1429</v>
      </c>
      <c r="B395" s="3" t="s">
        <v>505</v>
      </c>
      <c r="C395" s="3" t="s">
        <v>506</v>
      </c>
      <c r="D395" s="3" t="s">
        <v>13</v>
      </c>
      <c r="E395" s="3" t="s">
        <v>12</v>
      </c>
      <c r="F395" s="3">
        <v>1E-3</v>
      </c>
      <c r="G395" s="74">
        <f>F395*VLOOKUP(D395,GWPs!$B$3:$C$6,2,FALSE)</f>
        <v>2.8000000000000001E-2</v>
      </c>
      <c r="H395" s="3">
        <v>0</v>
      </c>
      <c r="I395" s="74">
        <f>H395*VLOOKUP(D395,GWPs!$B$3:$C$6,2,FALSE)</f>
        <v>0</v>
      </c>
      <c r="J395" s="3">
        <v>1E-3</v>
      </c>
      <c r="K395" s="74">
        <f>J395*VLOOKUP(D395,GWPs!$B$3:$C$6,2,FALSE)</f>
        <v>2.8000000000000001E-2</v>
      </c>
      <c r="M395" s="3">
        <v>4</v>
      </c>
      <c r="N395" s="3">
        <v>2</v>
      </c>
      <c r="O395" s="3">
        <v>1</v>
      </c>
      <c r="P395" s="3">
        <v>1</v>
      </c>
      <c r="Q395" s="3">
        <v>1</v>
      </c>
      <c r="T395" s="70" t="s">
        <v>460</v>
      </c>
      <c r="U395" s="70">
        <v>0.31400000000000006</v>
      </c>
      <c r="X395" t="s">
        <v>3594</v>
      </c>
      <c r="Y395" s="70">
        <v>4.5999999999999999E-2</v>
      </c>
      <c r="AA395" t="s">
        <v>4322</v>
      </c>
      <c r="AB395" s="406">
        <v>0.05</v>
      </c>
    </row>
    <row r="396" spans="1:28">
      <c r="A396" t="s">
        <v>1429</v>
      </c>
      <c r="B396" s="3" t="s">
        <v>505</v>
      </c>
      <c r="C396" s="3" t="s">
        <v>506</v>
      </c>
      <c r="D396" s="3" t="s">
        <v>14</v>
      </c>
      <c r="E396" s="3" t="s">
        <v>12</v>
      </c>
      <c r="F396" s="3">
        <v>1E-3</v>
      </c>
      <c r="G396" s="74">
        <f>F396*VLOOKUP(D396,GWPs!$B$3:$C$6,2,FALSE)</f>
        <v>0.26500000000000001</v>
      </c>
      <c r="H396" s="3">
        <v>0</v>
      </c>
      <c r="I396" s="74">
        <f>H396*VLOOKUP(D396,GWPs!$B$3:$C$6,2,FALSE)</f>
        <v>0</v>
      </c>
      <c r="J396" s="3">
        <v>1E-3</v>
      </c>
      <c r="K396" s="74">
        <f>J396*VLOOKUP(D396,GWPs!$B$3:$C$6,2,FALSE)</f>
        <v>0.26500000000000001</v>
      </c>
      <c r="M396" s="3">
        <v>2</v>
      </c>
      <c r="N396" s="3">
        <v>2</v>
      </c>
      <c r="O396" s="3">
        <v>1</v>
      </c>
      <c r="P396" s="3">
        <v>1</v>
      </c>
      <c r="Q396" s="3">
        <v>1</v>
      </c>
    </row>
    <row r="397" spans="1:28">
      <c r="A397" t="s">
        <v>1429</v>
      </c>
      <c r="B397" s="3" t="s">
        <v>505</v>
      </c>
      <c r="C397" s="3" t="s">
        <v>506</v>
      </c>
      <c r="D397" s="3" t="s">
        <v>15</v>
      </c>
      <c r="E397" s="3" t="s">
        <v>16</v>
      </c>
      <c r="F397" s="3">
        <v>4.0000000000000001E-3</v>
      </c>
      <c r="G397" s="74">
        <f>F397*VLOOKUP(D397,GWPs!$B$3:$C$6,2,FALSE)</f>
        <v>4.0000000000000001E-3</v>
      </c>
      <c r="H397" s="3">
        <v>0</v>
      </c>
      <c r="I397" s="74">
        <f>H397*VLOOKUP(D397,GWPs!$B$3:$C$6,2,FALSE)</f>
        <v>0</v>
      </c>
      <c r="J397" s="3">
        <v>4.0000000000000001E-3</v>
      </c>
      <c r="K397" s="74">
        <f>J397*VLOOKUP(D397,GWPs!$B$3:$C$6,2,FALSE)</f>
        <v>4.0000000000000001E-3</v>
      </c>
      <c r="M397" s="3">
        <v>3</v>
      </c>
      <c r="N397" s="3">
        <v>2</v>
      </c>
      <c r="O397" s="3">
        <v>1</v>
      </c>
      <c r="P397" s="3">
        <v>4</v>
      </c>
      <c r="Q397" s="3">
        <v>1</v>
      </c>
    </row>
    <row r="398" spans="1:28">
      <c r="A398" t="s">
        <v>1429</v>
      </c>
      <c r="B398" s="3" t="s">
        <v>507</v>
      </c>
      <c r="C398" s="3" t="s">
        <v>508</v>
      </c>
      <c r="D398" s="3" t="s">
        <v>11</v>
      </c>
      <c r="E398" s="3" t="s">
        <v>12</v>
      </c>
      <c r="F398" s="3">
        <v>0.14099999999999999</v>
      </c>
      <c r="G398" s="74">
        <f>F398*VLOOKUP(D398,GWPs!$B$3:$C$6,2,FALSE)</f>
        <v>0.14099999999999999</v>
      </c>
      <c r="H398" s="3">
        <v>1.6E-2</v>
      </c>
      <c r="I398" s="74">
        <f>H398*VLOOKUP(D398,GWPs!$B$3:$C$6,2,FALSE)</f>
        <v>1.6E-2</v>
      </c>
      <c r="J398" s="3">
        <v>0.157</v>
      </c>
      <c r="K398" s="74">
        <f>J398*VLOOKUP(D398,GWPs!$B$3:$C$6,2,FALSE)</f>
        <v>0.157</v>
      </c>
      <c r="M398" s="3">
        <v>4</v>
      </c>
      <c r="N398" s="3">
        <v>2</v>
      </c>
      <c r="O398" s="3">
        <v>1</v>
      </c>
      <c r="P398" s="3">
        <v>4</v>
      </c>
      <c r="Q398" s="3">
        <v>1</v>
      </c>
    </row>
    <row r="399" spans="1:28">
      <c r="A399" t="s">
        <v>1429</v>
      </c>
      <c r="B399" s="3" t="s">
        <v>507</v>
      </c>
      <c r="C399" s="3" t="s">
        <v>508</v>
      </c>
      <c r="D399" s="3" t="s">
        <v>13</v>
      </c>
      <c r="E399" s="3" t="s">
        <v>12</v>
      </c>
      <c r="F399" s="3">
        <v>1E-3</v>
      </c>
      <c r="G399" s="74">
        <f>F399*VLOOKUP(D399,GWPs!$B$3:$C$6,2,FALSE)</f>
        <v>2.8000000000000001E-2</v>
      </c>
      <c r="H399" s="3">
        <v>0</v>
      </c>
      <c r="I399" s="74">
        <f>H399*VLOOKUP(D399,GWPs!$B$3:$C$6,2,FALSE)</f>
        <v>0</v>
      </c>
      <c r="J399" s="3">
        <v>1E-3</v>
      </c>
      <c r="K399" s="74">
        <f>J399*VLOOKUP(D399,GWPs!$B$3:$C$6,2,FALSE)</f>
        <v>2.8000000000000001E-2</v>
      </c>
      <c r="M399" s="3">
        <v>3</v>
      </c>
      <c r="N399" s="3">
        <v>2</v>
      </c>
      <c r="O399" s="3">
        <v>1</v>
      </c>
      <c r="P399" s="3">
        <v>1</v>
      </c>
      <c r="Q399" s="3">
        <v>1</v>
      </c>
    </row>
    <row r="400" spans="1:28">
      <c r="A400" t="s">
        <v>1429</v>
      </c>
      <c r="B400" s="3" t="s">
        <v>507</v>
      </c>
      <c r="C400" s="3" t="s">
        <v>508</v>
      </c>
      <c r="D400" s="3" t="s">
        <v>14</v>
      </c>
      <c r="E400" s="3" t="s">
        <v>12</v>
      </c>
      <c r="F400" s="3">
        <v>0</v>
      </c>
      <c r="G400" s="74">
        <f>F400*VLOOKUP(D400,GWPs!$B$3:$C$6,2,FALSE)</f>
        <v>0</v>
      </c>
      <c r="H400" s="3">
        <v>0</v>
      </c>
      <c r="I400" s="74">
        <f>H400*VLOOKUP(D400,GWPs!$B$3:$C$6,2,FALSE)</f>
        <v>0</v>
      </c>
      <c r="J400" s="3">
        <v>0</v>
      </c>
      <c r="K400" s="74">
        <f>J400*VLOOKUP(D400,GWPs!$B$3:$C$6,2,FALSE)</f>
        <v>0</v>
      </c>
      <c r="M400" s="3">
        <v>3</v>
      </c>
      <c r="N400" s="3">
        <v>2</v>
      </c>
      <c r="O400" s="3">
        <v>1</v>
      </c>
      <c r="P400" s="3">
        <v>3</v>
      </c>
      <c r="Q400" s="3">
        <v>1</v>
      </c>
    </row>
    <row r="401" spans="1:17">
      <c r="A401" t="s">
        <v>1429</v>
      </c>
      <c r="B401" s="3" t="s">
        <v>507</v>
      </c>
      <c r="C401" s="3" t="s">
        <v>508</v>
      </c>
      <c r="D401" s="3" t="s">
        <v>15</v>
      </c>
      <c r="E401" s="3" t="s">
        <v>16</v>
      </c>
      <c r="F401" s="3">
        <v>7.0000000000000001E-3</v>
      </c>
      <c r="G401" s="74">
        <f>F401*VLOOKUP(D401,GWPs!$B$3:$C$6,2,FALSE)</f>
        <v>7.0000000000000001E-3</v>
      </c>
      <c r="H401" s="3">
        <v>0</v>
      </c>
      <c r="I401" s="74">
        <f>H401*VLOOKUP(D401,GWPs!$B$3:$C$6,2,FALSE)</f>
        <v>0</v>
      </c>
      <c r="J401" s="3">
        <v>7.0000000000000001E-3</v>
      </c>
      <c r="K401" s="74">
        <f>J401*VLOOKUP(D401,GWPs!$B$3:$C$6,2,FALSE)</f>
        <v>7.0000000000000001E-3</v>
      </c>
      <c r="M401" s="3">
        <v>3</v>
      </c>
      <c r="N401" s="3">
        <v>2</v>
      </c>
      <c r="O401" s="3">
        <v>1</v>
      </c>
      <c r="P401" s="3">
        <v>3</v>
      </c>
      <c r="Q401" s="3">
        <v>1</v>
      </c>
    </row>
    <row r="402" spans="1:17">
      <c r="A402" t="s">
        <v>1430</v>
      </c>
      <c r="B402" s="3" t="s">
        <v>509</v>
      </c>
      <c r="C402" s="3" t="s">
        <v>510</v>
      </c>
      <c r="D402" s="3" t="s">
        <v>11</v>
      </c>
      <c r="E402" s="3" t="s">
        <v>12</v>
      </c>
      <c r="F402" s="3">
        <v>0.28199999999999997</v>
      </c>
      <c r="G402" s="74">
        <f>F402*VLOOKUP(D402,GWPs!$B$3:$C$6,2,FALSE)</f>
        <v>0.28199999999999997</v>
      </c>
      <c r="H402" s="3">
        <v>2.8000000000000001E-2</v>
      </c>
      <c r="I402" s="74">
        <f>H402*VLOOKUP(D402,GWPs!$B$3:$C$6,2,FALSE)</f>
        <v>2.8000000000000001E-2</v>
      </c>
      <c r="J402" s="3">
        <v>0.31</v>
      </c>
      <c r="K402" s="74">
        <f>J402*VLOOKUP(D402,GWPs!$B$3:$C$6,2,FALSE)</f>
        <v>0.31</v>
      </c>
      <c r="M402" s="3">
        <v>4</v>
      </c>
      <c r="N402" s="3">
        <v>2</v>
      </c>
      <c r="O402" s="3">
        <v>1</v>
      </c>
      <c r="P402" s="3">
        <v>2</v>
      </c>
      <c r="Q402" s="3">
        <v>1</v>
      </c>
    </row>
    <row r="403" spans="1:17">
      <c r="A403" t="s">
        <v>1430</v>
      </c>
      <c r="B403" s="3" t="s">
        <v>509</v>
      </c>
      <c r="C403" s="3" t="s">
        <v>510</v>
      </c>
      <c r="D403" s="3" t="s">
        <v>13</v>
      </c>
      <c r="E403" s="3" t="s">
        <v>12</v>
      </c>
      <c r="F403" s="3">
        <v>0</v>
      </c>
      <c r="G403" s="74">
        <f>F403*VLOOKUP(D403,GWPs!$B$3:$C$6,2,FALSE)</f>
        <v>0</v>
      </c>
      <c r="H403" s="3">
        <v>0</v>
      </c>
      <c r="I403" s="74">
        <f>H403*VLOOKUP(D403,GWPs!$B$3:$C$6,2,FALSE)</f>
        <v>0</v>
      </c>
      <c r="J403" s="3">
        <v>1E-3</v>
      </c>
      <c r="K403" s="74">
        <f>J403*VLOOKUP(D403,GWPs!$B$3:$C$6,2,FALSE)</f>
        <v>2.8000000000000001E-2</v>
      </c>
      <c r="M403" s="3">
        <v>3</v>
      </c>
      <c r="N403" s="3">
        <v>2</v>
      </c>
      <c r="O403" s="3">
        <v>1</v>
      </c>
      <c r="P403" s="3">
        <v>1</v>
      </c>
      <c r="Q403" s="3">
        <v>1</v>
      </c>
    </row>
    <row r="404" spans="1:17">
      <c r="A404" t="s">
        <v>1430</v>
      </c>
      <c r="B404" s="3" t="s">
        <v>509</v>
      </c>
      <c r="C404" s="3" t="s">
        <v>510</v>
      </c>
      <c r="D404" s="3" t="s">
        <v>14</v>
      </c>
      <c r="E404" s="3" t="s">
        <v>12</v>
      </c>
      <c r="F404" s="3">
        <v>0</v>
      </c>
      <c r="G404" s="74">
        <f>F404*VLOOKUP(D404,GWPs!$B$3:$C$6,2,FALSE)</f>
        <v>0</v>
      </c>
      <c r="H404" s="3">
        <v>0</v>
      </c>
      <c r="I404" s="74">
        <f>H404*VLOOKUP(D404,GWPs!$B$3:$C$6,2,FALSE)</f>
        <v>0</v>
      </c>
      <c r="J404" s="3">
        <v>0</v>
      </c>
      <c r="K404" s="74">
        <f>J404*VLOOKUP(D404,GWPs!$B$3:$C$6,2,FALSE)</f>
        <v>0</v>
      </c>
      <c r="M404" s="3">
        <v>4</v>
      </c>
      <c r="N404" s="3">
        <v>2</v>
      </c>
      <c r="O404" s="3">
        <v>1</v>
      </c>
      <c r="P404" s="3">
        <v>3</v>
      </c>
      <c r="Q404" s="3">
        <v>1</v>
      </c>
    </row>
    <row r="405" spans="1:17">
      <c r="A405" t="s">
        <v>1430</v>
      </c>
      <c r="B405" s="3" t="s">
        <v>509</v>
      </c>
      <c r="C405" s="3" t="s">
        <v>510</v>
      </c>
      <c r="D405" s="3" t="s">
        <v>15</v>
      </c>
      <c r="E405" s="3" t="s">
        <v>16</v>
      </c>
      <c r="F405" s="3">
        <v>3.0000000000000001E-3</v>
      </c>
      <c r="G405" s="74">
        <f>F405*VLOOKUP(D405,GWPs!$B$3:$C$6,2,FALSE)</f>
        <v>3.0000000000000001E-3</v>
      </c>
      <c r="H405" s="3">
        <v>0</v>
      </c>
      <c r="I405" s="74">
        <f>H405*VLOOKUP(D405,GWPs!$B$3:$C$6,2,FALSE)</f>
        <v>0</v>
      </c>
      <c r="J405" s="3">
        <v>3.0000000000000001E-3</v>
      </c>
      <c r="K405" s="74">
        <f>J405*VLOOKUP(D405,GWPs!$B$3:$C$6,2,FALSE)</f>
        <v>3.0000000000000001E-3</v>
      </c>
      <c r="M405" s="3">
        <v>4</v>
      </c>
      <c r="N405" s="3">
        <v>2</v>
      </c>
      <c r="O405" s="3">
        <v>1</v>
      </c>
      <c r="P405" s="3">
        <v>4</v>
      </c>
      <c r="Q405" s="3">
        <v>1</v>
      </c>
    </row>
    <row r="406" spans="1:17">
      <c r="A406" t="s">
        <v>1430</v>
      </c>
      <c r="B406" s="3" t="s">
        <v>511</v>
      </c>
      <c r="C406" s="3" t="s">
        <v>512</v>
      </c>
      <c r="D406" s="3" t="s">
        <v>11</v>
      </c>
      <c r="E406" s="3" t="s">
        <v>12</v>
      </c>
      <c r="F406" s="3">
        <v>0.159</v>
      </c>
      <c r="G406" s="74">
        <f>F406*VLOOKUP(D406,GWPs!$B$3:$C$6,2,FALSE)</f>
        <v>0.159</v>
      </c>
      <c r="H406" s="3">
        <v>0.248</v>
      </c>
      <c r="I406" s="74">
        <f>H406*VLOOKUP(D406,GWPs!$B$3:$C$6,2,FALSE)</f>
        <v>0.248</v>
      </c>
      <c r="J406" s="3">
        <v>0.40699999999999997</v>
      </c>
      <c r="K406" s="74">
        <f>J406*VLOOKUP(D406,GWPs!$B$3:$C$6,2,FALSE)</f>
        <v>0.40699999999999997</v>
      </c>
      <c r="M406" s="3">
        <v>3</v>
      </c>
      <c r="N406" s="3">
        <v>2</v>
      </c>
      <c r="O406" s="3">
        <v>1</v>
      </c>
      <c r="P406" s="3">
        <v>3</v>
      </c>
      <c r="Q406" s="3">
        <v>1</v>
      </c>
    </row>
    <row r="407" spans="1:17">
      <c r="A407" t="s">
        <v>1430</v>
      </c>
      <c r="B407" s="3" t="s">
        <v>511</v>
      </c>
      <c r="C407" s="3" t="s">
        <v>512</v>
      </c>
      <c r="D407" s="3" t="s">
        <v>13</v>
      </c>
      <c r="E407" s="3" t="s">
        <v>12</v>
      </c>
      <c r="F407" s="3">
        <v>1E-3</v>
      </c>
      <c r="G407" s="74">
        <f>F407*VLOOKUP(D407,GWPs!$B$3:$C$6,2,FALSE)</f>
        <v>2.8000000000000001E-2</v>
      </c>
      <c r="H407" s="3">
        <v>1E-3</v>
      </c>
      <c r="I407" s="74">
        <f>H407*VLOOKUP(D407,GWPs!$B$3:$C$6,2,FALSE)</f>
        <v>2.8000000000000001E-2</v>
      </c>
      <c r="J407" s="3">
        <v>2E-3</v>
      </c>
      <c r="K407" s="74">
        <f>J407*VLOOKUP(D407,GWPs!$B$3:$C$6,2,FALSE)</f>
        <v>5.6000000000000001E-2</v>
      </c>
      <c r="M407" s="3">
        <v>3</v>
      </c>
      <c r="N407" s="3">
        <v>2</v>
      </c>
      <c r="O407" s="3">
        <v>1</v>
      </c>
      <c r="P407" s="3">
        <v>1</v>
      </c>
      <c r="Q407" s="3">
        <v>1</v>
      </c>
    </row>
    <row r="408" spans="1:17">
      <c r="A408" t="s">
        <v>1430</v>
      </c>
      <c r="B408" s="3" t="s">
        <v>511</v>
      </c>
      <c r="C408" s="3" t="s">
        <v>512</v>
      </c>
      <c r="D408" s="3" t="s">
        <v>14</v>
      </c>
      <c r="E408" s="3" t="s">
        <v>12</v>
      </c>
      <c r="F408" s="3">
        <v>0</v>
      </c>
      <c r="G408" s="74">
        <f>F408*VLOOKUP(D408,GWPs!$B$3:$C$6,2,FALSE)</f>
        <v>0</v>
      </c>
      <c r="H408" s="3">
        <v>0</v>
      </c>
      <c r="I408" s="74">
        <f>H408*VLOOKUP(D408,GWPs!$B$3:$C$6,2,FALSE)</f>
        <v>0</v>
      </c>
      <c r="J408" s="3">
        <v>0</v>
      </c>
      <c r="K408" s="74">
        <f>J408*VLOOKUP(D408,GWPs!$B$3:$C$6,2,FALSE)</f>
        <v>0</v>
      </c>
      <c r="M408" s="3">
        <v>3</v>
      </c>
      <c r="N408" s="3">
        <v>2</v>
      </c>
      <c r="O408" s="3">
        <v>1</v>
      </c>
      <c r="P408" s="3">
        <v>3</v>
      </c>
      <c r="Q408" s="3">
        <v>1</v>
      </c>
    </row>
    <row r="409" spans="1:17">
      <c r="A409" t="s">
        <v>1430</v>
      </c>
      <c r="B409" s="3" t="s">
        <v>511</v>
      </c>
      <c r="C409" s="3" t="s">
        <v>512</v>
      </c>
      <c r="D409" s="3" t="s">
        <v>15</v>
      </c>
      <c r="E409" s="3" t="s">
        <v>16</v>
      </c>
      <c r="F409" s="3">
        <v>3.0000000000000001E-3</v>
      </c>
      <c r="G409" s="74">
        <f>F409*VLOOKUP(D409,GWPs!$B$3:$C$6,2,FALSE)</f>
        <v>3.0000000000000001E-3</v>
      </c>
      <c r="H409" s="3">
        <v>0</v>
      </c>
      <c r="I409" s="74">
        <f>H409*VLOOKUP(D409,GWPs!$B$3:$C$6,2,FALSE)</f>
        <v>0</v>
      </c>
      <c r="J409" s="3">
        <v>3.0000000000000001E-3</v>
      </c>
      <c r="K409" s="74">
        <f>J409*VLOOKUP(D409,GWPs!$B$3:$C$6,2,FALSE)</f>
        <v>3.0000000000000001E-3</v>
      </c>
      <c r="M409" s="3">
        <v>4</v>
      </c>
      <c r="N409" s="3">
        <v>2</v>
      </c>
      <c r="O409" s="3">
        <v>1</v>
      </c>
      <c r="P409" s="3">
        <v>4</v>
      </c>
      <c r="Q409" s="3">
        <v>1</v>
      </c>
    </row>
    <row r="410" spans="1:17">
      <c r="A410" t="s">
        <v>1430</v>
      </c>
      <c r="B410" s="3" t="s">
        <v>513</v>
      </c>
      <c r="C410" s="3" t="s">
        <v>514</v>
      </c>
      <c r="D410" s="3" t="s">
        <v>11</v>
      </c>
      <c r="E410" s="3" t="s">
        <v>12</v>
      </c>
      <c r="F410" s="3">
        <v>9.4E-2</v>
      </c>
      <c r="G410" s="74">
        <f>F410*VLOOKUP(D410,GWPs!$B$3:$C$6,2,FALSE)</f>
        <v>9.4E-2</v>
      </c>
      <c r="H410" s="3">
        <v>0.04</v>
      </c>
      <c r="I410" s="74">
        <f>H410*VLOOKUP(D410,GWPs!$B$3:$C$6,2,FALSE)</f>
        <v>0.04</v>
      </c>
      <c r="J410" s="3">
        <v>0.13400000000000001</v>
      </c>
      <c r="K410" s="74">
        <f>J410*VLOOKUP(D410,GWPs!$B$3:$C$6,2,FALSE)</f>
        <v>0.13400000000000001</v>
      </c>
      <c r="M410" s="3">
        <v>3</v>
      </c>
      <c r="N410" s="3">
        <v>2</v>
      </c>
      <c r="O410" s="3">
        <v>1</v>
      </c>
      <c r="P410" s="3">
        <v>3</v>
      </c>
      <c r="Q410" s="3">
        <v>1</v>
      </c>
    </row>
    <row r="411" spans="1:17">
      <c r="A411" t="s">
        <v>1430</v>
      </c>
      <c r="B411" s="3" t="s">
        <v>513</v>
      </c>
      <c r="C411" s="3" t="s">
        <v>514</v>
      </c>
      <c r="D411" s="3" t="s">
        <v>13</v>
      </c>
      <c r="E411" s="3" t="s">
        <v>12</v>
      </c>
      <c r="F411" s="3">
        <v>0</v>
      </c>
      <c r="G411" s="74">
        <f>F411*VLOOKUP(D411,GWPs!$B$3:$C$6,2,FALSE)</f>
        <v>0</v>
      </c>
      <c r="H411" s="3">
        <v>0</v>
      </c>
      <c r="I411" s="74">
        <f>H411*VLOOKUP(D411,GWPs!$B$3:$C$6,2,FALSE)</f>
        <v>0</v>
      </c>
      <c r="J411" s="3">
        <v>1E-3</v>
      </c>
      <c r="K411" s="74">
        <f>J411*VLOOKUP(D411,GWPs!$B$3:$C$6,2,FALSE)</f>
        <v>2.8000000000000001E-2</v>
      </c>
      <c r="M411" s="3">
        <v>3</v>
      </c>
      <c r="N411" s="3">
        <v>2</v>
      </c>
      <c r="O411" s="3">
        <v>1</v>
      </c>
      <c r="P411" s="3">
        <v>1</v>
      </c>
      <c r="Q411" s="3">
        <v>1</v>
      </c>
    </row>
    <row r="412" spans="1:17">
      <c r="A412" t="s">
        <v>1430</v>
      </c>
      <c r="B412" s="3" t="s">
        <v>513</v>
      </c>
      <c r="C412" s="3" t="s">
        <v>514</v>
      </c>
      <c r="D412" s="3" t="s">
        <v>14</v>
      </c>
      <c r="E412" s="3" t="s">
        <v>12</v>
      </c>
      <c r="F412" s="3">
        <v>0</v>
      </c>
      <c r="G412" s="74">
        <f>F412*VLOOKUP(D412,GWPs!$B$3:$C$6,2,FALSE)</f>
        <v>0</v>
      </c>
      <c r="H412" s="3">
        <v>0</v>
      </c>
      <c r="I412" s="74">
        <f>H412*VLOOKUP(D412,GWPs!$B$3:$C$6,2,FALSE)</f>
        <v>0</v>
      </c>
      <c r="J412" s="3">
        <v>0</v>
      </c>
      <c r="K412" s="74">
        <f>J412*VLOOKUP(D412,GWPs!$B$3:$C$6,2,FALSE)</f>
        <v>0</v>
      </c>
      <c r="M412" s="3">
        <v>3</v>
      </c>
      <c r="N412" s="3">
        <v>2</v>
      </c>
      <c r="O412" s="3">
        <v>1</v>
      </c>
      <c r="P412" s="3">
        <v>3</v>
      </c>
      <c r="Q412" s="3">
        <v>1</v>
      </c>
    </row>
    <row r="413" spans="1:17">
      <c r="A413" t="s">
        <v>1430</v>
      </c>
      <c r="B413" s="3" t="s">
        <v>513</v>
      </c>
      <c r="C413" s="3" t="s">
        <v>514</v>
      </c>
      <c r="D413" s="3" t="s">
        <v>15</v>
      </c>
      <c r="E413" s="3" t="s">
        <v>16</v>
      </c>
      <c r="F413" s="3">
        <v>5.0000000000000001E-3</v>
      </c>
      <c r="G413" s="74">
        <f>F413*VLOOKUP(D413,GWPs!$B$3:$C$6,2,FALSE)</f>
        <v>5.0000000000000001E-3</v>
      </c>
      <c r="H413" s="3">
        <v>0</v>
      </c>
      <c r="I413" s="74">
        <f>H413*VLOOKUP(D413,GWPs!$B$3:$C$6,2,FALSE)</f>
        <v>0</v>
      </c>
      <c r="J413" s="3">
        <v>5.0000000000000001E-3</v>
      </c>
      <c r="K413" s="74">
        <f>J413*VLOOKUP(D413,GWPs!$B$3:$C$6,2,FALSE)</f>
        <v>5.0000000000000001E-3</v>
      </c>
      <c r="M413" s="3">
        <v>3</v>
      </c>
      <c r="N413" s="3">
        <v>2</v>
      </c>
      <c r="O413" s="3">
        <v>1</v>
      </c>
      <c r="P413" s="3">
        <v>3</v>
      </c>
      <c r="Q413" s="3">
        <v>1</v>
      </c>
    </row>
    <row r="414" spans="1:17">
      <c r="A414" t="s">
        <v>1430</v>
      </c>
      <c r="B414" s="3" t="s">
        <v>515</v>
      </c>
      <c r="C414" s="3" t="s">
        <v>516</v>
      </c>
      <c r="D414" s="3" t="s">
        <v>11</v>
      </c>
      <c r="E414" s="3" t="s">
        <v>12</v>
      </c>
      <c r="F414" s="3">
        <v>4.2000000000000003E-2</v>
      </c>
      <c r="G414" s="74">
        <f>F414*VLOOKUP(D414,GWPs!$B$3:$C$6,2,FALSE)</f>
        <v>4.2000000000000003E-2</v>
      </c>
      <c r="H414" s="3">
        <v>4.9000000000000002E-2</v>
      </c>
      <c r="I414" s="74">
        <f>H414*VLOOKUP(D414,GWPs!$B$3:$C$6,2,FALSE)</f>
        <v>4.9000000000000002E-2</v>
      </c>
      <c r="J414" s="3">
        <v>9.0999999999999998E-2</v>
      </c>
      <c r="K414" s="74">
        <f>J414*VLOOKUP(D414,GWPs!$B$3:$C$6,2,FALSE)</f>
        <v>9.0999999999999998E-2</v>
      </c>
      <c r="M414" s="3">
        <v>3</v>
      </c>
      <c r="N414" s="3">
        <v>2</v>
      </c>
      <c r="O414" s="3">
        <v>1</v>
      </c>
      <c r="P414" s="3">
        <v>4</v>
      </c>
      <c r="Q414" s="3">
        <v>1</v>
      </c>
    </row>
    <row r="415" spans="1:17">
      <c r="A415" t="s">
        <v>1430</v>
      </c>
      <c r="B415" s="3" t="s">
        <v>515</v>
      </c>
      <c r="C415" s="3" t="s">
        <v>516</v>
      </c>
      <c r="D415" s="3" t="s">
        <v>13</v>
      </c>
      <c r="E415" s="3" t="s">
        <v>12</v>
      </c>
      <c r="F415" s="3">
        <v>0</v>
      </c>
      <c r="G415" s="74">
        <f>F415*VLOOKUP(D415,GWPs!$B$3:$C$6,2,FALSE)</f>
        <v>0</v>
      </c>
      <c r="H415" s="3">
        <v>0</v>
      </c>
      <c r="I415" s="74">
        <f>H415*VLOOKUP(D415,GWPs!$B$3:$C$6,2,FALSE)</f>
        <v>0</v>
      </c>
      <c r="J415" s="3">
        <v>0</v>
      </c>
      <c r="K415" s="74">
        <f>J415*VLOOKUP(D415,GWPs!$B$3:$C$6,2,FALSE)</f>
        <v>0</v>
      </c>
      <c r="M415" s="3">
        <v>3</v>
      </c>
      <c r="N415" s="3">
        <v>2</v>
      </c>
      <c r="O415" s="3">
        <v>1</v>
      </c>
      <c r="P415" s="3">
        <v>1</v>
      </c>
      <c r="Q415" s="3">
        <v>1</v>
      </c>
    </row>
    <row r="416" spans="1:17">
      <c r="A416" t="s">
        <v>1430</v>
      </c>
      <c r="B416" s="3" t="s">
        <v>515</v>
      </c>
      <c r="C416" s="3" t="s">
        <v>516</v>
      </c>
      <c r="D416" s="3" t="s">
        <v>14</v>
      </c>
      <c r="E416" s="3" t="s">
        <v>12</v>
      </c>
      <c r="F416" s="3">
        <v>0</v>
      </c>
      <c r="G416" s="74">
        <f>F416*VLOOKUP(D416,GWPs!$B$3:$C$6,2,FALSE)</f>
        <v>0</v>
      </c>
      <c r="H416" s="3">
        <v>0</v>
      </c>
      <c r="I416" s="74">
        <f>H416*VLOOKUP(D416,GWPs!$B$3:$C$6,2,FALSE)</f>
        <v>0</v>
      </c>
      <c r="J416" s="3">
        <v>0</v>
      </c>
      <c r="K416" s="74">
        <f>J416*VLOOKUP(D416,GWPs!$B$3:$C$6,2,FALSE)</f>
        <v>0</v>
      </c>
      <c r="M416" s="3">
        <v>3</v>
      </c>
      <c r="N416" s="3">
        <v>2</v>
      </c>
      <c r="O416" s="3">
        <v>1</v>
      </c>
      <c r="P416" s="3">
        <v>3</v>
      </c>
      <c r="Q416" s="3">
        <v>1</v>
      </c>
    </row>
    <row r="417" spans="1:17">
      <c r="A417" t="s">
        <v>1430</v>
      </c>
      <c r="B417" s="3" t="s">
        <v>515</v>
      </c>
      <c r="C417" s="3" t="s">
        <v>516</v>
      </c>
      <c r="D417" s="3" t="s">
        <v>15</v>
      </c>
      <c r="E417" s="3" t="s">
        <v>16</v>
      </c>
      <c r="F417" s="3">
        <v>1E-3</v>
      </c>
      <c r="G417" s="74">
        <f>F417*VLOOKUP(D417,GWPs!$B$3:$C$6,2,FALSE)</f>
        <v>1E-3</v>
      </c>
      <c r="H417" s="3">
        <v>0</v>
      </c>
      <c r="I417" s="74">
        <f>H417*VLOOKUP(D417,GWPs!$B$3:$C$6,2,FALSE)</f>
        <v>0</v>
      </c>
      <c r="J417" s="3">
        <v>1E-3</v>
      </c>
      <c r="K417" s="74">
        <f>J417*VLOOKUP(D417,GWPs!$B$3:$C$6,2,FALSE)</f>
        <v>1E-3</v>
      </c>
      <c r="M417" s="3">
        <v>3</v>
      </c>
      <c r="N417" s="3">
        <v>2</v>
      </c>
      <c r="O417" s="3">
        <v>1</v>
      </c>
      <c r="P417" s="3">
        <v>4</v>
      </c>
      <c r="Q417" s="3">
        <v>1</v>
      </c>
    </row>
    <row r="418" spans="1:17">
      <c r="A418" t="s">
        <v>1429</v>
      </c>
      <c r="B418" s="3" t="s">
        <v>517</v>
      </c>
      <c r="C418" s="3" t="s">
        <v>518</v>
      </c>
      <c r="D418" s="3" t="s">
        <v>11</v>
      </c>
      <c r="E418" s="3" t="s">
        <v>12</v>
      </c>
      <c r="F418" s="3">
        <v>0.34899999999999998</v>
      </c>
      <c r="G418" s="74">
        <f>F418*VLOOKUP(D418,GWPs!$B$3:$C$6,2,FALSE)</f>
        <v>0.34899999999999998</v>
      </c>
      <c r="H418" s="3">
        <v>0.03</v>
      </c>
      <c r="I418" s="74">
        <f>H418*VLOOKUP(D418,GWPs!$B$3:$C$6,2,FALSE)</f>
        <v>0.03</v>
      </c>
      <c r="J418" s="3">
        <v>0.379</v>
      </c>
      <c r="K418" s="74">
        <f>J418*VLOOKUP(D418,GWPs!$B$3:$C$6,2,FALSE)</f>
        <v>0.379</v>
      </c>
      <c r="M418" s="3">
        <v>4</v>
      </c>
      <c r="N418" s="3">
        <v>2</v>
      </c>
      <c r="O418" s="3">
        <v>1</v>
      </c>
      <c r="P418" s="3">
        <v>4</v>
      </c>
      <c r="Q418" s="3">
        <v>1</v>
      </c>
    </row>
    <row r="419" spans="1:17">
      <c r="A419" t="s">
        <v>1429</v>
      </c>
      <c r="B419" s="3" t="s">
        <v>517</v>
      </c>
      <c r="C419" s="3" t="s">
        <v>518</v>
      </c>
      <c r="D419" s="3" t="s">
        <v>13</v>
      </c>
      <c r="E419" s="3" t="s">
        <v>12</v>
      </c>
      <c r="F419" s="3">
        <v>1E-3</v>
      </c>
      <c r="G419" s="74">
        <f>F419*VLOOKUP(D419,GWPs!$B$3:$C$6,2,FALSE)</f>
        <v>2.8000000000000001E-2</v>
      </c>
      <c r="H419" s="3">
        <v>0</v>
      </c>
      <c r="I419" s="74">
        <f>H419*VLOOKUP(D419,GWPs!$B$3:$C$6,2,FALSE)</f>
        <v>0</v>
      </c>
      <c r="J419" s="3">
        <v>1E-3</v>
      </c>
      <c r="K419" s="74">
        <f>J419*VLOOKUP(D419,GWPs!$B$3:$C$6,2,FALSE)</f>
        <v>2.8000000000000001E-2</v>
      </c>
      <c r="M419" s="3">
        <v>4</v>
      </c>
      <c r="N419" s="3">
        <v>2</v>
      </c>
      <c r="O419" s="3">
        <v>1</v>
      </c>
      <c r="P419" s="3">
        <v>1</v>
      </c>
      <c r="Q419" s="3">
        <v>1</v>
      </c>
    </row>
    <row r="420" spans="1:17">
      <c r="A420" t="s">
        <v>1429</v>
      </c>
      <c r="B420" s="3" t="s">
        <v>517</v>
      </c>
      <c r="C420" s="3" t="s">
        <v>518</v>
      </c>
      <c r="D420" s="3" t="s">
        <v>14</v>
      </c>
      <c r="E420" s="3" t="s">
        <v>12</v>
      </c>
      <c r="F420" s="3">
        <v>0</v>
      </c>
      <c r="G420" s="74">
        <f>F420*VLOOKUP(D420,GWPs!$B$3:$C$6,2,FALSE)</f>
        <v>0</v>
      </c>
      <c r="H420" s="3">
        <v>0</v>
      </c>
      <c r="I420" s="74">
        <f>H420*VLOOKUP(D420,GWPs!$B$3:$C$6,2,FALSE)</f>
        <v>0</v>
      </c>
      <c r="J420" s="3">
        <v>0</v>
      </c>
      <c r="K420" s="74">
        <f>J420*VLOOKUP(D420,GWPs!$B$3:$C$6,2,FALSE)</f>
        <v>0</v>
      </c>
      <c r="M420" s="3">
        <v>3</v>
      </c>
      <c r="N420" s="3">
        <v>2</v>
      </c>
      <c r="O420" s="3">
        <v>1</v>
      </c>
      <c r="P420" s="3">
        <v>3</v>
      </c>
      <c r="Q420" s="3">
        <v>1</v>
      </c>
    </row>
    <row r="421" spans="1:17">
      <c r="A421" t="s">
        <v>1429</v>
      </c>
      <c r="B421" s="3" t="s">
        <v>517</v>
      </c>
      <c r="C421" s="3" t="s">
        <v>518</v>
      </c>
      <c r="D421" s="3" t="s">
        <v>15</v>
      </c>
      <c r="E421" s="3" t="s">
        <v>16</v>
      </c>
      <c r="F421" s="3">
        <v>6.0000000000000001E-3</v>
      </c>
      <c r="G421" s="74">
        <f>F421*VLOOKUP(D421,GWPs!$B$3:$C$6,2,FALSE)</f>
        <v>6.0000000000000001E-3</v>
      </c>
      <c r="H421" s="3">
        <v>0</v>
      </c>
      <c r="I421" s="74">
        <f>H421*VLOOKUP(D421,GWPs!$B$3:$C$6,2,FALSE)</f>
        <v>0</v>
      </c>
      <c r="J421" s="3">
        <v>6.0000000000000001E-3</v>
      </c>
      <c r="K421" s="74">
        <f>J421*VLOOKUP(D421,GWPs!$B$3:$C$6,2,FALSE)</f>
        <v>6.0000000000000001E-3</v>
      </c>
      <c r="M421" s="3">
        <v>3</v>
      </c>
      <c r="N421" s="3">
        <v>2</v>
      </c>
      <c r="O421" s="3">
        <v>1</v>
      </c>
      <c r="P421" s="3">
        <v>3</v>
      </c>
      <c r="Q421" s="3">
        <v>1</v>
      </c>
    </row>
    <row r="422" spans="1:17">
      <c r="A422" t="s">
        <v>1430</v>
      </c>
      <c r="B422" s="3" t="s">
        <v>519</v>
      </c>
      <c r="C422" s="3" t="s">
        <v>520</v>
      </c>
      <c r="D422" s="3" t="s">
        <v>11</v>
      </c>
      <c r="E422" s="3" t="s">
        <v>12</v>
      </c>
      <c r="F422" s="3">
        <v>0.19900000000000001</v>
      </c>
      <c r="G422" s="74">
        <f>F422*VLOOKUP(D422,GWPs!$B$3:$C$6,2,FALSE)</f>
        <v>0.19900000000000001</v>
      </c>
      <c r="H422" s="3">
        <v>8.9999999999999993E-3</v>
      </c>
      <c r="I422" s="74">
        <f>H422*VLOOKUP(D422,GWPs!$B$3:$C$6,2,FALSE)</f>
        <v>8.9999999999999993E-3</v>
      </c>
      <c r="J422" s="3">
        <v>0.20799999999999999</v>
      </c>
      <c r="K422" s="74">
        <f>J422*VLOOKUP(D422,GWPs!$B$3:$C$6,2,FALSE)</f>
        <v>0.20799999999999999</v>
      </c>
      <c r="M422" s="3">
        <v>4</v>
      </c>
      <c r="N422" s="3">
        <v>2</v>
      </c>
      <c r="O422" s="3">
        <v>1</v>
      </c>
      <c r="P422" s="3">
        <v>4</v>
      </c>
      <c r="Q422" s="3">
        <v>1</v>
      </c>
    </row>
    <row r="423" spans="1:17">
      <c r="A423" t="s">
        <v>1430</v>
      </c>
      <c r="B423" s="3" t="s">
        <v>519</v>
      </c>
      <c r="C423" s="3" t="s">
        <v>520</v>
      </c>
      <c r="D423" s="3" t="s">
        <v>13</v>
      </c>
      <c r="E423" s="3" t="s">
        <v>12</v>
      </c>
      <c r="F423" s="3">
        <v>1E-3</v>
      </c>
      <c r="G423" s="74">
        <f>F423*VLOOKUP(D423,GWPs!$B$3:$C$6,2,FALSE)</f>
        <v>2.8000000000000001E-2</v>
      </c>
      <c r="H423" s="3">
        <v>0</v>
      </c>
      <c r="I423" s="74">
        <f>H423*VLOOKUP(D423,GWPs!$B$3:$C$6,2,FALSE)</f>
        <v>0</v>
      </c>
      <c r="J423" s="3">
        <v>1E-3</v>
      </c>
      <c r="K423" s="74">
        <f>J423*VLOOKUP(D423,GWPs!$B$3:$C$6,2,FALSE)</f>
        <v>2.8000000000000001E-2</v>
      </c>
      <c r="M423" s="3">
        <v>4</v>
      </c>
      <c r="N423" s="3">
        <v>2</v>
      </c>
      <c r="O423" s="3">
        <v>1</v>
      </c>
      <c r="P423" s="3">
        <v>1</v>
      </c>
      <c r="Q423" s="3">
        <v>1</v>
      </c>
    </row>
    <row r="424" spans="1:17">
      <c r="A424" t="s">
        <v>1430</v>
      </c>
      <c r="B424" s="3" t="s">
        <v>519</v>
      </c>
      <c r="C424" s="3" t="s">
        <v>520</v>
      </c>
      <c r="D424" s="3" t="s">
        <v>14</v>
      </c>
      <c r="E424" s="3" t="s">
        <v>12</v>
      </c>
      <c r="F424" s="3">
        <v>0</v>
      </c>
      <c r="G424" s="74">
        <f>F424*VLOOKUP(D424,GWPs!$B$3:$C$6,2,FALSE)</f>
        <v>0</v>
      </c>
      <c r="H424" s="3">
        <v>0</v>
      </c>
      <c r="I424" s="74">
        <f>H424*VLOOKUP(D424,GWPs!$B$3:$C$6,2,FALSE)</f>
        <v>0</v>
      </c>
      <c r="J424" s="3">
        <v>0</v>
      </c>
      <c r="K424" s="74">
        <f>J424*VLOOKUP(D424,GWPs!$B$3:$C$6,2,FALSE)</f>
        <v>0</v>
      </c>
      <c r="M424" s="3">
        <v>3</v>
      </c>
      <c r="N424" s="3">
        <v>2</v>
      </c>
      <c r="O424" s="3">
        <v>1</v>
      </c>
      <c r="P424" s="3">
        <v>3</v>
      </c>
      <c r="Q424" s="3">
        <v>1</v>
      </c>
    </row>
    <row r="425" spans="1:17">
      <c r="A425" t="s">
        <v>1430</v>
      </c>
      <c r="B425" s="3" t="s">
        <v>519</v>
      </c>
      <c r="C425" s="3" t="s">
        <v>520</v>
      </c>
      <c r="D425" s="3" t="s">
        <v>15</v>
      </c>
      <c r="E425" s="3" t="s">
        <v>16</v>
      </c>
      <c r="F425" s="3">
        <v>1.0999999999999999E-2</v>
      </c>
      <c r="G425" s="74">
        <f>F425*VLOOKUP(D425,GWPs!$B$3:$C$6,2,FALSE)</f>
        <v>1.0999999999999999E-2</v>
      </c>
      <c r="H425" s="3">
        <v>0</v>
      </c>
      <c r="I425" s="74">
        <f>H425*VLOOKUP(D425,GWPs!$B$3:$C$6,2,FALSE)</f>
        <v>0</v>
      </c>
      <c r="J425" s="3">
        <v>1.0999999999999999E-2</v>
      </c>
      <c r="K425" s="74">
        <f>J425*VLOOKUP(D425,GWPs!$B$3:$C$6,2,FALSE)</f>
        <v>1.0999999999999999E-2</v>
      </c>
      <c r="M425" s="3">
        <v>3</v>
      </c>
      <c r="N425" s="3">
        <v>2</v>
      </c>
      <c r="O425" s="3">
        <v>1</v>
      </c>
      <c r="P425" s="3">
        <v>3</v>
      </c>
      <c r="Q425" s="3">
        <v>1</v>
      </c>
    </row>
    <row r="426" spans="1:17">
      <c r="A426" t="s">
        <v>1430</v>
      </c>
      <c r="B426" s="3" t="s">
        <v>521</v>
      </c>
      <c r="C426" s="3" t="s">
        <v>522</v>
      </c>
      <c r="D426" s="3" t="s">
        <v>11</v>
      </c>
      <c r="E426" s="3" t="s">
        <v>12</v>
      </c>
      <c r="F426" s="3">
        <v>0.33</v>
      </c>
      <c r="G426" s="74">
        <f>F426*VLOOKUP(D426,GWPs!$B$3:$C$6,2,FALSE)</f>
        <v>0.33</v>
      </c>
      <c r="H426" s="3">
        <v>4.2000000000000003E-2</v>
      </c>
      <c r="I426" s="74">
        <f>H426*VLOOKUP(D426,GWPs!$B$3:$C$6,2,FALSE)</f>
        <v>4.2000000000000003E-2</v>
      </c>
      <c r="J426" s="3">
        <v>0.372</v>
      </c>
      <c r="K426" s="74">
        <f>J426*VLOOKUP(D426,GWPs!$B$3:$C$6,2,FALSE)</f>
        <v>0.372</v>
      </c>
      <c r="M426" s="3">
        <v>4</v>
      </c>
      <c r="N426" s="3">
        <v>2</v>
      </c>
      <c r="O426" s="3">
        <v>1</v>
      </c>
      <c r="P426" s="3">
        <v>4</v>
      </c>
      <c r="Q426" s="3">
        <v>1</v>
      </c>
    </row>
    <row r="427" spans="1:17">
      <c r="A427" t="s">
        <v>1430</v>
      </c>
      <c r="B427" s="3" t="s">
        <v>521</v>
      </c>
      <c r="C427" s="3" t="s">
        <v>522</v>
      </c>
      <c r="D427" s="3" t="s">
        <v>13</v>
      </c>
      <c r="E427" s="3" t="s">
        <v>12</v>
      </c>
      <c r="F427" s="3">
        <v>1E-3</v>
      </c>
      <c r="G427" s="74">
        <f>F427*VLOOKUP(D427,GWPs!$B$3:$C$6,2,FALSE)</f>
        <v>2.8000000000000001E-2</v>
      </c>
      <c r="H427" s="3">
        <v>0</v>
      </c>
      <c r="I427" s="74">
        <f>H427*VLOOKUP(D427,GWPs!$B$3:$C$6,2,FALSE)</f>
        <v>0</v>
      </c>
      <c r="J427" s="3">
        <v>1E-3</v>
      </c>
      <c r="K427" s="74">
        <f>J427*VLOOKUP(D427,GWPs!$B$3:$C$6,2,FALSE)</f>
        <v>2.8000000000000001E-2</v>
      </c>
      <c r="M427" s="3">
        <v>4</v>
      </c>
      <c r="N427" s="3">
        <v>2</v>
      </c>
      <c r="O427" s="3">
        <v>1</v>
      </c>
      <c r="P427" s="3">
        <v>1</v>
      </c>
      <c r="Q427" s="3">
        <v>1</v>
      </c>
    </row>
    <row r="428" spans="1:17">
      <c r="A428" t="s">
        <v>1430</v>
      </c>
      <c r="B428" s="3" t="s">
        <v>521</v>
      </c>
      <c r="C428" s="3" t="s">
        <v>522</v>
      </c>
      <c r="D428" s="3" t="s">
        <v>14</v>
      </c>
      <c r="E428" s="3" t="s">
        <v>12</v>
      </c>
      <c r="F428" s="3">
        <v>0</v>
      </c>
      <c r="G428" s="74">
        <f>F428*VLOOKUP(D428,GWPs!$B$3:$C$6,2,FALSE)</f>
        <v>0</v>
      </c>
      <c r="H428" s="3">
        <v>0</v>
      </c>
      <c r="I428" s="74">
        <f>H428*VLOOKUP(D428,GWPs!$B$3:$C$6,2,FALSE)</f>
        <v>0</v>
      </c>
      <c r="J428" s="3">
        <v>0</v>
      </c>
      <c r="K428" s="74">
        <f>J428*VLOOKUP(D428,GWPs!$B$3:$C$6,2,FALSE)</f>
        <v>0</v>
      </c>
      <c r="M428" s="3">
        <v>3</v>
      </c>
      <c r="N428" s="3">
        <v>2</v>
      </c>
      <c r="O428" s="3">
        <v>1</v>
      </c>
      <c r="P428" s="3">
        <v>3</v>
      </c>
      <c r="Q428" s="3">
        <v>1</v>
      </c>
    </row>
    <row r="429" spans="1:17">
      <c r="A429" t="s">
        <v>1430</v>
      </c>
      <c r="B429" s="3" t="s">
        <v>521</v>
      </c>
      <c r="C429" s="3" t="s">
        <v>522</v>
      </c>
      <c r="D429" s="3" t="s">
        <v>15</v>
      </c>
      <c r="E429" s="3" t="s">
        <v>16</v>
      </c>
      <c r="F429" s="3">
        <v>1.4E-2</v>
      </c>
      <c r="G429" s="74">
        <f>F429*VLOOKUP(D429,GWPs!$B$3:$C$6,2,FALSE)</f>
        <v>1.4E-2</v>
      </c>
      <c r="H429" s="3">
        <v>0</v>
      </c>
      <c r="I429" s="74">
        <f>H429*VLOOKUP(D429,GWPs!$B$3:$C$6,2,FALSE)</f>
        <v>0</v>
      </c>
      <c r="J429" s="3">
        <v>1.4E-2</v>
      </c>
      <c r="K429" s="74">
        <f>J429*VLOOKUP(D429,GWPs!$B$3:$C$6,2,FALSE)</f>
        <v>1.4E-2</v>
      </c>
      <c r="M429" s="3">
        <v>4</v>
      </c>
      <c r="N429" s="3">
        <v>2</v>
      </c>
      <c r="O429" s="3">
        <v>1</v>
      </c>
      <c r="P429" s="3">
        <v>4</v>
      </c>
      <c r="Q429" s="3">
        <v>1</v>
      </c>
    </row>
    <row r="430" spans="1:17">
      <c r="A430" t="s">
        <v>1430</v>
      </c>
      <c r="B430" s="3" t="s">
        <v>523</v>
      </c>
      <c r="C430" s="3" t="s">
        <v>524</v>
      </c>
      <c r="D430" s="3" t="s">
        <v>11</v>
      </c>
      <c r="E430" s="3" t="s">
        <v>12</v>
      </c>
      <c r="F430" s="3">
        <v>0.20499999999999999</v>
      </c>
      <c r="G430" s="74">
        <f>F430*VLOOKUP(D430,GWPs!$B$3:$C$6,2,FALSE)</f>
        <v>0.20499999999999999</v>
      </c>
      <c r="H430" s="3">
        <v>0.159</v>
      </c>
      <c r="I430" s="74">
        <f>H430*VLOOKUP(D430,GWPs!$B$3:$C$6,2,FALSE)</f>
        <v>0.159</v>
      </c>
      <c r="J430" s="3">
        <v>0.36399999999999999</v>
      </c>
      <c r="K430" s="74">
        <f>J430*VLOOKUP(D430,GWPs!$B$3:$C$6,2,FALSE)</f>
        <v>0.36399999999999999</v>
      </c>
      <c r="M430" s="3">
        <v>3</v>
      </c>
      <c r="N430" s="3">
        <v>2</v>
      </c>
      <c r="O430" s="3">
        <v>1</v>
      </c>
      <c r="P430" s="3">
        <v>4</v>
      </c>
      <c r="Q430" s="3">
        <v>1</v>
      </c>
    </row>
    <row r="431" spans="1:17">
      <c r="A431" t="s">
        <v>1430</v>
      </c>
      <c r="B431" s="3" t="s">
        <v>523</v>
      </c>
      <c r="C431" s="3" t="s">
        <v>524</v>
      </c>
      <c r="D431" s="3" t="s">
        <v>13</v>
      </c>
      <c r="E431" s="3" t="s">
        <v>12</v>
      </c>
      <c r="F431" s="3">
        <v>1E-3</v>
      </c>
      <c r="G431" s="74">
        <f>F431*VLOOKUP(D431,GWPs!$B$3:$C$6,2,FALSE)</f>
        <v>2.8000000000000001E-2</v>
      </c>
      <c r="H431" s="3">
        <v>1E-3</v>
      </c>
      <c r="I431" s="74">
        <f>H431*VLOOKUP(D431,GWPs!$B$3:$C$6,2,FALSE)</f>
        <v>2.8000000000000001E-2</v>
      </c>
      <c r="J431" s="3">
        <v>2E-3</v>
      </c>
      <c r="K431" s="74">
        <f>J431*VLOOKUP(D431,GWPs!$B$3:$C$6,2,FALSE)</f>
        <v>5.6000000000000001E-2</v>
      </c>
      <c r="M431" s="3">
        <v>4</v>
      </c>
      <c r="N431" s="3">
        <v>2</v>
      </c>
      <c r="O431" s="3">
        <v>1</v>
      </c>
      <c r="P431" s="3">
        <v>1</v>
      </c>
      <c r="Q431" s="3">
        <v>1</v>
      </c>
    </row>
    <row r="432" spans="1:17">
      <c r="A432" t="s">
        <v>1430</v>
      </c>
      <c r="B432" s="3" t="s">
        <v>523</v>
      </c>
      <c r="C432" s="3" t="s">
        <v>524</v>
      </c>
      <c r="D432" s="3" t="s">
        <v>14</v>
      </c>
      <c r="E432" s="3" t="s">
        <v>12</v>
      </c>
      <c r="F432" s="3">
        <v>0</v>
      </c>
      <c r="G432" s="74">
        <f>F432*VLOOKUP(D432,GWPs!$B$3:$C$6,2,FALSE)</f>
        <v>0</v>
      </c>
      <c r="H432" s="3">
        <v>0</v>
      </c>
      <c r="I432" s="74">
        <f>H432*VLOOKUP(D432,GWPs!$B$3:$C$6,2,FALSE)</f>
        <v>0</v>
      </c>
      <c r="J432" s="3">
        <v>0</v>
      </c>
      <c r="K432" s="74">
        <f>J432*VLOOKUP(D432,GWPs!$B$3:$C$6,2,FALSE)</f>
        <v>0</v>
      </c>
      <c r="M432" s="3">
        <v>3</v>
      </c>
      <c r="N432" s="3">
        <v>2</v>
      </c>
      <c r="O432" s="3">
        <v>1</v>
      </c>
      <c r="P432" s="3">
        <v>3</v>
      </c>
      <c r="Q432" s="3">
        <v>1</v>
      </c>
    </row>
    <row r="433" spans="1:17">
      <c r="A433" t="s">
        <v>1430</v>
      </c>
      <c r="B433" s="3" t="s">
        <v>523</v>
      </c>
      <c r="C433" s="3" t="s">
        <v>524</v>
      </c>
      <c r="D433" s="3" t="s">
        <v>15</v>
      </c>
      <c r="E433" s="3" t="s">
        <v>16</v>
      </c>
      <c r="F433" s="3">
        <v>7.0000000000000001E-3</v>
      </c>
      <c r="G433" s="74">
        <f>F433*VLOOKUP(D433,GWPs!$B$3:$C$6,2,FALSE)</f>
        <v>7.0000000000000001E-3</v>
      </c>
      <c r="H433" s="3">
        <v>0</v>
      </c>
      <c r="I433" s="74">
        <f>H433*VLOOKUP(D433,GWPs!$B$3:$C$6,2,FALSE)</f>
        <v>0</v>
      </c>
      <c r="J433" s="3">
        <v>7.0000000000000001E-3</v>
      </c>
      <c r="K433" s="74">
        <f>J433*VLOOKUP(D433,GWPs!$B$3:$C$6,2,FALSE)</f>
        <v>7.0000000000000001E-3</v>
      </c>
      <c r="M433" s="3">
        <v>3</v>
      </c>
      <c r="N433" s="3">
        <v>2</v>
      </c>
      <c r="O433" s="3">
        <v>1</v>
      </c>
      <c r="P433" s="3">
        <v>4</v>
      </c>
      <c r="Q433" s="3">
        <v>1</v>
      </c>
    </row>
    <row r="434" spans="1:17">
      <c r="A434" t="s">
        <v>1429</v>
      </c>
      <c r="B434" s="3" t="s">
        <v>525</v>
      </c>
      <c r="C434" s="3" t="s">
        <v>526</v>
      </c>
      <c r="D434" s="3" t="s">
        <v>11</v>
      </c>
      <c r="E434" s="3" t="s">
        <v>12</v>
      </c>
      <c r="F434" s="3">
        <v>0.32300000000000001</v>
      </c>
      <c r="G434" s="74">
        <f>F434*VLOOKUP(D434,GWPs!$B$3:$C$6,2,FALSE)</f>
        <v>0.32300000000000001</v>
      </c>
      <c r="H434" s="3">
        <v>1.4E-2</v>
      </c>
      <c r="I434" s="74">
        <f>H434*VLOOKUP(D434,GWPs!$B$3:$C$6,2,FALSE)</f>
        <v>1.4E-2</v>
      </c>
      <c r="J434" s="3">
        <v>0.33700000000000002</v>
      </c>
      <c r="K434" s="74">
        <f>J434*VLOOKUP(D434,GWPs!$B$3:$C$6,2,FALSE)</f>
        <v>0.33700000000000002</v>
      </c>
      <c r="M434" s="3">
        <v>4</v>
      </c>
      <c r="N434" s="3">
        <v>2</v>
      </c>
      <c r="O434" s="3">
        <v>1</v>
      </c>
      <c r="P434" s="3">
        <v>4</v>
      </c>
      <c r="Q434" s="3">
        <v>1</v>
      </c>
    </row>
    <row r="435" spans="1:17">
      <c r="A435" t="s">
        <v>1429</v>
      </c>
      <c r="B435" s="3" t="s">
        <v>525</v>
      </c>
      <c r="C435" s="3" t="s">
        <v>526</v>
      </c>
      <c r="D435" s="3" t="s">
        <v>13</v>
      </c>
      <c r="E435" s="3" t="s">
        <v>12</v>
      </c>
      <c r="F435" s="3">
        <v>1E-3</v>
      </c>
      <c r="G435" s="74">
        <f>F435*VLOOKUP(D435,GWPs!$B$3:$C$6,2,FALSE)</f>
        <v>2.8000000000000001E-2</v>
      </c>
      <c r="H435" s="3">
        <v>0</v>
      </c>
      <c r="I435" s="74">
        <f>H435*VLOOKUP(D435,GWPs!$B$3:$C$6,2,FALSE)</f>
        <v>0</v>
      </c>
      <c r="J435" s="3">
        <v>1E-3</v>
      </c>
      <c r="K435" s="74">
        <f>J435*VLOOKUP(D435,GWPs!$B$3:$C$6,2,FALSE)</f>
        <v>2.8000000000000001E-2</v>
      </c>
      <c r="M435" s="3">
        <v>4</v>
      </c>
      <c r="N435" s="3">
        <v>2</v>
      </c>
      <c r="O435" s="3">
        <v>1</v>
      </c>
      <c r="P435" s="3">
        <v>1</v>
      </c>
      <c r="Q435" s="3">
        <v>1</v>
      </c>
    </row>
    <row r="436" spans="1:17">
      <c r="A436" t="s">
        <v>1429</v>
      </c>
      <c r="B436" s="3" t="s">
        <v>525</v>
      </c>
      <c r="C436" s="3" t="s">
        <v>526</v>
      </c>
      <c r="D436" s="3" t="s">
        <v>14</v>
      </c>
      <c r="E436" s="3" t="s">
        <v>12</v>
      </c>
      <c r="F436" s="3">
        <v>0</v>
      </c>
      <c r="G436" s="74">
        <f>F436*VLOOKUP(D436,GWPs!$B$3:$C$6,2,FALSE)</f>
        <v>0</v>
      </c>
      <c r="H436" s="3">
        <v>0</v>
      </c>
      <c r="I436" s="74">
        <f>H436*VLOOKUP(D436,GWPs!$B$3:$C$6,2,FALSE)</f>
        <v>0</v>
      </c>
      <c r="J436" s="3">
        <v>0</v>
      </c>
      <c r="K436" s="74">
        <f>J436*VLOOKUP(D436,GWPs!$B$3:$C$6,2,FALSE)</f>
        <v>0</v>
      </c>
      <c r="M436" s="3">
        <v>3</v>
      </c>
      <c r="N436" s="3">
        <v>2</v>
      </c>
      <c r="O436" s="3">
        <v>1</v>
      </c>
      <c r="P436" s="3">
        <v>3</v>
      </c>
      <c r="Q436" s="3">
        <v>1</v>
      </c>
    </row>
    <row r="437" spans="1:17">
      <c r="A437" t="s">
        <v>1429</v>
      </c>
      <c r="B437" s="3" t="s">
        <v>525</v>
      </c>
      <c r="C437" s="3" t="s">
        <v>526</v>
      </c>
      <c r="D437" s="3" t="s">
        <v>15</v>
      </c>
      <c r="E437" s="3" t="s">
        <v>16</v>
      </c>
      <c r="F437" s="3">
        <v>7.0000000000000001E-3</v>
      </c>
      <c r="G437" s="74">
        <f>F437*VLOOKUP(D437,GWPs!$B$3:$C$6,2,FALSE)</f>
        <v>7.0000000000000001E-3</v>
      </c>
      <c r="H437" s="3">
        <v>0</v>
      </c>
      <c r="I437" s="74">
        <f>H437*VLOOKUP(D437,GWPs!$B$3:$C$6,2,FALSE)</f>
        <v>0</v>
      </c>
      <c r="J437" s="3">
        <v>7.0000000000000001E-3</v>
      </c>
      <c r="K437" s="74">
        <f>J437*VLOOKUP(D437,GWPs!$B$3:$C$6,2,FALSE)</f>
        <v>7.0000000000000001E-3</v>
      </c>
      <c r="M437" s="3">
        <v>3</v>
      </c>
      <c r="N437" s="3">
        <v>2</v>
      </c>
      <c r="O437" s="3">
        <v>1</v>
      </c>
      <c r="P437" s="3">
        <v>3</v>
      </c>
      <c r="Q437" s="3">
        <v>1</v>
      </c>
    </row>
    <row r="438" spans="1:17">
      <c r="A438" t="s">
        <v>1430</v>
      </c>
      <c r="B438" s="3" t="s">
        <v>527</v>
      </c>
      <c r="C438" s="3" t="s">
        <v>3593</v>
      </c>
      <c r="D438" s="3" t="s">
        <v>11</v>
      </c>
      <c r="E438" s="3" t="s">
        <v>12</v>
      </c>
      <c r="F438" s="3">
        <v>0.432</v>
      </c>
      <c r="G438" s="74">
        <f>F438*VLOOKUP(D438,GWPs!$B$3:$C$6,2,FALSE)</f>
        <v>0.432</v>
      </c>
      <c r="H438" s="3">
        <v>4.5999999999999999E-2</v>
      </c>
      <c r="I438" s="74">
        <f>H438*VLOOKUP(D438,GWPs!$B$3:$C$6,2,FALSE)</f>
        <v>4.5999999999999999E-2</v>
      </c>
      <c r="J438" s="3">
        <v>0.47799999999999998</v>
      </c>
      <c r="K438" s="74">
        <f>J438*VLOOKUP(D438,GWPs!$B$3:$C$6,2,FALSE)</f>
        <v>0.47799999999999998</v>
      </c>
      <c r="M438" s="3">
        <v>3</v>
      </c>
      <c r="N438" s="3">
        <v>2</v>
      </c>
      <c r="O438" s="3">
        <v>1</v>
      </c>
      <c r="P438" s="3">
        <v>4</v>
      </c>
      <c r="Q438" s="3">
        <v>1</v>
      </c>
    </row>
    <row r="439" spans="1:17">
      <c r="A439" t="s">
        <v>1430</v>
      </c>
      <c r="B439" s="3" t="s">
        <v>527</v>
      </c>
      <c r="C439" s="3" t="s">
        <v>3593</v>
      </c>
      <c r="D439" s="3" t="s">
        <v>13</v>
      </c>
      <c r="E439" s="3" t="s">
        <v>12</v>
      </c>
      <c r="F439" s="3">
        <v>2E-3</v>
      </c>
      <c r="G439" s="74">
        <f>F439*VLOOKUP(D439,GWPs!$B$3:$C$6,2,FALSE)</f>
        <v>5.6000000000000001E-2</v>
      </c>
      <c r="H439" s="3">
        <v>0</v>
      </c>
      <c r="I439" s="74">
        <f>H439*VLOOKUP(D439,GWPs!$B$3:$C$6,2,FALSE)</f>
        <v>0</v>
      </c>
      <c r="J439" s="3">
        <v>2E-3</v>
      </c>
      <c r="K439" s="74">
        <f>J439*VLOOKUP(D439,GWPs!$B$3:$C$6,2,FALSE)</f>
        <v>5.6000000000000001E-2</v>
      </c>
      <c r="M439" s="3">
        <v>4</v>
      </c>
      <c r="N439" s="3">
        <v>2</v>
      </c>
      <c r="O439" s="3">
        <v>1</v>
      </c>
      <c r="P439" s="3">
        <v>1</v>
      </c>
      <c r="Q439" s="3">
        <v>1</v>
      </c>
    </row>
    <row r="440" spans="1:17">
      <c r="A440" t="s">
        <v>1430</v>
      </c>
      <c r="B440" s="3" t="s">
        <v>527</v>
      </c>
      <c r="C440" s="3" t="s">
        <v>3593</v>
      </c>
      <c r="D440" s="3" t="s">
        <v>14</v>
      </c>
      <c r="E440" s="3" t="s">
        <v>12</v>
      </c>
      <c r="F440" s="3">
        <v>0</v>
      </c>
      <c r="G440" s="74">
        <f>F440*VLOOKUP(D440,GWPs!$B$3:$C$6,2,FALSE)</f>
        <v>0</v>
      </c>
      <c r="H440" s="3">
        <v>0</v>
      </c>
      <c r="I440" s="74">
        <f>H440*VLOOKUP(D440,GWPs!$B$3:$C$6,2,FALSE)</f>
        <v>0</v>
      </c>
      <c r="J440" s="3">
        <v>0</v>
      </c>
      <c r="K440" s="74">
        <f>J440*VLOOKUP(D440,GWPs!$B$3:$C$6,2,FALSE)</f>
        <v>0</v>
      </c>
      <c r="M440" s="3">
        <v>3</v>
      </c>
      <c r="N440" s="3">
        <v>2</v>
      </c>
      <c r="O440" s="3">
        <v>1</v>
      </c>
      <c r="P440" s="3">
        <v>3</v>
      </c>
      <c r="Q440" s="3">
        <v>1</v>
      </c>
    </row>
    <row r="441" spans="1:17">
      <c r="A441" t="s">
        <v>1430</v>
      </c>
      <c r="B441" s="3" t="s">
        <v>527</v>
      </c>
      <c r="C441" s="3" t="s">
        <v>3593</v>
      </c>
      <c r="D441" s="3" t="s">
        <v>15</v>
      </c>
      <c r="E441" s="3" t="s">
        <v>16</v>
      </c>
      <c r="F441" s="3">
        <v>2.7E-2</v>
      </c>
      <c r="G441" s="74">
        <f>F441*VLOOKUP(D441,GWPs!$B$3:$C$6,2,FALSE)</f>
        <v>2.7E-2</v>
      </c>
      <c r="H441" s="3">
        <v>0</v>
      </c>
      <c r="I441" s="74">
        <f>H441*VLOOKUP(D441,GWPs!$B$3:$C$6,2,FALSE)</f>
        <v>0</v>
      </c>
      <c r="J441" s="3">
        <v>2.7E-2</v>
      </c>
      <c r="K441" s="74">
        <f>J441*VLOOKUP(D441,GWPs!$B$3:$C$6,2,FALSE)</f>
        <v>2.7E-2</v>
      </c>
      <c r="M441" s="3">
        <v>4</v>
      </c>
      <c r="N441" s="3">
        <v>2</v>
      </c>
      <c r="O441" s="3">
        <v>1</v>
      </c>
      <c r="P441" s="3">
        <v>5</v>
      </c>
      <c r="Q441" s="3">
        <v>1</v>
      </c>
    </row>
    <row r="442" spans="1:17">
      <c r="A442" t="s">
        <v>1429</v>
      </c>
      <c r="B442" s="3" t="s">
        <v>529</v>
      </c>
      <c r="C442" s="3" t="s">
        <v>530</v>
      </c>
      <c r="D442" s="3" t="s">
        <v>11</v>
      </c>
      <c r="E442" s="3" t="s">
        <v>12</v>
      </c>
      <c r="F442" s="3">
        <v>0.46400000000000002</v>
      </c>
      <c r="G442" s="74">
        <f>F442*VLOOKUP(D442,GWPs!$B$3:$C$6,2,FALSE)</f>
        <v>0.46400000000000002</v>
      </c>
      <c r="H442" s="3">
        <v>2.1000000000000001E-2</v>
      </c>
      <c r="I442" s="74">
        <f>H442*VLOOKUP(D442,GWPs!$B$3:$C$6,2,FALSE)</f>
        <v>2.1000000000000001E-2</v>
      </c>
      <c r="J442" s="3">
        <v>0.48499999999999999</v>
      </c>
      <c r="K442" s="74">
        <f>J442*VLOOKUP(D442,GWPs!$B$3:$C$6,2,FALSE)</f>
        <v>0.48499999999999999</v>
      </c>
      <c r="M442" s="3">
        <v>4</v>
      </c>
      <c r="N442" s="3">
        <v>2</v>
      </c>
      <c r="O442" s="3">
        <v>1</v>
      </c>
      <c r="P442" s="3">
        <v>4</v>
      </c>
      <c r="Q442" s="3">
        <v>1</v>
      </c>
    </row>
    <row r="443" spans="1:17">
      <c r="A443" t="s">
        <v>1429</v>
      </c>
      <c r="B443" s="3" t="s">
        <v>529</v>
      </c>
      <c r="C443" s="3" t="s">
        <v>530</v>
      </c>
      <c r="D443" s="3" t="s">
        <v>13</v>
      </c>
      <c r="E443" s="3" t="s">
        <v>12</v>
      </c>
      <c r="F443" s="3">
        <v>1E-3</v>
      </c>
      <c r="G443" s="74">
        <f>F443*VLOOKUP(D443,GWPs!$B$3:$C$6,2,FALSE)</f>
        <v>2.8000000000000001E-2</v>
      </c>
      <c r="H443" s="3">
        <v>0</v>
      </c>
      <c r="I443" s="74">
        <f>H443*VLOOKUP(D443,GWPs!$B$3:$C$6,2,FALSE)</f>
        <v>0</v>
      </c>
      <c r="J443" s="3">
        <v>2E-3</v>
      </c>
      <c r="K443" s="74">
        <f>J443*VLOOKUP(D443,GWPs!$B$3:$C$6,2,FALSE)</f>
        <v>5.6000000000000001E-2</v>
      </c>
      <c r="M443" s="3">
        <v>4</v>
      </c>
      <c r="N443" s="3">
        <v>2</v>
      </c>
      <c r="O443" s="3">
        <v>1</v>
      </c>
      <c r="P443" s="3">
        <v>1</v>
      </c>
      <c r="Q443" s="3">
        <v>1</v>
      </c>
    </row>
    <row r="444" spans="1:17">
      <c r="A444" t="s">
        <v>1429</v>
      </c>
      <c r="B444" s="3" t="s">
        <v>529</v>
      </c>
      <c r="C444" s="3" t="s">
        <v>530</v>
      </c>
      <c r="D444" s="3" t="s">
        <v>14</v>
      </c>
      <c r="E444" s="3" t="s">
        <v>12</v>
      </c>
      <c r="F444" s="3">
        <v>0</v>
      </c>
      <c r="G444" s="74">
        <f>F444*VLOOKUP(D444,GWPs!$B$3:$C$6,2,FALSE)</f>
        <v>0</v>
      </c>
      <c r="H444" s="3">
        <v>0</v>
      </c>
      <c r="I444" s="74">
        <f>H444*VLOOKUP(D444,GWPs!$B$3:$C$6,2,FALSE)</f>
        <v>0</v>
      </c>
      <c r="J444" s="3">
        <v>0</v>
      </c>
      <c r="K444" s="74">
        <f>J444*VLOOKUP(D444,GWPs!$B$3:$C$6,2,FALSE)</f>
        <v>0</v>
      </c>
      <c r="M444" s="3">
        <v>3</v>
      </c>
      <c r="N444" s="3">
        <v>2</v>
      </c>
      <c r="O444" s="3">
        <v>1</v>
      </c>
      <c r="P444" s="3">
        <v>3</v>
      </c>
      <c r="Q444" s="3">
        <v>1</v>
      </c>
    </row>
    <row r="445" spans="1:17">
      <c r="A445" t="s">
        <v>1429</v>
      </c>
      <c r="B445" s="3" t="s">
        <v>529</v>
      </c>
      <c r="C445" s="3" t="s">
        <v>530</v>
      </c>
      <c r="D445" s="3" t="s">
        <v>15</v>
      </c>
      <c r="E445" s="3" t="s">
        <v>16</v>
      </c>
      <c r="F445" s="3">
        <v>7.0000000000000001E-3</v>
      </c>
      <c r="G445" s="74">
        <f>F445*VLOOKUP(D445,GWPs!$B$3:$C$6,2,FALSE)</f>
        <v>7.0000000000000001E-3</v>
      </c>
      <c r="H445" s="3">
        <v>0</v>
      </c>
      <c r="I445" s="74">
        <f>H445*VLOOKUP(D445,GWPs!$B$3:$C$6,2,FALSE)</f>
        <v>0</v>
      </c>
      <c r="J445" s="3">
        <v>7.0000000000000001E-3</v>
      </c>
      <c r="K445" s="74">
        <f>J445*VLOOKUP(D445,GWPs!$B$3:$C$6,2,FALSE)</f>
        <v>7.0000000000000001E-3</v>
      </c>
      <c r="M445" s="3">
        <v>3</v>
      </c>
      <c r="N445" s="3">
        <v>2</v>
      </c>
      <c r="O445" s="3">
        <v>1</v>
      </c>
      <c r="P445" s="3">
        <v>3</v>
      </c>
      <c r="Q445" s="3">
        <v>1</v>
      </c>
    </row>
    <row r="446" spans="1:17">
      <c r="A446" t="s">
        <v>1429</v>
      </c>
      <c r="B446" s="3" t="s">
        <v>531</v>
      </c>
      <c r="C446" s="3" t="s">
        <v>532</v>
      </c>
      <c r="D446" s="3" t="s">
        <v>11</v>
      </c>
      <c r="E446" s="3" t="s">
        <v>12</v>
      </c>
      <c r="F446" s="3">
        <v>0.55300000000000005</v>
      </c>
      <c r="G446" s="74">
        <f>F446*VLOOKUP(D446,GWPs!$B$3:$C$6,2,FALSE)</f>
        <v>0.55300000000000005</v>
      </c>
      <c r="H446" s="3">
        <v>0.04</v>
      </c>
      <c r="I446" s="74">
        <f>H446*VLOOKUP(D446,GWPs!$B$3:$C$6,2,FALSE)</f>
        <v>0.04</v>
      </c>
      <c r="J446" s="3">
        <v>0.59299999999999997</v>
      </c>
      <c r="K446" s="74">
        <f>J446*VLOOKUP(D446,GWPs!$B$3:$C$6,2,FALSE)</f>
        <v>0.59299999999999997</v>
      </c>
      <c r="M446" s="3">
        <v>4</v>
      </c>
      <c r="N446" s="3">
        <v>2</v>
      </c>
      <c r="O446" s="3">
        <v>1</v>
      </c>
      <c r="P446" s="3">
        <v>4</v>
      </c>
      <c r="Q446" s="3">
        <v>1</v>
      </c>
    </row>
    <row r="447" spans="1:17">
      <c r="A447" t="s">
        <v>1429</v>
      </c>
      <c r="B447" s="3" t="s">
        <v>531</v>
      </c>
      <c r="C447" s="3" t="s">
        <v>532</v>
      </c>
      <c r="D447" s="3" t="s">
        <v>13</v>
      </c>
      <c r="E447" s="3" t="s">
        <v>12</v>
      </c>
      <c r="F447" s="3">
        <v>2E-3</v>
      </c>
      <c r="G447" s="74">
        <f>F447*VLOOKUP(D447,GWPs!$B$3:$C$6,2,FALSE)</f>
        <v>5.6000000000000001E-2</v>
      </c>
      <c r="H447" s="3">
        <v>0</v>
      </c>
      <c r="I447" s="74">
        <f>H447*VLOOKUP(D447,GWPs!$B$3:$C$6,2,FALSE)</f>
        <v>0</v>
      </c>
      <c r="J447" s="3">
        <v>2E-3</v>
      </c>
      <c r="K447" s="74">
        <f>J447*VLOOKUP(D447,GWPs!$B$3:$C$6,2,FALSE)</f>
        <v>5.6000000000000001E-2</v>
      </c>
      <c r="M447" s="3">
        <v>4</v>
      </c>
      <c r="N447" s="3">
        <v>2</v>
      </c>
      <c r="O447" s="3">
        <v>1</v>
      </c>
      <c r="P447" s="3">
        <v>1</v>
      </c>
      <c r="Q447" s="3">
        <v>1</v>
      </c>
    </row>
    <row r="448" spans="1:17">
      <c r="A448" t="s">
        <v>1429</v>
      </c>
      <c r="B448" s="3" t="s">
        <v>531</v>
      </c>
      <c r="C448" s="3" t="s">
        <v>532</v>
      </c>
      <c r="D448" s="3" t="s">
        <v>14</v>
      </c>
      <c r="E448" s="3" t="s">
        <v>12</v>
      </c>
      <c r="F448" s="3">
        <v>0</v>
      </c>
      <c r="G448" s="74">
        <f>F448*VLOOKUP(D448,GWPs!$B$3:$C$6,2,FALSE)</f>
        <v>0</v>
      </c>
      <c r="H448" s="3">
        <v>0</v>
      </c>
      <c r="I448" s="74">
        <f>H448*VLOOKUP(D448,GWPs!$B$3:$C$6,2,FALSE)</f>
        <v>0</v>
      </c>
      <c r="J448" s="3">
        <v>0</v>
      </c>
      <c r="K448" s="74">
        <f>J448*VLOOKUP(D448,GWPs!$B$3:$C$6,2,FALSE)</f>
        <v>0</v>
      </c>
      <c r="M448" s="3">
        <v>3</v>
      </c>
      <c r="N448" s="3">
        <v>2</v>
      </c>
      <c r="O448" s="3">
        <v>1</v>
      </c>
      <c r="P448" s="3">
        <v>3</v>
      </c>
      <c r="Q448" s="3">
        <v>1</v>
      </c>
    </row>
    <row r="449" spans="1:17">
      <c r="A449" t="s">
        <v>1429</v>
      </c>
      <c r="B449" s="3" t="s">
        <v>531</v>
      </c>
      <c r="C449" s="3" t="s">
        <v>532</v>
      </c>
      <c r="D449" s="3" t="s">
        <v>15</v>
      </c>
      <c r="E449" s="3" t="s">
        <v>16</v>
      </c>
      <c r="F449" s="3">
        <v>5.0000000000000001E-3</v>
      </c>
      <c r="G449" s="74">
        <f>F449*VLOOKUP(D449,GWPs!$B$3:$C$6,2,FALSE)</f>
        <v>5.0000000000000001E-3</v>
      </c>
      <c r="H449" s="3">
        <v>0</v>
      </c>
      <c r="I449" s="74">
        <f>H449*VLOOKUP(D449,GWPs!$B$3:$C$6,2,FALSE)</f>
        <v>0</v>
      </c>
      <c r="J449" s="3">
        <v>5.0000000000000001E-3</v>
      </c>
      <c r="K449" s="74">
        <f>J449*VLOOKUP(D449,GWPs!$B$3:$C$6,2,FALSE)</f>
        <v>5.0000000000000001E-3</v>
      </c>
      <c r="M449" s="3">
        <v>3</v>
      </c>
      <c r="N449" s="3">
        <v>2</v>
      </c>
      <c r="O449" s="3">
        <v>1</v>
      </c>
      <c r="P449" s="3">
        <v>3</v>
      </c>
      <c r="Q449" s="3">
        <v>1</v>
      </c>
    </row>
    <row r="450" spans="1:17">
      <c r="A450" t="s">
        <v>1429</v>
      </c>
      <c r="B450" s="3" t="s">
        <v>533</v>
      </c>
      <c r="C450" s="3" t="s">
        <v>534</v>
      </c>
      <c r="D450" s="3" t="s">
        <v>11</v>
      </c>
      <c r="E450" s="3" t="s">
        <v>12</v>
      </c>
      <c r="F450" s="3">
        <v>0.251</v>
      </c>
      <c r="G450" s="74">
        <f>F450*VLOOKUP(D450,GWPs!$B$3:$C$6,2,FALSE)</f>
        <v>0.251</v>
      </c>
      <c r="H450" s="3">
        <v>1.0999999999999999E-2</v>
      </c>
      <c r="I450" s="74">
        <f>H450*VLOOKUP(D450,GWPs!$B$3:$C$6,2,FALSE)</f>
        <v>1.0999999999999999E-2</v>
      </c>
      <c r="J450" s="3">
        <v>0.26200000000000001</v>
      </c>
      <c r="K450" s="74">
        <f>J450*VLOOKUP(D450,GWPs!$B$3:$C$6,2,FALSE)</f>
        <v>0.26200000000000001</v>
      </c>
      <c r="M450" s="3">
        <v>3</v>
      </c>
      <c r="N450" s="3">
        <v>2</v>
      </c>
      <c r="O450" s="3">
        <v>1</v>
      </c>
      <c r="P450" s="3">
        <v>4</v>
      </c>
      <c r="Q450" s="3">
        <v>1</v>
      </c>
    </row>
    <row r="451" spans="1:17">
      <c r="A451" t="s">
        <v>1429</v>
      </c>
      <c r="B451" s="3" t="s">
        <v>533</v>
      </c>
      <c r="C451" s="3" t="s">
        <v>534</v>
      </c>
      <c r="D451" s="3" t="s">
        <v>13</v>
      </c>
      <c r="E451" s="3" t="s">
        <v>12</v>
      </c>
      <c r="F451" s="3">
        <v>1E-3</v>
      </c>
      <c r="G451" s="74">
        <f>F451*VLOOKUP(D451,GWPs!$B$3:$C$6,2,FALSE)</f>
        <v>2.8000000000000001E-2</v>
      </c>
      <c r="H451" s="3">
        <v>0</v>
      </c>
      <c r="I451" s="74">
        <f>H451*VLOOKUP(D451,GWPs!$B$3:$C$6,2,FALSE)</f>
        <v>0</v>
      </c>
      <c r="J451" s="3">
        <v>1E-3</v>
      </c>
      <c r="K451" s="74">
        <f>J451*VLOOKUP(D451,GWPs!$B$3:$C$6,2,FALSE)</f>
        <v>2.8000000000000001E-2</v>
      </c>
      <c r="M451" s="3">
        <v>4</v>
      </c>
      <c r="N451" s="3">
        <v>2</v>
      </c>
      <c r="O451" s="3">
        <v>1</v>
      </c>
      <c r="P451" s="3">
        <v>1</v>
      </c>
      <c r="Q451" s="3">
        <v>1</v>
      </c>
    </row>
    <row r="452" spans="1:17">
      <c r="A452" t="s">
        <v>1429</v>
      </c>
      <c r="B452" s="3" t="s">
        <v>533</v>
      </c>
      <c r="C452" s="3" t="s">
        <v>534</v>
      </c>
      <c r="D452" s="3" t="s">
        <v>14</v>
      </c>
      <c r="E452" s="3" t="s">
        <v>12</v>
      </c>
      <c r="F452" s="3">
        <v>0</v>
      </c>
      <c r="G452" s="74">
        <f>F452*VLOOKUP(D452,GWPs!$B$3:$C$6,2,FALSE)</f>
        <v>0</v>
      </c>
      <c r="H452" s="3">
        <v>0</v>
      </c>
      <c r="I452" s="74">
        <f>H452*VLOOKUP(D452,GWPs!$B$3:$C$6,2,FALSE)</f>
        <v>0</v>
      </c>
      <c r="J452" s="3">
        <v>0</v>
      </c>
      <c r="K452" s="74">
        <f>J452*VLOOKUP(D452,GWPs!$B$3:$C$6,2,FALSE)</f>
        <v>0</v>
      </c>
      <c r="M452" s="3">
        <v>3</v>
      </c>
      <c r="N452" s="3">
        <v>2</v>
      </c>
      <c r="O452" s="3">
        <v>1</v>
      </c>
      <c r="P452" s="3">
        <v>3</v>
      </c>
      <c r="Q452" s="3">
        <v>1</v>
      </c>
    </row>
    <row r="453" spans="1:17">
      <c r="A453" t="s">
        <v>1429</v>
      </c>
      <c r="B453" s="3" t="s">
        <v>533</v>
      </c>
      <c r="C453" s="3" t="s">
        <v>534</v>
      </c>
      <c r="D453" s="3" t="s">
        <v>15</v>
      </c>
      <c r="E453" s="3" t="s">
        <v>16</v>
      </c>
      <c r="F453" s="3">
        <v>6.0000000000000001E-3</v>
      </c>
      <c r="G453" s="74">
        <f>F453*VLOOKUP(D453,GWPs!$B$3:$C$6,2,FALSE)</f>
        <v>6.0000000000000001E-3</v>
      </c>
      <c r="H453" s="3">
        <v>0</v>
      </c>
      <c r="I453" s="74">
        <f>H453*VLOOKUP(D453,GWPs!$B$3:$C$6,2,FALSE)</f>
        <v>0</v>
      </c>
      <c r="J453" s="3">
        <v>6.0000000000000001E-3</v>
      </c>
      <c r="K453" s="74">
        <f>J453*VLOOKUP(D453,GWPs!$B$3:$C$6,2,FALSE)</f>
        <v>6.0000000000000001E-3</v>
      </c>
      <c r="M453" s="3">
        <v>3</v>
      </c>
      <c r="N453" s="3">
        <v>2</v>
      </c>
      <c r="O453" s="3">
        <v>1</v>
      </c>
      <c r="P453" s="3">
        <v>3</v>
      </c>
      <c r="Q453" s="3">
        <v>1</v>
      </c>
    </row>
    <row r="454" spans="1:17">
      <c r="A454" t="s">
        <v>1429</v>
      </c>
      <c r="B454" s="3" t="s">
        <v>535</v>
      </c>
      <c r="C454" s="3" t="s">
        <v>536</v>
      </c>
      <c r="D454" s="3" t="s">
        <v>11</v>
      </c>
      <c r="E454" s="3" t="s">
        <v>12</v>
      </c>
      <c r="F454" s="3">
        <v>0.59399999999999997</v>
      </c>
      <c r="G454" s="74">
        <f>F454*VLOOKUP(D454,GWPs!$B$3:$C$6,2,FALSE)</f>
        <v>0.59399999999999997</v>
      </c>
      <c r="H454" s="3">
        <v>0.06</v>
      </c>
      <c r="I454" s="74">
        <f>H454*VLOOKUP(D454,GWPs!$B$3:$C$6,2,FALSE)</f>
        <v>0.06</v>
      </c>
      <c r="J454" s="3">
        <v>0.65400000000000003</v>
      </c>
      <c r="K454" s="74">
        <f>J454*VLOOKUP(D454,GWPs!$B$3:$C$6,2,FALSE)</f>
        <v>0.65400000000000003</v>
      </c>
      <c r="M454" s="3">
        <v>3</v>
      </c>
      <c r="N454" s="3">
        <v>2</v>
      </c>
      <c r="O454" s="3">
        <v>1</v>
      </c>
      <c r="P454" s="3">
        <v>4</v>
      </c>
      <c r="Q454" s="3">
        <v>1</v>
      </c>
    </row>
    <row r="455" spans="1:17">
      <c r="A455" t="s">
        <v>1429</v>
      </c>
      <c r="B455" s="3" t="s">
        <v>535</v>
      </c>
      <c r="C455" s="3" t="s">
        <v>536</v>
      </c>
      <c r="D455" s="3" t="s">
        <v>13</v>
      </c>
      <c r="E455" s="3" t="s">
        <v>12</v>
      </c>
      <c r="F455" s="3">
        <v>2E-3</v>
      </c>
      <c r="G455" s="74">
        <f>F455*VLOOKUP(D455,GWPs!$B$3:$C$6,2,FALSE)</f>
        <v>5.6000000000000001E-2</v>
      </c>
      <c r="H455" s="3">
        <v>0</v>
      </c>
      <c r="I455" s="74">
        <f>H455*VLOOKUP(D455,GWPs!$B$3:$C$6,2,FALSE)</f>
        <v>0</v>
      </c>
      <c r="J455" s="3">
        <v>2E-3</v>
      </c>
      <c r="K455" s="74">
        <f>J455*VLOOKUP(D455,GWPs!$B$3:$C$6,2,FALSE)</f>
        <v>5.6000000000000001E-2</v>
      </c>
      <c r="M455" s="3">
        <v>4</v>
      </c>
      <c r="N455" s="3">
        <v>2</v>
      </c>
      <c r="O455" s="3">
        <v>1</v>
      </c>
      <c r="P455" s="3">
        <v>1</v>
      </c>
      <c r="Q455" s="3">
        <v>1</v>
      </c>
    </row>
    <row r="456" spans="1:17">
      <c r="A456" t="s">
        <v>1429</v>
      </c>
      <c r="B456" s="3" t="s">
        <v>535</v>
      </c>
      <c r="C456" s="3" t="s">
        <v>536</v>
      </c>
      <c r="D456" s="3" t="s">
        <v>14</v>
      </c>
      <c r="E456" s="3" t="s">
        <v>12</v>
      </c>
      <c r="F456" s="3">
        <v>0</v>
      </c>
      <c r="G456" s="74">
        <f>F456*VLOOKUP(D456,GWPs!$B$3:$C$6,2,FALSE)</f>
        <v>0</v>
      </c>
      <c r="H456" s="3">
        <v>0</v>
      </c>
      <c r="I456" s="74">
        <f>H456*VLOOKUP(D456,GWPs!$B$3:$C$6,2,FALSE)</f>
        <v>0</v>
      </c>
      <c r="J456" s="3">
        <v>0</v>
      </c>
      <c r="K456" s="74">
        <f>J456*VLOOKUP(D456,GWPs!$B$3:$C$6,2,FALSE)</f>
        <v>0</v>
      </c>
      <c r="M456" s="3">
        <v>3</v>
      </c>
      <c r="N456" s="3">
        <v>2</v>
      </c>
      <c r="O456" s="3">
        <v>1</v>
      </c>
      <c r="P456" s="3">
        <v>3</v>
      </c>
      <c r="Q456" s="3">
        <v>1</v>
      </c>
    </row>
    <row r="457" spans="1:17">
      <c r="A457" t="s">
        <v>1429</v>
      </c>
      <c r="B457" s="3" t="s">
        <v>535</v>
      </c>
      <c r="C457" s="3" t="s">
        <v>536</v>
      </c>
      <c r="D457" s="3" t="s">
        <v>15</v>
      </c>
      <c r="E457" s="3" t="s">
        <v>16</v>
      </c>
      <c r="F457" s="3">
        <v>8.9999999999999993E-3</v>
      </c>
      <c r="G457" s="74">
        <f>F457*VLOOKUP(D457,GWPs!$B$3:$C$6,2,FALSE)</f>
        <v>8.9999999999999993E-3</v>
      </c>
      <c r="H457" s="3">
        <v>0</v>
      </c>
      <c r="I457" s="74">
        <f>H457*VLOOKUP(D457,GWPs!$B$3:$C$6,2,FALSE)</f>
        <v>0</v>
      </c>
      <c r="J457" s="3">
        <v>8.9999999999999993E-3</v>
      </c>
      <c r="K457" s="74">
        <f>J457*VLOOKUP(D457,GWPs!$B$3:$C$6,2,FALSE)</f>
        <v>8.9999999999999993E-3</v>
      </c>
      <c r="M457" s="3">
        <v>3</v>
      </c>
      <c r="N457" s="3">
        <v>2</v>
      </c>
      <c r="O457" s="3">
        <v>1</v>
      </c>
      <c r="P457" s="3">
        <v>4</v>
      </c>
      <c r="Q457" s="3">
        <v>1</v>
      </c>
    </row>
    <row r="458" spans="1:17">
      <c r="A458" t="s">
        <v>1429</v>
      </c>
      <c r="B458" s="3" t="s">
        <v>537</v>
      </c>
      <c r="C458" s="3" t="s">
        <v>538</v>
      </c>
      <c r="D458" s="3" t="s">
        <v>11</v>
      </c>
      <c r="E458" s="3" t="s">
        <v>12</v>
      </c>
      <c r="F458" s="3">
        <v>0.16600000000000001</v>
      </c>
      <c r="G458" s="74">
        <f>F458*VLOOKUP(D458,GWPs!$B$3:$C$6,2,FALSE)</f>
        <v>0.16600000000000001</v>
      </c>
      <c r="H458" s="3">
        <v>2.5999999999999999E-2</v>
      </c>
      <c r="I458" s="74">
        <f>H458*VLOOKUP(D458,GWPs!$B$3:$C$6,2,FALSE)</f>
        <v>2.5999999999999999E-2</v>
      </c>
      <c r="J458" s="3">
        <v>0.192</v>
      </c>
      <c r="K458" s="74">
        <f>J458*VLOOKUP(D458,GWPs!$B$3:$C$6,2,FALSE)</f>
        <v>0.192</v>
      </c>
      <c r="M458" s="3">
        <v>4</v>
      </c>
      <c r="N458" s="3">
        <v>2</v>
      </c>
      <c r="O458" s="3">
        <v>1</v>
      </c>
      <c r="P458" s="3">
        <v>4</v>
      </c>
      <c r="Q458" s="3">
        <v>1</v>
      </c>
    </row>
    <row r="459" spans="1:17">
      <c r="A459" t="s">
        <v>1429</v>
      </c>
      <c r="B459" s="3" t="s">
        <v>537</v>
      </c>
      <c r="C459" s="3" t="s">
        <v>538</v>
      </c>
      <c r="D459" s="3" t="s">
        <v>13</v>
      </c>
      <c r="E459" s="3" t="s">
        <v>12</v>
      </c>
      <c r="F459" s="3">
        <v>1E-3</v>
      </c>
      <c r="G459" s="74">
        <f>F459*VLOOKUP(D459,GWPs!$B$3:$C$6,2,FALSE)</f>
        <v>2.8000000000000001E-2</v>
      </c>
      <c r="H459" s="3">
        <v>0</v>
      </c>
      <c r="I459" s="74">
        <f>H459*VLOOKUP(D459,GWPs!$B$3:$C$6,2,FALSE)</f>
        <v>0</v>
      </c>
      <c r="J459" s="3">
        <v>1E-3</v>
      </c>
      <c r="K459" s="74">
        <f>J459*VLOOKUP(D459,GWPs!$B$3:$C$6,2,FALSE)</f>
        <v>2.8000000000000001E-2</v>
      </c>
      <c r="M459" s="3">
        <v>4</v>
      </c>
      <c r="N459" s="3">
        <v>2</v>
      </c>
      <c r="O459" s="3">
        <v>1</v>
      </c>
      <c r="P459" s="3">
        <v>1</v>
      </c>
      <c r="Q459" s="3">
        <v>1</v>
      </c>
    </row>
    <row r="460" spans="1:17">
      <c r="A460" t="s">
        <v>1429</v>
      </c>
      <c r="B460" s="3" t="s">
        <v>537</v>
      </c>
      <c r="C460" s="3" t="s">
        <v>538</v>
      </c>
      <c r="D460" s="3" t="s">
        <v>14</v>
      </c>
      <c r="E460" s="3" t="s">
        <v>12</v>
      </c>
      <c r="F460" s="3">
        <v>0</v>
      </c>
      <c r="G460" s="74">
        <f>F460*VLOOKUP(D460,GWPs!$B$3:$C$6,2,FALSE)</f>
        <v>0</v>
      </c>
      <c r="H460" s="3">
        <v>0</v>
      </c>
      <c r="I460" s="74">
        <f>H460*VLOOKUP(D460,GWPs!$B$3:$C$6,2,FALSE)</f>
        <v>0</v>
      </c>
      <c r="J460" s="3">
        <v>0</v>
      </c>
      <c r="K460" s="74">
        <f>J460*VLOOKUP(D460,GWPs!$B$3:$C$6,2,FALSE)</f>
        <v>0</v>
      </c>
      <c r="M460" s="3">
        <v>3</v>
      </c>
      <c r="N460" s="3">
        <v>2</v>
      </c>
      <c r="O460" s="3">
        <v>1</v>
      </c>
      <c r="P460" s="3">
        <v>3</v>
      </c>
      <c r="Q460" s="3">
        <v>1</v>
      </c>
    </row>
    <row r="461" spans="1:17">
      <c r="A461" t="s">
        <v>1429</v>
      </c>
      <c r="B461" s="3" t="s">
        <v>537</v>
      </c>
      <c r="C461" s="3" t="s">
        <v>538</v>
      </c>
      <c r="D461" s="3" t="s">
        <v>15</v>
      </c>
      <c r="E461" s="3" t="s">
        <v>16</v>
      </c>
      <c r="F461" s="3">
        <v>9.0999999999999998E-2</v>
      </c>
      <c r="G461" s="74">
        <f>F461*VLOOKUP(D461,GWPs!$B$3:$C$6,2,FALSE)</f>
        <v>9.0999999999999998E-2</v>
      </c>
      <c r="H461" s="3">
        <v>0</v>
      </c>
      <c r="I461" s="74">
        <f>H461*VLOOKUP(D461,GWPs!$B$3:$C$6,2,FALSE)</f>
        <v>0</v>
      </c>
      <c r="J461" s="3">
        <v>9.0999999999999998E-2</v>
      </c>
      <c r="K461" s="74">
        <f>J461*VLOOKUP(D461,GWPs!$B$3:$C$6,2,FALSE)</f>
        <v>9.0999999999999998E-2</v>
      </c>
      <c r="M461" s="3">
        <v>4</v>
      </c>
      <c r="N461" s="3">
        <v>2</v>
      </c>
      <c r="O461" s="3">
        <v>1</v>
      </c>
      <c r="P461" s="3">
        <v>5</v>
      </c>
      <c r="Q461" s="3">
        <v>1</v>
      </c>
    </row>
    <row r="462" spans="1:17">
      <c r="A462" t="s">
        <v>1429</v>
      </c>
      <c r="B462" s="3" t="s">
        <v>539</v>
      </c>
      <c r="C462" s="3" t="s">
        <v>540</v>
      </c>
      <c r="D462" s="3" t="s">
        <v>11</v>
      </c>
      <c r="E462" s="3" t="s">
        <v>12</v>
      </c>
      <c r="F462" s="3">
        <v>0.30199999999999999</v>
      </c>
      <c r="G462" s="74">
        <f>F462*VLOOKUP(D462,GWPs!$B$3:$C$6,2,FALSE)</f>
        <v>0.30199999999999999</v>
      </c>
      <c r="H462" s="3">
        <v>1.2E-2</v>
      </c>
      <c r="I462" s="74">
        <f>H462*VLOOKUP(D462,GWPs!$B$3:$C$6,2,FALSE)</f>
        <v>1.2E-2</v>
      </c>
      <c r="J462" s="3">
        <v>0.314</v>
      </c>
      <c r="K462" s="74">
        <f>J462*VLOOKUP(D462,GWPs!$B$3:$C$6,2,FALSE)</f>
        <v>0.314</v>
      </c>
      <c r="M462" s="3">
        <v>3</v>
      </c>
      <c r="N462" s="3">
        <v>2</v>
      </c>
      <c r="O462" s="3">
        <v>1</v>
      </c>
      <c r="P462" s="3">
        <v>3</v>
      </c>
      <c r="Q462" s="3">
        <v>1</v>
      </c>
    </row>
    <row r="463" spans="1:17">
      <c r="A463" t="s">
        <v>1429</v>
      </c>
      <c r="B463" s="3" t="s">
        <v>539</v>
      </c>
      <c r="C463" s="3" t="s">
        <v>540</v>
      </c>
      <c r="D463" s="3" t="s">
        <v>13</v>
      </c>
      <c r="E463" s="3" t="s">
        <v>12</v>
      </c>
      <c r="F463" s="3">
        <v>1E-3</v>
      </c>
      <c r="G463" s="74">
        <f>F463*VLOOKUP(D463,GWPs!$B$3:$C$6,2,FALSE)</f>
        <v>2.8000000000000001E-2</v>
      </c>
      <c r="H463" s="3">
        <v>0</v>
      </c>
      <c r="I463" s="74">
        <f>H463*VLOOKUP(D463,GWPs!$B$3:$C$6,2,FALSE)</f>
        <v>0</v>
      </c>
      <c r="J463" s="3">
        <v>1E-3</v>
      </c>
      <c r="K463" s="74">
        <f>J463*VLOOKUP(D463,GWPs!$B$3:$C$6,2,FALSE)</f>
        <v>2.8000000000000001E-2</v>
      </c>
      <c r="M463" s="3">
        <v>4</v>
      </c>
      <c r="N463" s="3">
        <v>2</v>
      </c>
      <c r="O463" s="3">
        <v>1</v>
      </c>
      <c r="P463" s="3">
        <v>1</v>
      </c>
      <c r="Q463" s="3">
        <v>1</v>
      </c>
    </row>
    <row r="464" spans="1:17">
      <c r="A464" t="s">
        <v>1429</v>
      </c>
      <c r="B464" s="3" t="s">
        <v>539</v>
      </c>
      <c r="C464" s="3" t="s">
        <v>540</v>
      </c>
      <c r="D464" s="3" t="s">
        <v>14</v>
      </c>
      <c r="E464" s="3" t="s">
        <v>12</v>
      </c>
      <c r="F464" s="3">
        <v>0</v>
      </c>
      <c r="G464" s="74">
        <f>F464*VLOOKUP(D464,GWPs!$B$3:$C$6,2,FALSE)</f>
        <v>0</v>
      </c>
      <c r="H464" s="3">
        <v>0</v>
      </c>
      <c r="I464" s="74">
        <f>H464*VLOOKUP(D464,GWPs!$B$3:$C$6,2,FALSE)</f>
        <v>0</v>
      </c>
      <c r="J464" s="3">
        <v>0</v>
      </c>
      <c r="K464" s="74">
        <f>J464*VLOOKUP(D464,GWPs!$B$3:$C$6,2,FALSE)</f>
        <v>0</v>
      </c>
      <c r="M464" s="3">
        <v>3</v>
      </c>
      <c r="N464" s="3">
        <v>2</v>
      </c>
      <c r="O464" s="3">
        <v>1</v>
      </c>
      <c r="P464" s="3">
        <v>3</v>
      </c>
      <c r="Q464" s="3">
        <v>1</v>
      </c>
    </row>
    <row r="465" spans="1:17">
      <c r="A465" t="s">
        <v>1429</v>
      </c>
      <c r="B465" s="3" t="s">
        <v>539</v>
      </c>
      <c r="C465" s="3" t="s">
        <v>540</v>
      </c>
      <c r="D465" s="3" t="s">
        <v>15</v>
      </c>
      <c r="E465" s="3" t="s">
        <v>16</v>
      </c>
      <c r="F465" s="3">
        <v>7.0000000000000001E-3</v>
      </c>
      <c r="G465" s="74">
        <f>F465*VLOOKUP(D465,GWPs!$B$3:$C$6,2,FALSE)</f>
        <v>7.0000000000000001E-3</v>
      </c>
      <c r="H465" s="3">
        <v>0</v>
      </c>
      <c r="I465" s="74">
        <f>H465*VLOOKUP(D465,GWPs!$B$3:$C$6,2,FALSE)</f>
        <v>0</v>
      </c>
      <c r="J465" s="3">
        <v>7.0000000000000001E-3</v>
      </c>
      <c r="K465" s="74">
        <f>J465*VLOOKUP(D465,GWPs!$B$3:$C$6,2,FALSE)</f>
        <v>7.0000000000000001E-3</v>
      </c>
      <c r="M465" s="3">
        <v>3</v>
      </c>
      <c r="N465" s="3">
        <v>2</v>
      </c>
      <c r="O465" s="3">
        <v>1</v>
      </c>
      <c r="P465" s="3">
        <v>4</v>
      </c>
      <c r="Q465" s="3">
        <v>1</v>
      </c>
    </row>
    <row r="466" spans="1:17">
      <c r="A466" t="s">
        <v>1429</v>
      </c>
      <c r="B466" s="3" t="s">
        <v>541</v>
      </c>
      <c r="C466" s="3" t="s">
        <v>542</v>
      </c>
      <c r="D466" s="3" t="s">
        <v>11</v>
      </c>
      <c r="E466" s="3" t="s">
        <v>12</v>
      </c>
      <c r="F466" s="3">
        <v>3.5000000000000003E-2</v>
      </c>
      <c r="G466" s="74">
        <f>F466*VLOOKUP(D466,GWPs!$B$3:$C$6,2,FALSE)</f>
        <v>3.5000000000000003E-2</v>
      </c>
      <c r="H466" s="3">
        <v>4.0000000000000001E-3</v>
      </c>
      <c r="I466" s="74">
        <f>H466*VLOOKUP(D466,GWPs!$B$3:$C$6,2,FALSE)</f>
        <v>4.0000000000000001E-3</v>
      </c>
      <c r="J466" s="3">
        <v>3.9E-2</v>
      </c>
      <c r="K466" s="74">
        <f>J466*VLOOKUP(D466,GWPs!$B$3:$C$6,2,FALSE)</f>
        <v>3.9E-2</v>
      </c>
      <c r="M466" s="3">
        <v>3</v>
      </c>
      <c r="N466" s="3">
        <v>2</v>
      </c>
      <c r="O466" s="3">
        <v>1</v>
      </c>
      <c r="P466" s="3">
        <v>3</v>
      </c>
      <c r="Q466" s="3">
        <v>1</v>
      </c>
    </row>
    <row r="467" spans="1:17">
      <c r="A467" t="s">
        <v>1429</v>
      </c>
      <c r="B467" s="3" t="s">
        <v>541</v>
      </c>
      <c r="C467" s="3" t="s">
        <v>542</v>
      </c>
      <c r="D467" s="3" t="s">
        <v>13</v>
      </c>
      <c r="E467" s="3" t="s">
        <v>12</v>
      </c>
      <c r="F467" s="3">
        <v>0</v>
      </c>
      <c r="G467" s="74">
        <f>F467*VLOOKUP(D467,GWPs!$B$3:$C$6,2,FALSE)</f>
        <v>0</v>
      </c>
      <c r="H467" s="3">
        <v>0</v>
      </c>
      <c r="I467" s="74">
        <f>H467*VLOOKUP(D467,GWPs!$B$3:$C$6,2,FALSE)</f>
        <v>0</v>
      </c>
      <c r="J467" s="3">
        <v>0</v>
      </c>
      <c r="K467" s="74">
        <f>J467*VLOOKUP(D467,GWPs!$B$3:$C$6,2,FALSE)</f>
        <v>0</v>
      </c>
      <c r="M467" s="3">
        <v>4</v>
      </c>
      <c r="N467" s="3">
        <v>2</v>
      </c>
      <c r="O467" s="3">
        <v>1</v>
      </c>
      <c r="P467" s="3">
        <v>1</v>
      </c>
      <c r="Q467" s="3">
        <v>1</v>
      </c>
    </row>
    <row r="468" spans="1:17">
      <c r="A468" t="s">
        <v>1429</v>
      </c>
      <c r="B468" s="3" t="s">
        <v>541</v>
      </c>
      <c r="C468" s="3" t="s">
        <v>542</v>
      </c>
      <c r="D468" s="3" t="s">
        <v>14</v>
      </c>
      <c r="E468" s="3" t="s">
        <v>12</v>
      </c>
      <c r="F468" s="3">
        <v>0</v>
      </c>
      <c r="G468" s="74">
        <f>F468*VLOOKUP(D468,GWPs!$B$3:$C$6,2,FALSE)</f>
        <v>0</v>
      </c>
      <c r="H468" s="3">
        <v>0</v>
      </c>
      <c r="I468" s="74">
        <f>H468*VLOOKUP(D468,GWPs!$B$3:$C$6,2,FALSE)</f>
        <v>0</v>
      </c>
      <c r="J468" s="3">
        <v>0</v>
      </c>
      <c r="K468" s="74">
        <f>J468*VLOOKUP(D468,GWPs!$B$3:$C$6,2,FALSE)</f>
        <v>0</v>
      </c>
      <c r="M468" s="3">
        <v>3</v>
      </c>
      <c r="N468" s="3">
        <v>2</v>
      </c>
      <c r="O468" s="3">
        <v>1</v>
      </c>
      <c r="P468" s="3">
        <v>3</v>
      </c>
      <c r="Q468" s="3">
        <v>1</v>
      </c>
    </row>
    <row r="469" spans="1:17">
      <c r="A469" t="s">
        <v>1429</v>
      </c>
      <c r="B469" s="3" t="s">
        <v>541</v>
      </c>
      <c r="C469" s="3" t="s">
        <v>542</v>
      </c>
      <c r="D469" s="3" t="s">
        <v>15</v>
      </c>
      <c r="E469" s="3" t="s">
        <v>16</v>
      </c>
      <c r="F469" s="3">
        <v>8.0000000000000002E-3</v>
      </c>
      <c r="G469" s="74">
        <f>F469*VLOOKUP(D469,GWPs!$B$3:$C$6,2,FALSE)</f>
        <v>8.0000000000000002E-3</v>
      </c>
      <c r="H469" s="3">
        <v>0</v>
      </c>
      <c r="I469" s="74">
        <f>H469*VLOOKUP(D469,GWPs!$B$3:$C$6,2,FALSE)</f>
        <v>0</v>
      </c>
      <c r="J469" s="3">
        <v>8.0000000000000002E-3</v>
      </c>
      <c r="K469" s="74">
        <f>J469*VLOOKUP(D469,GWPs!$B$3:$C$6,2,FALSE)</f>
        <v>8.0000000000000002E-3</v>
      </c>
      <c r="M469" s="3">
        <v>4</v>
      </c>
      <c r="N469" s="3">
        <v>2</v>
      </c>
      <c r="O469" s="3">
        <v>1</v>
      </c>
      <c r="P469" s="3">
        <v>4</v>
      </c>
      <c r="Q469" s="3">
        <v>1</v>
      </c>
    </row>
    <row r="470" spans="1:17">
      <c r="A470" t="s">
        <v>1429</v>
      </c>
      <c r="B470" s="3" t="s">
        <v>543</v>
      </c>
      <c r="C470" s="3" t="s">
        <v>544</v>
      </c>
      <c r="D470" s="3" t="s">
        <v>11</v>
      </c>
      <c r="E470" s="3" t="s">
        <v>12</v>
      </c>
      <c r="F470" s="3">
        <v>0.28599999999999998</v>
      </c>
      <c r="G470" s="74">
        <f>F470*VLOOKUP(D470,GWPs!$B$3:$C$6,2,FALSE)</f>
        <v>0.28599999999999998</v>
      </c>
      <c r="H470" s="3">
        <v>0.107</v>
      </c>
      <c r="I470" s="74">
        <f>H470*VLOOKUP(D470,GWPs!$B$3:$C$6,2,FALSE)</f>
        <v>0.107</v>
      </c>
      <c r="J470" s="3">
        <v>0.39300000000000002</v>
      </c>
      <c r="K470" s="74">
        <f>J470*VLOOKUP(D470,GWPs!$B$3:$C$6,2,FALSE)</f>
        <v>0.39300000000000002</v>
      </c>
      <c r="M470" s="3">
        <v>3</v>
      </c>
      <c r="N470" s="3">
        <v>2</v>
      </c>
      <c r="O470" s="3">
        <v>1</v>
      </c>
      <c r="P470" s="3">
        <v>4</v>
      </c>
      <c r="Q470" s="3">
        <v>1</v>
      </c>
    </row>
    <row r="471" spans="1:17">
      <c r="A471" t="s">
        <v>1429</v>
      </c>
      <c r="B471" s="3" t="s">
        <v>543</v>
      </c>
      <c r="C471" s="3" t="s">
        <v>544</v>
      </c>
      <c r="D471" s="3" t="s">
        <v>13</v>
      </c>
      <c r="E471" s="3" t="s">
        <v>12</v>
      </c>
      <c r="F471" s="3">
        <v>1E-3</v>
      </c>
      <c r="G471" s="74">
        <f>F471*VLOOKUP(D471,GWPs!$B$3:$C$6,2,FALSE)</f>
        <v>2.8000000000000001E-2</v>
      </c>
      <c r="H471" s="3">
        <v>1E-3</v>
      </c>
      <c r="I471" s="74">
        <f>H471*VLOOKUP(D471,GWPs!$B$3:$C$6,2,FALSE)</f>
        <v>2.8000000000000001E-2</v>
      </c>
      <c r="J471" s="3">
        <v>2E-3</v>
      </c>
      <c r="K471" s="74">
        <f>J471*VLOOKUP(D471,GWPs!$B$3:$C$6,2,FALSE)</f>
        <v>5.6000000000000001E-2</v>
      </c>
      <c r="M471" s="3">
        <v>4</v>
      </c>
      <c r="N471" s="3">
        <v>2</v>
      </c>
      <c r="O471" s="3">
        <v>1</v>
      </c>
      <c r="P471" s="3">
        <v>1</v>
      </c>
      <c r="Q471" s="3">
        <v>1</v>
      </c>
    </row>
    <row r="472" spans="1:17">
      <c r="A472" t="s">
        <v>1429</v>
      </c>
      <c r="B472" s="3" t="s">
        <v>543</v>
      </c>
      <c r="C472" s="3" t="s">
        <v>544</v>
      </c>
      <c r="D472" s="3" t="s">
        <v>14</v>
      </c>
      <c r="E472" s="3" t="s">
        <v>12</v>
      </c>
      <c r="F472" s="3">
        <v>0</v>
      </c>
      <c r="G472" s="74">
        <f>F472*VLOOKUP(D472,GWPs!$B$3:$C$6,2,FALSE)</f>
        <v>0</v>
      </c>
      <c r="H472" s="3">
        <v>0</v>
      </c>
      <c r="I472" s="74">
        <f>H472*VLOOKUP(D472,GWPs!$B$3:$C$6,2,FALSE)</f>
        <v>0</v>
      </c>
      <c r="J472" s="3">
        <v>0</v>
      </c>
      <c r="K472" s="74">
        <f>J472*VLOOKUP(D472,GWPs!$B$3:$C$6,2,FALSE)</f>
        <v>0</v>
      </c>
      <c r="M472" s="3">
        <v>3</v>
      </c>
      <c r="N472" s="3">
        <v>2</v>
      </c>
      <c r="O472" s="3">
        <v>1</v>
      </c>
      <c r="P472" s="3">
        <v>3</v>
      </c>
      <c r="Q472" s="3">
        <v>1</v>
      </c>
    </row>
    <row r="473" spans="1:17">
      <c r="A473" t="s">
        <v>1429</v>
      </c>
      <c r="B473" s="3" t="s">
        <v>543</v>
      </c>
      <c r="C473" s="3" t="s">
        <v>544</v>
      </c>
      <c r="D473" s="3" t="s">
        <v>15</v>
      </c>
      <c r="E473" s="3" t="s">
        <v>16</v>
      </c>
      <c r="F473" s="3">
        <v>6.0000000000000001E-3</v>
      </c>
      <c r="G473" s="74">
        <f>F473*VLOOKUP(D473,GWPs!$B$3:$C$6,2,FALSE)</f>
        <v>6.0000000000000001E-3</v>
      </c>
      <c r="H473" s="3">
        <v>0</v>
      </c>
      <c r="I473" s="74">
        <f>H473*VLOOKUP(D473,GWPs!$B$3:$C$6,2,FALSE)</f>
        <v>0</v>
      </c>
      <c r="J473" s="3">
        <v>6.0000000000000001E-3</v>
      </c>
      <c r="K473" s="74">
        <f>J473*VLOOKUP(D473,GWPs!$B$3:$C$6,2,FALSE)</f>
        <v>6.0000000000000001E-3</v>
      </c>
      <c r="M473" s="3">
        <v>3</v>
      </c>
      <c r="N473" s="3">
        <v>2</v>
      </c>
      <c r="O473" s="3">
        <v>1</v>
      </c>
      <c r="P473" s="3">
        <v>3</v>
      </c>
      <c r="Q473" s="3">
        <v>1</v>
      </c>
    </row>
    <row r="474" spans="1:17">
      <c r="A474" t="s">
        <v>1429</v>
      </c>
      <c r="B474" s="3" t="s">
        <v>545</v>
      </c>
      <c r="C474" s="3" t="s">
        <v>546</v>
      </c>
      <c r="D474" s="3" t="s">
        <v>11</v>
      </c>
      <c r="E474" s="3" t="s">
        <v>12</v>
      </c>
      <c r="F474" s="3">
        <v>0.30299999999999999</v>
      </c>
      <c r="G474" s="74">
        <f>F474*VLOOKUP(D474,GWPs!$B$3:$C$6,2,FALSE)</f>
        <v>0.30299999999999999</v>
      </c>
      <c r="H474" s="3">
        <v>6.0999999999999999E-2</v>
      </c>
      <c r="I474" s="74">
        <f>H474*VLOOKUP(D474,GWPs!$B$3:$C$6,2,FALSE)</f>
        <v>6.0999999999999999E-2</v>
      </c>
      <c r="J474" s="3">
        <v>0.36299999999999999</v>
      </c>
      <c r="K474" s="74">
        <f>J474*VLOOKUP(D474,GWPs!$B$3:$C$6,2,FALSE)</f>
        <v>0.36299999999999999</v>
      </c>
      <c r="M474" s="3">
        <v>3</v>
      </c>
      <c r="N474" s="3">
        <v>2</v>
      </c>
      <c r="O474" s="3">
        <v>1</v>
      </c>
      <c r="P474" s="3">
        <v>3</v>
      </c>
      <c r="Q474" s="3">
        <v>1</v>
      </c>
    </row>
    <row r="475" spans="1:17">
      <c r="A475" t="s">
        <v>1429</v>
      </c>
      <c r="B475" s="3" t="s">
        <v>545</v>
      </c>
      <c r="C475" s="3" t="s">
        <v>546</v>
      </c>
      <c r="D475" s="3" t="s">
        <v>13</v>
      </c>
      <c r="E475" s="3" t="s">
        <v>12</v>
      </c>
      <c r="F475" s="3">
        <v>1E-3</v>
      </c>
      <c r="G475" s="74">
        <f>F475*VLOOKUP(D475,GWPs!$B$3:$C$6,2,FALSE)</f>
        <v>2.8000000000000001E-2</v>
      </c>
      <c r="H475" s="3">
        <v>0</v>
      </c>
      <c r="I475" s="74">
        <f>H475*VLOOKUP(D475,GWPs!$B$3:$C$6,2,FALSE)</f>
        <v>0</v>
      </c>
      <c r="J475" s="3">
        <v>2E-3</v>
      </c>
      <c r="K475" s="74">
        <f>J475*VLOOKUP(D475,GWPs!$B$3:$C$6,2,FALSE)</f>
        <v>5.6000000000000001E-2</v>
      </c>
      <c r="M475" s="3">
        <v>4</v>
      </c>
      <c r="N475" s="3">
        <v>2</v>
      </c>
      <c r="O475" s="3">
        <v>1</v>
      </c>
      <c r="P475" s="3">
        <v>1</v>
      </c>
      <c r="Q475" s="3">
        <v>1</v>
      </c>
    </row>
    <row r="476" spans="1:17">
      <c r="A476" t="s">
        <v>1429</v>
      </c>
      <c r="B476" s="3" t="s">
        <v>545</v>
      </c>
      <c r="C476" s="3" t="s">
        <v>546</v>
      </c>
      <c r="D476" s="3" t="s">
        <v>14</v>
      </c>
      <c r="E476" s="3" t="s">
        <v>12</v>
      </c>
      <c r="F476" s="3">
        <v>0</v>
      </c>
      <c r="G476" s="74">
        <f>F476*VLOOKUP(D476,GWPs!$B$3:$C$6,2,FALSE)</f>
        <v>0</v>
      </c>
      <c r="H476" s="3">
        <v>0</v>
      </c>
      <c r="I476" s="74">
        <f>H476*VLOOKUP(D476,GWPs!$B$3:$C$6,2,FALSE)</f>
        <v>0</v>
      </c>
      <c r="J476" s="3">
        <v>0</v>
      </c>
      <c r="K476" s="74">
        <f>J476*VLOOKUP(D476,GWPs!$B$3:$C$6,2,FALSE)</f>
        <v>0</v>
      </c>
      <c r="M476" s="3">
        <v>3</v>
      </c>
      <c r="N476" s="3">
        <v>2</v>
      </c>
      <c r="O476" s="3">
        <v>1</v>
      </c>
      <c r="P476" s="3">
        <v>3</v>
      </c>
      <c r="Q476" s="3">
        <v>1</v>
      </c>
    </row>
    <row r="477" spans="1:17">
      <c r="A477" t="s">
        <v>1429</v>
      </c>
      <c r="B477" s="3" t="s">
        <v>545</v>
      </c>
      <c r="C477" s="3" t="s">
        <v>546</v>
      </c>
      <c r="D477" s="3" t="s">
        <v>15</v>
      </c>
      <c r="E477" s="3" t="s">
        <v>16</v>
      </c>
      <c r="F477" s="3">
        <v>6.0000000000000001E-3</v>
      </c>
      <c r="G477" s="74">
        <f>F477*VLOOKUP(D477,GWPs!$B$3:$C$6,2,FALSE)</f>
        <v>6.0000000000000001E-3</v>
      </c>
      <c r="H477" s="3">
        <v>0</v>
      </c>
      <c r="I477" s="74">
        <f>H477*VLOOKUP(D477,GWPs!$B$3:$C$6,2,FALSE)</f>
        <v>0</v>
      </c>
      <c r="J477" s="3">
        <v>6.0000000000000001E-3</v>
      </c>
      <c r="K477" s="74">
        <f>J477*VLOOKUP(D477,GWPs!$B$3:$C$6,2,FALSE)</f>
        <v>6.0000000000000001E-3</v>
      </c>
      <c r="M477" s="3">
        <v>3</v>
      </c>
      <c r="N477" s="3">
        <v>2</v>
      </c>
      <c r="O477" s="3">
        <v>1</v>
      </c>
      <c r="P477" s="3">
        <v>3</v>
      </c>
      <c r="Q477" s="3">
        <v>1</v>
      </c>
    </row>
    <row r="478" spans="1:17">
      <c r="A478" t="s">
        <v>1429</v>
      </c>
      <c r="B478" s="3" t="s">
        <v>547</v>
      </c>
      <c r="C478" s="3" t="s">
        <v>548</v>
      </c>
      <c r="D478" s="3" t="s">
        <v>11</v>
      </c>
      <c r="E478" s="3" t="s">
        <v>12</v>
      </c>
      <c r="F478" s="3">
        <v>0.16400000000000001</v>
      </c>
      <c r="G478" s="74">
        <f>F478*VLOOKUP(D478,GWPs!$B$3:$C$6,2,FALSE)</f>
        <v>0.16400000000000001</v>
      </c>
      <c r="H478" s="3">
        <v>1.7999999999999999E-2</v>
      </c>
      <c r="I478" s="74">
        <f>H478*VLOOKUP(D478,GWPs!$B$3:$C$6,2,FALSE)</f>
        <v>1.7999999999999999E-2</v>
      </c>
      <c r="J478" s="3">
        <v>0.183</v>
      </c>
      <c r="K478" s="74">
        <f>J478*VLOOKUP(D478,GWPs!$B$3:$C$6,2,FALSE)</f>
        <v>0.183</v>
      </c>
      <c r="M478" s="3">
        <v>3</v>
      </c>
      <c r="N478" s="3">
        <v>2</v>
      </c>
      <c r="O478" s="3">
        <v>1</v>
      </c>
      <c r="P478" s="3">
        <v>3</v>
      </c>
      <c r="Q478" s="3">
        <v>1</v>
      </c>
    </row>
    <row r="479" spans="1:17">
      <c r="A479" t="s">
        <v>1429</v>
      </c>
      <c r="B479" s="3" t="s">
        <v>547</v>
      </c>
      <c r="C479" s="3" t="s">
        <v>548</v>
      </c>
      <c r="D479" s="3" t="s">
        <v>13</v>
      </c>
      <c r="E479" s="3" t="s">
        <v>12</v>
      </c>
      <c r="F479" s="3">
        <v>1E-3</v>
      </c>
      <c r="G479" s="74">
        <f>F479*VLOOKUP(D479,GWPs!$B$3:$C$6,2,FALSE)</f>
        <v>2.8000000000000001E-2</v>
      </c>
      <c r="H479" s="3">
        <v>0</v>
      </c>
      <c r="I479" s="74">
        <f>H479*VLOOKUP(D479,GWPs!$B$3:$C$6,2,FALSE)</f>
        <v>0</v>
      </c>
      <c r="J479" s="3">
        <v>1E-3</v>
      </c>
      <c r="K479" s="74">
        <f>J479*VLOOKUP(D479,GWPs!$B$3:$C$6,2,FALSE)</f>
        <v>2.8000000000000001E-2</v>
      </c>
      <c r="M479" s="3">
        <v>4</v>
      </c>
      <c r="N479" s="3">
        <v>2</v>
      </c>
      <c r="O479" s="3">
        <v>1</v>
      </c>
      <c r="P479" s="3">
        <v>1</v>
      </c>
      <c r="Q479" s="3">
        <v>1</v>
      </c>
    </row>
    <row r="480" spans="1:17">
      <c r="A480" t="s">
        <v>1429</v>
      </c>
      <c r="B480" s="3" t="s">
        <v>547</v>
      </c>
      <c r="C480" s="3" t="s">
        <v>548</v>
      </c>
      <c r="D480" s="3" t="s">
        <v>14</v>
      </c>
      <c r="E480" s="3" t="s">
        <v>12</v>
      </c>
      <c r="F480" s="3">
        <v>0</v>
      </c>
      <c r="G480" s="74">
        <f>F480*VLOOKUP(D480,GWPs!$B$3:$C$6,2,FALSE)</f>
        <v>0</v>
      </c>
      <c r="H480" s="3">
        <v>0</v>
      </c>
      <c r="I480" s="74">
        <f>H480*VLOOKUP(D480,GWPs!$B$3:$C$6,2,FALSE)</f>
        <v>0</v>
      </c>
      <c r="J480" s="3">
        <v>0</v>
      </c>
      <c r="K480" s="74">
        <f>J480*VLOOKUP(D480,GWPs!$B$3:$C$6,2,FALSE)</f>
        <v>0</v>
      </c>
      <c r="M480" s="3">
        <v>3</v>
      </c>
      <c r="N480" s="3">
        <v>2</v>
      </c>
      <c r="O480" s="3">
        <v>1</v>
      </c>
      <c r="P480" s="3">
        <v>3</v>
      </c>
      <c r="Q480" s="3">
        <v>1</v>
      </c>
    </row>
    <row r="481" spans="1:17">
      <c r="A481" t="s">
        <v>1429</v>
      </c>
      <c r="B481" s="3" t="s">
        <v>547</v>
      </c>
      <c r="C481" s="3" t="s">
        <v>548</v>
      </c>
      <c r="D481" s="3" t="s">
        <v>15</v>
      </c>
      <c r="E481" s="3" t="s">
        <v>16</v>
      </c>
      <c r="F481" s="3">
        <v>6.0000000000000001E-3</v>
      </c>
      <c r="G481" s="74">
        <f>F481*VLOOKUP(D481,GWPs!$B$3:$C$6,2,FALSE)</f>
        <v>6.0000000000000001E-3</v>
      </c>
      <c r="H481" s="3">
        <v>0</v>
      </c>
      <c r="I481" s="74">
        <f>H481*VLOOKUP(D481,GWPs!$B$3:$C$6,2,FALSE)</f>
        <v>0</v>
      </c>
      <c r="J481" s="3">
        <v>6.0000000000000001E-3</v>
      </c>
      <c r="K481" s="74">
        <f>J481*VLOOKUP(D481,GWPs!$B$3:$C$6,2,FALSE)</f>
        <v>6.0000000000000001E-3</v>
      </c>
      <c r="M481" s="3">
        <v>3</v>
      </c>
      <c r="N481" s="3">
        <v>2</v>
      </c>
      <c r="O481" s="3">
        <v>1</v>
      </c>
      <c r="P481" s="3">
        <v>3</v>
      </c>
      <c r="Q481" s="3">
        <v>1</v>
      </c>
    </row>
    <row r="482" spans="1:17">
      <c r="A482" t="s">
        <v>1429</v>
      </c>
      <c r="B482" s="3" t="s">
        <v>549</v>
      </c>
      <c r="C482" s="3" t="s">
        <v>550</v>
      </c>
      <c r="D482" s="3" t="s">
        <v>11</v>
      </c>
      <c r="E482" s="3" t="s">
        <v>12</v>
      </c>
      <c r="F482" s="3">
        <v>0.441</v>
      </c>
      <c r="G482" s="74">
        <f>F482*VLOOKUP(D482,GWPs!$B$3:$C$6,2,FALSE)</f>
        <v>0.441</v>
      </c>
      <c r="H482" s="3">
        <v>0.19900000000000001</v>
      </c>
      <c r="I482" s="74">
        <f>H482*VLOOKUP(D482,GWPs!$B$3:$C$6,2,FALSE)</f>
        <v>0.19900000000000001</v>
      </c>
      <c r="J482" s="3">
        <v>0.64</v>
      </c>
      <c r="K482" s="74">
        <f>J482*VLOOKUP(D482,GWPs!$B$3:$C$6,2,FALSE)</f>
        <v>0.64</v>
      </c>
      <c r="M482" s="3">
        <v>3</v>
      </c>
      <c r="N482" s="3">
        <v>2</v>
      </c>
      <c r="O482" s="3">
        <v>1</v>
      </c>
      <c r="P482" s="3">
        <v>4</v>
      </c>
      <c r="Q482" s="3">
        <v>1</v>
      </c>
    </row>
    <row r="483" spans="1:17">
      <c r="A483" t="s">
        <v>1429</v>
      </c>
      <c r="B483" s="3" t="s">
        <v>549</v>
      </c>
      <c r="C483" s="3" t="s">
        <v>550</v>
      </c>
      <c r="D483" s="3" t="s">
        <v>13</v>
      </c>
      <c r="E483" s="3" t="s">
        <v>12</v>
      </c>
      <c r="F483" s="3">
        <v>2E-3</v>
      </c>
      <c r="G483" s="74">
        <f>F483*VLOOKUP(D483,GWPs!$B$3:$C$6,2,FALSE)</f>
        <v>5.6000000000000001E-2</v>
      </c>
      <c r="H483" s="3">
        <v>2E-3</v>
      </c>
      <c r="I483" s="74">
        <f>H483*VLOOKUP(D483,GWPs!$B$3:$C$6,2,FALSE)</f>
        <v>5.6000000000000001E-2</v>
      </c>
      <c r="J483" s="3">
        <v>3.0000000000000001E-3</v>
      </c>
      <c r="K483" s="74">
        <f>J483*VLOOKUP(D483,GWPs!$B$3:$C$6,2,FALSE)</f>
        <v>8.4000000000000005E-2</v>
      </c>
      <c r="M483" s="3">
        <v>4</v>
      </c>
      <c r="N483" s="3">
        <v>2</v>
      </c>
      <c r="O483" s="3">
        <v>1</v>
      </c>
      <c r="P483" s="3">
        <v>1</v>
      </c>
      <c r="Q483" s="3">
        <v>1</v>
      </c>
    </row>
    <row r="484" spans="1:17">
      <c r="A484" t="s">
        <v>1429</v>
      </c>
      <c r="B484" s="3" t="s">
        <v>549</v>
      </c>
      <c r="C484" s="3" t="s">
        <v>550</v>
      </c>
      <c r="D484" s="3" t="s">
        <v>14</v>
      </c>
      <c r="E484" s="3" t="s">
        <v>12</v>
      </c>
      <c r="F484" s="3">
        <v>0</v>
      </c>
      <c r="G484" s="74">
        <f>F484*VLOOKUP(D484,GWPs!$B$3:$C$6,2,FALSE)</f>
        <v>0</v>
      </c>
      <c r="H484" s="3">
        <v>0</v>
      </c>
      <c r="I484" s="74">
        <f>H484*VLOOKUP(D484,GWPs!$B$3:$C$6,2,FALSE)</f>
        <v>0</v>
      </c>
      <c r="J484" s="3">
        <v>0</v>
      </c>
      <c r="K484" s="74">
        <f>J484*VLOOKUP(D484,GWPs!$B$3:$C$6,2,FALSE)</f>
        <v>0</v>
      </c>
      <c r="M484" s="3">
        <v>3</v>
      </c>
      <c r="N484" s="3">
        <v>2</v>
      </c>
      <c r="O484" s="3">
        <v>1</v>
      </c>
      <c r="P484" s="3">
        <v>3</v>
      </c>
      <c r="Q484" s="3">
        <v>1</v>
      </c>
    </row>
    <row r="485" spans="1:17">
      <c r="A485" t="s">
        <v>1429</v>
      </c>
      <c r="B485" s="3" t="s">
        <v>549</v>
      </c>
      <c r="C485" s="3" t="s">
        <v>550</v>
      </c>
      <c r="D485" s="3" t="s">
        <v>15</v>
      </c>
      <c r="E485" s="3" t="s">
        <v>16</v>
      </c>
      <c r="F485" s="3">
        <v>4.0000000000000001E-3</v>
      </c>
      <c r="G485" s="74">
        <f>F485*VLOOKUP(D485,GWPs!$B$3:$C$6,2,FALSE)</f>
        <v>4.0000000000000001E-3</v>
      </c>
      <c r="H485" s="3">
        <v>0</v>
      </c>
      <c r="I485" s="74">
        <f>H485*VLOOKUP(D485,GWPs!$B$3:$C$6,2,FALSE)</f>
        <v>0</v>
      </c>
      <c r="J485" s="3">
        <v>4.0000000000000001E-3</v>
      </c>
      <c r="K485" s="74">
        <f>J485*VLOOKUP(D485,GWPs!$B$3:$C$6,2,FALSE)</f>
        <v>4.0000000000000001E-3</v>
      </c>
      <c r="M485" s="3">
        <v>3</v>
      </c>
      <c r="N485" s="3">
        <v>2</v>
      </c>
      <c r="O485" s="3">
        <v>1</v>
      </c>
      <c r="P485" s="3">
        <v>3</v>
      </c>
      <c r="Q485" s="3">
        <v>1</v>
      </c>
    </row>
    <row r="486" spans="1:17">
      <c r="A486" t="s">
        <v>1429</v>
      </c>
      <c r="B486" s="3" t="s">
        <v>551</v>
      </c>
      <c r="C486" s="3" t="s">
        <v>552</v>
      </c>
      <c r="D486" s="3" t="s">
        <v>11</v>
      </c>
      <c r="E486" s="3" t="s">
        <v>12</v>
      </c>
      <c r="F486" s="3">
        <v>0.59</v>
      </c>
      <c r="G486" s="74">
        <f>F486*VLOOKUP(D486,GWPs!$B$3:$C$6,2,FALSE)</f>
        <v>0.59</v>
      </c>
      <c r="H486" s="3">
        <v>0.11600000000000001</v>
      </c>
      <c r="I486" s="74">
        <f>H486*VLOOKUP(D486,GWPs!$B$3:$C$6,2,FALSE)</f>
        <v>0.11600000000000001</v>
      </c>
      <c r="J486" s="3">
        <v>0.70499999999999996</v>
      </c>
      <c r="K486" s="74">
        <f>J486*VLOOKUP(D486,GWPs!$B$3:$C$6,2,FALSE)</f>
        <v>0.70499999999999996</v>
      </c>
      <c r="M486" s="3">
        <v>3</v>
      </c>
      <c r="N486" s="3">
        <v>2</v>
      </c>
      <c r="O486" s="3">
        <v>1</v>
      </c>
      <c r="P486" s="3">
        <v>3</v>
      </c>
      <c r="Q486" s="3">
        <v>1</v>
      </c>
    </row>
    <row r="487" spans="1:17">
      <c r="A487" t="s">
        <v>1429</v>
      </c>
      <c r="B487" s="3" t="s">
        <v>551</v>
      </c>
      <c r="C487" s="3" t="s">
        <v>552</v>
      </c>
      <c r="D487" s="3" t="s">
        <v>13</v>
      </c>
      <c r="E487" s="3" t="s">
        <v>12</v>
      </c>
      <c r="F487" s="3">
        <v>2E-3</v>
      </c>
      <c r="G487" s="74">
        <f>F487*VLOOKUP(D487,GWPs!$B$3:$C$6,2,FALSE)</f>
        <v>5.6000000000000001E-2</v>
      </c>
      <c r="H487" s="3">
        <v>1E-3</v>
      </c>
      <c r="I487" s="74">
        <f>H487*VLOOKUP(D487,GWPs!$B$3:$C$6,2,FALSE)</f>
        <v>2.8000000000000001E-2</v>
      </c>
      <c r="J487" s="3">
        <v>3.0000000000000001E-3</v>
      </c>
      <c r="K487" s="74">
        <f>J487*VLOOKUP(D487,GWPs!$B$3:$C$6,2,FALSE)</f>
        <v>8.4000000000000005E-2</v>
      </c>
      <c r="M487" s="3">
        <v>4</v>
      </c>
      <c r="N487" s="3">
        <v>2</v>
      </c>
      <c r="O487" s="3">
        <v>1</v>
      </c>
      <c r="P487" s="3">
        <v>1</v>
      </c>
      <c r="Q487" s="3">
        <v>1</v>
      </c>
    </row>
    <row r="488" spans="1:17">
      <c r="A488" t="s">
        <v>1429</v>
      </c>
      <c r="B488" s="3" t="s">
        <v>551</v>
      </c>
      <c r="C488" s="3" t="s">
        <v>552</v>
      </c>
      <c r="D488" s="3" t="s">
        <v>14</v>
      </c>
      <c r="E488" s="3" t="s">
        <v>12</v>
      </c>
      <c r="F488" s="3">
        <v>0</v>
      </c>
      <c r="G488" s="74">
        <f>F488*VLOOKUP(D488,GWPs!$B$3:$C$6,2,FALSE)</f>
        <v>0</v>
      </c>
      <c r="H488" s="3">
        <v>0</v>
      </c>
      <c r="I488" s="74">
        <f>H488*VLOOKUP(D488,GWPs!$B$3:$C$6,2,FALSE)</f>
        <v>0</v>
      </c>
      <c r="J488" s="3">
        <v>0</v>
      </c>
      <c r="K488" s="74">
        <f>J488*VLOOKUP(D488,GWPs!$B$3:$C$6,2,FALSE)</f>
        <v>0</v>
      </c>
      <c r="M488" s="3">
        <v>3</v>
      </c>
      <c r="N488" s="3">
        <v>2</v>
      </c>
      <c r="O488" s="3">
        <v>1</v>
      </c>
      <c r="P488" s="3">
        <v>3</v>
      </c>
      <c r="Q488" s="3">
        <v>1</v>
      </c>
    </row>
    <row r="489" spans="1:17">
      <c r="A489" t="s">
        <v>1429</v>
      </c>
      <c r="B489" s="3" t="s">
        <v>551</v>
      </c>
      <c r="C489" s="3" t="s">
        <v>552</v>
      </c>
      <c r="D489" s="3" t="s">
        <v>15</v>
      </c>
      <c r="E489" s="3" t="s">
        <v>16</v>
      </c>
      <c r="F489" s="3">
        <v>6.0000000000000001E-3</v>
      </c>
      <c r="G489" s="74">
        <f>F489*VLOOKUP(D489,GWPs!$B$3:$C$6,2,FALSE)</f>
        <v>6.0000000000000001E-3</v>
      </c>
      <c r="H489" s="3">
        <v>0</v>
      </c>
      <c r="I489" s="74">
        <f>H489*VLOOKUP(D489,GWPs!$B$3:$C$6,2,FALSE)</f>
        <v>0</v>
      </c>
      <c r="J489" s="3">
        <v>6.0000000000000001E-3</v>
      </c>
      <c r="K489" s="74">
        <f>J489*VLOOKUP(D489,GWPs!$B$3:$C$6,2,FALSE)</f>
        <v>6.0000000000000001E-3</v>
      </c>
      <c r="M489" s="3">
        <v>3</v>
      </c>
      <c r="N489" s="3">
        <v>2</v>
      </c>
      <c r="O489" s="3">
        <v>1</v>
      </c>
      <c r="P489" s="3">
        <v>4</v>
      </c>
      <c r="Q489" s="3">
        <v>1</v>
      </c>
    </row>
    <row r="490" spans="1:17">
      <c r="A490" t="s">
        <v>1429</v>
      </c>
      <c r="B490" s="3" t="s">
        <v>553</v>
      </c>
      <c r="C490" s="3" t="s">
        <v>554</v>
      </c>
      <c r="D490" s="3" t="s">
        <v>11</v>
      </c>
      <c r="E490" s="3" t="s">
        <v>12</v>
      </c>
      <c r="F490" s="3">
        <v>4.984</v>
      </c>
      <c r="G490" s="74">
        <f>F490*VLOOKUP(D490,GWPs!$B$3:$C$6,2,FALSE)</f>
        <v>4.984</v>
      </c>
      <c r="H490" s="3">
        <v>0.09</v>
      </c>
      <c r="I490" s="74">
        <f>H490*VLOOKUP(D490,GWPs!$B$3:$C$6,2,FALSE)</f>
        <v>0.09</v>
      </c>
      <c r="J490" s="3">
        <v>5.0730000000000004</v>
      </c>
      <c r="K490" s="74">
        <f>J490*VLOOKUP(D490,GWPs!$B$3:$C$6,2,FALSE)</f>
        <v>5.0730000000000004</v>
      </c>
      <c r="M490" s="3">
        <v>3</v>
      </c>
      <c r="N490" s="3">
        <v>2</v>
      </c>
      <c r="O490" s="3">
        <v>1</v>
      </c>
      <c r="P490" s="3">
        <v>2</v>
      </c>
      <c r="Q490" s="3">
        <v>1</v>
      </c>
    </row>
    <row r="491" spans="1:17">
      <c r="A491" t="s">
        <v>1429</v>
      </c>
      <c r="B491" s="3" t="s">
        <v>553</v>
      </c>
      <c r="C491" s="3" t="s">
        <v>554</v>
      </c>
      <c r="D491" s="3" t="s">
        <v>13</v>
      </c>
      <c r="E491" s="3" t="s">
        <v>12</v>
      </c>
      <c r="F491" s="3">
        <v>4.0000000000000001E-3</v>
      </c>
      <c r="G491" s="74">
        <f>F491*VLOOKUP(D491,GWPs!$B$3:$C$6,2,FALSE)</f>
        <v>0.112</v>
      </c>
      <c r="H491" s="3">
        <v>1E-3</v>
      </c>
      <c r="I491" s="74">
        <f>H491*VLOOKUP(D491,GWPs!$B$3:$C$6,2,FALSE)</f>
        <v>2.8000000000000001E-2</v>
      </c>
      <c r="J491" s="3">
        <v>5.0000000000000001E-3</v>
      </c>
      <c r="K491" s="74">
        <f>J491*VLOOKUP(D491,GWPs!$B$3:$C$6,2,FALSE)</f>
        <v>0.14000000000000001</v>
      </c>
      <c r="M491" s="3">
        <v>4</v>
      </c>
      <c r="N491" s="3">
        <v>2</v>
      </c>
      <c r="O491" s="3">
        <v>1</v>
      </c>
      <c r="P491" s="3">
        <v>1</v>
      </c>
      <c r="Q491" s="3">
        <v>1</v>
      </c>
    </row>
    <row r="492" spans="1:17">
      <c r="A492" t="s">
        <v>1429</v>
      </c>
      <c r="B492" s="3" t="s">
        <v>553</v>
      </c>
      <c r="C492" s="3" t="s">
        <v>554</v>
      </c>
      <c r="D492" s="3" t="s">
        <v>14</v>
      </c>
      <c r="E492" s="3" t="s">
        <v>12</v>
      </c>
      <c r="F492" s="3">
        <v>0</v>
      </c>
      <c r="G492" s="74">
        <f>F492*VLOOKUP(D492,GWPs!$B$3:$C$6,2,FALSE)</f>
        <v>0</v>
      </c>
      <c r="H492" s="3">
        <v>0</v>
      </c>
      <c r="I492" s="74">
        <f>H492*VLOOKUP(D492,GWPs!$B$3:$C$6,2,FALSE)</f>
        <v>0</v>
      </c>
      <c r="J492" s="3">
        <v>0</v>
      </c>
      <c r="K492" s="74">
        <f>J492*VLOOKUP(D492,GWPs!$B$3:$C$6,2,FALSE)</f>
        <v>0</v>
      </c>
      <c r="M492" s="3">
        <v>3</v>
      </c>
      <c r="N492" s="3">
        <v>2</v>
      </c>
      <c r="O492" s="3">
        <v>1</v>
      </c>
      <c r="P492" s="3">
        <v>4</v>
      </c>
      <c r="Q492" s="3">
        <v>1</v>
      </c>
    </row>
    <row r="493" spans="1:17">
      <c r="A493" t="s">
        <v>1429</v>
      </c>
      <c r="B493" s="3" t="s">
        <v>553</v>
      </c>
      <c r="C493" s="3" t="s">
        <v>554</v>
      </c>
      <c r="D493" s="3" t="s">
        <v>15</v>
      </c>
      <c r="E493" s="3" t="s">
        <v>16</v>
      </c>
      <c r="F493" s="3">
        <v>5.0000000000000001E-3</v>
      </c>
      <c r="G493" s="74">
        <f>F493*VLOOKUP(D493,GWPs!$B$3:$C$6,2,FALSE)</f>
        <v>5.0000000000000001E-3</v>
      </c>
      <c r="H493" s="3">
        <v>0</v>
      </c>
      <c r="I493" s="74">
        <f>H493*VLOOKUP(D493,GWPs!$B$3:$C$6,2,FALSE)</f>
        <v>0</v>
      </c>
      <c r="J493" s="3">
        <v>5.0000000000000001E-3</v>
      </c>
      <c r="K493" s="74">
        <f>J493*VLOOKUP(D493,GWPs!$B$3:$C$6,2,FALSE)</f>
        <v>5.0000000000000001E-3</v>
      </c>
      <c r="M493" s="3">
        <v>3</v>
      </c>
      <c r="N493" s="3">
        <v>2</v>
      </c>
      <c r="O493" s="3">
        <v>1</v>
      </c>
      <c r="P493" s="3">
        <v>3</v>
      </c>
      <c r="Q493" s="3">
        <v>1</v>
      </c>
    </row>
    <row r="494" spans="1:17">
      <c r="A494" t="s">
        <v>1429</v>
      </c>
      <c r="B494" s="3" t="s">
        <v>555</v>
      </c>
      <c r="C494" s="3" t="s">
        <v>556</v>
      </c>
      <c r="D494" s="3" t="s">
        <v>11</v>
      </c>
      <c r="E494" s="3" t="s">
        <v>12</v>
      </c>
      <c r="F494" s="3">
        <v>1.081</v>
      </c>
      <c r="G494" s="74">
        <f>F494*VLOOKUP(D494,GWPs!$B$3:$C$6,2,FALSE)</f>
        <v>1.081</v>
      </c>
      <c r="H494" s="3">
        <v>9.6000000000000002E-2</v>
      </c>
      <c r="I494" s="74">
        <f>H494*VLOOKUP(D494,GWPs!$B$3:$C$6,2,FALSE)</f>
        <v>9.6000000000000002E-2</v>
      </c>
      <c r="J494" s="3">
        <v>1.1779999999999999</v>
      </c>
      <c r="K494" s="74">
        <f>J494*VLOOKUP(D494,GWPs!$B$3:$C$6,2,FALSE)</f>
        <v>1.1779999999999999</v>
      </c>
      <c r="M494" s="3">
        <v>3</v>
      </c>
      <c r="N494" s="3">
        <v>2</v>
      </c>
      <c r="O494" s="3">
        <v>1</v>
      </c>
      <c r="P494" s="3">
        <v>3</v>
      </c>
      <c r="Q494" s="3">
        <v>1</v>
      </c>
    </row>
    <row r="495" spans="1:17">
      <c r="A495" t="s">
        <v>1429</v>
      </c>
      <c r="B495" s="3" t="s">
        <v>555</v>
      </c>
      <c r="C495" s="3" t="s">
        <v>556</v>
      </c>
      <c r="D495" s="3" t="s">
        <v>13</v>
      </c>
      <c r="E495" s="3" t="s">
        <v>12</v>
      </c>
      <c r="F495" s="3">
        <v>2E-3</v>
      </c>
      <c r="G495" s="74">
        <f>F495*VLOOKUP(D495,GWPs!$B$3:$C$6,2,FALSE)</f>
        <v>5.6000000000000001E-2</v>
      </c>
      <c r="H495" s="3">
        <v>1E-3</v>
      </c>
      <c r="I495" s="74">
        <f>H495*VLOOKUP(D495,GWPs!$B$3:$C$6,2,FALSE)</f>
        <v>2.8000000000000001E-2</v>
      </c>
      <c r="J495" s="3">
        <v>3.0000000000000001E-3</v>
      </c>
      <c r="K495" s="74">
        <f>J495*VLOOKUP(D495,GWPs!$B$3:$C$6,2,FALSE)</f>
        <v>8.4000000000000005E-2</v>
      </c>
      <c r="M495" s="3">
        <v>4</v>
      </c>
      <c r="N495" s="3">
        <v>2</v>
      </c>
      <c r="O495" s="3">
        <v>1</v>
      </c>
      <c r="P495" s="3">
        <v>1</v>
      </c>
      <c r="Q495" s="3">
        <v>1</v>
      </c>
    </row>
    <row r="496" spans="1:17">
      <c r="A496" t="s">
        <v>1429</v>
      </c>
      <c r="B496" s="3" t="s">
        <v>555</v>
      </c>
      <c r="C496" s="3" t="s">
        <v>556</v>
      </c>
      <c r="D496" s="3" t="s">
        <v>14</v>
      </c>
      <c r="E496" s="3" t="s">
        <v>12</v>
      </c>
      <c r="F496" s="3">
        <v>0</v>
      </c>
      <c r="G496" s="74">
        <f>F496*VLOOKUP(D496,GWPs!$B$3:$C$6,2,FALSE)</f>
        <v>0</v>
      </c>
      <c r="H496" s="3">
        <v>0</v>
      </c>
      <c r="I496" s="74">
        <f>H496*VLOOKUP(D496,GWPs!$B$3:$C$6,2,FALSE)</f>
        <v>0</v>
      </c>
      <c r="J496" s="3">
        <v>0</v>
      </c>
      <c r="K496" s="74">
        <f>J496*VLOOKUP(D496,GWPs!$B$3:$C$6,2,FALSE)</f>
        <v>0</v>
      </c>
      <c r="M496" s="3">
        <v>3</v>
      </c>
      <c r="N496" s="3">
        <v>2</v>
      </c>
      <c r="O496" s="3">
        <v>1</v>
      </c>
      <c r="P496" s="3">
        <v>3</v>
      </c>
      <c r="Q496" s="3">
        <v>1</v>
      </c>
    </row>
    <row r="497" spans="1:17">
      <c r="A497" t="s">
        <v>1429</v>
      </c>
      <c r="B497" s="3" t="s">
        <v>555</v>
      </c>
      <c r="C497" s="3" t="s">
        <v>556</v>
      </c>
      <c r="D497" s="3" t="s">
        <v>15</v>
      </c>
      <c r="E497" s="3" t="s">
        <v>16</v>
      </c>
      <c r="F497" s="3">
        <v>5.0000000000000001E-3</v>
      </c>
      <c r="G497" s="74">
        <f>F497*VLOOKUP(D497,GWPs!$B$3:$C$6,2,FALSE)</f>
        <v>5.0000000000000001E-3</v>
      </c>
      <c r="H497" s="3">
        <v>0</v>
      </c>
      <c r="I497" s="74">
        <f>H497*VLOOKUP(D497,GWPs!$B$3:$C$6,2,FALSE)</f>
        <v>0</v>
      </c>
      <c r="J497" s="3">
        <v>5.0000000000000001E-3</v>
      </c>
      <c r="K497" s="74">
        <f>J497*VLOOKUP(D497,GWPs!$B$3:$C$6,2,FALSE)</f>
        <v>5.0000000000000001E-3</v>
      </c>
      <c r="M497" s="3">
        <v>3</v>
      </c>
      <c r="N497" s="3">
        <v>2</v>
      </c>
      <c r="O497" s="3">
        <v>1</v>
      </c>
      <c r="P497" s="3">
        <v>4</v>
      </c>
      <c r="Q497" s="3">
        <v>1</v>
      </c>
    </row>
    <row r="498" spans="1:17">
      <c r="A498" t="s">
        <v>1429</v>
      </c>
      <c r="B498" s="3" t="s">
        <v>557</v>
      </c>
      <c r="C498" s="3" t="s">
        <v>558</v>
      </c>
      <c r="D498" s="3" t="s">
        <v>11</v>
      </c>
      <c r="E498" s="3" t="s">
        <v>12</v>
      </c>
      <c r="F498" s="3">
        <v>0.45200000000000001</v>
      </c>
      <c r="G498" s="74">
        <f>F498*VLOOKUP(D498,GWPs!$B$3:$C$6,2,FALSE)</f>
        <v>0.45200000000000001</v>
      </c>
      <c r="H498" s="3">
        <v>9.5000000000000001E-2</v>
      </c>
      <c r="I498" s="74">
        <f>H498*VLOOKUP(D498,GWPs!$B$3:$C$6,2,FALSE)</f>
        <v>9.5000000000000001E-2</v>
      </c>
      <c r="J498" s="3">
        <v>0.54700000000000004</v>
      </c>
      <c r="K498" s="74">
        <f>J498*VLOOKUP(D498,GWPs!$B$3:$C$6,2,FALSE)</f>
        <v>0.54700000000000004</v>
      </c>
      <c r="M498" s="3">
        <v>3</v>
      </c>
      <c r="N498" s="3">
        <v>2</v>
      </c>
      <c r="O498" s="3">
        <v>1</v>
      </c>
      <c r="P498" s="3">
        <v>3</v>
      </c>
      <c r="Q498" s="3">
        <v>1</v>
      </c>
    </row>
    <row r="499" spans="1:17">
      <c r="A499" t="s">
        <v>1429</v>
      </c>
      <c r="B499" s="3" t="s">
        <v>557</v>
      </c>
      <c r="C499" s="3" t="s">
        <v>558</v>
      </c>
      <c r="D499" s="3" t="s">
        <v>13</v>
      </c>
      <c r="E499" s="3" t="s">
        <v>12</v>
      </c>
      <c r="F499" s="3">
        <v>1E-3</v>
      </c>
      <c r="G499" s="74">
        <f>F499*VLOOKUP(D499,GWPs!$B$3:$C$6,2,FALSE)</f>
        <v>2.8000000000000001E-2</v>
      </c>
      <c r="H499" s="3">
        <v>1E-3</v>
      </c>
      <c r="I499" s="74">
        <f>H499*VLOOKUP(D499,GWPs!$B$3:$C$6,2,FALSE)</f>
        <v>2.8000000000000001E-2</v>
      </c>
      <c r="J499" s="3">
        <v>2E-3</v>
      </c>
      <c r="K499" s="74">
        <f>J499*VLOOKUP(D499,GWPs!$B$3:$C$6,2,FALSE)</f>
        <v>5.6000000000000001E-2</v>
      </c>
      <c r="M499" s="3">
        <v>4</v>
      </c>
      <c r="N499" s="3">
        <v>2</v>
      </c>
      <c r="O499" s="3">
        <v>1</v>
      </c>
      <c r="P499" s="3">
        <v>1</v>
      </c>
      <c r="Q499" s="3">
        <v>1</v>
      </c>
    </row>
    <row r="500" spans="1:17">
      <c r="A500" t="s">
        <v>1429</v>
      </c>
      <c r="B500" s="3" t="s">
        <v>557</v>
      </c>
      <c r="C500" s="3" t="s">
        <v>558</v>
      </c>
      <c r="D500" s="3" t="s">
        <v>14</v>
      </c>
      <c r="E500" s="3" t="s">
        <v>12</v>
      </c>
      <c r="F500" s="3">
        <v>0</v>
      </c>
      <c r="G500" s="74">
        <f>F500*VLOOKUP(D500,GWPs!$B$3:$C$6,2,FALSE)</f>
        <v>0</v>
      </c>
      <c r="H500" s="3">
        <v>0</v>
      </c>
      <c r="I500" s="74">
        <f>H500*VLOOKUP(D500,GWPs!$B$3:$C$6,2,FALSE)</f>
        <v>0</v>
      </c>
      <c r="J500" s="3">
        <v>0</v>
      </c>
      <c r="K500" s="74">
        <f>J500*VLOOKUP(D500,GWPs!$B$3:$C$6,2,FALSE)</f>
        <v>0</v>
      </c>
      <c r="M500" s="3">
        <v>3</v>
      </c>
      <c r="N500" s="3">
        <v>2</v>
      </c>
      <c r="O500" s="3">
        <v>1</v>
      </c>
      <c r="P500" s="3">
        <v>3</v>
      </c>
      <c r="Q500" s="3">
        <v>1</v>
      </c>
    </row>
    <row r="501" spans="1:17">
      <c r="A501" t="s">
        <v>1429</v>
      </c>
      <c r="B501" s="3" t="s">
        <v>557</v>
      </c>
      <c r="C501" s="3" t="s">
        <v>558</v>
      </c>
      <c r="D501" s="3" t="s">
        <v>15</v>
      </c>
      <c r="E501" s="3" t="s">
        <v>16</v>
      </c>
      <c r="F501" s="3">
        <v>4.0000000000000001E-3</v>
      </c>
      <c r="G501" s="74">
        <f>F501*VLOOKUP(D501,GWPs!$B$3:$C$6,2,FALSE)</f>
        <v>4.0000000000000001E-3</v>
      </c>
      <c r="H501" s="3">
        <v>0</v>
      </c>
      <c r="I501" s="74">
        <f>H501*VLOOKUP(D501,GWPs!$B$3:$C$6,2,FALSE)</f>
        <v>0</v>
      </c>
      <c r="J501" s="3">
        <v>4.0000000000000001E-3</v>
      </c>
      <c r="K501" s="74">
        <f>J501*VLOOKUP(D501,GWPs!$B$3:$C$6,2,FALSE)</f>
        <v>4.0000000000000001E-3</v>
      </c>
      <c r="M501" s="3">
        <v>3</v>
      </c>
      <c r="N501" s="3">
        <v>2</v>
      </c>
      <c r="O501" s="3">
        <v>1</v>
      </c>
      <c r="P501" s="3">
        <v>4</v>
      </c>
      <c r="Q501" s="3">
        <v>1</v>
      </c>
    </row>
    <row r="502" spans="1:17">
      <c r="A502" t="s">
        <v>1429</v>
      </c>
      <c r="B502" s="3" t="s">
        <v>559</v>
      </c>
      <c r="C502" s="3" t="s">
        <v>560</v>
      </c>
      <c r="D502" s="3" t="s">
        <v>11</v>
      </c>
      <c r="E502" s="3" t="s">
        <v>12</v>
      </c>
      <c r="F502" s="3">
        <v>0.36499999999999999</v>
      </c>
      <c r="G502" s="74">
        <f>F502*VLOOKUP(D502,GWPs!$B$3:$C$6,2,FALSE)</f>
        <v>0.36499999999999999</v>
      </c>
      <c r="H502" s="3">
        <v>5.7000000000000002E-2</v>
      </c>
      <c r="I502" s="74">
        <f>H502*VLOOKUP(D502,GWPs!$B$3:$C$6,2,FALSE)</f>
        <v>5.7000000000000002E-2</v>
      </c>
      <c r="J502" s="3">
        <v>0.42199999999999999</v>
      </c>
      <c r="K502" s="74">
        <f>J502*VLOOKUP(D502,GWPs!$B$3:$C$6,2,FALSE)</f>
        <v>0.42199999999999999</v>
      </c>
      <c r="M502" s="3">
        <v>3</v>
      </c>
      <c r="N502" s="3">
        <v>2</v>
      </c>
      <c r="O502" s="3">
        <v>1</v>
      </c>
      <c r="P502" s="3">
        <v>3</v>
      </c>
      <c r="Q502" s="3">
        <v>1</v>
      </c>
    </row>
    <row r="503" spans="1:17">
      <c r="A503" t="s">
        <v>1429</v>
      </c>
      <c r="B503" s="3" t="s">
        <v>559</v>
      </c>
      <c r="C503" s="3" t="s">
        <v>560</v>
      </c>
      <c r="D503" s="3" t="s">
        <v>13</v>
      </c>
      <c r="E503" s="3" t="s">
        <v>12</v>
      </c>
      <c r="F503" s="3">
        <v>1E-3</v>
      </c>
      <c r="G503" s="74">
        <f>F503*VLOOKUP(D503,GWPs!$B$3:$C$6,2,FALSE)</f>
        <v>2.8000000000000001E-2</v>
      </c>
      <c r="H503" s="3">
        <v>1E-3</v>
      </c>
      <c r="I503" s="74">
        <f>H503*VLOOKUP(D503,GWPs!$B$3:$C$6,2,FALSE)</f>
        <v>2.8000000000000001E-2</v>
      </c>
      <c r="J503" s="3">
        <v>2E-3</v>
      </c>
      <c r="K503" s="74">
        <f>J503*VLOOKUP(D503,GWPs!$B$3:$C$6,2,FALSE)</f>
        <v>5.6000000000000001E-2</v>
      </c>
      <c r="M503" s="3">
        <v>4</v>
      </c>
      <c r="N503" s="3">
        <v>2</v>
      </c>
      <c r="O503" s="3">
        <v>1</v>
      </c>
      <c r="P503" s="3">
        <v>1</v>
      </c>
      <c r="Q503" s="3">
        <v>1</v>
      </c>
    </row>
    <row r="504" spans="1:17">
      <c r="A504" t="s">
        <v>1429</v>
      </c>
      <c r="B504" s="3" t="s">
        <v>559</v>
      </c>
      <c r="C504" s="3" t="s">
        <v>560</v>
      </c>
      <c r="D504" s="3" t="s">
        <v>14</v>
      </c>
      <c r="E504" s="3" t="s">
        <v>12</v>
      </c>
      <c r="F504" s="3">
        <v>0</v>
      </c>
      <c r="G504" s="74">
        <f>F504*VLOOKUP(D504,GWPs!$B$3:$C$6,2,FALSE)</f>
        <v>0</v>
      </c>
      <c r="H504" s="3">
        <v>0</v>
      </c>
      <c r="I504" s="74">
        <f>H504*VLOOKUP(D504,GWPs!$B$3:$C$6,2,FALSE)</f>
        <v>0</v>
      </c>
      <c r="J504" s="3">
        <v>0</v>
      </c>
      <c r="K504" s="74">
        <f>J504*VLOOKUP(D504,GWPs!$B$3:$C$6,2,FALSE)</f>
        <v>0</v>
      </c>
      <c r="M504" s="3">
        <v>3</v>
      </c>
      <c r="N504" s="3">
        <v>2</v>
      </c>
      <c r="O504" s="3">
        <v>1</v>
      </c>
      <c r="P504" s="3">
        <v>3</v>
      </c>
      <c r="Q504" s="3">
        <v>1</v>
      </c>
    </row>
    <row r="505" spans="1:17">
      <c r="A505" t="s">
        <v>1429</v>
      </c>
      <c r="B505" s="3" t="s">
        <v>559</v>
      </c>
      <c r="C505" s="3" t="s">
        <v>560</v>
      </c>
      <c r="D505" s="3" t="s">
        <v>15</v>
      </c>
      <c r="E505" s="3" t="s">
        <v>16</v>
      </c>
      <c r="F505" s="3">
        <v>4.0000000000000001E-3</v>
      </c>
      <c r="G505" s="74">
        <f>F505*VLOOKUP(D505,GWPs!$B$3:$C$6,2,FALSE)</f>
        <v>4.0000000000000001E-3</v>
      </c>
      <c r="H505" s="3">
        <v>0</v>
      </c>
      <c r="I505" s="74">
        <f>H505*VLOOKUP(D505,GWPs!$B$3:$C$6,2,FALSE)</f>
        <v>0</v>
      </c>
      <c r="J505" s="3">
        <v>4.0000000000000001E-3</v>
      </c>
      <c r="K505" s="74">
        <f>J505*VLOOKUP(D505,GWPs!$B$3:$C$6,2,FALSE)</f>
        <v>4.0000000000000001E-3</v>
      </c>
      <c r="M505" s="3">
        <v>3</v>
      </c>
      <c r="N505" s="3">
        <v>2</v>
      </c>
      <c r="O505" s="3">
        <v>1</v>
      </c>
      <c r="P505" s="3">
        <v>3</v>
      </c>
      <c r="Q505" s="3">
        <v>1</v>
      </c>
    </row>
    <row r="506" spans="1:17">
      <c r="A506" t="s">
        <v>1429</v>
      </c>
      <c r="B506" s="3" t="s">
        <v>561</v>
      </c>
      <c r="C506" s="3" t="s">
        <v>562</v>
      </c>
      <c r="D506" s="3" t="s">
        <v>11</v>
      </c>
      <c r="E506" s="3" t="s">
        <v>12</v>
      </c>
      <c r="F506" s="3">
        <v>2.8969999999999998</v>
      </c>
      <c r="G506" s="74">
        <f>F506*VLOOKUP(D506,GWPs!$B$3:$C$6,2,FALSE)</f>
        <v>2.8969999999999998</v>
      </c>
      <c r="H506" s="3">
        <v>0.107</v>
      </c>
      <c r="I506" s="74">
        <f>H506*VLOOKUP(D506,GWPs!$B$3:$C$6,2,FALSE)</f>
        <v>0.107</v>
      </c>
      <c r="J506" s="3">
        <v>3.004</v>
      </c>
      <c r="K506" s="74">
        <f>J506*VLOOKUP(D506,GWPs!$B$3:$C$6,2,FALSE)</f>
        <v>3.004</v>
      </c>
      <c r="M506" s="3">
        <v>3</v>
      </c>
      <c r="N506" s="3">
        <v>2</v>
      </c>
      <c r="O506" s="3">
        <v>1</v>
      </c>
      <c r="P506" s="3">
        <v>3</v>
      </c>
      <c r="Q506" s="3">
        <v>1</v>
      </c>
    </row>
    <row r="507" spans="1:17">
      <c r="A507" t="s">
        <v>1429</v>
      </c>
      <c r="B507" s="3" t="s">
        <v>561</v>
      </c>
      <c r="C507" s="3" t="s">
        <v>562</v>
      </c>
      <c r="D507" s="3" t="s">
        <v>13</v>
      </c>
      <c r="E507" s="3" t="s">
        <v>12</v>
      </c>
      <c r="F507" s="3">
        <v>4.0000000000000001E-3</v>
      </c>
      <c r="G507" s="74">
        <f>F507*VLOOKUP(D507,GWPs!$B$3:$C$6,2,FALSE)</f>
        <v>0.112</v>
      </c>
      <c r="H507" s="3">
        <v>1E-3</v>
      </c>
      <c r="I507" s="74">
        <f>H507*VLOOKUP(D507,GWPs!$B$3:$C$6,2,FALSE)</f>
        <v>2.8000000000000001E-2</v>
      </c>
      <c r="J507" s="3">
        <v>5.0000000000000001E-3</v>
      </c>
      <c r="K507" s="74">
        <f>J507*VLOOKUP(D507,GWPs!$B$3:$C$6,2,FALSE)</f>
        <v>0.14000000000000001</v>
      </c>
      <c r="M507" s="3">
        <v>4</v>
      </c>
      <c r="N507" s="3">
        <v>2</v>
      </c>
      <c r="O507" s="3">
        <v>1</v>
      </c>
      <c r="P507" s="3">
        <v>1</v>
      </c>
      <c r="Q507" s="3">
        <v>1</v>
      </c>
    </row>
    <row r="508" spans="1:17">
      <c r="A508" t="s">
        <v>1429</v>
      </c>
      <c r="B508" s="3" t="s">
        <v>561</v>
      </c>
      <c r="C508" s="3" t="s">
        <v>562</v>
      </c>
      <c r="D508" s="3" t="s">
        <v>14</v>
      </c>
      <c r="E508" s="3" t="s">
        <v>12</v>
      </c>
      <c r="F508" s="3">
        <v>0</v>
      </c>
      <c r="G508" s="74">
        <f>F508*VLOOKUP(D508,GWPs!$B$3:$C$6,2,FALSE)</f>
        <v>0</v>
      </c>
      <c r="H508" s="3">
        <v>0</v>
      </c>
      <c r="I508" s="74">
        <f>H508*VLOOKUP(D508,GWPs!$B$3:$C$6,2,FALSE)</f>
        <v>0</v>
      </c>
      <c r="J508" s="3">
        <v>0</v>
      </c>
      <c r="K508" s="74">
        <f>J508*VLOOKUP(D508,GWPs!$B$3:$C$6,2,FALSE)</f>
        <v>0</v>
      </c>
      <c r="M508" s="3">
        <v>4</v>
      </c>
      <c r="N508" s="3">
        <v>2</v>
      </c>
      <c r="O508" s="3">
        <v>1</v>
      </c>
      <c r="P508" s="3">
        <v>4</v>
      </c>
      <c r="Q508" s="3">
        <v>1</v>
      </c>
    </row>
    <row r="509" spans="1:17">
      <c r="A509" t="s">
        <v>1429</v>
      </c>
      <c r="B509" s="3" t="s">
        <v>561</v>
      </c>
      <c r="C509" s="3" t="s">
        <v>562</v>
      </c>
      <c r="D509" s="3" t="s">
        <v>15</v>
      </c>
      <c r="E509" s="3" t="s">
        <v>16</v>
      </c>
      <c r="F509" s="3">
        <v>4.0000000000000001E-3</v>
      </c>
      <c r="G509" s="74">
        <f>F509*VLOOKUP(D509,GWPs!$B$3:$C$6,2,FALSE)</f>
        <v>4.0000000000000001E-3</v>
      </c>
      <c r="H509" s="3">
        <v>0</v>
      </c>
      <c r="I509" s="74">
        <f>H509*VLOOKUP(D509,GWPs!$B$3:$C$6,2,FALSE)</f>
        <v>0</v>
      </c>
      <c r="J509" s="3">
        <v>4.0000000000000001E-3</v>
      </c>
      <c r="K509" s="74">
        <f>J509*VLOOKUP(D509,GWPs!$B$3:$C$6,2,FALSE)</f>
        <v>4.0000000000000001E-3</v>
      </c>
      <c r="M509" s="3">
        <v>3</v>
      </c>
      <c r="N509" s="3">
        <v>2</v>
      </c>
      <c r="O509" s="3">
        <v>1</v>
      </c>
      <c r="P509" s="3">
        <v>3</v>
      </c>
      <c r="Q509" s="3">
        <v>1</v>
      </c>
    </row>
    <row r="510" spans="1:17">
      <c r="A510" t="s">
        <v>1429</v>
      </c>
      <c r="B510" s="3" t="s">
        <v>563</v>
      </c>
      <c r="C510" s="3" t="s">
        <v>564</v>
      </c>
      <c r="D510" s="3" t="s">
        <v>11</v>
      </c>
      <c r="E510" s="3" t="s">
        <v>12</v>
      </c>
      <c r="F510" s="3">
        <v>0.20499999999999999</v>
      </c>
      <c r="G510" s="74">
        <f>F510*VLOOKUP(D510,GWPs!$B$3:$C$6,2,FALSE)</f>
        <v>0.20499999999999999</v>
      </c>
      <c r="H510" s="3">
        <v>0.108</v>
      </c>
      <c r="I510" s="74">
        <f>H510*VLOOKUP(D510,GWPs!$B$3:$C$6,2,FALSE)</f>
        <v>0.108</v>
      </c>
      <c r="J510" s="3">
        <v>0.313</v>
      </c>
      <c r="K510" s="74">
        <f>J510*VLOOKUP(D510,GWPs!$B$3:$C$6,2,FALSE)</f>
        <v>0.313</v>
      </c>
      <c r="M510" s="3">
        <v>3</v>
      </c>
      <c r="N510" s="3">
        <v>2</v>
      </c>
      <c r="O510" s="3">
        <v>1</v>
      </c>
      <c r="P510" s="3">
        <v>4</v>
      </c>
      <c r="Q510" s="3">
        <v>1</v>
      </c>
    </row>
    <row r="511" spans="1:17">
      <c r="A511" t="s">
        <v>1429</v>
      </c>
      <c r="B511" s="3" t="s">
        <v>563</v>
      </c>
      <c r="C511" s="3" t="s">
        <v>564</v>
      </c>
      <c r="D511" s="3" t="s">
        <v>13</v>
      </c>
      <c r="E511" s="3" t="s">
        <v>12</v>
      </c>
      <c r="F511" s="3">
        <v>1E-3</v>
      </c>
      <c r="G511" s="74">
        <f>F511*VLOOKUP(D511,GWPs!$B$3:$C$6,2,FALSE)</f>
        <v>2.8000000000000001E-2</v>
      </c>
      <c r="H511" s="3">
        <v>1E-3</v>
      </c>
      <c r="I511" s="74">
        <f>H511*VLOOKUP(D511,GWPs!$B$3:$C$6,2,FALSE)</f>
        <v>2.8000000000000001E-2</v>
      </c>
      <c r="J511" s="3">
        <v>2E-3</v>
      </c>
      <c r="K511" s="74">
        <f>J511*VLOOKUP(D511,GWPs!$B$3:$C$6,2,FALSE)</f>
        <v>5.6000000000000001E-2</v>
      </c>
      <c r="M511" s="3">
        <v>4</v>
      </c>
      <c r="N511" s="3">
        <v>2</v>
      </c>
      <c r="O511" s="3">
        <v>1</v>
      </c>
      <c r="P511" s="3">
        <v>1</v>
      </c>
      <c r="Q511" s="3">
        <v>1</v>
      </c>
    </row>
    <row r="512" spans="1:17">
      <c r="A512" t="s">
        <v>1429</v>
      </c>
      <c r="B512" s="3" t="s">
        <v>563</v>
      </c>
      <c r="C512" s="3" t="s">
        <v>564</v>
      </c>
      <c r="D512" s="3" t="s">
        <v>14</v>
      </c>
      <c r="E512" s="3" t="s">
        <v>12</v>
      </c>
      <c r="F512" s="3">
        <v>0</v>
      </c>
      <c r="G512" s="74">
        <f>F512*VLOOKUP(D512,GWPs!$B$3:$C$6,2,FALSE)</f>
        <v>0</v>
      </c>
      <c r="H512" s="3">
        <v>0</v>
      </c>
      <c r="I512" s="74">
        <f>H512*VLOOKUP(D512,GWPs!$B$3:$C$6,2,FALSE)</f>
        <v>0</v>
      </c>
      <c r="J512" s="3">
        <v>0</v>
      </c>
      <c r="K512" s="74">
        <f>J512*VLOOKUP(D512,GWPs!$B$3:$C$6,2,FALSE)</f>
        <v>0</v>
      </c>
      <c r="M512" s="3">
        <v>3</v>
      </c>
      <c r="N512" s="3">
        <v>2</v>
      </c>
      <c r="O512" s="3">
        <v>1</v>
      </c>
      <c r="P512" s="3">
        <v>3</v>
      </c>
      <c r="Q512" s="3">
        <v>1</v>
      </c>
    </row>
    <row r="513" spans="1:17">
      <c r="A513" t="s">
        <v>1429</v>
      </c>
      <c r="B513" s="3" t="s">
        <v>563</v>
      </c>
      <c r="C513" s="3" t="s">
        <v>564</v>
      </c>
      <c r="D513" s="3" t="s">
        <v>15</v>
      </c>
      <c r="E513" s="3" t="s">
        <v>16</v>
      </c>
      <c r="F513" s="3">
        <v>3.0000000000000001E-3</v>
      </c>
      <c r="G513" s="74">
        <f>F513*VLOOKUP(D513,GWPs!$B$3:$C$6,2,FALSE)</f>
        <v>3.0000000000000001E-3</v>
      </c>
      <c r="H513" s="3">
        <v>0</v>
      </c>
      <c r="I513" s="74">
        <f>H513*VLOOKUP(D513,GWPs!$B$3:$C$6,2,FALSE)</f>
        <v>0</v>
      </c>
      <c r="J513" s="3">
        <v>3.0000000000000001E-3</v>
      </c>
      <c r="K513" s="74">
        <f>J513*VLOOKUP(D513,GWPs!$B$3:$C$6,2,FALSE)</f>
        <v>3.0000000000000001E-3</v>
      </c>
      <c r="M513" s="3">
        <v>3</v>
      </c>
      <c r="N513" s="3">
        <v>2</v>
      </c>
      <c r="O513" s="3">
        <v>1</v>
      </c>
      <c r="P513" s="3">
        <v>3</v>
      </c>
      <c r="Q513" s="3">
        <v>1</v>
      </c>
    </row>
    <row r="514" spans="1:17">
      <c r="A514" t="s">
        <v>1429</v>
      </c>
      <c r="B514" s="3" t="s">
        <v>565</v>
      </c>
      <c r="C514" s="3" t="s">
        <v>566</v>
      </c>
      <c r="D514" s="3" t="s">
        <v>11</v>
      </c>
      <c r="E514" s="3" t="s">
        <v>12</v>
      </c>
      <c r="F514" s="3">
        <v>0.246</v>
      </c>
      <c r="G514" s="74">
        <f>F514*VLOOKUP(D514,GWPs!$B$3:$C$6,2,FALSE)</f>
        <v>0.246</v>
      </c>
      <c r="H514" s="3">
        <v>0.14199999999999999</v>
      </c>
      <c r="I514" s="74">
        <f>H514*VLOOKUP(D514,GWPs!$B$3:$C$6,2,FALSE)</f>
        <v>0.14199999999999999</v>
      </c>
      <c r="J514" s="3">
        <v>0.38800000000000001</v>
      </c>
      <c r="K514" s="74">
        <f>J514*VLOOKUP(D514,GWPs!$B$3:$C$6,2,FALSE)</f>
        <v>0.38800000000000001</v>
      </c>
      <c r="M514" s="3">
        <v>3</v>
      </c>
      <c r="N514" s="3">
        <v>2</v>
      </c>
      <c r="O514" s="3">
        <v>1</v>
      </c>
      <c r="P514" s="3">
        <v>4</v>
      </c>
      <c r="Q514" s="3">
        <v>1</v>
      </c>
    </row>
    <row r="515" spans="1:17">
      <c r="A515" t="s">
        <v>1429</v>
      </c>
      <c r="B515" s="3" t="s">
        <v>565</v>
      </c>
      <c r="C515" s="3" t="s">
        <v>566</v>
      </c>
      <c r="D515" s="3" t="s">
        <v>13</v>
      </c>
      <c r="E515" s="3" t="s">
        <v>12</v>
      </c>
      <c r="F515" s="3">
        <v>1E-3</v>
      </c>
      <c r="G515" s="74">
        <f>F515*VLOOKUP(D515,GWPs!$B$3:$C$6,2,FALSE)</f>
        <v>2.8000000000000001E-2</v>
      </c>
      <c r="H515" s="3">
        <v>1E-3</v>
      </c>
      <c r="I515" s="74">
        <f>H515*VLOOKUP(D515,GWPs!$B$3:$C$6,2,FALSE)</f>
        <v>2.8000000000000001E-2</v>
      </c>
      <c r="J515" s="3">
        <v>2E-3</v>
      </c>
      <c r="K515" s="74">
        <f>J515*VLOOKUP(D515,GWPs!$B$3:$C$6,2,FALSE)</f>
        <v>5.6000000000000001E-2</v>
      </c>
      <c r="M515" s="3">
        <v>4</v>
      </c>
      <c r="N515" s="3">
        <v>2</v>
      </c>
      <c r="O515" s="3">
        <v>1</v>
      </c>
      <c r="P515" s="3">
        <v>1</v>
      </c>
      <c r="Q515" s="3">
        <v>1</v>
      </c>
    </row>
    <row r="516" spans="1:17">
      <c r="A516" t="s">
        <v>1429</v>
      </c>
      <c r="B516" s="3" t="s">
        <v>565</v>
      </c>
      <c r="C516" s="3" t="s">
        <v>566</v>
      </c>
      <c r="D516" s="3" t="s">
        <v>14</v>
      </c>
      <c r="E516" s="3" t="s">
        <v>12</v>
      </c>
      <c r="F516" s="3">
        <v>0</v>
      </c>
      <c r="G516" s="74">
        <f>F516*VLOOKUP(D516,GWPs!$B$3:$C$6,2,FALSE)</f>
        <v>0</v>
      </c>
      <c r="H516" s="3">
        <v>0</v>
      </c>
      <c r="I516" s="74">
        <f>H516*VLOOKUP(D516,GWPs!$B$3:$C$6,2,FALSE)</f>
        <v>0</v>
      </c>
      <c r="J516" s="3">
        <v>0</v>
      </c>
      <c r="K516" s="74">
        <f>J516*VLOOKUP(D516,GWPs!$B$3:$C$6,2,FALSE)</f>
        <v>0</v>
      </c>
      <c r="M516" s="3">
        <v>3</v>
      </c>
      <c r="N516" s="3">
        <v>2</v>
      </c>
      <c r="O516" s="3">
        <v>1</v>
      </c>
      <c r="P516" s="3">
        <v>3</v>
      </c>
      <c r="Q516" s="3">
        <v>1</v>
      </c>
    </row>
    <row r="517" spans="1:17">
      <c r="A517" t="s">
        <v>1429</v>
      </c>
      <c r="B517" s="3" t="s">
        <v>565</v>
      </c>
      <c r="C517" s="3" t="s">
        <v>566</v>
      </c>
      <c r="D517" s="3" t="s">
        <v>15</v>
      </c>
      <c r="E517" s="3" t="s">
        <v>16</v>
      </c>
      <c r="F517" s="3">
        <v>4.0000000000000001E-3</v>
      </c>
      <c r="G517" s="74">
        <f>F517*VLOOKUP(D517,GWPs!$B$3:$C$6,2,FALSE)</f>
        <v>4.0000000000000001E-3</v>
      </c>
      <c r="H517" s="3">
        <v>0</v>
      </c>
      <c r="I517" s="74">
        <f>H517*VLOOKUP(D517,GWPs!$B$3:$C$6,2,FALSE)</f>
        <v>0</v>
      </c>
      <c r="J517" s="3">
        <v>4.0000000000000001E-3</v>
      </c>
      <c r="K517" s="74">
        <f>J517*VLOOKUP(D517,GWPs!$B$3:$C$6,2,FALSE)</f>
        <v>4.0000000000000001E-3</v>
      </c>
      <c r="M517" s="3">
        <v>3</v>
      </c>
      <c r="N517" s="3">
        <v>2</v>
      </c>
      <c r="O517" s="3">
        <v>1</v>
      </c>
      <c r="P517" s="3">
        <v>4</v>
      </c>
      <c r="Q517" s="3">
        <v>1</v>
      </c>
    </row>
    <row r="518" spans="1:17">
      <c r="A518" t="s">
        <v>1429</v>
      </c>
      <c r="B518" s="3" t="s">
        <v>567</v>
      </c>
      <c r="C518" s="3" t="s">
        <v>568</v>
      </c>
      <c r="D518" s="3" t="s">
        <v>11</v>
      </c>
      <c r="E518" s="3" t="s">
        <v>12</v>
      </c>
      <c r="F518" s="3">
        <v>0.55400000000000005</v>
      </c>
      <c r="G518" s="74">
        <f>F518*VLOOKUP(D518,GWPs!$B$3:$C$6,2,FALSE)</f>
        <v>0.55400000000000005</v>
      </c>
      <c r="H518" s="3">
        <v>0.23100000000000001</v>
      </c>
      <c r="I518" s="74">
        <f>H518*VLOOKUP(D518,GWPs!$B$3:$C$6,2,FALSE)</f>
        <v>0.23100000000000001</v>
      </c>
      <c r="J518" s="3">
        <v>0.78600000000000003</v>
      </c>
      <c r="K518" s="74">
        <f>J518*VLOOKUP(D518,GWPs!$B$3:$C$6,2,FALSE)</f>
        <v>0.78600000000000003</v>
      </c>
      <c r="M518" s="3">
        <v>3</v>
      </c>
      <c r="N518" s="3">
        <v>2</v>
      </c>
      <c r="O518" s="3">
        <v>1</v>
      </c>
      <c r="P518" s="3">
        <v>4</v>
      </c>
      <c r="Q518" s="3">
        <v>1</v>
      </c>
    </row>
    <row r="519" spans="1:17">
      <c r="A519" t="s">
        <v>1429</v>
      </c>
      <c r="B519" s="3" t="s">
        <v>567</v>
      </c>
      <c r="C519" s="3" t="s">
        <v>568</v>
      </c>
      <c r="D519" s="3" t="s">
        <v>13</v>
      </c>
      <c r="E519" s="3" t="s">
        <v>12</v>
      </c>
      <c r="F519" s="3">
        <v>2E-3</v>
      </c>
      <c r="G519" s="74">
        <f>F519*VLOOKUP(D519,GWPs!$B$3:$C$6,2,FALSE)</f>
        <v>5.6000000000000001E-2</v>
      </c>
      <c r="H519" s="3">
        <v>3.0000000000000001E-3</v>
      </c>
      <c r="I519" s="74">
        <f>H519*VLOOKUP(D519,GWPs!$B$3:$C$6,2,FALSE)</f>
        <v>8.4000000000000005E-2</v>
      </c>
      <c r="J519" s="3">
        <v>5.0000000000000001E-3</v>
      </c>
      <c r="K519" s="74">
        <f>J519*VLOOKUP(D519,GWPs!$B$3:$C$6,2,FALSE)</f>
        <v>0.14000000000000001</v>
      </c>
      <c r="M519" s="3">
        <v>4</v>
      </c>
      <c r="N519" s="3">
        <v>2</v>
      </c>
      <c r="O519" s="3">
        <v>1</v>
      </c>
      <c r="P519" s="3">
        <v>1</v>
      </c>
      <c r="Q519" s="3">
        <v>1</v>
      </c>
    </row>
    <row r="520" spans="1:17">
      <c r="A520" t="s">
        <v>1429</v>
      </c>
      <c r="B520" s="3" t="s">
        <v>567</v>
      </c>
      <c r="C520" s="3" t="s">
        <v>568</v>
      </c>
      <c r="D520" s="3" t="s">
        <v>14</v>
      </c>
      <c r="E520" s="3" t="s">
        <v>12</v>
      </c>
      <c r="F520" s="3">
        <v>0</v>
      </c>
      <c r="G520" s="74">
        <f>F520*VLOOKUP(D520,GWPs!$B$3:$C$6,2,FALSE)</f>
        <v>0</v>
      </c>
      <c r="H520" s="3">
        <v>0</v>
      </c>
      <c r="I520" s="74">
        <f>H520*VLOOKUP(D520,GWPs!$B$3:$C$6,2,FALSE)</f>
        <v>0</v>
      </c>
      <c r="J520" s="3">
        <v>0</v>
      </c>
      <c r="K520" s="74">
        <f>J520*VLOOKUP(D520,GWPs!$B$3:$C$6,2,FALSE)</f>
        <v>0</v>
      </c>
      <c r="M520" s="3">
        <v>3</v>
      </c>
      <c r="N520" s="3">
        <v>2</v>
      </c>
      <c r="O520" s="3">
        <v>1</v>
      </c>
      <c r="P520" s="3">
        <v>3</v>
      </c>
      <c r="Q520" s="3">
        <v>1</v>
      </c>
    </row>
    <row r="521" spans="1:17">
      <c r="A521" t="s">
        <v>1429</v>
      </c>
      <c r="B521" s="3" t="s">
        <v>567</v>
      </c>
      <c r="C521" s="3" t="s">
        <v>568</v>
      </c>
      <c r="D521" s="3" t="s">
        <v>15</v>
      </c>
      <c r="E521" s="3" t="s">
        <v>16</v>
      </c>
      <c r="F521" s="3">
        <v>5.0000000000000001E-3</v>
      </c>
      <c r="G521" s="74">
        <f>F521*VLOOKUP(D521,GWPs!$B$3:$C$6,2,FALSE)</f>
        <v>5.0000000000000001E-3</v>
      </c>
      <c r="H521" s="3">
        <v>0</v>
      </c>
      <c r="I521" s="74">
        <f>H521*VLOOKUP(D521,GWPs!$B$3:$C$6,2,FALSE)</f>
        <v>0</v>
      </c>
      <c r="J521" s="3">
        <v>5.0000000000000001E-3</v>
      </c>
      <c r="K521" s="74">
        <f>J521*VLOOKUP(D521,GWPs!$B$3:$C$6,2,FALSE)</f>
        <v>5.0000000000000001E-3</v>
      </c>
      <c r="M521" s="3">
        <v>3</v>
      </c>
      <c r="N521" s="3">
        <v>2</v>
      </c>
      <c r="O521" s="3">
        <v>1</v>
      </c>
      <c r="P521" s="3">
        <v>3</v>
      </c>
      <c r="Q521" s="3">
        <v>1</v>
      </c>
    </row>
    <row r="522" spans="1:17">
      <c r="A522" t="s">
        <v>1429</v>
      </c>
      <c r="B522" s="3" t="s">
        <v>569</v>
      </c>
      <c r="C522" s="3" t="s">
        <v>570</v>
      </c>
      <c r="D522" s="3" t="s">
        <v>11</v>
      </c>
      <c r="E522" s="3" t="s">
        <v>12</v>
      </c>
      <c r="F522" s="3">
        <v>0.50600000000000001</v>
      </c>
      <c r="G522" s="74">
        <f>F522*VLOOKUP(D522,GWPs!$B$3:$C$6,2,FALSE)</f>
        <v>0.50600000000000001</v>
      </c>
      <c r="H522" s="3">
        <v>7.9000000000000001E-2</v>
      </c>
      <c r="I522" s="74">
        <f>H522*VLOOKUP(D522,GWPs!$B$3:$C$6,2,FALSE)</f>
        <v>7.9000000000000001E-2</v>
      </c>
      <c r="J522" s="3">
        <v>0.58499999999999996</v>
      </c>
      <c r="K522" s="74">
        <f>J522*VLOOKUP(D522,GWPs!$B$3:$C$6,2,FALSE)</f>
        <v>0.58499999999999996</v>
      </c>
      <c r="M522" s="3">
        <v>3</v>
      </c>
      <c r="N522" s="3">
        <v>2</v>
      </c>
      <c r="O522" s="3">
        <v>1</v>
      </c>
      <c r="P522" s="3">
        <v>4</v>
      </c>
      <c r="Q522" s="3">
        <v>1</v>
      </c>
    </row>
    <row r="523" spans="1:17">
      <c r="A523" t="s">
        <v>1429</v>
      </c>
      <c r="B523" s="3" t="s">
        <v>569</v>
      </c>
      <c r="C523" s="3" t="s">
        <v>570</v>
      </c>
      <c r="D523" s="3" t="s">
        <v>13</v>
      </c>
      <c r="E523" s="3" t="s">
        <v>12</v>
      </c>
      <c r="F523" s="3">
        <v>2E-3</v>
      </c>
      <c r="G523" s="74">
        <f>F523*VLOOKUP(D523,GWPs!$B$3:$C$6,2,FALSE)</f>
        <v>5.6000000000000001E-2</v>
      </c>
      <c r="H523" s="3">
        <v>1E-3</v>
      </c>
      <c r="I523" s="74">
        <f>H523*VLOOKUP(D523,GWPs!$B$3:$C$6,2,FALSE)</f>
        <v>2.8000000000000001E-2</v>
      </c>
      <c r="J523" s="3">
        <v>3.0000000000000001E-3</v>
      </c>
      <c r="K523" s="74">
        <f>J523*VLOOKUP(D523,GWPs!$B$3:$C$6,2,FALSE)</f>
        <v>8.4000000000000005E-2</v>
      </c>
      <c r="M523" s="3">
        <v>4</v>
      </c>
      <c r="N523" s="3">
        <v>2</v>
      </c>
      <c r="O523" s="3">
        <v>1</v>
      </c>
      <c r="P523" s="3">
        <v>1</v>
      </c>
      <c r="Q523" s="3">
        <v>1</v>
      </c>
    </row>
    <row r="524" spans="1:17">
      <c r="A524" t="s">
        <v>1429</v>
      </c>
      <c r="B524" s="3" t="s">
        <v>569</v>
      </c>
      <c r="C524" s="3" t="s">
        <v>570</v>
      </c>
      <c r="D524" s="3" t="s">
        <v>14</v>
      </c>
      <c r="E524" s="3" t="s">
        <v>12</v>
      </c>
      <c r="F524" s="3">
        <v>0</v>
      </c>
      <c r="G524" s="74">
        <f>F524*VLOOKUP(D524,GWPs!$B$3:$C$6,2,FALSE)</f>
        <v>0</v>
      </c>
      <c r="H524" s="3">
        <v>0</v>
      </c>
      <c r="I524" s="74">
        <f>H524*VLOOKUP(D524,GWPs!$B$3:$C$6,2,FALSE)</f>
        <v>0</v>
      </c>
      <c r="J524" s="3">
        <v>0</v>
      </c>
      <c r="K524" s="74">
        <f>J524*VLOOKUP(D524,GWPs!$B$3:$C$6,2,FALSE)</f>
        <v>0</v>
      </c>
      <c r="M524" s="3">
        <v>3</v>
      </c>
      <c r="N524" s="3">
        <v>2</v>
      </c>
      <c r="O524" s="3">
        <v>1</v>
      </c>
      <c r="P524" s="3">
        <v>3</v>
      </c>
      <c r="Q524" s="3">
        <v>1</v>
      </c>
    </row>
    <row r="525" spans="1:17">
      <c r="A525" t="s">
        <v>1429</v>
      </c>
      <c r="B525" s="3" t="s">
        <v>569</v>
      </c>
      <c r="C525" s="3" t="s">
        <v>570</v>
      </c>
      <c r="D525" s="3" t="s">
        <v>15</v>
      </c>
      <c r="E525" s="3" t="s">
        <v>16</v>
      </c>
      <c r="F525" s="3">
        <v>5.0000000000000001E-3</v>
      </c>
      <c r="G525" s="74">
        <f>F525*VLOOKUP(D525,GWPs!$B$3:$C$6,2,FALSE)</f>
        <v>5.0000000000000001E-3</v>
      </c>
      <c r="H525" s="3">
        <v>0</v>
      </c>
      <c r="I525" s="74">
        <f>H525*VLOOKUP(D525,GWPs!$B$3:$C$6,2,FALSE)</f>
        <v>0</v>
      </c>
      <c r="J525" s="3">
        <v>5.0000000000000001E-3</v>
      </c>
      <c r="K525" s="74">
        <f>J525*VLOOKUP(D525,GWPs!$B$3:$C$6,2,FALSE)</f>
        <v>5.0000000000000001E-3</v>
      </c>
      <c r="M525" s="3">
        <v>3</v>
      </c>
      <c r="N525" s="3">
        <v>2</v>
      </c>
      <c r="O525" s="3">
        <v>1</v>
      </c>
      <c r="P525" s="3">
        <v>3</v>
      </c>
      <c r="Q525" s="3">
        <v>1</v>
      </c>
    </row>
    <row r="526" spans="1:17">
      <c r="A526" t="s">
        <v>1429</v>
      </c>
      <c r="B526" s="3" t="s">
        <v>571</v>
      </c>
      <c r="C526" s="3" t="s">
        <v>572</v>
      </c>
      <c r="D526" s="3" t="s">
        <v>11</v>
      </c>
      <c r="E526" s="3" t="s">
        <v>12</v>
      </c>
      <c r="F526" s="3">
        <v>0.71799999999999997</v>
      </c>
      <c r="G526" s="74">
        <f>F526*VLOOKUP(D526,GWPs!$B$3:$C$6,2,FALSE)</f>
        <v>0.71799999999999997</v>
      </c>
      <c r="H526" s="3">
        <v>7.5999999999999998E-2</v>
      </c>
      <c r="I526" s="74">
        <f>H526*VLOOKUP(D526,GWPs!$B$3:$C$6,2,FALSE)</f>
        <v>7.5999999999999998E-2</v>
      </c>
      <c r="J526" s="3">
        <v>0.79500000000000004</v>
      </c>
      <c r="K526" s="74">
        <f>J526*VLOOKUP(D526,GWPs!$B$3:$C$6,2,FALSE)</f>
        <v>0.79500000000000004</v>
      </c>
      <c r="M526" s="3">
        <v>3</v>
      </c>
      <c r="N526" s="3">
        <v>2</v>
      </c>
      <c r="O526" s="3">
        <v>1</v>
      </c>
      <c r="P526" s="3">
        <v>3</v>
      </c>
      <c r="Q526" s="3">
        <v>1</v>
      </c>
    </row>
    <row r="527" spans="1:17">
      <c r="A527" t="s">
        <v>1429</v>
      </c>
      <c r="B527" s="3" t="s">
        <v>571</v>
      </c>
      <c r="C527" s="3" t="s">
        <v>572</v>
      </c>
      <c r="D527" s="3" t="s">
        <v>13</v>
      </c>
      <c r="E527" s="3" t="s">
        <v>12</v>
      </c>
      <c r="F527" s="3">
        <v>1E-3</v>
      </c>
      <c r="G527" s="74">
        <f>F527*VLOOKUP(D527,GWPs!$B$3:$C$6,2,FALSE)</f>
        <v>2.8000000000000001E-2</v>
      </c>
      <c r="H527" s="3">
        <v>1E-3</v>
      </c>
      <c r="I527" s="74">
        <f>H527*VLOOKUP(D527,GWPs!$B$3:$C$6,2,FALSE)</f>
        <v>2.8000000000000001E-2</v>
      </c>
      <c r="J527" s="3">
        <v>2E-3</v>
      </c>
      <c r="K527" s="74">
        <f>J527*VLOOKUP(D527,GWPs!$B$3:$C$6,2,FALSE)</f>
        <v>5.6000000000000001E-2</v>
      </c>
      <c r="M527" s="3">
        <v>4</v>
      </c>
      <c r="N527" s="3">
        <v>2</v>
      </c>
      <c r="O527" s="3">
        <v>1</v>
      </c>
      <c r="P527" s="3">
        <v>1</v>
      </c>
      <c r="Q527" s="3">
        <v>1</v>
      </c>
    </row>
    <row r="528" spans="1:17">
      <c r="A528" t="s">
        <v>1429</v>
      </c>
      <c r="B528" s="3" t="s">
        <v>571</v>
      </c>
      <c r="C528" s="3" t="s">
        <v>572</v>
      </c>
      <c r="D528" s="3" t="s">
        <v>14</v>
      </c>
      <c r="E528" s="3" t="s">
        <v>12</v>
      </c>
      <c r="F528" s="3">
        <v>0</v>
      </c>
      <c r="G528" s="74">
        <f>F528*VLOOKUP(D528,GWPs!$B$3:$C$6,2,FALSE)</f>
        <v>0</v>
      </c>
      <c r="H528" s="3">
        <v>0</v>
      </c>
      <c r="I528" s="74">
        <f>H528*VLOOKUP(D528,GWPs!$B$3:$C$6,2,FALSE)</f>
        <v>0</v>
      </c>
      <c r="J528" s="3">
        <v>0</v>
      </c>
      <c r="K528" s="74">
        <f>J528*VLOOKUP(D528,GWPs!$B$3:$C$6,2,FALSE)</f>
        <v>0</v>
      </c>
      <c r="M528" s="3">
        <v>3</v>
      </c>
      <c r="N528" s="3">
        <v>2</v>
      </c>
      <c r="O528" s="3">
        <v>1</v>
      </c>
      <c r="P528" s="3">
        <v>3</v>
      </c>
      <c r="Q528" s="3">
        <v>1</v>
      </c>
    </row>
    <row r="529" spans="1:17">
      <c r="A529" t="s">
        <v>1429</v>
      </c>
      <c r="B529" s="3" t="s">
        <v>571</v>
      </c>
      <c r="C529" s="3" t="s">
        <v>572</v>
      </c>
      <c r="D529" s="3" t="s">
        <v>15</v>
      </c>
      <c r="E529" s="3" t="s">
        <v>16</v>
      </c>
      <c r="F529" s="3">
        <v>4.0000000000000001E-3</v>
      </c>
      <c r="G529" s="74">
        <f>F529*VLOOKUP(D529,GWPs!$B$3:$C$6,2,FALSE)</f>
        <v>4.0000000000000001E-3</v>
      </c>
      <c r="H529" s="3">
        <v>0</v>
      </c>
      <c r="I529" s="74">
        <f>H529*VLOOKUP(D529,GWPs!$B$3:$C$6,2,FALSE)</f>
        <v>0</v>
      </c>
      <c r="J529" s="3">
        <v>4.0000000000000001E-3</v>
      </c>
      <c r="K529" s="74">
        <f>J529*VLOOKUP(D529,GWPs!$B$3:$C$6,2,FALSE)</f>
        <v>4.0000000000000001E-3</v>
      </c>
      <c r="M529" s="3">
        <v>3</v>
      </c>
      <c r="N529" s="3">
        <v>2</v>
      </c>
      <c r="O529" s="3">
        <v>1</v>
      </c>
      <c r="P529" s="3">
        <v>4</v>
      </c>
      <c r="Q529" s="3">
        <v>1</v>
      </c>
    </row>
    <row r="530" spans="1:17">
      <c r="A530" t="s">
        <v>1429</v>
      </c>
      <c r="B530" s="3" t="s">
        <v>573</v>
      </c>
      <c r="C530" s="3" t="s">
        <v>574</v>
      </c>
      <c r="D530" s="3" t="s">
        <v>11</v>
      </c>
      <c r="E530" s="3" t="s">
        <v>12</v>
      </c>
      <c r="F530" s="3">
        <v>0.623</v>
      </c>
      <c r="G530" s="74">
        <f>F530*VLOOKUP(D530,GWPs!$B$3:$C$6,2,FALSE)</f>
        <v>0.623</v>
      </c>
      <c r="H530" s="3">
        <v>3.2000000000000001E-2</v>
      </c>
      <c r="I530" s="74">
        <f>H530*VLOOKUP(D530,GWPs!$B$3:$C$6,2,FALSE)</f>
        <v>3.2000000000000001E-2</v>
      </c>
      <c r="J530" s="3">
        <v>0.65500000000000003</v>
      </c>
      <c r="K530" s="74">
        <f>J530*VLOOKUP(D530,GWPs!$B$3:$C$6,2,FALSE)</f>
        <v>0.65500000000000003</v>
      </c>
      <c r="M530" s="3">
        <v>3</v>
      </c>
      <c r="N530" s="3">
        <v>2</v>
      </c>
      <c r="O530" s="3">
        <v>1</v>
      </c>
      <c r="P530" s="3">
        <v>2</v>
      </c>
      <c r="Q530" s="3">
        <v>1</v>
      </c>
    </row>
    <row r="531" spans="1:17">
      <c r="A531" t="s">
        <v>1429</v>
      </c>
      <c r="B531" s="3" t="s">
        <v>573</v>
      </c>
      <c r="C531" s="3" t="s">
        <v>574</v>
      </c>
      <c r="D531" s="3" t="s">
        <v>13</v>
      </c>
      <c r="E531" s="3" t="s">
        <v>12</v>
      </c>
      <c r="F531" s="3">
        <v>3.0000000000000001E-3</v>
      </c>
      <c r="G531" s="74">
        <f>F531*VLOOKUP(D531,GWPs!$B$3:$C$6,2,FALSE)</f>
        <v>8.4000000000000005E-2</v>
      </c>
      <c r="H531" s="3">
        <v>0</v>
      </c>
      <c r="I531" s="74">
        <f>H531*VLOOKUP(D531,GWPs!$B$3:$C$6,2,FALSE)</f>
        <v>0</v>
      </c>
      <c r="J531" s="3">
        <v>4.0000000000000001E-3</v>
      </c>
      <c r="K531" s="74">
        <f>J531*VLOOKUP(D531,GWPs!$B$3:$C$6,2,FALSE)</f>
        <v>0.112</v>
      </c>
      <c r="M531" s="3">
        <v>4</v>
      </c>
      <c r="N531" s="3">
        <v>2</v>
      </c>
      <c r="O531" s="3">
        <v>1</v>
      </c>
      <c r="P531" s="3">
        <v>1</v>
      </c>
      <c r="Q531" s="3">
        <v>1</v>
      </c>
    </row>
    <row r="532" spans="1:17">
      <c r="A532" t="s">
        <v>1429</v>
      </c>
      <c r="B532" s="3" t="s">
        <v>573</v>
      </c>
      <c r="C532" s="3" t="s">
        <v>574</v>
      </c>
      <c r="D532" s="3" t="s">
        <v>14</v>
      </c>
      <c r="E532" s="3" t="s">
        <v>12</v>
      </c>
      <c r="F532" s="3">
        <v>0</v>
      </c>
      <c r="G532" s="74">
        <f>F532*VLOOKUP(D532,GWPs!$B$3:$C$6,2,FALSE)</f>
        <v>0</v>
      </c>
      <c r="H532" s="3">
        <v>0</v>
      </c>
      <c r="I532" s="74">
        <f>H532*VLOOKUP(D532,GWPs!$B$3:$C$6,2,FALSE)</f>
        <v>0</v>
      </c>
      <c r="J532" s="3">
        <v>0</v>
      </c>
      <c r="K532" s="74">
        <f>J532*VLOOKUP(D532,GWPs!$B$3:$C$6,2,FALSE)</f>
        <v>0</v>
      </c>
      <c r="M532" s="3">
        <v>3</v>
      </c>
      <c r="N532" s="3">
        <v>2</v>
      </c>
      <c r="O532" s="3">
        <v>1</v>
      </c>
      <c r="P532" s="3">
        <v>3</v>
      </c>
      <c r="Q532" s="3">
        <v>1</v>
      </c>
    </row>
    <row r="533" spans="1:17">
      <c r="A533" t="s">
        <v>1429</v>
      </c>
      <c r="B533" s="3" t="s">
        <v>573</v>
      </c>
      <c r="C533" s="3" t="s">
        <v>574</v>
      </c>
      <c r="D533" s="3" t="s">
        <v>15</v>
      </c>
      <c r="E533" s="3" t="s">
        <v>16</v>
      </c>
      <c r="F533" s="3">
        <v>1.0999999999999999E-2</v>
      </c>
      <c r="G533" s="74">
        <f>F533*VLOOKUP(D533,GWPs!$B$3:$C$6,2,FALSE)</f>
        <v>1.0999999999999999E-2</v>
      </c>
      <c r="H533" s="3">
        <v>0</v>
      </c>
      <c r="I533" s="74">
        <f>H533*VLOOKUP(D533,GWPs!$B$3:$C$6,2,FALSE)</f>
        <v>0</v>
      </c>
      <c r="J533" s="3">
        <v>1.0999999999999999E-2</v>
      </c>
      <c r="K533" s="74">
        <f>J533*VLOOKUP(D533,GWPs!$B$3:$C$6,2,FALSE)</f>
        <v>1.0999999999999999E-2</v>
      </c>
      <c r="M533" s="3">
        <v>3</v>
      </c>
      <c r="N533" s="3">
        <v>2</v>
      </c>
      <c r="O533" s="3">
        <v>1</v>
      </c>
      <c r="P533" s="3">
        <v>2</v>
      </c>
      <c r="Q533" s="3">
        <v>1</v>
      </c>
    </row>
    <row r="534" spans="1:17">
      <c r="A534" t="s">
        <v>1429</v>
      </c>
      <c r="B534" s="3" t="s">
        <v>575</v>
      </c>
      <c r="C534" s="3" t="s">
        <v>576</v>
      </c>
      <c r="D534" s="3" t="s">
        <v>11</v>
      </c>
      <c r="E534" s="3" t="s">
        <v>12</v>
      </c>
      <c r="F534" s="3">
        <v>0.40400000000000003</v>
      </c>
      <c r="G534" s="74">
        <f>F534*VLOOKUP(D534,GWPs!$B$3:$C$6,2,FALSE)</f>
        <v>0.40400000000000003</v>
      </c>
      <c r="H534" s="3">
        <v>3.9E-2</v>
      </c>
      <c r="I534" s="74">
        <f>H534*VLOOKUP(D534,GWPs!$B$3:$C$6,2,FALSE)</f>
        <v>3.9E-2</v>
      </c>
      <c r="J534" s="3">
        <v>0.442</v>
      </c>
      <c r="K534" s="74">
        <f>J534*VLOOKUP(D534,GWPs!$B$3:$C$6,2,FALSE)</f>
        <v>0.442</v>
      </c>
      <c r="M534" s="3">
        <v>3</v>
      </c>
      <c r="N534" s="3">
        <v>2</v>
      </c>
      <c r="O534" s="3">
        <v>1</v>
      </c>
      <c r="P534" s="3">
        <v>3</v>
      </c>
      <c r="Q534" s="3">
        <v>1</v>
      </c>
    </row>
    <row r="535" spans="1:17">
      <c r="A535" t="s">
        <v>1429</v>
      </c>
      <c r="B535" s="3" t="s">
        <v>575</v>
      </c>
      <c r="C535" s="3" t="s">
        <v>576</v>
      </c>
      <c r="D535" s="3" t="s">
        <v>13</v>
      </c>
      <c r="E535" s="3" t="s">
        <v>12</v>
      </c>
      <c r="F535" s="3">
        <v>2E-3</v>
      </c>
      <c r="G535" s="74">
        <f>F535*VLOOKUP(D535,GWPs!$B$3:$C$6,2,FALSE)</f>
        <v>5.6000000000000001E-2</v>
      </c>
      <c r="H535" s="3">
        <v>0</v>
      </c>
      <c r="I535" s="74">
        <f>H535*VLOOKUP(D535,GWPs!$B$3:$C$6,2,FALSE)</f>
        <v>0</v>
      </c>
      <c r="J535" s="3">
        <v>2E-3</v>
      </c>
      <c r="K535" s="74">
        <f>J535*VLOOKUP(D535,GWPs!$B$3:$C$6,2,FALSE)</f>
        <v>5.6000000000000001E-2</v>
      </c>
      <c r="M535" s="3">
        <v>4</v>
      </c>
      <c r="N535" s="3">
        <v>2</v>
      </c>
      <c r="O535" s="3">
        <v>1</v>
      </c>
      <c r="P535" s="3">
        <v>1</v>
      </c>
      <c r="Q535" s="3">
        <v>1</v>
      </c>
    </row>
    <row r="536" spans="1:17">
      <c r="A536" t="s">
        <v>1429</v>
      </c>
      <c r="B536" s="3" t="s">
        <v>575</v>
      </c>
      <c r="C536" s="3" t="s">
        <v>576</v>
      </c>
      <c r="D536" s="3" t="s">
        <v>14</v>
      </c>
      <c r="E536" s="3" t="s">
        <v>12</v>
      </c>
      <c r="F536" s="3">
        <v>0</v>
      </c>
      <c r="G536" s="74">
        <f>F536*VLOOKUP(D536,GWPs!$B$3:$C$6,2,FALSE)</f>
        <v>0</v>
      </c>
      <c r="H536" s="3">
        <v>0</v>
      </c>
      <c r="I536" s="74">
        <f>H536*VLOOKUP(D536,GWPs!$B$3:$C$6,2,FALSE)</f>
        <v>0</v>
      </c>
      <c r="J536" s="3">
        <v>0</v>
      </c>
      <c r="K536" s="74">
        <f>J536*VLOOKUP(D536,GWPs!$B$3:$C$6,2,FALSE)</f>
        <v>0</v>
      </c>
      <c r="M536" s="3">
        <v>3</v>
      </c>
      <c r="N536" s="3">
        <v>2</v>
      </c>
      <c r="O536" s="3">
        <v>1</v>
      </c>
      <c r="P536" s="3">
        <v>3</v>
      </c>
      <c r="Q536" s="3">
        <v>1</v>
      </c>
    </row>
    <row r="537" spans="1:17">
      <c r="A537" t="s">
        <v>1429</v>
      </c>
      <c r="B537" s="3" t="s">
        <v>575</v>
      </c>
      <c r="C537" s="3" t="s">
        <v>576</v>
      </c>
      <c r="D537" s="3" t="s">
        <v>15</v>
      </c>
      <c r="E537" s="3" t="s">
        <v>16</v>
      </c>
      <c r="F537" s="3">
        <v>8.9999999999999993E-3</v>
      </c>
      <c r="G537" s="74">
        <f>F537*VLOOKUP(D537,GWPs!$B$3:$C$6,2,FALSE)</f>
        <v>8.9999999999999993E-3</v>
      </c>
      <c r="H537" s="3">
        <v>0</v>
      </c>
      <c r="I537" s="74">
        <f>H537*VLOOKUP(D537,GWPs!$B$3:$C$6,2,FALSE)</f>
        <v>0</v>
      </c>
      <c r="J537" s="3">
        <v>8.9999999999999993E-3</v>
      </c>
      <c r="K537" s="74">
        <f>J537*VLOOKUP(D537,GWPs!$B$3:$C$6,2,FALSE)</f>
        <v>8.9999999999999993E-3</v>
      </c>
      <c r="M537" s="3">
        <v>3</v>
      </c>
      <c r="N537" s="3">
        <v>2</v>
      </c>
      <c r="O537" s="3">
        <v>1</v>
      </c>
      <c r="P537" s="3">
        <v>2</v>
      </c>
      <c r="Q537" s="3">
        <v>1</v>
      </c>
    </row>
    <row r="538" spans="1:17">
      <c r="A538" t="s">
        <v>1429</v>
      </c>
      <c r="B538" s="3" t="s">
        <v>577</v>
      </c>
      <c r="C538" s="3" t="s">
        <v>578</v>
      </c>
      <c r="D538" s="3" t="s">
        <v>11</v>
      </c>
      <c r="E538" s="3" t="s">
        <v>12</v>
      </c>
      <c r="F538" s="3">
        <v>0.625</v>
      </c>
      <c r="G538" s="74">
        <f>F538*VLOOKUP(D538,GWPs!$B$3:$C$6,2,FALSE)</f>
        <v>0.625</v>
      </c>
      <c r="H538" s="3">
        <v>2.7E-2</v>
      </c>
      <c r="I538" s="74">
        <f>H538*VLOOKUP(D538,GWPs!$B$3:$C$6,2,FALSE)</f>
        <v>2.7E-2</v>
      </c>
      <c r="J538" s="3">
        <v>0.65200000000000002</v>
      </c>
      <c r="K538" s="74">
        <f>J538*VLOOKUP(D538,GWPs!$B$3:$C$6,2,FALSE)</f>
        <v>0.65200000000000002</v>
      </c>
      <c r="M538" s="3">
        <v>3</v>
      </c>
      <c r="N538" s="3">
        <v>2</v>
      </c>
      <c r="O538" s="3">
        <v>1</v>
      </c>
      <c r="P538" s="3">
        <v>3</v>
      </c>
      <c r="Q538" s="3">
        <v>1</v>
      </c>
    </row>
    <row r="539" spans="1:17">
      <c r="A539" t="s">
        <v>1429</v>
      </c>
      <c r="B539" s="3" t="s">
        <v>577</v>
      </c>
      <c r="C539" s="3" t="s">
        <v>578</v>
      </c>
      <c r="D539" s="3" t="s">
        <v>13</v>
      </c>
      <c r="E539" s="3" t="s">
        <v>12</v>
      </c>
      <c r="F539" s="3">
        <v>2E-3</v>
      </c>
      <c r="G539" s="74">
        <f>F539*VLOOKUP(D539,GWPs!$B$3:$C$6,2,FALSE)</f>
        <v>5.6000000000000001E-2</v>
      </c>
      <c r="H539" s="3">
        <v>0</v>
      </c>
      <c r="I539" s="74">
        <f>H539*VLOOKUP(D539,GWPs!$B$3:$C$6,2,FALSE)</f>
        <v>0</v>
      </c>
      <c r="J539" s="3">
        <v>2E-3</v>
      </c>
      <c r="K539" s="74">
        <f>J539*VLOOKUP(D539,GWPs!$B$3:$C$6,2,FALSE)</f>
        <v>5.6000000000000001E-2</v>
      </c>
      <c r="M539" s="3">
        <v>4</v>
      </c>
      <c r="N539" s="3">
        <v>2</v>
      </c>
      <c r="O539" s="3">
        <v>1</v>
      </c>
      <c r="P539" s="3">
        <v>1</v>
      </c>
      <c r="Q539" s="3">
        <v>1</v>
      </c>
    </row>
    <row r="540" spans="1:17">
      <c r="A540" t="s">
        <v>1429</v>
      </c>
      <c r="B540" s="3" t="s">
        <v>577</v>
      </c>
      <c r="C540" s="3" t="s">
        <v>578</v>
      </c>
      <c r="D540" s="3" t="s">
        <v>14</v>
      </c>
      <c r="E540" s="3" t="s">
        <v>12</v>
      </c>
      <c r="F540" s="3">
        <v>0</v>
      </c>
      <c r="G540" s="74">
        <f>F540*VLOOKUP(D540,GWPs!$B$3:$C$6,2,FALSE)</f>
        <v>0</v>
      </c>
      <c r="H540" s="3">
        <v>0</v>
      </c>
      <c r="I540" s="74">
        <f>H540*VLOOKUP(D540,GWPs!$B$3:$C$6,2,FALSE)</f>
        <v>0</v>
      </c>
      <c r="J540" s="3">
        <v>0</v>
      </c>
      <c r="K540" s="74">
        <f>J540*VLOOKUP(D540,GWPs!$B$3:$C$6,2,FALSE)</f>
        <v>0</v>
      </c>
      <c r="M540" s="3">
        <v>3</v>
      </c>
      <c r="N540" s="3">
        <v>2</v>
      </c>
      <c r="O540" s="3">
        <v>1</v>
      </c>
      <c r="P540" s="3">
        <v>2</v>
      </c>
      <c r="Q540" s="3">
        <v>1</v>
      </c>
    </row>
    <row r="541" spans="1:17">
      <c r="A541" t="s">
        <v>1429</v>
      </c>
      <c r="B541" s="3" t="s">
        <v>577</v>
      </c>
      <c r="C541" s="3" t="s">
        <v>578</v>
      </c>
      <c r="D541" s="3" t="s">
        <v>15</v>
      </c>
      <c r="E541" s="3" t="s">
        <v>16</v>
      </c>
      <c r="F541" s="3">
        <v>0.14499999999999999</v>
      </c>
      <c r="G541" s="74">
        <f>F541*VLOOKUP(D541,GWPs!$B$3:$C$6,2,FALSE)</f>
        <v>0.14499999999999999</v>
      </c>
      <c r="H541" s="3">
        <v>0</v>
      </c>
      <c r="I541" s="74">
        <f>H541*VLOOKUP(D541,GWPs!$B$3:$C$6,2,FALSE)</f>
        <v>0</v>
      </c>
      <c r="J541" s="3">
        <v>0.14499999999999999</v>
      </c>
      <c r="K541" s="74">
        <f>J541*VLOOKUP(D541,GWPs!$B$3:$C$6,2,FALSE)</f>
        <v>0.14499999999999999</v>
      </c>
      <c r="M541" s="3">
        <v>2</v>
      </c>
      <c r="N541" s="3">
        <v>2</v>
      </c>
      <c r="O541" s="3">
        <v>1</v>
      </c>
      <c r="P541" s="3">
        <v>1</v>
      </c>
      <c r="Q541" s="3">
        <v>1</v>
      </c>
    </row>
    <row r="542" spans="1:17">
      <c r="A542" t="s">
        <v>1429</v>
      </c>
      <c r="B542" s="3" t="s">
        <v>579</v>
      </c>
      <c r="C542" s="3" t="s">
        <v>580</v>
      </c>
      <c r="D542" s="3" t="s">
        <v>11</v>
      </c>
      <c r="E542" s="3" t="s">
        <v>12</v>
      </c>
      <c r="F542" s="3">
        <v>0.41899999999999998</v>
      </c>
      <c r="G542" s="74">
        <f>F542*VLOOKUP(D542,GWPs!$B$3:$C$6,2,FALSE)</f>
        <v>0.41899999999999998</v>
      </c>
      <c r="H542" s="3">
        <v>2.1999999999999999E-2</v>
      </c>
      <c r="I542" s="74">
        <f>H542*VLOOKUP(D542,GWPs!$B$3:$C$6,2,FALSE)</f>
        <v>2.1999999999999999E-2</v>
      </c>
      <c r="J542" s="3">
        <v>0.441</v>
      </c>
      <c r="K542" s="74">
        <f>J542*VLOOKUP(D542,GWPs!$B$3:$C$6,2,FALSE)</f>
        <v>0.441</v>
      </c>
      <c r="M542" s="3">
        <v>3</v>
      </c>
      <c r="N542" s="3">
        <v>2</v>
      </c>
      <c r="O542" s="3">
        <v>1</v>
      </c>
      <c r="P542" s="3">
        <v>3</v>
      </c>
      <c r="Q542" s="3">
        <v>1</v>
      </c>
    </row>
    <row r="543" spans="1:17">
      <c r="A543" t="s">
        <v>1429</v>
      </c>
      <c r="B543" s="3" t="s">
        <v>579</v>
      </c>
      <c r="C543" s="3" t="s">
        <v>580</v>
      </c>
      <c r="D543" s="3" t="s">
        <v>13</v>
      </c>
      <c r="E543" s="3" t="s">
        <v>12</v>
      </c>
      <c r="F543" s="3">
        <v>1E-3</v>
      </c>
      <c r="G543" s="74">
        <f>F543*VLOOKUP(D543,GWPs!$B$3:$C$6,2,FALSE)</f>
        <v>2.8000000000000001E-2</v>
      </c>
      <c r="H543" s="3">
        <v>0</v>
      </c>
      <c r="I543" s="74">
        <f>H543*VLOOKUP(D543,GWPs!$B$3:$C$6,2,FALSE)</f>
        <v>0</v>
      </c>
      <c r="J543" s="3">
        <v>2E-3</v>
      </c>
      <c r="K543" s="74">
        <f>J543*VLOOKUP(D543,GWPs!$B$3:$C$6,2,FALSE)</f>
        <v>5.6000000000000001E-2</v>
      </c>
      <c r="M543" s="3">
        <v>4</v>
      </c>
      <c r="N543" s="3">
        <v>2</v>
      </c>
      <c r="O543" s="3">
        <v>1</v>
      </c>
      <c r="P543" s="3">
        <v>1</v>
      </c>
      <c r="Q543" s="3">
        <v>1</v>
      </c>
    </row>
    <row r="544" spans="1:17">
      <c r="A544" t="s">
        <v>1429</v>
      </c>
      <c r="B544" s="3" t="s">
        <v>579</v>
      </c>
      <c r="C544" s="3" t="s">
        <v>580</v>
      </c>
      <c r="D544" s="3" t="s">
        <v>14</v>
      </c>
      <c r="E544" s="3" t="s">
        <v>12</v>
      </c>
      <c r="F544" s="3">
        <v>0</v>
      </c>
      <c r="G544" s="74">
        <f>F544*VLOOKUP(D544,GWPs!$B$3:$C$6,2,FALSE)</f>
        <v>0</v>
      </c>
      <c r="H544" s="3">
        <v>0</v>
      </c>
      <c r="I544" s="74">
        <f>H544*VLOOKUP(D544,GWPs!$B$3:$C$6,2,FALSE)</f>
        <v>0</v>
      </c>
      <c r="J544" s="3">
        <v>0</v>
      </c>
      <c r="K544" s="74">
        <f>J544*VLOOKUP(D544,GWPs!$B$3:$C$6,2,FALSE)</f>
        <v>0</v>
      </c>
      <c r="M544" s="3">
        <v>3</v>
      </c>
      <c r="N544" s="3">
        <v>2</v>
      </c>
      <c r="O544" s="3">
        <v>1</v>
      </c>
      <c r="P544" s="3">
        <v>2</v>
      </c>
      <c r="Q544" s="3">
        <v>1</v>
      </c>
    </row>
    <row r="545" spans="1:17">
      <c r="A545" t="s">
        <v>1429</v>
      </c>
      <c r="B545" s="3" t="s">
        <v>579</v>
      </c>
      <c r="C545" s="3" t="s">
        <v>580</v>
      </c>
      <c r="D545" s="3" t="s">
        <v>15</v>
      </c>
      <c r="E545" s="3" t="s">
        <v>16</v>
      </c>
      <c r="F545" s="3">
        <v>5.8000000000000003E-2</v>
      </c>
      <c r="G545" s="74">
        <f>F545*VLOOKUP(D545,GWPs!$B$3:$C$6,2,FALSE)</f>
        <v>5.8000000000000003E-2</v>
      </c>
      <c r="H545" s="3">
        <v>0</v>
      </c>
      <c r="I545" s="74">
        <f>H545*VLOOKUP(D545,GWPs!$B$3:$C$6,2,FALSE)</f>
        <v>0</v>
      </c>
      <c r="J545" s="3">
        <v>5.8000000000000003E-2</v>
      </c>
      <c r="K545" s="74">
        <f>J545*VLOOKUP(D545,GWPs!$B$3:$C$6,2,FALSE)</f>
        <v>5.8000000000000003E-2</v>
      </c>
      <c r="M545" s="3">
        <v>2</v>
      </c>
      <c r="N545" s="3">
        <v>2</v>
      </c>
      <c r="O545" s="3">
        <v>1</v>
      </c>
      <c r="P545" s="3">
        <v>1</v>
      </c>
      <c r="Q545" s="3">
        <v>1</v>
      </c>
    </row>
    <row r="546" spans="1:17">
      <c r="A546" t="s">
        <v>1429</v>
      </c>
      <c r="B546" s="3" t="s">
        <v>581</v>
      </c>
      <c r="C546" s="3" t="s">
        <v>582</v>
      </c>
      <c r="D546" s="3" t="s">
        <v>11</v>
      </c>
      <c r="E546" s="3" t="s">
        <v>12</v>
      </c>
      <c r="F546" s="3">
        <v>0.46300000000000002</v>
      </c>
      <c r="G546" s="74">
        <f>F546*VLOOKUP(D546,GWPs!$B$3:$C$6,2,FALSE)</f>
        <v>0.46300000000000002</v>
      </c>
      <c r="H546" s="3">
        <v>3.6999999999999998E-2</v>
      </c>
      <c r="I546" s="74">
        <f>H546*VLOOKUP(D546,GWPs!$B$3:$C$6,2,FALSE)</f>
        <v>3.6999999999999998E-2</v>
      </c>
      <c r="J546" s="3">
        <v>0.5</v>
      </c>
      <c r="K546" s="74">
        <f>J546*VLOOKUP(D546,GWPs!$B$3:$C$6,2,FALSE)</f>
        <v>0.5</v>
      </c>
      <c r="M546" s="3">
        <v>3</v>
      </c>
      <c r="N546" s="3">
        <v>2</v>
      </c>
      <c r="O546" s="3">
        <v>1</v>
      </c>
      <c r="P546" s="3">
        <v>4</v>
      </c>
      <c r="Q546" s="3">
        <v>1</v>
      </c>
    </row>
    <row r="547" spans="1:17">
      <c r="A547" t="s">
        <v>1429</v>
      </c>
      <c r="B547" s="3" t="s">
        <v>581</v>
      </c>
      <c r="C547" s="3" t="s">
        <v>582</v>
      </c>
      <c r="D547" s="3" t="s">
        <v>13</v>
      </c>
      <c r="E547" s="3" t="s">
        <v>12</v>
      </c>
      <c r="F547" s="3">
        <v>1E-3</v>
      </c>
      <c r="G547" s="74">
        <f>F547*VLOOKUP(D547,GWPs!$B$3:$C$6,2,FALSE)</f>
        <v>2.8000000000000001E-2</v>
      </c>
      <c r="H547" s="3">
        <v>0</v>
      </c>
      <c r="I547" s="74">
        <f>H547*VLOOKUP(D547,GWPs!$B$3:$C$6,2,FALSE)</f>
        <v>0</v>
      </c>
      <c r="J547" s="3">
        <v>2E-3</v>
      </c>
      <c r="K547" s="74">
        <f>J547*VLOOKUP(D547,GWPs!$B$3:$C$6,2,FALSE)</f>
        <v>5.6000000000000001E-2</v>
      </c>
      <c r="M547" s="3">
        <v>4</v>
      </c>
      <c r="N547" s="3">
        <v>2</v>
      </c>
      <c r="O547" s="3">
        <v>1</v>
      </c>
      <c r="P547" s="3">
        <v>1</v>
      </c>
      <c r="Q547" s="3">
        <v>1</v>
      </c>
    </row>
    <row r="548" spans="1:17">
      <c r="A548" t="s">
        <v>1429</v>
      </c>
      <c r="B548" s="3" t="s">
        <v>581</v>
      </c>
      <c r="C548" s="3" t="s">
        <v>582</v>
      </c>
      <c r="D548" s="3" t="s">
        <v>14</v>
      </c>
      <c r="E548" s="3" t="s">
        <v>12</v>
      </c>
      <c r="F548" s="3">
        <v>0</v>
      </c>
      <c r="G548" s="74">
        <f>F548*VLOOKUP(D548,GWPs!$B$3:$C$6,2,FALSE)</f>
        <v>0</v>
      </c>
      <c r="H548" s="3">
        <v>0</v>
      </c>
      <c r="I548" s="74">
        <f>H548*VLOOKUP(D548,GWPs!$B$3:$C$6,2,FALSE)</f>
        <v>0</v>
      </c>
      <c r="J548" s="3">
        <v>0</v>
      </c>
      <c r="K548" s="74">
        <f>J548*VLOOKUP(D548,GWPs!$B$3:$C$6,2,FALSE)</f>
        <v>0</v>
      </c>
      <c r="M548" s="3">
        <v>3</v>
      </c>
      <c r="N548" s="3">
        <v>2</v>
      </c>
      <c r="O548" s="3">
        <v>1</v>
      </c>
      <c r="P548" s="3">
        <v>3</v>
      </c>
      <c r="Q548" s="3">
        <v>1</v>
      </c>
    </row>
    <row r="549" spans="1:17">
      <c r="A549" t="s">
        <v>1429</v>
      </c>
      <c r="B549" s="3" t="s">
        <v>581</v>
      </c>
      <c r="C549" s="3" t="s">
        <v>582</v>
      </c>
      <c r="D549" s="3" t="s">
        <v>15</v>
      </c>
      <c r="E549" s="3" t="s">
        <v>16</v>
      </c>
      <c r="F549" s="3">
        <v>0.04</v>
      </c>
      <c r="G549" s="74">
        <f>F549*VLOOKUP(D549,GWPs!$B$3:$C$6,2,FALSE)</f>
        <v>0.04</v>
      </c>
      <c r="H549" s="3">
        <v>0</v>
      </c>
      <c r="I549" s="74">
        <f>H549*VLOOKUP(D549,GWPs!$B$3:$C$6,2,FALSE)</f>
        <v>0</v>
      </c>
      <c r="J549" s="3">
        <v>0.04</v>
      </c>
      <c r="K549" s="74">
        <f>J549*VLOOKUP(D549,GWPs!$B$3:$C$6,2,FALSE)</f>
        <v>0.04</v>
      </c>
      <c r="M549" s="3">
        <v>4</v>
      </c>
      <c r="N549" s="3">
        <v>2</v>
      </c>
      <c r="O549" s="3">
        <v>1</v>
      </c>
      <c r="P549" s="3">
        <v>1</v>
      </c>
      <c r="Q549" s="3">
        <v>1</v>
      </c>
    </row>
    <row r="550" spans="1:17">
      <c r="A550" t="s">
        <v>1429</v>
      </c>
      <c r="B550" s="3" t="s">
        <v>583</v>
      </c>
      <c r="C550" s="3" t="s">
        <v>584</v>
      </c>
      <c r="D550" s="3" t="s">
        <v>11</v>
      </c>
      <c r="E550" s="3" t="s">
        <v>12</v>
      </c>
      <c r="F550" s="3">
        <v>0.45800000000000002</v>
      </c>
      <c r="G550" s="74">
        <f>F550*VLOOKUP(D550,GWPs!$B$3:$C$6,2,FALSE)</f>
        <v>0.45800000000000002</v>
      </c>
      <c r="H550" s="3">
        <v>2.5000000000000001E-2</v>
      </c>
      <c r="I550" s="74">
        <f>H550*VLOOKUP(D550,GWPs!$B$3:$C$6,2,FALSE)</f>
        <v>2.5000000000000001E-2</v>
      </c>
      <c r="J550" s="3">
        <v>0.48299999999999998</v>
      </c>
      <c r="K550" s="74">
        <f>J550*VLOOKUP(D550,GWPs!$B$3:$C$6,2,FALSE)</f>
        <v>0.48299999999999998</v>
      </c>
      <c r="M550" s="3">
        <v>3</v>
      </c>
      <c r="N550" s="3">
        <v>2</v>
      </c>
      <c r="O550" s="3">
        <v>1</v>
      </c>
      <c r="P550" s="3">
        <v>3</v>
      </c>
      <c r="Q550" s="3">
        <v>1</v>
      </c>
    </row>
    <row r="551" spans="1:17">
      <c r="A551" t="s">
        <v>1429</v>
      </c>
      <c r="B551" s="3" t="s">
        <v>583</v>
      </c>
      <c r="C551" s="3" t="s">
        <v>584</v>
      </c>
      <c r="D551" s="3" t="s">
        <v>13</v>
      </c>
      <c r="E551" s="3" t="s">
        <v>12</v>
      </c>
      <c r="F551" s="3">
        <v>1E-3</v>
      </c>
      <c r="G551" s="74">
        <f>F551*VLOOKUP(D551,GWPs!$B$3:$C$6,2,FALSE)</f>
        <v>2.8000000000000001E-2</v>
      </c>
      <c r="H551" s="3">
        <v>0</v>
      </c>
      <c r="I551" s="74">
        <f>H551*VLOOKUP(D551,GWPs!$B$3:$C$6,2,FALSE)</f>
        <v>0</v>
      </c>
      <c r="J551" s="3">
        <v>2E-3</v>
      </c>
      <c r="K551" s="74">
        <f>J551*VLOOKUP(D551,GWPs!$B$3:$C$6,2,FALSE)</f>
        <v>5.6000000000000001E-2</v>
      </c>
      <c r="M551" s="3">
        <v>4</v>
      </c>
      <c r="N551" s="3">
        <v>2</v>
      </c>
      <c r="O551" s="3">
        <v>1</v>
      </c>
      <c r="P551" s="3">
        <v>1</v>
      </c>
      <c r="Q551" s="3">
        <v>1</v>
      </c>
    </row>
    <row r="552" spans="1:17">
      <c r="A552" t="s">
        <v>1429</v>
      </c>
      <c r="B552" s="3" t="s">
        <v>583</v>
      </c>
      <c r="C552" s="3" t="s">
        <v>584</v>
      </c>
      <c r="D552" s="3" t="s">
        <v>14</v>
      </c>
      <c r="E552" s="3" t="s">
        <v>12</v>
      </c>
      <c r="F552" s="3">
        <v>0</v>
      </c>
      <c r="G552" s="74">
        <f>F552*VLOOKUP(D552,GWPs!$B$3:$C$6,2,FALSE)</f>
        <v>0</v>
      </c>
      <c r="H552" s="3">
        <v>0</v>
      </c>
      <c r="I552" s="74">
        <f>H552*VLOOKUP(D552,GWPs!$B$3:$C$6,2,FALSE)</f>
        <v>0</v>
      </c>
      <c r="J552" s="3">
        <v>0</v>
      </c>
      <c r="K552" s="74">
        <f>J552*VLOOKUP(D552,GWPs!$B$3:$C$6,2,FALSE)</f>
        <v>0</v>
      </c>
      <c r="M552" s="3">
        <v>3</v>
      </c>
      <c r="N552" s="3">
        <v>2</v>
      </c>
      <c r="O552" s="3">
        <v>1</v>
      </c>
      <c r="P552" s="3">
        <v>3</v>
      </c>
      <c r="Q552" s="3">
        <v>1</v>
      </c>
    </row>
    <row r="553" spans="1:17">
      <c r="A553" t="s">
        <v>1429</v>
      </c>
      <c r="B553" s="3" t="s">
        <v>583</v>
      </c>
      <c r="C553" s="3" t="s">
        <v>584</v>
      </c>
      <c r="D553" s="3" t="s">
        <v>15</v>
      </c>
      <c r="E553" s="3" t="s">
        <v>16</v>
      </c>
      <c r="F553" s="3">
        <v>2.3E-2</v>
      </c>
      <c r="G553" s="74">
        <f>F553*VLOOKUP(D553,GWPs!$B$3:$C$6,2,FALSE)</f>
        <v>2.3E-2</v>
      </c>
      <c r="H553" s="3">
        <v>0</v>
      </c>
      <c r="I553" s="74">
        <f>H553*VLOOKUP(D553,GWPs!$B$3:$C$6,2,FALSE)</f>
        <v>0</v>
      </c>
      <c r="J553" s="3">
        <v>2.3E-2</v>
      </c>
      <c r="K553" s="74">
        <f>J553*VLOOKUP(D553,GWPs!$B$3:$C$6,2,FALSE)</f>
        <v>2.3E-2</v>
      </c>
      <c r="M553" s="3">
        <v>4</v>
      </c>
      <c r="N553" s="3">
        <v>2</v>
      </c>
      <c r="O553" s="3">
        <v>1</v>
      </c>
      <c r="P553" s="3">
        <v>1</v>
      </c>
      <c r="Q553" s="3">
        <v>1</v>
      </c>
    </row>
    <row r="554" spans="1:17">
      <c r="A554" t="s">
        <v>1429</v>
      </c>
      <c r="B554" s="3" t="s">
        <v>585</v>
      </c>
      <c r="C554" s="3" t="s">
        <v>586</v>
      </c>
      <c r="D554" s="3" t="s">
        <v>11</v>
      </c>
      <c r="E554" s="3" t="s">
        <v>12</v>
      </c>
      <c r="F554" s="3">
        <v>0.38</v>
      </c>
      <c r="G554" s="74">
        <f>F554*VLOOKUP(D554,GWPs!$B$3:$C$6,2,FALSE)</f>
        <v>0.38</v>
      </c>
      <c r="H554" s="3">
        <v>2.1000000000000001E-2</v>
      </c>
      <c r="I554" s="74">
        <f>H554*VLOOKUP(D554,GWPs!$B$3:$C$6,2,FALSE)</f>
        <v>2.1000000000000001E-2</v>
      </c>
      <c r="J554" s="3">
        <v>0.40200000000000002</v>
      </c>
      <c r="K554" s="74">
        <f>J554*VLOOKUP(D554,GWPs!$B$3:$C$6,2,FALSE)</f>
        <v>0.40200000000000002</v>
      </c>
      <c r="M554" s="3">
        <v>3</v>
      </c>
      <c r="N554" s="3">
        <v>2</v>
      </c>
      <c r="O554" s="3">
        <v>1</v>
      </c>
      <c r="P554" s="3">
        <v>3</v>
      </c>
      <c r="Q554" s="3">
        <v>1</v>
      </c>
    </row>
    <row r="555" spans="1:17">
      <c r="A555" t="s">
        <v>1429</v>
      </c>
      <c r="B555" s="3" t="s">
        <v>585</v>
      </c>
      <c r="C555" s="3" t="s">
        <v>586</v>
      </c>
      <c r="D555" s="3" t="s">
        <v>13</v>
      </c>
      <c r="E555" s="3" t="s">
        <v>12</v>
      </c>
      <c r="F555" s="3">
        <v>1E-3</v>
      </c>
      <c r="G555" s="74">
        <f>F555*VLOOKUP(D555,GWPs!$B$3:$C$6,2,FALSE)</f>
        <v>2.8000000000000001E-2</v>
      </c>
      <c r="H555" s="3">
        <v>0</v>
      </c>
      <c r="I555" s="74">
        <f>H555*VLOOKUP(D555,GWPs!$B$3:$C$6,2,FALSE)</f>
        <v>0</v>
      </c>
      <c r="J555" s="3">
        <v>1E-3</v>
      </c>
      <c r="K555" s="74">
        <f>J555*VLOOKUP(D555,GWPs!$B$3:$C$6,2,FALSE)</f>
        <v>2.8000000000000001E-2</v>
      </c>
      <c r="M555" s="3">
        <v>4</v>
      </c>
      <c r="N555" s="3">
        <v>2</v>
      </c>
      <c r="O555" s="3">
        <v>1</v>
      </c>
      <c r="P555" s="3">
        <v>1</v>
      </c>
      <c r="Q555" s="3">
        <v>1</v>
      </c>
    </row>
    <row r="556" spans="1:17">
      <c r="A556" t="s">
        <v>1429</v>
      </c>
      <c r="B556" s="3" t="s">
        <v>585</v>
      </c>
      <c r="C556" s="3" t="s">
        <v>586</v>
      </c>
      <c r="D556" s="3" t="s">
        <v>14</v>
      </c>
      <c r="E556" s="3" t="s">
        <v>12</v>
      </c>
      <c r="F556" s="3">
        <v>0</v>
      </c>
      <c r="G556" s="74">
        <f>F556*VLOOKUP(D556,GWPs!$B$3:$C$6,2,FALSE)</f>
        <v>0</v>
      </c>
      <c r="H556" s="3">
        <v>0</v>
      </c>
      <c r="I556" s="74">
        <f>H556*VLOOKUP(D556,GWPs!$B$3:$C$6,2,FALSE)</f>
        <v>0</v>
      </c>
      <c r="J556" s="3">
        <v>0</v>
      </c>
      <c r="K556" s="74">
        <f>J556*VLOOKUP(D556,GWPs!$B$3:$C$6,2,FALSE)</f>
        <v>0</v>
      </c>
      <c r="M556" s="3">
        <v>3</v>
      </c>
      <c r="N556" s="3">
        <v>2</v>
      </c>
      <c r="O556" s="3">
        <v>1</v>
      </c>
      <c r="P556" s="3">
        <v>3</v>
      </c>
      <c r="Q556" s="3">
        <v>1</v>
      </c>
    </row>
    <row r="557" spans="1:17">
      <c r="A557" t="s">
        <v>1429</v>
      </c>
      <c r="B557" s="3" t="s">
        <v>585</v>
      </c>
      <c r="C557" s="3" t="s">
        <v>586</v>
      </c>
      <c r="D557" s="3" t="s">
        <v>15</v>
      </c>
      <c r="E557" s="3" t="s">
        <v>16</v>
      </c>
      <c r="F557" s="3">
        <v>0.04</v>
      </c>
      <c r="G557" s="74">
        <f>F557*VLOOKUP(D557,GWPs!$B$3:$C$6,2,FALSE)</f>
        <v>0.04</v>
      </c>
      <c r="H557" s="3">
        <v>0</v>
      </c>
      <c r="I557" s="74">
        <f>H557*VLOOKUP(D557,GWPs!$B$3:$C$6,2,FALSE)</f>
        <v>0</v>
      </c>
      <c r="J557" s="3">
        <v>0.04</v>
      </c>
      <c r="K557" s="74">
        <f>J557*VLOOKUP(D557,GWPs!$B$3:$C$6,2,FALSE)</f>
        <v>0.04</v>
      </c>
      <c r="M557" s="3">
        <v>4</v>
      </c>
      <c r="N557" s="3">
        <v>2</v>
      </c>
      <c r="O557" s="3">
        <v>1</v>
      </c>
      <c r="P557" s="3">
        <v>1</v>
      </c>
      <c r="Q557" s="3">
        <v>1</v>
      </c>
    </row>
    <row r="558" spans="1:17">
      <c r="A558" t="s">
        <v>1429</v>
      </c>
      <c r="B558" s="3" t="s">
        <v>587</v>
      </c>
      <c r="C558" s="3" t="s">
        <v>588</v>
      </c>
      <c r="D558" s="3" t="s">
        <v>11</v>
      </c>
      <c r="E558" s="3" t="s">
        <v>12</v>
      </c>
      <c r="F558" s="3">
        <v>0.255</v>
      </c>
      <c r="G558" s="74">
        <f>F558*VLOOKUP(D558,GWPs!$B$3:$C$6,2,FALSE)</f>
        <v>0.255</v>
      </c>
      <c r="H558" s="3">
        <v>1.7999999999999999E-2</v>
      </c>
      <c r="I558" s="74">
        <f>H558*VLOOKUP(D558,GWPs!$B$3:$C$6,2,FALSE)</f>
        <v>1.7999999999999999E-2</v>
      </c>
      <c r="J558" s="3">
        <v>0.27300000000000002</v>
      </c>
      <c r="K558" s="74">
        <f>J558*VLOOKUP(D558,GWPs!$B$3:$C$6,2,FALSE)</f>
        <v>0.27300000000000002</v>
      </c>
      <c r="M558" s="3">
        <v>3</v>
      </c>
      <c r="N558" s="3">
        <v>2</v>
      </c>
      <c r="O558" s="3">
        <v>1</v>
      </c>
      <c r="P558" s="3">
        <v>3</v>
      </c>
      <c r="Q558" s="3">
        <v>1</v>
      </c>
    </row>
    <row r="559" spans="1:17">
      <c r="A559" t="s">
        <v>1429</v>
      </c>
      <c r="B559" s="3" t="s">
        <v>587</v>
      </c>
      <c r="C559" s="3" t="s">
        <v>588</v>
      </c>
      <c r="D559" s="3" t="s">
        <v>13</v>
      </c>
      <c r="E559" s="3" t="s">
        <v>12</v>
      </c>
      <c r="F559" s="3">
        <v>1E-3</v>
      </c>
      <c r="G559" s="74">
        <f>F559*VLOOKUP(D559,GWPs!$B$3:$C$6,2,FALSE)</f>
        <v>2.8000000000000001E-2</v>
      </c>
      <c r="H559" s="3">
        <v>0</v>
      </c>
      <c r="I559" s="74">
        <f>H559*VLOOKUP(D559,GWPs!$B$3:$C$6,2,FALSE)</f>
        <v>0</v>
      </c>
      <c r="J559" s="3">
        <v>1E-3</v>
      </c>
      <c r="K559" s="74">
        <f>J559*VLOOKUP(D559,GWPs!$B$3:$C$6,2,FALSE)</f>
        <v>2.8000000000000001E-2</v>
      </c>
      <c r="M559" s="3">
        <v>4</v>
      </c>
      <c r="N559" s="3">
        <v>2</v>
      </c>
      <c r="O559" s="3">
        <v>1</v>
      </c>
      <c r="P559" s="3">
        <v>1</v>
      </c>
      <c r="Q559" s="3">
        <v>1</v>
      </c>
    </row>
    <row r="560" spans="1:17">
      <c r="A560" t="s">
        <v>1429</v>
      </c>
      <c r="B560" s="3" t="s">
        <v>587</v>
      </c>
      <c r="C560" s="3" t="s">
        <v>588</v>
      </c>
      <c r="D560" s="3" t="s">
        <v>14</v>
      </c>
      <c r="E560" s="3" t="s">
        <v>12</v>
      </c>
      <c r="F560" s="3">
        <v>0</v>
      </c>
      <c r="G560" s="74">
        <f>F560*VLOOKUP(D560,GWPs!$B$3:$C$6,2,FALSE)</f>
        <v>0</v>
      </c>
      <c r="H560" s="3">
        <v>0</v>
      </c>
      <c r="I560" s="74">
        <f>H560*VLOOKUP(D560,GWPs!$B$3:$C$6,2,FALSE)</f>
        <v>0</v>
      </c>
      <c r="J560" s="3">
        <v>0</v>
      </c>
      <c r="K560" s="74">
        <f>J560*VLOOKUP(D560,GWPs!$B$3:$C$6,2,FALSE)</f>
        <v>0</v>
      </c>
      <c r="M560" s="3">
        <v>3</v>
      </c>
      <c r="N560" s="3">
        <v>2</v>
      </c>
      <c r="O560" s="3">
        <v>1</v>
      </c>
      <c r="P560" s="3">
        <v>3</v>
      </c>
      <c r="Q560" s="3">
        <v>1</v>
      </c>
    </row>
    <row r="561" spans="1:17">
      <c r="A561" t="s">
        <v>1429</v>
      </c>
      <c r="B561" s="3" t="s">
        <v>587</v>
      </c>
      <c r="C561" s="3" t="s">
        <v>588</v>
      </c>
      <c r="D561" s="3" t="s">
        <v>15</v>
      </c>
      <c r="E561" s="3" t="s">
        <v>16</v>
      </c>
      <c r="F561" s="3">
        <v>7.0000000000000001E-3</v>
      </c>
      <c r="G561" s="74">
        <f>F561*VLOOKUP(D561,GWPs!$B$3:$C$6,2,FALSE)</f>
        <v>7.0000000000000001E-3</v>
      </c>
      <c r="H561" s="3">
        <v>0</v>
      </c>
      <c r="I561" s="74">
        <f>H561*VLOOKUP(D561,GWPs!$B$3:$C$6,2,FALSE)</f>
        <v>0</v>
      </c>
      <c r="J561" s="3">
        <v>7.0000000000000001E-3</v>
      </c>
      <c r="K561" s="74">
        <f>J561*VLOOKUP(D561,GWPs!$B$3:$C$6,2,FALSE)</f>
        <v>7.0000000000000001E-3</v>
      </c>
      <c r="M561" s="3">
        <v>3</v>
      </c>
      <c r="N561" s="3">
        <v>2</v>
      </c>
      <c r="O561" s="3">
        <v>1</v>
      </c>
      <c r="P561" s="3">
        <v>2</v>
      </c>
      <c r="Q561" s="3">
        <v>1</v>
      </c>
    </row>
    <row r="562" spans="1:17">
      <c r="A562" t="s">
        <v>1429</v>
      </c>
      <c r="B562" s="3" t="s">
        <v>589</v>
      </c>
      <c r="C562" s="3" t="s">
        <v>590</v>
      </c>
      <c r="D562" s="3" t="s">
        <v>11</v>
      </c>
      <c r="E562" s="3" t="s">
        <v>12</v>
      </c>
      <c r="F562" s="3">
        <v>0.25900000000000001</v>
      </c>
      <c r="G562" s="74">
        <f>F562*VLOOKUP(D562,GWPs!$B$3:$C$6,2,FALSE)</f>
        <v>0.25900000000000001</v>
      </c>
      <c r="H562" s="3">
        <v>1.7000000000000001E-2</v>
      </c>
      <c r="I562" s="74">
        <f>H562*VLOOKUP(D562,GWPs!$B$3:$C$6,2,FALSE)</f>
        <v>1.7000000000000001E-2</v>
      </c>
      <c r="J562" s="3">
        <v>0.27600000000000002</v>
      </c>
      <c r="K562" s="74">
        <f>J562*VLOOKUP(D562,GWPs!$B$3:$C$6,2,FALSE)</f>
        <v>0.27600000000000002</v>
      </c>
      <c r="M562" s="3">
        <v>3</v>
      </c>
      <c r="N562" s="3">
        <v>2</v>
      </c>
      <c r="O562" s="3">
        <v>1</v>
      </c>
      <c r="P562" s="3">
        <v>3</v>
      </c>
      <c r="Q562" s="3">
        <v>1</v>
      </c>
    </row>
    <row r="563" spans="1:17">
      <c r="A563" t="s">
        <v>1429</v>
      </c>
      <c r="B563" s="3" t="s">
        <v>589</v>
      </c>
      <c r="C563" s="3" t="s">
        <v>590</v>
      </c>
      <c r="D563" s="3" t="s">
        <v>13</v>
      </c>
      <c r="E563" s="3" t="s">
        <v>12</v>
      </c>
      <c r="F563" s="3">
        <v>1E-3</v>
      </c>
      <c r="G563" s="74">
        <f>F563*VLOOKUP(D563,GWPs!$B$3:$C$6,2,FALSE)</f>
        <v>2.8000000000000001E-2</v>
      </c>
      <c r="H563" s="3">
        <v>0</v>
      </c>
      <c r="I563" s="74">
        <f>H563*VLOOKUP(D563,GWPs!$B$3:$C$6,2,FALSE)</f>
        <v>0</v>
      </c>
      <c r="J563" s="3">
        <v>1E-3</v>
      </c>
      <c r="K563" s="74">
        <f>J563*VLOOKUP(D563,GWPs!$B$3:$C$6,2,FALSE)</f>
        <v>2.8000000000000001E-2</v>
      </c>
      <c r="M563" s="3">
        <v>4</v>
      </c>
      <c r="N563" s="3">
        <v>2</v>
      </c>
      <c r="O563" s="3">
        <v>1</v>
      </c>
      <c r="P563" s="3">
        <v>1</v>
      </c>
      <c r="Q563" s="3">
        <v>1</v>
      </c>
    </row>
    <row r="564" spans="1:17">
      <c r="A564" t="s">
        <v>1429</v>
      </c>
      <c r="B564" s="3" t="s">
        <v>589</v>
      </c>
      <c r="C564" s="3" t="s">
        <v>590</v>
      </c>
      <c r="D564" s="3" t="s">
        <v>14</v>
      </c>
      <c r="E564" s="3" t="s">
        <v>12</v>
      </c>
      <c r="F564" s="3">
        <v>0</v>
      </c>
      <c r="G564" s="74">
        <f>F564*VLOOKUP(D564,GWPs!$B$3:$C$6,2,FALSE)</f>
        <v>0</v>
      </c>
      <c r="H564" s="3">
        <v>0</v>
      </c>
      <c r="I564" s="74">
        <f>H564*VLOOKUP(D564,GWPs!$B$3:$C$6,2,FALSE)</f>
        <v>0</v>
      </c>
      <c r="J564" s="3">
        <v>0</v>
      </c>
      <c r="K564" s="74">
        <f>J564*VLOOKUP(D564,GWPs!$B$3:$C$6,2,FALSE)</f>
        <v>0</v>
      </c>
      <c r="M564" s="3">
        <v>3</v>
      </c>
      <c r="N564" s="3">
        <v>2</v>
      </c>
      <c r="O564" s="3">
        <v>1</v>
      </c>
      <c r="P564" s="3">
        <v>2</v>
      </c>
      <c r="Q564" s="3">
        <v>1</v>
      </c>
    </row>
    <row r="565" spans="1:17">
      <c r="A565" t="s">
        <v>1429</v>
      </c>
      <c r="B565" s="3" t="s">
        <v>589</v>
      </c>
      <c r="C565" s="3" t="s">
        <v>590</v>
      </c>
      <c r="D565" s="3" t="s">
        <v>15</v>
      </c>
      <c r="E565" s="3" t="s">
        <v>16</v>
      </c>
      <c r="F565" s="3">
        <v>4.3999999999999997E-2</v>
      </c>
      <c r="G565" s="74">
        <f>F565*VLOOKUP(D565,GWPs!$B$3:$C$6,2,FALSE)</f>
        <v>4.3999999999999997E-2</v>
      </c>
      <c r="H565" s="3">
        <v>0</v>
      </c>
      <c r="I565" s="74">
        <f>H565*VLOOKUP(D565,GWPs!$B$3:$C$6,2,FALSE)</f>
        <v>0</v>
      </c>
      <c r="J565" s="3">
        <v>4.3999999999999997E-2</v>
      </c>
      <c r="K565" s="74">
        <f>J565*VLOOKUP(D565,GWPs!$B$3:$C$6,2,FALSE)</f>
        <v>4.3999999999999997E-2</v>
      </c>
      <c r="M565" s="3">
        <v>3</v>
      </c>
      <c r="N565" s="3">
        <v>2</v>
      </c>
      <c r="O565" s="3">
        <v>1</v>
      </c>
      <c r="P565" s="3">
        <v>1</v>
      </c>
      <c r="Q565" s="3">
        <v>1</v>
      </c>
    </row>
    <row r="566" spans="1:17">
      <c r="A566" t="s">
        <v>1429</v>
      </c>
      <c r="B566" s="3" t="s">
        <v>591</v>
      </c>
      <c r="C566" s="3" t="s">
        <v>592</v>
      </c>
      <c r="D566" s="3" t="s">
        <v>11</v>
      </c>
      <c r="E566" s="3" t="s">
        <v>12</v>
      </c>
      <c r="F566" s="3">
        <v>0.33900000000000002</v>
      </c>
      <c r="G566" s="74">
        <f>F566*VLOOKUP(D566,GWPs!$B$3:$C$6,2,FALSE)</f>
        <v>0.33900000000000002</v>
      </c>
      <c r="H566" s="3">
        <v>1.4E-2</v>
      </c>
      <c r="I566" s="74">
        <f>H566*VLOOKUP(D566,GWPs!$B$3:$C$6,2,FALSE)</f>
        <v>1.4E-2</v>
      </c>
      <c r="J566" s="3">
        <v>0.35399999999999998</v>
      </c>
      <c r="K566" s="74">
        <f>J566*VLOOKUP(D566,GWPs!$B$3:$C$6,2,FALSE)</f>
        <v>0.35399999999999998</v>
      </c>
      <c r="M566" s="3">
        <v>3</v>
      </c>
      <c r="N566" s="3">
        <v>2</v>
      </c>
      <c r="O566" s="3">
        <v>1</v>
      </c>
      <c r="P566" s="3">
        <v>2</v>
      </c>
      <c r="Q566" s="3">
        <v>1</v>
      </c>
    </row>
    <row r="567" spans="1:17">
      <c r="A567" t="s">
        <v>1429</v>
      </c>
      <c r="B567" s="3" t="s">
        <v>591</v>
      </c>
      <c r="C567" s="3" t="s">
        <v>592</v>
      </c>
      <c r="D567" s="3" t="s">
        <v>13</v>
      </c>
      <c r="E567" s="3" t="s">
        <v>12</v>
      </c>
      <c r="F567" s="3">
        <v>2E-3</v>
      </c>
      <c r="G567" s="74">
        <f>F567*VLOOKUP(D567,GWPs!$B$3:$C$6,2,FALSE)</f>
        <v>5.6000000000000001E-2</v>
      </c>
      <c r="H567" s="3">
        <v>0</v>
      </c>
      <c r="I567" s="74">
        <f>H567*VLOOKUP(D567,GWPs!$B$3:$C$6,2,FALSE)</f>
        <v>0</v>
      </c>
      <c r="J567" s="3">
        <v>2E-3</v>
      </c>
      <c r="K567" s="74">
        <f>J567*VLOOKUP(D567,GWPs!$B$3:$C$6,2,FALSE)</f>
        <v>5.6000000000000001E-2</v>
      </c>
      <c r="M567" s="3">
        <v>4</v>
      </c>
      <c r="N567" s="3">
        <v>2</v>
      </c>
      <c r="O567" s="3">
        <v>1</v>
      </c>
      <c r="P567" s="3">
        <v>1</v>
      </c>
      <c r="Q567" s="3">
        <v>1</v>
      </c>
    </row>
    <row r="568" spans="1:17">
      <c r="A568" t="s">
        <v>1429</v>
      </c>
      <c r="B568" s="3" t="s">
        <v>591</v>
      </c>
      <c r="C568" s="3" t="s">
        <v>592</v>
      </c>
      <c r="D568" s="3" t="s">
        <v>14</v>
      </c>
      <c r="E568" s="3" t="s">
        <v>12</v>
      </c>
      <c r="F568" s="3">
        <v>0</v>
      </c>
      <c r="G568" s="74">
        <f>F568*VLOOKUP(D568,GWPs!$B$3:$C$6,2,FALSE)</f>
        <v>0</v>
      </c>
      <c r="H568" s="3">
        <v>0</v>
      </c>
      <c r="I568" s="74">
        <f>H568*VLOOKUP(D568,GWPs!$B$3:$C$6,2,FALSE)</f>
        <v>0</v>
      </c>
      <c r="J568" s="3">
        <v>0</v>
      </c>
      <c r="K568" s="74">
        <f>J568*VLOOKUP(D568,GWPs!$B$3:$C$6,2,FALSE)</f>
        <v>0</v>
      </c>
      <c r="M568" s="3">
        <v>3</v>
      </c>
      <c r="N568" s="3">
        <v>2</v>
      </c>
      <c r="O568" s="3">
        <v>1</v>
      </c>
      <c r="P568" s="3">
        <v>3</v>
      </c>
      <c r="Q568" s="3">
        <v>1</v>
      </c>
    </row>
    <row r="569" spans="1:17">
      <c r="A569" t="s">
        <v>1429</v>
      </c>
      <c r="B569" s="3" t="s">
        <v>591</v>
      </c>
      <c r="C569" s="3" t="s">
        <v>592</v>
      </c>
      <c r="D569" s="3" t="s">
        <v>15</v>
      </c>
      <c r="E569" s="3" t="s">
        <v>16</v>
      </c>
      <c r="F569" s="3">
        <v>1.0999999999999999E-2</v>
      </c>
      <c r="G569" s="74">
        <f>F569*VLOOKUP(D569,GWPs!$B$3:$C$6,2,FALSE)</f>
        <v>1.0999999999999999E-2</v>
      </c>
      <c r="H569" s="3">
        <v>0</v>
      </c>
      <c r="I569" s="74">
        <f>H569*VLOOKUP(D569,GWPs!$B$3:$C$6,2,FALSE)</f>
        <v>0</v>
      </c>
      <c r="J569" s="3">
        <v>1.0999999999999999E-2</v>
      </c>
      <c r="K569" s="74">
        <f>J569*VLOOKUP(D569,GWPs!$B$3:$C$6,2,FALSE)</f>
        <v>1.0999999999999999E-2</v>
      </c>
      <c r="M569" s="3">
        <v>3</v>
      </c>
      <c r="N569" s="3">
        <v>2</v>
      </c>
      <c r="O569" s="3">
        <v>1</v>
      </c>
      <c r="P569" s="3">
        <v>2</v>
      </c>
      <c r="Q569" s="3">
        <v>1</v>
      </c>
    </row>
    <row r="570" spans="1:17">
      <c r="A570" t="s">
        <v>1429</v>
      </c>
      <c r="B570" s="3" t="s">
        <v>593</v>
      </c>
      <c r="C570" s="3" t="s">
        <v>594</v>
      </c>
      <c r="D570" s="3" t="s">
        <v>11</v>
      </c>
      <c r="E570" s="3" t="s">
        <v>12</v>
      </c>
      <c r="F570" s="3">
        <v>0.246</v>
      </c>
      <c r="G570" s="74">
        <f>F570*VLOOKUP(D570,GWPs!$B$3:$C$6,2,FALSE)</f>
        <v>0.246</v>
      </c>
      <c r="H570" s="3">
        <v>2.4E-2</v>
      </c>
      <c r="I570" s="74">
        <f>H570*VLOOKUP(D570,GWPs!$B$3:$C$6,2,FALSE)</f>
        <v>2.4E-2</v>
      </c>
      <c r="J570" s="3">
        <v>0.27</v>
      </c>
      <c r="K570" s="74">
        <f>J570*VLOOKUP(D570,GWPs!$B$3:$C$6,2,FALSE)</f>
        <v>0.27</v>
      </c>
      <c r="M570" s="3">
        <v>3</v>
      </c>
      <c r="N570" s="3">
        <v>2</v>
      </c>
      <c r="O570" s="3">
        <v>1</v>
      </c>
      <c r="P570" s="3">
        <v>3</v>
      </c>
      <c r="Q570" s="3">
        <v>1</v>
      </c>
    </row>
    <row r="571" spans="1:17">
      <c r="A571" t="s">
        <v>1429</v>
      </c>
      <c r="B571" s="3" t="s">
        <v>593</v>
      </c>
      <c r="C571" s="3" t="s">
        <v>594</v>
      </c>
      <c r="D571" s="3" t="s">
        <v>13</v>
      </c>
      <c r="E571" s="3" t="s">
        <v>12</v>
      </c>
      <c r="F571" s="3">
        <v>1E-3</v>
      </c>
      <c r="G571" s="74">
        <f>F571*VLOOKUP(D571,GWPs!$B$3:$C$6,2,FALSE)</f>
        <v>2.8000000000000001E-2</v>
      </c>
      <c r="H571" s="3">
        <v>0</v>
      </c>
      <c r="I571" s="74">
        <f>H571*VLOOKUP(D571,GWPs!$B$3:$C$6,2,FALSE)</f>
        <v>0</v>
      </c>
      <c r="J571" s="3">
        <v>1E-3</v>
      </c>
      <c r="K571" s="74">
        <f>J571*VLOOKUP(D571,GWPs!$B$3:$C$6,2,FALSE)</f>
        <v>2.8000000000000001E-2</v>
      </c>
      <c r="M571" s="3">
        <v>4</v>
      </c>
      <c r="N571" s="3">
        <v>2</v>
      </c>
      <c r="O571" s="3">
        <v>1</v>
      </c>
      <c r="P571" s="3">
        <v>1</v>
      </c>
      <c r="Q571" s="3">
        <v>1</v>
      </c>
    </row>
    <row r="572" spans="1:17">
      <c r="A572" t="s">
        <v>1429</v>
      </c>
      <c r="B572" s="3" t="s">
        <v>593</v>
      </c>
      <c r="C572" s="3" t="s">
        <v>594</v>
      </c>
      <c r="D572" s="3" t="s">
        <v>14</v>
      </c>
      <c r="E572" s="3" t="s">
        <v>12</v>
      </c>
      <c r="F572" s="3">
        <v>0</v>
      </c>
      <c r="G572" s="74">
        <f>F572*VLOOKUP(D572,GWPs!$B$3:$C$6,2,FALSE)</f>
        <v>0</v>
      </c>
      <c r="H572" s="3">
        <v>0</v>
      </c>
      <c r="I572" s="74">
        <f>H572*VLOOKUP(D572,GWPs!$B$3:$C$6,2,FALSE)</f>
        <v>0</v>
      </c>
      <c r="J572" s="3">
        <v>0</v>
      </c>
      <c r="K572" s="74">
        <f>J572*VLOOKUP(D572,GWPs!$B$3:$C$6,2,FALSE)</f>
        <v>0</v>
      </c>
      <c r="M572" s="3">
        <v>3</v>
      </c>
      <c r="N572" s="3">
        <v>2</v>
      </c>
      <c r="O572" s="3">
        <v>1</v>
      </c>
      <c r="P572" s="3">
        <v>3</v>
      </c>
      <c r="Q572" s="3">
        <v>1</v>
      </c>
    </row>
    <row r="573" spans="1:17">
      <c r="A573" t="s">
        <v>1429</v>
      </c>
      <c r="B573" s="3" t="s">
        <v>593</v>
      </c>
      <c r="C573" s="3" t="s">
        <v>594</v>
      </c>
      <c r="D573" s="3" t="s">
        <v>15</v>
      </c>
      <c r="E573" s="3" t="s">
        <v>16</v>
      </c>
      <c r="F573" s="3">
        <v>1.0999999999999999E-2</v>
      </c>
      <c r="G573" s="74">
        <f>F573*VLOOKUP(D573,GWPs!$B$3:$C$6,2,FALSE)</f>
        <v>1.0999999999999999E-2</v>
      </c>
      <c r="H573" s="3">
        <v>0</v>
      </c>
      <c r="I573" s="74">
        <f>H573*VLOOKUP(D573,GWPs!$B$3:$C$6,2,FALSE)</f>
        <v>0</v>
      </c>
      <c r="J573" s="3">
        <v>1.0999999999999999E-2</v>
      </c>
      <c r="K573" s="74">
        <f>J573*VLOOKUP(D573,GWPs!$B$3:$C$6,2,FALSE)</f>
        <v>1.0999999999999999E-2</v>
      </c>
      <c r="M573" s="3">
        <v>3</v>
      </c>
      <c r="N573" s="3">
        <v>2</v>
      </c>
      <c r="O573" s="3">
        <v>1</v>
      </c>
      <c r="P573" s="3">
        <v>3</v>
      </c>
      <c r="Q573" s="3">
        <v>1</v>
      </c>
    </row>
    <row r="574" spans="1:17">
      <c r="A574" t="s">
        <v>1429</v>
      </c>
      <c r="B574" s="3" t="s">
        <v>595</v>
      </c>
      <c r="C574" s="3" t="s">
        <v>596</v>
      </c>
      <c r="D574" s="3" t="s">
        <v>11</v>
      </c>
      <c r="E574" s="3" t="s">
        <v>12</v>
      </c>
      <c r="F574" s="3">
        <v>0.22600000000000001</v>
      </c>
      <c r="G574" s="74">
        <f>F574*VLOOKUP(D574,GWPs!$B$3:$C$6,2,FALSE)</f>
        <v>0.22600000000000001</v>
      </c>
      <c r="H574" s="3">
        <v>1.0999999999999999E-2</v>
      </c>
      <c r="I574" s="74">
        <f>H574*VLOOKUP(D574,GWPs!$B$3:$C$6,2,FALSE)</f>
        <v>1.0999999999999999E-2</v>
      </c>
      <c r="J574" s="3">
        <v>0.23799999999999999</v>
      </c>
      <c r="K574" s="74">
        <f>J574*VLOOKUP(D574,GWPs!$B$3:$C$6,2,FALSE)</f>
        <v>0.23799999999999999</v>
      </c>
      <c r="M574" s="3">
        <v>3</v>
      </c>
      <c r="N574" s="3">
        <v>2</v>
      </c>
      <c r="O574" s="3">
        <v>1</v>
      </c>
      <c r="P574" s="3">
        <v>3</v>
      </c>
      <c r="Q574" s="3">
        <v>1</v>
      </c>
    </row>
    <row r="575" spans="1:17">
      <c r="A575" t="s">
        <v>1429</v>
      </c>
      <c r="B575" s="3" t="s">
        <v>595</v>
      </c>
      <c r="C575" s="3" t="s">
        <v>596</v>
      </c>
      <c r="D575" s="3" t="s">
        <v>13</v>
      </c>
      <c r="E575" s="3" t="s">
        <v>12</v>
      </c>
      <c r="F575" s="3">
        <v>1E-3</v>
      </c>
      <c r="G575" s="74">
        <f>F575*VLOOKUP(D575,GWPs!$B$3:$C$6,2,FALSE)</f>
        <v>2.8000000000000001E-2</v>
      </c>
      <c r="H575" s="3">
        <v>0</v>
      </c>
      <c r="I575" s="74">
        <f>H575*VLOOKUP(D575,GWPs!$B$3:$C$6,2,FALSE)</f>
        <v>0</v>
      </c>
      <c r="J575" s="3">
        <v>1E-3</v>
      </c>
      <c r="K575" s="74">
        <f>J575*VLOOKUP(D575,GWPs!$B$3:$C$6,2,FALSE)</f>
        <v>2.8000000000000001E-2</v>
      </c>
      <c r="M575" s="3">
        <v>4</v>
      </c>
      <c r="N575" s="3">
        <v>2</v>
      </c>
      <c r="O575" s="3">
        <v>1</v>
      </c>
      <c r="P575" s="3">
        <v>1</v>
      </c>
      <c r="Q575" s="3">
        <v>1</v>
      </c>
    </row>
    <row r="576" spans="1:17">
      <c r="A576" t="s">
        <v>1429</v>
      </c>
      <c r="B576" s="3" t="s">
        <v>595</v>
      </c>
      <c r="C576" s="3" t="s">
        <v>596</v>
      </c>
      <c r="D576" s="3" t="s">
        <v>14</v>
      </c>
      <c r="E576" s="3" t="s">
        <v>12</v>
      </c>
      <c r="F576" s="3">
        <v>0</v>
      </c>
      <c r="G576" s="74">
        <f>F576*VLOOKUP(D576,GWPs!$B$3:$C$6,2,FALSE)</f>
        <v>0</v>
      </c>
      <c r="H576" s="3">
        <v>0</v>
      </c>
      <c r="I576" s="74">
        <f>H576*VLOOKUP(D576,GWPs!$B$3:$C$6,2,FALSE)</f>
        <v>0</v>
      </c>
      <c r="J576" s="3">
        <v>0</v>
      </c>
      <c r="K576" s="74">
        <f>J576*VLOOKUP(D576,GWPs!$B$3:$C$6,2,FALSE)</f>
        <v>0</v>
      </c>
      <c r="M576" s="3">
        <v>3</v>
      </c>
      <c r="N576" s="3">
        <v>2</v>
      </c>
      <c r="O576" s="3">
        <v>1</v>
      </c>
      <c r="P576" s="3">
        <v>3</v>
      </c>
      <c r="Q576" s="3">
        <v>1</v>
      </c>
    </row>
    <row r="577" spans="1:17">
      <c r="A577" t="s">
        <v>1429</v>
      </c>
      <c r="B577" s="3" t="s">
        <v>595</v>
      </c>
      <c r="C577" s="3" t="s">
        <v>596</v>
      </c>
      <c r="D577" s="3" t="s">
        <v>15</v>
      </c>
      <c r="E577" s="3" t="s">
        <v>16</v>
      </c>
      <c r="F577" s="3">
        <v>1.2999999999999999E-2</v>
      </c>
      <c r="G577" s="74">
        <f>F577*VLOOKUP(D577,GWPs!$B$3:$C$6,2,FALSE)</f>
        <v>1.2999999999999999E-2</v>
      </c>
      <c r="H577" s="3">
        <v>0</v>
      </c>
      <c r="I577" s="74">
        <f>H577*VLOOKUP(D577,GWPs!$B$3:$C$6,2,FALSE)</f>
        <v>0</v>
      </c>
      <c r="J577" s="3">
        <v>1.2999999999999999E-2</v>
      </c>
      <c r="K577" s="74">
        <f>J577*VLOOKUP(D577,GWPs!$B$3:$C$6,2,FALSE)</f>
        <v>1.2999999999999999E-2</v>
      </c>
      <c r="M577" s="3">
        <v>3</v>
      </c>
      <c r="N577" s="3">
        <v>2</v>
      </c>
      <c r="O577" s="3">
        <v>1</v>
      </c>
      <c r="P577" s="3">
        <v>2</v>
      </c>
      <c r="Q577" s="3">
        <v>1</v>
      </c>
    </row>
    <row r="578" spans="1:17">
      <c r="A578" t="s">
        <v>1429</v>
      </c>
      <c r="B578" s="3" t="s">
        <v>597</v>
      </c>
      <c r="C578" s="3" t="s">
        <v>598</v>
      </c>
      <c r="D578" s="3" t="s">
        <v>11</v>
      </c>
      <c r="E578" s="3" t="s">
        <v>12</v>
      </c>
      <c r="F578" s="3">
        <v>0.185</v>
      </c>
      <c r="G578" s="74">
        <f>F578*VLOOKUP(D578,GWPs!$B$3:$C$6,2,FALSE)</f>
        <v>0.185</v>
      </c>
      <c r="H578" s="3">
        <v>0.13200000000000001</v>
      </c>
      <c r="I578" s="74">
        <f>H578*VLOOKUP(D578,GWPs!$B$3:$C$6,2,FALSE)</f>
        <v>0.13200000000000001</v>
      </c>
      <c r="J578" s="3">
        <v>0.317</v>
      </c>
      <c r="K578" s="74">
        <f>J578*VLOOKUP(D578,GWPs!$B$3:$C$6,2,FALSE)</f>
        <v>0.317</v>
      </c>
      <c r="M578" s="3">
        <v>3</v>
      </c>
      <c r="N578" s="3">
        <v>2</v>
      </c>
      <c r="O578" s="3">
        <v>1</v>
      </c>
      <c r="P578" s="3">
        <v>3</v>
      </c>
      <c r="Q578" s="3">
        <v>1</v>
      </c>
    </row>
    <row r="579" spans="1:17">
      <c r="A579" t="s">
        <v>1429</v>
      </c>
      <c r="B579" s="3" t="s">
        <v>597</v>
      </c>
      <c r="C579" s="3" t="s">
        <v>598</v>
      </c>
      <c r="D579" s="3" t="s">
        <v>13</v>
      </c>
      <c r="E579" s="3" t="s">
        <v>12</v>
      </c>
      <c r="F579" s="3">
        <v>1E-3</v>
      </c>
      <c r="G579" s="74">
        <f>F579*VLOOKUP(D579,GWPs!$B$3:$C$6,2,FALSE)</f>
        <v>2.8000000000000001E-2</v>
      </c>
      <c r="H579" s="3">
        <v>1E-3</v>
      </c>
      <c r="I579" s="74">
        <f>H579*VLOOKUP(D579,GWPs!$B$3:$C$6,2,FALSE)</f>
        <v>2.8000000000000001E-2</v>
      </c>
      <c r="J579" s="3">
        <v>1E-3</v>
      </c>
      <c r="K579" s="74">
        <f>J579*VLOOKUP(D579,GWPs!$B$3:$C$6,2,FALSE)</f>
        <v>2.8000000000000001E-2</v>
      </c>
      <c r="M579" s="3">
        <v>4</v>
      </c>
      <c r="N579" s="3">
        <v>2</v>
      </c>
      <c r="O579" s="3">
        <v>1</v>
      </c>
      <c r="P579" s="3">
        <v>1</v>
      </c>
      <c r="Q579" s="3">
        <v>1</v>
      </c>
    </row>
    <row r="580" spans="1:17">
      <c r="A580" t="s">
        <v>1429</v>
      </c>
      <c r="B580" s="3" t="s">
        <v>597</v>
      </c>
      <c r="C580" s="3" t="s">
        <v>598</v>
      </c>
      <c r="D580" s="3" t="s">
        <v>14</v>
      </c>
      <c r="E580" s="3" t="s">
        <v>12</v>
      </c>
      <c r="F580" s="3">
        <v>0</v>
      </c>
      <c r="G580" s="74">
        <f>F580*VLOOKUP(D580,GWPs!$B$3:$C$6,2,FALSE)</f>
        <v>0</v>
      </c>
      <c r="H580" s="3">
        <v>0</v>
      </c>
      <c r="I580" s="74">
        <f>H580*VLOOKUP(D580,GWPs!$B$3:$C$6,2,FALSE)</f>
        <v>0</v>
      </c>
      <c r="J580" s="3">
        <v>0</v>
      </c>
      <c r="K580" s="74">
        <f>J580*VLOOKUP(D580,GWPs!$B$3:$C$6,2,FALSE)</f>
        <v>0</v>
      </c>
      <c r="M580" s="3">
        <v>3</v>
      </c>
      <c r="N580" s="3">
        <v>2</v>
      </c>
      <c r="O580" s="3">
        <v>1</v>
      </c>
      <c r="P580" s="3">
        <v>3</v>
      </c>
      <c r="Q580" s="3">
        <v>1</v>
      </c>
    </row>
    <row r="581" spans="1:17">
      <c r="A581" t="s">
        <v>1429</v>
      </c>
      <c r="B581" s="3" t="s">
        <v>597</v>
      </c>
      <c r="C581" s="3" t="s">
        <v>598</v>
      </c>
      <c r="D581" s="3" t="s">
        <v>15</v>
      </c>
      <c r="E581" s="3" t="s">
        <v>16</v>
      </c>
      <c r="F581" s="3">
        <v>7.0000000000000001E-3</v>
      </c>
      <c r="G581" s="74">
        <f>F581*VLOOKUP(D581,GWPs!$B$3:$C$6,2,FALSE)</f>
        <v>7.0000000000000001E-3</v>
      </c>
      <c r="H581" s="3">
        <v>0</v>
      </c>
      <c r="I581" s="74">
        <f>H581*VLOOKUP(D581,GWPs!$B$3:$C$6,2,FALSE)</f>
        <v>0</v>
      </c>
      <c r="J581" s="3">
        <v>7.0000000000000001E-3</v>
      </c>
      <c r="K581" s="74">
        <f>J581*VLOOKUP(D581,GWPs!$B$3:$C$6,2,FALSE)</f>
        <v>7.0000000000000001E-3</v>
      </c>
      <c r="M581" s="3">
        <v>3</v>
      </c>
      <c r="N581" s="3">
        <v>2</v>
      </c>
      <c r="O581" s="3">
        <v>1</v>
      </c>
      <c r="P581" s="3">
        <v>2</v>
      </c>
      <c r="Q581" s="3">
        <v>1</v>
      </c>
    </row>
    <row r="582" spans="1:17">
      <c r="A582" t="s">
        <v>1429</v>
      </c>
      <c r="B582" s="3" t="s">
        <v>599</v>
      </c>
      <c r="C582" s="3" t="s">
        <v>600</v>
      </c>
      <c r="D582" s="3" t="s">
        <v>11</v>
      </c>
      <c r="E582" s="3" t="s">
        <v>12</v>
      </c>
      <c r="F582" s="3">
        <v>0.32500000000000001</v>
      </c>
      <c r="G582" s="74">
        <f>F582*VLOOKUP(D582,GWPs!$B$3:$C$6,2,FALSE)</f>
        <v>0.32500000000000001</v>
      </c>
      <c r="H582" s="3">
        <v>2.9000000000000001E-2</v>
      </c>
      <c r="I582" s="74">
        <f>H582*VLOOKUP(D582,GWPs!$B$3:$C$6,2,FALSE)</f>
        <v>2.9000000000000001E-2</v>
      </c>
      <c r="J582" s="3">
        <v>0.35399999999999998</v>
      </c>
      <c r="K582" s="74">
        <f>J582*VLOOKUP(D582,GWPs!$B$3:$C$6,2,FALSE)</f>
        <v>0.35399999999999998</v>
      </c>
      <c r="M582" s="3">
        <v>3</v>
      </c>
      <c r="N582" s="3">
        <v>2</v>
      </c>
      <c r="O582" s="3">
        <v>1</v>
      </c>
      <c r="P582" s="3">
        <v>2</v>
      </c>
      <c r="Q582" s="3">
        <v>1</v>
      </c>
    </row>
    <row r="583" spans="1:17">
      <c r="A583" t="s">
        <v>1429</v>
      </c>
      <c r="B583" s="3" t="s">
        <v>599</v>
      </c>
      <c r="C583" s="3" t="s">
        <v>600</v>
      </c>
      <c r="D583" s="3" t="s">
        <v>13</v>
      </c>
      <c r="E583" s="3" t="s">
        <v>12</v>
      </c>
      <c r="F583" s="3">
        <v>1E-3</v>
      </c>
      <c r="G583" s="74">
        <f>F583*VLOOKUP(D583,GWPs!$B$3:$C$6,2,FALSE)</f>
        <v>2.8000000000000001E-2</v>
      </c>
      <c r="H583" s="3">
        <v>0</v>
      </c>
      <c r="I583" s="74">
        <f>H583*VLOOKUP(D583,GWPs!$B$3:$C$6,2,FALSE)</f>
        <v>0</v>
      </c>
      <c r="J583" s="3">
        <v>2E-3</v>
      </c>
      <c r="K583" s="74">
        <f>J583*VLOOKUP(D583,GWPs!$B$3:$C$6,2,FALSE)</f>
        <v>5.6000000000000001E-2</v>
      </c>
      <c r="M583" s="3">
        <v>4</v>
      </c>
      <c r="N583" s="3">
        <v>2</v>
      </c>
      <c r="O583" s="3">
        <v>1</v>
      </c>
      <c r="P583" s="3">
        <v>1</v>
      </c>
      <c r="Q583" s="3">
        <v>1</v>
      </c>
    </row>
    <row r="584" spans="1:17">
      <c r="A584" t="s">
        <v>1429</v>
      </c>
      <c r="B584" s="3" t="s">
        <v>599</v>
      </c>
      <c r="C584" s="3" t="s">
        <v>600</v>
      </c>
      <c r="D584" s="3" t="s">
        <v>14</v>
      </c>
      <c r="E584" s="3" t="s">
        <v>12</v>
      </c>
      <c r="F584" s="3">
        <v>0</v>
      </c>
      <c r="G584" s="74">
        <f>F584*VLOOKUP(D584,GWPs!$B$3:$C$6,2,FALSE)</f>
        <v>0</v>
      </c>
      <c r="H584" s="3">
        <v>0</v>
      </c>
      <c r="I584" s="74">
        <f>H584*VLOOKUP(D584,GWPs!$B$3:$C$6,2,FALSE)</f>
        <v>0</v>
      </c>
      <c r="J584" s="3">
        <v>0</v>
      </c>
      <c r="K584" s="74">
        <f>J584*VLOOKUP(D584,GWPs!$B$3:$C$6,2,FALSE)</f>
        <v>0</v>
      </c>
      <c r="M584" s="3">
        <v>3</v>
      </c>
      <c r="N584" s="3">
        <v>2</v>
      </c>
      <c r="O584" s="3">
        <v>1</v>
      </c>
      <c r="P584" s="3">
        <v>3</v>
      </c>
      <c r="Q584" s="3">
        <v>1</v>
      </c>
    </row>
    <row r="585" spans="1:17">
      <c r="A585" t="s">
        <v>1429</v>
      </c>
      <c r="B585" s="3" t="s">
        <v>599</v>
      </c>
      <c r="C585" s="3" t="s">
        <v>600</v>
      </c>
      <c r="D585" s="3" t="s">
        <v>15</v>
      </c>
      <c r="E585" s="3" t="s">
        <v>16</v>
      </c>
      <c r="F585" s="3">
        <v>8.0000000000000002E-3</v>
      </c>
      <c r="G585" s="74">
        <f>F585*VLOOKUP(D585,GWPs!$B$3:$C$6,2,FALSE)</f>
        <v>8.0000000000000002E-3</v>
      </c>
      <c r="H585" s="3">
        <v>0</v>
      </c>
      <c r="I585" s="74">
        <f>H585*VLOOKUP(D585,GWPs!$B$3:$C$6,2,FALSE)</f>
        <v>0</v>
      </c>
      <c r="J585" s="3">
        <v>8.0000000000000002E-3</v>
      </c>
      <c r="K585" s="74">
        <f>J585*VLOOKUP(D585,GWPs!$B$3:$C$6,2,FALSE)</f>
        <v>8.0000000000000002E-3</v>
      </c>
      <c r="M585" s="3">
        <v>3</v>
      </c>
      <c r="N585" s="3">
        <v>2</v>
      </c>
      <c r="O585" s="3">
        <v>1</v>
      </c>
      <c r="P585" s="3">
        <v>3</v>
      </c>
      <c r="Q585" s="3">
        <v>1</v>
      </c>
    </row>
    <row r="586" spans="1:17">
      <c r="A586" t="s">
        <v>1429</v>
      </c>
      <c r="B586" s="3" t="s">
        <v>601</v>
      </c>
      <c r="C586" s="3" t="s">
        <v>602</v>
      </c>
      <c r="D586" s="3" t="s">
        <v>11</v>
      </c>
      <c r="E586" s="3" t="s">
        <v>12</v>
      </c>
      <c r="F586" s="3">
        <v>0.25800000000000001</v>
      </c>
      <c r="G586" s="74">
        <f>F586*VLOOKUP(D586,GWPs!$B$3:$C$6,2,FALSE)</f>
        <v>0.25800000000000001</v>
      </c>
      <c r="H586" s="3">
        <v>5.0999999999999997E-2</v>
      </c>
      <c r="I586" s="74">
        <f>H586*VLOOKUP(D586,GWPs!$B$3:$C$6,2,FALSE)</f>
        <v>5.0999999999999997E-2</v>
      </c>
      <c r="J586" s="3">
        <v>0.309</v>
      </c>
      <c r="K586" s="74">
        <f>J586*VLOOKUP(D586,GWPs!$B$3:$C$6,2,FALSE)</f>
        <v>0.309</v>
      </c>
      <c r="M586" s="3">
        <v>3</v>
      </c>
      <c r="N586" s="3">
        <v>2</v>
      </c>
      <c r="O586" s="3">
        <v>1</v>
      </c>
      <c r="P586" s="3">
        <v>3</v>
      </c>
      <c r="Q586" s="3">
        <v>1</v>
      </c>
    </row>
    <row r="587" spans="1:17">
      <c r="A587" t="s">
        <v>1429</v>
      </c>
      <c r="B587" s="3" t="s">
        <v>601</v>
      </c>
      <c r="C587" s="3" t="s">
        <v>602</v>
      </c>
      <c r="D587" s="3" t="s">
        <v>13</v>
      </c>
      <c r="E587" s="3" t="s">
        <v>12</v>
      </c>
      <c r="F587" s="3">
        <v>1E-3</v>
      </c>
      <c r="G587" s="74">
        <f>F587*VLOOKUP(D587,GWPs!$B$3:$C$6,2,FALSE)</f>
        <v>2.8000000000000001E-2</v>
      </c>
      <c r="H587" s="3">
        <v>0</v>
      </c>
      <c r="I587" s="74">
        <f>H587*VLOOKUP(D587,GWPs!$B$3:$C$6,2,FALSE)</f>
        <v>0</v>
      </c>
      <c r="J587" s="3">
        <v>1E-3</v>
      </c>
      <c r="K587" s="74">
        <f>J587*VLOOKUP(D587,GWPs!$B$3:$C$6,2,FALSE)</f>
        <v>2.8000000000000001E-2</v>
      </c>
      <c r="M587" s="3">
        <v>4</v>
      </c>
      <c r="N587" s="3">
        <v>2</v>
      </c>
      <c r="O587" s="3">
        <v>1</v>
      </c>
      <c r="P587" s="3">
        <v>1</v>
      </c>
      <c r="Q587" s="3">
        <v>1</v>
      </c>
    </row>
    <row r="588" spans="1:17">
      <c r="A588" t="s">
        <v>1429</v>
      </c>
      <c r="B588" s="3" t="s">
        <v>601</v>
      </c>
      <c r="C588" s="3" t="s">
        <v>602</v>
      </c>
      <c r="D588" s="3" t="s">
        <v>14</v>
      </c>
      <c r="E588" s="3" t="s">
        <v>12</v>
      </c>
      <c r="F588" s="3">
        <v>0</v>
      </c>
      <c r="G588" s="74">
        <f>F588*VLOOKUP(D588,GWPs!$B$3:$C$6,2,FALSE)</f>
        <v>0</v>
      </c>
      <c r="H588" s="3">
        <v>0</v>
      </c>
      <c r="I588" s="74">
        <f>H588*VLOOKUP(D588,GWPs!$B$3:$C$6,2,FALSE)</f>
        <v>0</v>
      </c>
      <c r="J588" s="3">
        <v>0</v>
      </c>
      <c r="K588" s="74">
        <f>J588*VLOOKUP(D588,GWPs!$B$3:$C$6,2,FALSE)</f>
        <v>0</v>
      </c>
      <c r="M588" s="3">
        <v>3</v>
      </c>
      <c r="N588" s="3">
        <v>2</v>
      </c>
      <c r="O588" s="3">
        <v>1</v>
      </c>
      <c r="P588" s="3">
        <v>3</v>
      </c>
      <c r="Q588" s="3">
        <v>1</v>
      </c>
    </row>
    <row r="589" spans="1:17">
      <c r="A589" t="s">
        <v>1429</v>
      </c>
      <c r="B589" s="3" t="s">
        <v>601</v>
      </c>
      <c r="C589" s="3" t="s">
        <v>602</v>
      </c>
      <c r="D589" s="3" t="s">
        <v>15</v>
      </c>
      <c r="E589" s="3" t="s">
        <v>16</v>
      </c>
      <c r="F589" s="3">
        <v>1.2E-2</v>
      </c>
      <c r="G589" s="74">
        <f>F589*VLOOKUP(D589,GWPs!$B$3:$C$6,2,FALSE)</f>
        <v>1.2E-2</v>
      </c>
      <c r="H589" s="3">
        <v>0</v>
      </c>
      <c r="I589" s="74">
        <f>H589*VLOOKUP(D589,GWPs!$B$3:$C$6,2,FALSE)</f>
        <v>0</v>
      </c>
      <c r="J589" s="3">
        <v>1.2E-2</v>
      </c>
      <c r="K589" s="74">
        <f>J589*VLOOKUP(D589,GWPs!$B$3:$C$6,2,FALSE)</f>
        <v>1.2E-2</v>
      </c>
      <c r="M589" s="3">
        <v>3</v>
      </c>
      <c r="N589" s="3">
        <v>2</v>
      </c>
      <c r="O589" s="3">
        <v>1</v>
      </c>
      <c r="P589" s="3">
        <v>3</v>
      </c>
      <c r="Q589" s="3">
        <v>1</v>
      </c>
    </row>
    <row r="590" spans="1:17">
      <c r="A590" t="s">
        <v>1429</v>
      </c>
      <c r="B590" s="3" t="s">
        <v>603</v>
      </c>
      <c r="C590" s="3" t="s">
        <v>604</v>
      </c>
      <c r="D590" s="3" t="s">
        <v>11</v>
      </c>
      <c r="E590" s="3" t="s">
        <v>12</v>
      </c>
      <c r="F590" s="3">
        <v>0.23899999999999999</v>
      </c>
      <c r="G590" s="74">
        <f>F590*VLOOKUP(D590,GWPs!$B$3:$C$6,2,FALSE)</f>
        <v>0.23899999999999999</v>
      </c>
      <c r="H590" s="3">
        <v>4.4999999999999998E-2</v>
      </c>
      <c r="I590" s="74">
        <f>H590*VLOOKUP(D590,GWPs!$B$3:$C$6,2,FALSE)</f>
        <v>4.4999999999999998E-2</v>
      </c>
      <c r="J590" s="3">
        <v>0.28499999999999998</v>
      </c>
      <c r="K590" s="74">
        <f>J590*VLOOKUP(D590,GWPs!$B$3:$C$6,2,FALSE)</f>
        <v>0.28499999999999998</v>
      </c>
      <c r="M590" s="3">
        <v>3</v>
      </c>
      <c r="N590" s="3">
        <v>2</v>
      </c>
      <c r="O590" s="3">
        <v>1</v>
      </c>
      <c r="P590" s="3">
        <v>3</v>
      </c>
      <c r="Q590" s="3">
        <v>1</v>
      </c>
    </row>
    <row r="591" spans="1:17">
      <c r="A591" t="s">
        <v>1429</v>
      </c>
      <c r="B591" s="3" t="s">
        <v>603</v>
      </c>
      <c r="C591" s="3" t="s">
        <v>604</v>
      </c>
      <c r="D591" s="3" t="s">
        <v>13</v>
      </c>
      <c r="E591" s="3" t="s">
        <v>12</v>
      </c>
      <c r="F591" s="3">
        <v>1E-3</v>
      </c>
      <c r="G591" s="74">
        <f>F591*VLOOKUP(D591,GWPs!$B$3:$C$6,2,FALSE)</f>
        <v>2.8000000000000001E-2</v>
      </c>
      <c r="H591" s="3">
        <v>0</v>
      </c>
      <c r="I591" s="74">
        <f>H591*VLOOKUP(D591,GWPs!$B$3:$C$6,2,FALSE)</f>
        <v>0</v>
      </c>
      <c r="J591" s="3">
        <v>1E-3</v>
      </c>
      <c r="K591" s="74">
        <f>J591*VLOOKUP(D591,GWPs!$B$3:$C$6,2,FALSE)</f>
        <v>2.8000000000000001E-2</v>
      </c>
      <c r="M591" s="3">
        <v>4</v>
      </c>
      <c r="N591" s="3">
        <v>2</v>
      </c>
      <c r="O591" s="3">
        <v>1</v>
      </c>
      <c r="P591" s="3">
        <v>1</v>
      </c>
      <c r="Q591" s="3">
        <v>1</v>
      </c>
    </row>
    <row r="592" spans="1:17">
      <c r="A592" t="s">
        <v>1429</v>
      </c>
      <c r="B592" s="3" t="s">
        <v>603</v>
      </c>
      <c r="C592" s="3" t="s">
        <v>604</v>
      </c>
      <c r="D592" s="3" t="s">
        <v>14</v>
      </c>
      <c r="E592" s="3" t="s">
        <v>12</v>
      </c>
      <c r="F592" s="3">
        <v>0</v>
      </c>
      <c r="G592" s="74">
        <f>F592*VLOOKUP(D592,GWPs!$B$3:$C$6,2,FALSE)</f>
        <v>0</v>
      </c>
      <c r="H592" s="3">
        <v>0</v>
      </c>
      <c r="I592" s="74">
        <f>H592*VLOOKUP(D592,GWPs!$B$3:$C$6,2,FALSE)</f>
        <v>0</v>
      </c>
      <c r="J592" s="3">
        <v>0</v>
      </c>
      <c r="K592" s="74">
        <f>J592*VLOOKUP(D592,GWPs!$B$3:$C$6,2,FALSE)</f>
        <v>0</v>
      </c>
      <c r="M592" s="3">
        <v>3</v>
      </c>
      <c r="N592" s="3">
        <v>2</v>
      </c>
      <c r="O592" s="3">
        <v>1</v>
      </c>
      <c r="P592" s="3">
        <v>3</v>
      </c>
      <c r="Q592" s="3">
        <v>1</v>
      </c>
    </row>
    <row r="593" spans="1:17">
      <c r="A593" t="s">
        <v>1429</v>
      </c>
      <c r="B593" s="3" t="s">
        <v>603</v>
      </c>
      <c r="C593" s="3" t="s">
        <v>604</v>
      </c>
      <c r="D593" s="3" t="s">
        <v>15</v>
      </c>
      <c r="E593" s="3" t="s">
        <v>16</v>
      </c>
      <c r="F593" s="3">
        <v>1.4E-2</v>
      </c>
      <c r="G593" s="74">
        <f>F593*VLOOKUP(D593,GWPs!$B$3:$C$6,2,FALSE)</f>
        <v>1.4E-2</v>
      </c>
      <c r="H593" s="3">
        <v>0</v>
      </c>
      <c r="I593" s="74">
        <f>H593*VLOOKUP(D593,GWPs!$B$3:$C$6,2,FALSE)</f>
        <v>0</v>
      </c>
      <c r="J593" s="3">
        <v>1.4E-2</v>
      </c>
      <c r="K593" s="74">
        <f>J593*VLOOKUP(D593,GWPs!$B$3:$C$6,2,FALSE)</f>
        <v>1.4E-2</v>
      </c>
      <c r="M593" s="3">
        <v>3</v>
      </c>
      <c r="N593" s="3">
        <v>2</v>
      </c>
      <c r="O593" s="3">
        <v>1</v>
      </c>
      <c r="P593" s="3">
        <v>2</v>
      </c>
      <c r="Q593" s="3">
        <v>1</v>
      </c>
    </row>
    <row r="594" spans="1:17">
      <c r="A594" t="s">
        <v>1429</v>
      </c>
      <c r="B594" s="3" t="s">
        <v>605</v>
      </c>
      <c r="C594" s="3" t="s">
        <v>606</v>
      </c>
      <c r="D594" s="3" t="s">
        <v>11</v>
      </c>
      <c r="E594" s="3" t="s">
        <v>12</v>
      </c>
      <c r="F594" s="3">
        <v>0.14399999999999999</v>
      </c>
      <c r="G594" s="74">
        <f>F594*VLOOKUP(D594,GWPs!$B$3:$C$6,2,FALSE)</f>
        <v>0.14399999999999999</v>
      </c>
      <c r="H594" s="3">
        <v>8.9999999999999993E-3</v>
      </c>
      <c r="I594" s="74">
        <f>H594*VLOOKUP(D594,GWPs!$B$3:$C$6,2,FALSE)</f>
        <v>8.9999999999999993E-3</v>
      </c>
      <c r="J594" s="3">
        <v>0.153</v>
      </c>
      <c r="K594" s="74">
        <f>J594*VLOOKUP(D594,GWPs!$B$3:$C$6,2,FALSE)</f>
        <v>0.153</v>
      </c>
      <c r="M594" s="3">
        <v>3</v>
      </c>
      <c r="N594" s="3">
        <v>2</v>
      </c>
      <c r="O594" s="3">
        <v>1</v>
      </c>
      <c r="P594" s="3">
        <v>3</v>
      </c>
      <c r="Q594" s="3">
        <v>1</v>
      </c>
    </row>
    <row r="595" spans="1:17">
      <c r="A595" t="s">
        <v>1429</v>
      </c>
      <c r="B595" s="3" t="s">
        <v>605</v>
      </c>
      <c r="C595" s="3" t="s">
        <v>606</v>
      </c>
      <c r="D595" s="3" t="s">
        <v>13</v>
      </c>
      <c r="E595" s="3" t="s">
        <v>12</v>
      </c>
      <c r="F595" s="3">
        <v>1E-3</v>
      </c>
      <c r="G595" s="74">
        <f>F595*VLOOKUP(D595,GWPs!$B$3:$C$6,2,FALSE)</f>
        <v>2.8000000000000001E-2</v>
      </c>
      <c r="H595" s="3">
        <v>0</v>
      </c>
      <c r="I595" s="74">
        <f>H595*VLOOKUP(D595,GWPs!$B$3:$C$6,2,FALSE)</f>
        <v>0</v>
      </c>
      <c r="J595" s="3">
        <v>1E-3</v>
      </c>
      <c r="K595" s="74">
        <f>J595*VLOOKUP(D595,GWPs!$B$3:$C$6,2,FALSE)</f>
        <v>2.8000000000000001E-2</v>
      </c>
      <c r="M595" s="3">
        <v>4</v>
      </c>
      <c r="N595" s="3">
        <v>2</v>
      </c>
      <c r="O595" s="3">
        <v>1</v>
      </c>
      <c r="P595" s="3">
        <v>1</v>
      </c>
      <c r="Q595" s="3">
        <v>1</v>
      </c>
    </row>
    <row r="596" spans="1:17">
      <c r="A596" t="s">
        <v>1429</v>
      </c>
      <c r="B596" s="3" t="s">
        <v>605</v>
      </c>
      <c r="C596" s="3" t="s">
        <v>606</v>
      </c>
      <c r="D596" s="3" t="s">
        <v>14</v>
      </c>
      <c r="E596" s="3" t="s">
        <v>12</v>
      </c>
      <c r="F596" s="3">
        <v>0</v>
      </c>
      <c r="G596" s="74">
        <f>F596*VLOOKUP(D596,GWPs!$B$3:$C$6,2,FALSE)</f>
        <v>0</v>
      </c>
      <c r="H596" s="3">
        <v>0</v>
      </c>
      <c r="I596" s="74">
        <f>H596*VLOOKUP(D596,GWPs!$B$3:$C$6,2,FALSE)</f>
        <v>0</v>
      </c>
      <c r="J596" s="3">
        <v>0</v>
      </c>
      <c r="K596" s="74">
        <f>J596*VLOOKUP(D596,GWPs!$B$3:$C$6,2,FALSE)</f>
        <v>0</v>
      </c>
      <c r="M596" s="3">
        <v>3</v>
      </c>
      <c r="N596" s="3">
        <v>2</v>
      </c>
      <c r="O596" s="3">
        <v>1</v>
      </c>
      <c r="P596" s="3">
        <v>3</v>
      </c>
      <c r="Q596" s="3">
        <v>1</v>
      </c>
    </row>
    <row r="597" spans="1:17">
      <c r="A597" t="s">
        <v>1429</v>
      </c>
      <c r="B597" s="3" t="s">
        <v>605</v>
      </c>
      <c r="C597" s="3" t="s">
        <v>606</v>
      </c>
      <c r="D597" s="3" t="s">
        <v>15</v>
      </c>
      <c r="E597" s="3" t="s">
        <v>16</v>
      </c>
      <c r="F597" s="3">
        <v>8.9999999999999993E-3</v>
      </c>
      <c r="G597" s="74">
        <f>F597*VLOOKUP(D597,GWPs!$B$3:$C$6,2,FALSE)</f>
        <v>8.9999999999999993E-3</v>
      </c>
      <c r="H597" s="3">
        <v>0</v>
      </c>
      <c r="I597" s="74">
        <f>H597*VLOOKUP(D597,GWPs!$B$3:$C$6,2,FALSE)</f>
        <v>0</v>
      </c>
      <c r="J597" s="3">
        <v>8.9999999999999993E-3</v>
      </c>
      <c r="K597" s="74">
        <f>J597*VLOOKUP(D597,GWPs!$B$3:$C$6,2,FALSE)</f>
        <v>8.9999999999999993E-3</v>
      </c>
      <c r="M597" s="3">
        <v>3</v>
      </c>
      <c r="N597" s="3">
        <v>2</v>
      </c>
      <c r="O597" s="3">
        <v>1</v>
      </c>
      <c r="P597" s="3">
        <v>3</v>
      </c>
      <c r="Q597" s="3">
        <v>1</v>
      </c>
    </row>
    <row r="598" spans="1:17">
      <c r="A598" t="s">
        <v>1429</v>
      </c>
      <c r="B598" s="3" t="s">
        <v>607</v>
      </c>
      <c r="C598" s="3" t="s">
        <v>608</v>
      </c>
      <c r="D598" s="3" t="s">
        <v>11</v>
      </c>
      <c r="E598" s="3" t="s">
        <v>12</v>
      </c>
      <c r="F598" s="3">
        <v>7.2999999999999995E-2</v>
      </c>
      <c r="G598" s="74">
        <f>F598*VLOOKUP(D598,GWPs!$B$3:$C$6,2,FALSE)</f>
        <v>7.2999999999999995E-2</v>
      </c>
      <c r="H598" s="3">
        <v>4.0000000000000001E-3</v>
      </c>
      <c r="I598" s="74">
        <f>H598*VLOOKUP(D598,GWPs!$B$3:$C$6,2,FALSE)</f>
        <v>4.0000000000000001E-3</v>
      </c>
      <c r="J598" s="3">
        <v>7.6999999999999999E-2</v>
      </c>
      <c r="K598" s="74">
        <f>J598*VLOOKUP(D598,GWPs!$B$3:$C$6,2,FALSE)</f>
        <v>7.6999999999999999E-2</v>
      </c>
      <c r="M598" s="3">
        <v>3</v>
      </c>
      <c r="N598" s="3">
        <v>2</v>
      </c>
      <c r="O598" s="3">
        <v>1</v>
      </c>
      <c r="P598" s="3">
        <v>3</v>
      </c>
      <c r="Q598" s="3">
        <v>1</v>
      </c>
    </row>
    <row r="599" spans="1:17">
      <c r="A599" t="s">
        <v>1429</v>
      </c>
      <c r="B599" s="3" t="s">
        <v>607</v>
      </c>
      <c r="C599" s="3" t="s">
        <v>608</v>
      </c>
      <c r="D599" s="3" t="s">
        <v>13</v>
      </c>
      <c r="E599" s="3" t="s">
        <v>12</v>
      </c>
      <c r="F599" s="3">
        <v>0</v>
      </c>
      <c r="G599" s="74">
        <f>F599*VLOOKUP(D599,GWPs!$B$3:$C$6,2,FALSE)</f>
        <v>0</v>
      </c>
      <c r="H599" s="3">
        <v>0</v>
      </c>
      <c r="I599" s="74">
        <f>H599*VLOOKUP(D599,GWPs!$B$3:$C$6,2,FALSE)</f>
        <v>0</v>
      </c>
      <c r="J599" s="3">
        <v>0</v>
      </c>
      <c r="K599" s="74">
        <f>J599*VLOOKUP(D599,GWPs!$B$3:$C$6,2,FALSE)</f>
        <v>0</v>
      </c>
      <c r="M599" s="3">
        <v>4</v>
      </c>
      <c r="N599" s="3">
        <v>2</v>
      </c>
      <c r="O599" s="3">
        <v>1</v>
      </c>
      <c r="P599" s="3">
        <v>1</v>
      </c>
      <c r="Q599" s="3">
        <v>1</v>
      </c>
    </row>
    <row r="600" spans="1:17">
      <c r="A600" t="s">
        <v>1429</v>
      </c>
      <c r="B600" s="3" t="s">
        <v>607</v>
      </c>
      <c r="C600" s="3" t="s">
        <v>608</v>
      </c>
      <c r="D600" s="3" t="s">
        <v>14</v>
      </c>
      <c r="E600" s="3" t="s">
        <v>12</v>
      </c>
      <c r="F600" s="3">
        <v>0</v>
      </c>
      <c r="G600" s="74">
        <f>F600*VLOOKUP(D600,GWPs!$B$3:$C$6,2,FALSE)</f>
        <v>0</v>
      </c>
      <c r="H600" s="3">
        <v>0</v>
      </c>
      <c r="I600" s="74">
        <f>H600*VLOOKUP(D600,GWPs!$B$3:$C$6,2,FALSE)</f>
        <v>0</v>
      </c>
      <c r="J600" s="3">
        <v>0</v>
      </c>
      <c r="K600" s="74">
        <f>J600*VLOOKUP(D600,GWPs!$B$3:$C$6,2,FALSE)</f>
        <v>0</v>
      </c>
      <c r="M600" s="3">
        <v>3</v>
      </c>
      <c r="N600" s="3">
        <v>2</v>
      </c>
      <c r="O600" s="3">
        <v>1</v>
      </c>
      <c r="P600" s="3">
        <v>3</v>
      </c>
      <c r="Q600" s="3">
        <v>1</v>
      </c>
    </row>
    <row r="601" spans="1:17">
      <c r="A601" t="s">
        <v>1429</v>
      </c>
      <c r="B601" s="3" t="s">
        <v>607</v>
      </c>
      <c r="C601" s="3" t="s">
        <v>608</v>
      </c>
      <c r="D601" s="3" t="s">
        <v>15</v>
      </c>
      <c r="E601" s="3" t="s">
        <v>16</v>
      </c>
      <c r="F601" s="3">
        <v>3.1E-2</v>
      </c>
      <c r="G601" s="74">
        <f>F601*VLOOKUP(D601,GWPs!$B$3:$C$6,2,FALSE)</f>
        <v>3.1E-2</v>
      </c>
      <c r="H601" s="3">
        <v>0</v>
      </c>
      <c r="I601" s="74">
        <f>H601*VLOOKUP(D601,GWPs!$B$3:$C$6,2,FALSE)</f>
        <v>0</v>
      </c>
      <c r="J601" s="3">
        <v>3.1E-2</v>
      </c>
      <c r="K601" s="74">
        <f>J601*VLOOKUP(D601,GWPs!$B$3:$C$6,2,FALSE)</f>
        <v>3.1E-2</v>
      </c>
      <c r="M601" s="3">
        <v>2</v>
      </c>
      <c r="N601" s="3">
        <v>2</v>
      </c>
      <c r="O601" s="3">
        <v>1</v>
      </c>
      <c r="P601" s="3">
        <v>1</v>
      </c>
      <c r="Q601" s="3">
        <v>1</v>
      </c>
    </row>
    <row r="602" spans="1:17">
      <c r="A602" t="s">
        <v>1429</v>
      </c>
      <c r="B602" s="3" t="s">
        <v>609</v>
      </c>
      <c r="C602" s="3" t="s">
        <v>610</v>
      </c>
      <c r="D602" s="3" t="s">
        <v>11</v>
      </c>
      <c r="E602" s="3" t="s">
        <v>12</v>
      </c>
      <c r="F602" s="3">
        <v>0.14899999999999999</v>
      </c>
      <c r="G602" s="74">
        <f>F602*VLOOKUP(D602,GWPs!$B$3:$C$6,2,FALSE)</f>
        <v>0.14899999999999999</v>
      </c>
      <c r="H602" s="3">
        <v>7.8E-2</v>
      </c>
      <c r="I602" s="74">
        <f>H602*VLOOKUP(D602,GWPs!$B$3:$C$6,2,FALSE)</f>
        <v>7.8E-2</v>
      </c>
      <c r="J602" s="3">
        <v>0.22700000000000001</v>
      </c>
      <c r="K602" s="74">
        <f>J602*VLOOKUP(D602,GWPs!$B$3:$C$6,2,FALSE)</f>
        <v>0.22700000000000001</v>
      </c>
      <c r="M602" s="3">
        <v>3</v>
      </c>
      <c r="N602" s="3">
        <v>2</v>
      </c>
      <c r="O602" s="3">
        <v>1</v>
      </c>
      <c r="P602" s="3">
        <v>3</v>
      </c>
      <c r="Q602" s="3">
        <v>1</v>
      </c>
    </row>
    <row r="603" spans="1:17">
      <c r="A603" t="s">
        <v>1429</v>
      </c>
      <c r="B603" s="3" t="s">
        <v>609</v>
      </c>
      <c r="C603" s="3" t="s">
        <v>610</v>
      </c>
      <c r="D603" s="3" t="s">
        <v>13</v>
      </c>
      <c r="E603" s="3" t="s">
        <v>12</v>
      </c>
      <c r="F603" s="3">
        <v>1E-3</v>
      </c>
      <c r="G603" s="74">
        <f>F603*VLOOKUP(D603,GWPs!$B$3:$C$6,2,FALSE)</f>
        <v>2.8000000000000001E-2</v>
      </c>
      <c r="H603" s="3">
        <v>0</v>
      </c>
      <c r="I603" s="74">
        <f>H603*VLOOKUP(D603,GWPs!$B$3:$C$6,2,FALSE)</f>
        <v>0</v>
      </c>
      <c r="J603" s="3">
        <v>1E-3</v>
      </c>
      <c r="K603" s="74">
        <f>J603*VLOOKUP(D603,GWPs!$B$3:$C$6,2,FALSE)</f>
        <v>2.8000000000000001E-2</v>
      </c>
      <c r="M603" s="3">
        <v>4</v>
      </c>
      <c r="N603" s="3">
        <v>2</v>
      </c>
      <c r="O603" s="3">
        <v>1</v>
      </c>
      <c r="P603" s="3">
        <v>1</v>
      </c>
      <c r="Q603" s="3">
        <v>1</v>
      </c>
    </row>
    <row r="604" spans="1:17">
      <c r="A604" t="s">
        <v>1429</v>
      </c>
      <c r="B604" s="3" t="s">
        <v>609</v>
      </c>
      <c r="C604" s="3" t="s">
        <v>610</v>
      </c>
      <c r="D604" s="3" t="s">
        <v>14</v>
      </c>
      <c r="E604" s="3" t="s">
        <v>12</v>
      </c>
      <c r="F604" s="3">
        <v>0</v>
      </c>
      <c r="G604" s="74">
        <f>F604*VLOOKUP(D604,GWPs!$B$3:$C$6,2,FALSE)</f>
        <v>0</v>
      </c>
      <c r="H604" s="3">
        <v>0</v>
      </c>
      <c r="I604" s="74">
        <f>H604*VLOOKUP(D604,GWPs!$B$3:$C$6,2,FALSE)</f>
        <v>0</v>
      </c>
      <c r="J604" s="3">
        <v>0</v>
      </c>
      <c r="K604" s="74">
        <f>J604*VLOOKUP(D604,GWPs!$B$3:$C$6,2,FALSE)</f>
        <v>0</v>
      </c>
      <c r="M604" s="3">
        <v>3</v>
      </c>
      <c r="N604" s="3">
        <v>2</v>
      </c>
      <c r="O604" s="3">
        <v>1</v>
      </c>
      <c r="P604" s="3">
        <v>3</v>
      </c>
      <c r="Q604" s="3">
        <v>1</v>
      </c>
    </row>
    <row r="605" spans="1:17">
      <c r="A605" t="s">
        <v>1429</v>
      </c>
      <c r="B605" s="3" t="s">
        <v>609</v>
      </c>
      <c r="C605" s="3" t="s">
        <v>610</v>
      </c>
      <c r="D605" s="3" t="s">
        <v>15</v>
      </c>
      <c r="E605" s="3" t="s">
        <v>16</v>
      </c>
      <c r="F605" s="3">
        <v>8.0000000000000002E-3</v>
      </c>
      <c r="G605" s="74">
        <f>F605*VLOOKUP(D605,GWPs!$B$3:$C$6,2,FALSE)</f>
        <v>8.0000000000000002E-3</v>
      </c>
      <c r="H605" s="3">
        <v>0</v>
      </c>
      <c r="I605" s="74">
        <f>H605*VLOOKUP(D605,GWPs!$B$3:$C$6,2,FALSE)</f>
        <v>0</v>
      </c>
      <c r="J605" s="3">
        <v>8.0000000000000002E-3</v>
      </c>
      <c r="K605" s="74">
        <f>J605*VLOOKUP(D605,GWPs!$B$3:$C$6,2,FALSE)</f>
        <v>8.0000000000000002E-3</v>
      </c>
      <c r="M605" s="3">
        <v>3</v>
      </c>
      <c r="N605" s="3">
        <v>2</v>
      </c>
      <c r="O605" s="3">
        <v>1</v>
      </c>
      <c r="P605" s="3">
        <v>2</v>
      </c>
      <c r="Q605" s="3">
        <v>1</v>
      </c>
    </row>
    <row r="606" spans="1:17">
      <c r="A606" t="s">
        <v>1429</v>
      </c>
      <c r="B606" s="3" t="s">
        <v>611</v>
      </c>
      <c r="C606" s="3" t="s">
        <v>612</v>
      </c>
      <c r="D606" s="3" t="s">
        <v>11</v>
      </c>
      <c r="E606" s="3" t="s">
        <v>12</v>
      </c>
      <c r="F606" s="3">
        <v>2.9000000000000001E-2</v>
      </c>
      <c r="G606" s="74">
        <f>F606*VLOOKUP(D606,GWPs!$B$3:$C$6,2,FALSE)</f>
        <v>2.9000000000000001E-2</v>
      </c>
      <c r="H606" s="3">
        <v>3.0000000000000001E-3</v>
      </c>
      <c r="I606" s="74">
        <f>H606*VLOOKUP(D606,GWPs!$B$3:$C$6,2,FALSE)</f>
        <v>3.0000000000000001E-3</v>
      </c>
      <c r="J606" s="3">
        <v>3.2000000000000001E-2</v>
      </c>
      <c r="K606" s="74">
        <f>J606*VLOOKUP(D606,GWPs!$B$3:$C$6,2,FALSE)</f>
        <v>3.2000000000000001E-2</v>
      </c>
      <c r="M606" s="3">
        <v>3</v>
      </c>
      <c r="N606" s="3">
        <v>2</v>
      </c>
      <c r="O606" s="3">
        <v>1</v>
      </c>
      <c r="P606" s="3">
        <v>3</v>
      </c>
      <c r="Q606" s="3">
        <v>1</v>
      </c>
    </row>
    <row r="607" spans="1:17">
      <c r="A607" t="s">
        <v>1429</v>
      </c>
      <c r="B607" s="3" t="s">
        <v>611</v>
      </c>
      <c r="C607" s="3" t="s">
        <v>612</v>
      </c>
      <c r="D607" s="3" t="s">
        <v>13</v>
      </c>
      <c r="E607" s="3" t="s">
        <v>12</v>
      </c>
      <c r="F607" s="3">
        <v>0</v>
      </c>
      <c r="G607" s="74">
        <f>F607*VLOOKUP(D607,GWPs!$B$3:$C$6,2,FALSE)</f>
        <v>0</v>
      </c>
      <c r="H607" s="3">
        <v>0</v>
      </c>
      <c r="I607" s="74">
        <f>H607*VLOOKUP(D607,GWPs!$B$3:$C$6,2,FALSE)</f>
        <v>0</v>
      </c>
      <c r="J607" s="3">
        <v>0</v>
      </c>
      <c r="K607" s="74">
        <f>J607*VLOOKUP(D607,GWPs!$B$3:$C$6,2,FALSE)</f>
        <v>0</v>
      </c>
      <c r="M607" s="3">
        <v>4</v>
      </c>
      <c r="N607" s="3">
        <v>2</v>
      </c>
      <c r="O607" s="3">
        <v>1</v>
      </c>
      <c r="P607" s="3">
        <v>1</v>
      </c>
      <c r="Q607" s="3">
        <v>1</v>
      </c>
    </row>
    <row r="608" spans="1:17">
      <c r="A608" t="s">
        <v>1429</v>
      </c>
      <c r="B608" s="3" t="s">
        <v>611</v>
      </c>
      <c r="C608" s="3" t="s">
        <v>612</v>
      </c>
      <c r="D608" s="3" t="s">
        <v>14</v>
      </c>
      <c r="E608" s="3" t="s">
        <v>12</v>
      </c>
      <c r="F608" s="3">
        <v>0</v>
      </c>
      <c r="G608" s="74">
        <f>F608*VLOOKUP(D608,GWPs!$B$3:$C$6,2,FALSE)</f>
        <v>0</v>
      </c>
      <c r="H608" s="3">
        <v>0</v>
      </c>
      <c r="I608" s="74">
        <f>H608*VLOOKUP(D608,GWPs!$B$3:$C$6,2,FALSE)</f>
        <v>0</v>
      </c>
      <c r="J608" s="3">
        <v>0</v>
      </c>
      <c r="K608" s="74">
        <f>J608*VLOOKUP(D608,GWPs!$B$3:$C$6,2,FALSE)</f>
        <v>0</v>
      </c>
      <c r="M608" s="3">
        <v>3</v>
      </c>
      <c r="N608" s="3">
        <v>2</v>
      </c>
      <c r="O608" s="3">
        <v>1</v>
      </c>
      <c r="P608" s="3">
        <v>3</v>
      </c>
      <c r="Q608" s="3">
        <v>1</v>
      </c>
    </row>
    <row r="609" spans="1:17">
      <c r="A609" t="s">
        <v>1429</v>
      </c>
      <c r="B609" s="3" t="s">
        <v>611</v>
      </c>
      <c r="C609" s="3" t="s">
        <v>612</v>
      </c>
      <c r="D609" s="3" t="s">
        <v>15</v>
      </c>
      <c r="E609" s="3" t="s">
        <v>16</v>
      </c>
      <c r="F609" s="3">
        <v>8.9999999999999993E-3</v>
      </c>
      <c r="G609" s="74">
        <f>F609*VLOOKUP(D609,GWPs!$B$3:$C$6,2,FALSE)</f>
        <v>8.9999999999999993E-3</v>
      </c>
      <c r="H609" s="3">
        <v>0</v>
      </c>
      <c r="I609" s="74">
        <f>H609*VLOOKUP(D609,GWPs!$B$3:$C$6,2,FALSE)</f>
        <v>0</v>
      </c>
      <c r="J609" s="3">
        <v>8.9999999999999993E-3</v>
      </c>
      <c r="K609" s="74">
        <f>J609*VLOOKUP(D609,GWPs!$B$3:$C$6,2,FALSE)</f>
        <v>8.9999999999999993E-3</v>
      </c>
      <c r="M609" s="3">
        <v>3</v>
      </c>
      <c r="N609" s="3">
        <v>2</v>
      </c>
      <c r="O609" s="3">
        <v>1</v>
      </c>
      <c r="P609" s="3">
        <v>2</v>
      </c>
      <c r="Q609" s="3">
        <v>1</v>
      </c>
    </row>
    <row r="610" spans="1:17">
      <c r="A610" t="s">
        <v>1429</v>
      </c>
      <c r="B610" s="3" t="s">
        <v>613</v>
      </c>
      <c r="C610" s="3" t="s">
        <v>614</v>
      </c>
      <c r="D610" s="3" t="s">
        <v>11</v>
      </c>
      <c r="E610" s="3" t="s">
        <v>12</v>
      </c>
      <c r="F610" s="3">
        <v>2.7E-2</v>
      </c>
      <c r="G610" s="74">
        <f>F610*VLOOKUP(D610,GWPs!$B$3:$C$6,2,FALSE)</f>
        <v>2.7E-2</v>
      </c>
      <c r="H610" s="3">
        <v>2E-3</v>
      </c>
      <c r="I610" s="74">
        <f>H610*VLOOKUP(D610,GWPs!$B$3:$C$6,2,FALSE)</f>
        <v>2E-3</v>
      </c>
      <c r="J610" s="3">
        <v>2.9000000000000001E-2</v>
      </c>
      <c r="K610" s="74">
        <f>J610*VLOOKUP(D610,GWPs!$B$3:$C$6,2,FALSE)</f>
        <v>2.9000000000000001E-2</v>
      </c>
      <c r="M610" s="3">
        <v>3</v>
      </c>
      <c r="N610" s="3">
        <v>2</v>
      </c>
      <c r="O610" s="3">
        <v>1</v>
      </c>
      <c r="P610" s="3">
        <v>3</v>
      </c>
      <c r="Q610" s="3">
        <v>1</v>
      </c>
    </row>
    <row r="611" spans="1:17">
      <c r="A611" t="s">
        <v>1429</v>
      </c>
      <c r="B611" s="3" t="s">
        <v>613</v>
      </c>
      <c r="C611" s="3" t="s">
        <v>614</v>
      </c>
      <c r="D611" s="3" t="s">
        <v>13</v>
      </c>
      <c r="E611" s="3" t="s">
        <v>12</v>
      </c>
      <c r="F611" s="3">
        <v>0</v>
      </c>
      <c r="G611" s="74">
        <f>F611*VLOOKUP(D611,GWPs!$B$3:$C$6,2,FALSE)</f>
        <v>0</v>
      </c>
      <c r="H611" s="3">
        <v>0</v>
      </c>
      <c r="I611" s="74">
        <f>H611*VLOOKUP(D611,GWPs!$B$3:$C$6,2,FALSE)</f>
        <v>0</v>
      </c>
      <c r="J611" s="3">
        <v>0</v>
      </c>
      <c r="K611" s="74">
        <f>J611*VLOOKUP(D611,GWPs!$B$3:$C$6,2,FALSE)</f>
        <v>0</v>
      </c>
      <c r="M611" s="3">
        <v>4</v>
      </c>
      <c r="N611" s="3">
        <v>2</v>
      </c>
      <c r="O611" s="3">
        <v>1</v>
      </c>
      <c r="P611" s="3">
        <v>1</v>
      </c>
      <c r="Q611" s="3">
        <v>1</v>
      </c>
    </row>
    <row r="612" spans="1:17">
      <c r="A612" t="s">
        <v>1429</v>
      </c>
      <c r="B612" s="3" t="s">
        <v>613</v>
      </c>
      <c r="C612" s="3" t="s">
        <v>614</v>
      </c>
      <c r="D612" s="3" t="s">
        <v>14</v>
      </c>
      <c r="E612" s="3" t="s">
        <v>12</v>
      </c>
      <c r="F612" s="3">
        <v>0</v>
      </c>
      <c r="G612" s="74">
        <f>F612*VLOOKUP(D612,GWPs!$B$3:$C$6,2,FALSE)</f>
        <v>0</v>
      </c>
      <c r="H612" s="3">
        <v>0</v>
      </c>
      <c r="I612" s="74">
        <f>H612*VLOOKUP(D612,GWPs!$B$3:$C$6,2,FALSE)</f>
        <v>0</v>
      </c>
      <c r="J612" s="3">
        <v>0</v>
      </c>
      <c r="K612" s="74">
        <f>J612*VLOOKUP(D612,GWPs!$B$3:$C$6,2,FALSE)</f>
        <v>0</v>
      </c>
      <c r="M612" s="3">
        <v>3</v>
      </c>
      <c r="N612" s="3">
        <v>2</v>
      </c>
      <c r="O612" s="3">
        <v>1</v>
      </c>
      <c r="P612" s="3">
        <v>3</v>
      </c>
      <c r="Q612" s="3">
        <v>1</v>
      </c>
    </row>
    <row r="613" spans="1:17">
      <c r="A613" t="s">
        <v>1429</v>
      </c>
      <c r="B613" s="3" t="s">
        <v>613</v>
      </c>
      <c r="C613" s="3" t="s">
        <v>614</v>
      </c>
      <c r="D613" s="3" t="s">
        <v>15</v>
      </c>
      <c r="E613" s="3" t="s">
        <v>16</v>
      </c>
      <c r="F613" s="3">
        <v>7.0000000000000001E-3</v>
      </c>
      <c r="G613" s="74">
        <f>F613*VLOOKUP(D613,GWPs!$B$3:$C$6,2,FALSE)</f>
        <v>7.0000000000000001E-3</v>
      </c>
      <c r="H613" s="3">
        <v>0</v>
      </c>
      <c r="I613" s="74">
        <f>H613*VLOOKUP(D613,GWPs!$B$3:$C$6,2,FALSE)</f>
        <v>0</v>
      </c>
      <c r="J613" s="3">
        <v>7.0000000000000001E-3</v>
      </c>
      <c r="K613" s="74">
        <f>J613*VLOOKUP(D613,GWPs!$B$3:$C$6,2,FALSE)</f>
        <v>7.0000000000000001E-3</v>
      </c>
      <c r="M613" s="3">
        <v>3</v>
      </c>
      <c r="N613" s="3">
        <v>2</v>
      </c>
      <c r="O613" s="3">
        <v>1</v>
      </c>
      <c r="P613" s="3">
        <v>2</v>
      </c>
      <c r="Q613" s="3">
        <v>1</v>
      </c>
    </row>
    <row r="614" spans="1:17">
      <c r="A614" t="s">
        <v>1429</v>
      </c>
      <c r="B614" s="3" t="s">
        <v>615</v>
      </c>
      <c r="C614" s="3" t="s">
        <v>616</v>
      </c>
      <c r="D614" s="3" t="s">
        <v>11</v>
      </c>
      <c r="E614" s="3" t="s">
        <v>12</v>
      </c>
      <c r="F614" s="3">
        <v>0.27400000000000002</v>
      </c>
      <c r="G614" s="74">
        <f>F614*VLOOKUP(D614,GWPs!$B$3:$C$6,2,FALSE)</f>
        <v>0.27400000000000002</v>
      </c>
      <c r="H614" s="3">
        <v>3.5000000000000003E-2</v>
      </c>
      <c r="I614" s="74">
        <f>H614*VLOOKUP(D614,GWPs!$B$3:$C$6,2,FALSE)</f>
        <v>3.5000000000000003E-2</v>
      </c>
      <c r="J614" s="3">
        <v>0.31</v>
      </c>
      <c r="K614" s="74">
        <f>J614*VLOOKUP(D614,GWPs!$B$3:$C$6,2,FALSE)</f>
        <v>0.31</v>
      </c>
      <c r="M614" s="3">
        <v>3</v>
      </c>
      <c r="N614" s="3">
        <v>2</v>
      </c>
      <c r="O614" s="3">
        <v>1</v>
      </c>
      <c r="P614" s="3">
        <v>3</v>
      </c>
      <c r="Q614" s="3">
        <v>1</v>
      </c>
    </row>
    <row r="615" spans="1:17">
      <c r="A615" t="s">
        <v>1429</v>
      </c>
      <c r="B615" s="3" t="s">
        <v>615</v>
      </c>
      <c r="C615" s="3" t="s">
        <v>616</v>
      </c>
      <c r="D615" s="3" t="s">
        <v>13</v>
      </c>
      <c r="E615" s="3" t="s">
        <v>12</v>
      </c>
      <c r="F615" s="3">
        <v>1E-3</v>
      </c>
      <c r="G615" s="74">
        <f>F615*VLOOKUP(D615,GWPs!$B$3:$C$6,2,FALSE)</f>
        <v>2.8000000000000001E-2</v>
      </c>
      <c r="H615" s="3">
        <v>0</v>
      </c>
      <c r="I615" s="74">
        <f>H615*VLOOKUP(D615,GWPs!$B$3:$C$6,2,FALSE)</f>
        <v>0</v>
      </c>
      <c r="J615" s="3">
        <v>1E-3</v>
      </c>
      <c r="K615" s="74">
        <f>J615*VLOOKUP(D615,GWPs!$B$3:$C$6,2,FALSE)</f>
        <v>2.8000000000000001E-2</v>
      </c>
      <c r="M615" s="3">
        <v>4</v>
      </c>
      <c r="N615" s="3">
        <v>2</v>
      </c>
      <c r="O615" s="3">
        <v>1</v>
      </c>
      <c r="P615" s="3">
        <v>1</v>
      </c>
      <c r="Q615" s="3">
        <v>1</v>
      </c>
    </row>
    <row r="616" spans="1:17">
      <c r="A616" t="s">
        <v>1429</v>
      </c>
      <c r="B616" s="3" t="s">
        <v>615</v>
      </c>
      <c r="C616" s="3" t="s">
        <v>616</v>
      </c>
      <c r="D616" s="3" t="s">
        <v>14</v>
      </c>
      <c r="E616" s="3" t="s">
        <v>12</v>
      </c>
      <c r="F616" s="3">
        <v>0</v>
      </c>
      <c r="G616" s="74">
        <f>F616*VLOOKUP(D616,GWPs!$B$3:$C$6,2,FALSE)</f>
        <v>0</v>
      </c>
      <c r="H616" s="3">
        <v>0</v>
      </c>
      <c r="I616" s="74">
        <f>H616*VLOOKUP(D616,GWPs!$B$3:$C$6,2,FALSE)</f>
        <v>0</v>
      </c>
      <c r="J616" s="3">
        <v>0</v>
      </c>
      <c r="K616" s="74">
        <f>J616*VLOOKUP(D616,GWPs!$B$3:$C$6,2,FALSE)</f>
        <v>0</v>
      </c>
      <c r="M616" s="3">
        <v>3</v>
      </c>
      <c r="N616" s="3">
        <v>2</v>
      </c>
      <c r="O616" s="3">
        <v>1</v>
      </c>
      <c r="P616" s="3">
        <v>3</v>
      </c>
      <c r="Q616" s="3">
        <v>1</v>
      </c>
    </row>
    <row r="617" spans="1:17">
      <c r="A617" t="s">
        <v>1429</v>
      </c>
      <c r="B617" s="3" t="s">
        <v>615</v>
      </c>
      <c r="C617" s="3" t="s">
        <v>616</v>
      </c>
      <c r="D617" s="3" t="s">
        <v>15</v>
      </c>
      <c r="E617" s="3" t="s">
        <v>16</v>
      </c>
      <c r="F617" s="3">
        <v>8.0000000000000002E-3</v>
      </c>
      <c r="G617" s="74">
        <f>F617*VLOOKUP(D617,GWPs!$B$3:$C$6,2,FALSE)</f>
        <v>8.0000000000000002E-3</v>
      </c>
      <c r="H617" s="3">
        <v>0</v>
      </c>
      <c r="I617" s="74">
        <f>H617*VLOOKUP(D617,GWPs!$B$3:$C$6,2,FALSE)</f>
        <v>0</v>
      </c>
      <c r="J617" s="3">
        <v>8.0000000000000002E-3</v>
      </c>
      <c r="K617" s="74">
        <f>J617*VLOOKUP(D617,GWPs!$B$3:$C$6,2,FALSE)</f>
        <v>8.0000000000000002E-3</v>
      </c>
      <c r="M617" s="3">
        <v>3</v>
      </c>
      <c r="N617" s="3">
        <v>2</v>
      </c>
      <c r="O617" s="3">
        <v>1</v>
      </c>
      <c r="P617" s="3">
        <v>2</v>
      </c>
      <c r="Q617" s="3">
        <v>1</v>
      </c>
    </row>
    <row r="618" spans="1:17">
      <c r="A618" t="s">
        <v>1429</v>
      </c>
      <c r="B618" s="3" t="s">
        <v>617</v>
      </c>
      <c r="C618" s="3" t="s">
        <v>618</v>
      </c>
      <c r="D618" s="3" t="s">
        <v>11</v>
      </c>
      <c r="E618" s="3" t="s">
        <v>12</v>
      </c>
      <c r="F618" s="3">
        <v>0.35799999999999998</v>
      </c>
      <c r="G618" s="74">
        <f>F618*VLOOKUP(D618,GWPs!$B$3:$C$6,2,FALSE)</f>
        <v>0.35799999999999998</v>
      </c>
      <c r="H618" s="3">
        <v>1.0999999999999999E-2</v>
      </c>
      <c r="I618" s="74">
        <f>H618*VLOOKUP(D618,GWPs!$B$3:$C$6,2,FALSE)</f>
        <v>1.0999999999999999E-2</v>
      </c>
      <c r="J618" s="3">
        <v>0.36899999999999999</v>
      </c>
      <c r="K618" s="74">
        <f>J618*VLOOKUP(D618,GWPs!$B$3:$C$6,2,FALSE)</f>
        <v>0.36899999999999999</v>
      </c>
      <c r="M618" s="3">
        <v>3</v>
      </c>
      <c r="N618" s="3">
        <v>2</v>
      </c>
      <c r="O618" s="3">
        <v>1</v>
      </c>
      <c r="P618" s="3">
        <v>3</v>
      </c>
      <c r="Q618" s="3">
        <v>1</v>
      </c>
    </row>
    <row r="619" spans="1:17">
      <c r="A619" t="s">
        <v>1429</v>
      </c>
      <c r="B619" s="3" t="s">
        <v>617</v>
      </c>
      <c r="C619" s="3" t="s">
        <v>618</v>
      </c>
      <c r="D619" s="3" t="s">
        <v>13</v>
      </c>
      <c r="E619" s="3" t="s">
        <v>12</v>
      </c>
      <c r="F619" s="3">
        <v>1E-3</v>
      </c>
      <c r="G619" s="74">
        <f>F619*VLOOKUP(D619,GWPs!$B$3:$C$6,2,FALSE)</f>
        <v>2.8000000000000001E-2</v>
      </c>
      <c r="H619" s="3">
        <v>0</v>
      </c>
      <c r="I619" s="74">
        <f>H619*VLOOKUP(D619,GWPs!$B$3:$C$6,2,FALSE)</f>
        <v>0</v>
      </c>
      <c r="J619" s="3">
        <v>1E-3</v>
      </c>
      <c r="K619" s="74">
        <f>J619*VLOOKUP(D619,GWPs!$B$3:$C$6,2,FALSE)</f>
        <v>2.8000000000000001E-2</v>
      </c>
      <c r="M619" s="3">
        <v>4</v>
      </c>
      <c r="N619" s="3">
        <v>2</v>
      </c>
      <c r="O619" s="3">
        <v>1</v>
      </c>
      <c r="P619" s="3">
        <v>1</v>
      </c>
      <c r="Q619" s="3">
        <v>1</v>
      </c>
    </row>
    <row r="620" spans="1:17">
      <c r="A620" t="s">
        <v>1429</v>
      </c>
      <c r="B620" s="3" t="s">
        <v>617</v>
      </c>
      <c r="C620" s="3" t="s">
        <v>618</v>
      </c>
      <c r="D620" s="3" t="s">
        <v>14</v>
      </c>
      <c r="E620" s="3" t="s">
        <v>12</v>
      </c>
      <c r="F620" s="3">
        <v>0</v>
      </c>
      <c r="G620" s="74">
        <f>F620*VLOOKUP(D620,GWPs!$B$3:$C$6,2,FALSE)</f>
        <v>0</v>
      </c>
      <c r="H620" s="3">
        <v>0</v>
      </c>
      <c r="I620" s="74">
        <f>H620*VLOOKUP(D620,GWPs!$B$3:$C$6,2,FALSE)</f>
        <v>0</v>
      </c>
      <c r="J620" s="3">
        <v>0</v>
      </c>
      <c r="K620" s="74">
        <f>J620*VLOOKUP(D620,GWPs!$B$3:$C$6,2,FALSE)</f>
        <v>0</v>
      </c>
      <c r="M620" s="3">
        <v>3</v>
      </c>
      <c r="N620" s="3">
        <v>2</v>
      </c>
      <c r="O620" s="3">
        <v>1</v>
      </c>
      <c r="P620" s="3">
        <v>3</v>
      </c>
      <c r="Q620" s="3">
        <v>1</v>
      </c>
    </row>
    <row r="621" spans="1:17">
      <c r="A621" t="s">
        <v>1429</v>
      </c>
      <c r="B621" s="3" t="s">
        <v>617</v>
      </c>
      <c r="C621" s="3" t="s">
        <v>618</v>
      </c>
      <c r="D621" s="3" t="s">
        <v>15</v>
      </c>
      <c r="E621" s="3" t="s">
        <v>16</v>
      </c>
      <c r="F621" s="3">
        <v>7.0000000000000001E-3</v>
      </c>
      <c r="G621" s="74">
        <f>F621*VLOOKUP(D621,GWPs!$B$3:$C$6,2,FALSE)</f>
        <v>7.0000000000000001E-3</v>
      </c>
      <c r="H621" s="3">
        <v>0</v>
      </c>
      <c r="I621" s="74">
        <f>H621*VLOOKUP(D621,GWPs!$B$3:$C$6,2,FALSE)</f>
        <v>0</v>
      </c>
      <c r="J621" s="3">
        <v>7.0000000000000001E-3</v>
      </c>
      <c r="K621" s="74">
        <f>J621*VLOOKUP(D621,GWPs!$B$3:$C$6,2,FALSE)</f>
        <v>7.0000000000000001E-3</v>
      </c>
      <c r="M621" s="3">
        <v>3</v>
      </c>
      <c r="N621" s="3">
        <v>2</v>
      </c>
      <c r="O621" s="3">
        <v>1</v>
      </c>
      <c r="P621" s="3">
        <v>2</v>
      </c>
      <c r="Q621" s="3">
        <v>1</v>
      </c>
    </row>
    <row r="622" spans="1:17">
      <c r="A622" t="s">
        <v>1429</v>
      </c>
      <c r="B622" s="3" t="s">
        <v>619</v>
      </c>
      <c r="C622" s="3" t="s">
        <v>620</v>
      </c>
      <c r="D622" s="3" t="s">
        <v>11</v>
      </c>
      <c r="E622" s="3" t="s">
        <v>12</v>
      </c>
      <c r="F622" s="3">
        <v>0.19500000000000001</v>
      </c>
      <c r="G622" s="74">
        <f>F622*VLOOKUP(D622,GWPs!$B$3:$C$6,2,FALSE)</f>
        <v>0.19500000000000001</v>
      </c>
      <c r="H622" s="3">
        <v>0.112</v>
      </c>
      <c r="I622" s="74">
        <f>H622*VLOOKUP(D622,GWPs!$B$3:$C$6,2,FALSE)</f>
        <v>0.112</v>
      </c>
      <c r="J622" s="3">
        <v>0.307</v>
      </c>
      <c r="K622" s="74">
        <f>J622*VLOOKUP(D622,GWPs!$B$3:$C$6,2,FALSE)</f>
        <v>0.307</v>
      </c>
      <c r="M622" s="3">
        <v>3</v>
      </c>
      <c r="N622" s="3">
        <v>2</v>
      </c>
      <c r="O622" s="3">
        <v>1</v>
      </c>
      <c r="P622" s="3">
        <v>3</v>
      </c>
      <c r="Q622" s="3">
        <v>1</v>
      </c>
    </row>
    <row r="623" spans="1:17">
      <c r="A623" t="s">
        <v>1429</v>
      </c>
      <c r="B623" s="3" t="s">
        <v>619</v>
      </c>
      <c r="C623" s="3" t="s">
        <v>620</v>
      </c>
      <c r="D623" s="3" t="s">
        <v>13</v>
      </c>
      <c r="E623" s="3" t="s">
        <v>12</v>
      </c>
      <c r="F623" s="3">
        <v>1E-3</v>
      </c>
      <c r="G623" s="74">
        <f>F623*VLOOKUP(D623,GWPs!$B$3:$C$6,2,FALSE)</f>
        <v>2.8000000000000001E-2</v>
      </c>
      <c r="H623" s="3">
        <v>1E-3</v>
      </c>
      <c r="I623" s="74">
        <f>H623*VLOOKUP(D623,GWPs!$B$3:$C$6,2,FALSE)</f>
        <v>2.8000000000000001E-2</v>
      </c>
      <c r="J623" s="3">
        <v>1E-3</v>
      </c>
      <c r="K623" s="74">
        <f>J623*VLOOKUP(D623,GWPs!$B$3:$C$6,2,FALSE)</f>
        <v>2.8000000000000001E-2</v>
      </c>
      <c r="M623" s="3">
        <v>4</v>
      </c>
      <c r="N623" s="3">
        <v>2</v>
      </c>
      <c r="O623" s="3">
        <v>1</v>
      </c>
      <c r="P623" s="3">
        <v>1</v>
      </c>
      <c r="Q623" s="3">
        <v>1</v>
      </c>
    </row>
    <row r="624" spans="1:17">
      <c r="A624" t="s">
        <v>1429</v>
      </c>
      <c r="B624" s="3" t="s">
        <v>619</v>
      </c>
      <c r="C624" s="3" t="s">
        <v>620</v>
      </c>
      <c r="D624" s="3" t="s">
        <v>14</v>
      </c>
      <c r="E624" s="3" t="s">
        <v>12</v>
      </c>
      <c r="F624" s="3">
        <v>0</v>
      </c>
      <c r="G624" s="74">
        <f>F624*VLOOKUP(D624,GWPs!$B$3:$C$6,2,FALSE)</f>
        <v>0</v>
      </c>
      <c r="H624" s="3">
        <v>0</v>
      </c>
      <c r="I624" s="74">
        <f>H624*VLOOKUP(D624,GWPs!$B$3:$C$6,2,FALSE)</f>
        <v>0</v>
      </c>
      <c r="J624" s="3">
        <v>0</v>
      </c>
      <c r="K624" s="74">
        <f>J624*VLOOKUP(D624,GWPs!$B$3:$C$6,2,FALSE)</f>
        <v>0</v>
      </c>
      <c r="M624" s="3">
        <v>3</v>
      </c>
      <c r="N624" s="3">
        <v>2</v>
      </c>
      <c r="O624" s="3">
        <v>1</v>
      </c>
      <c r="P624" s="3">
        <v>3</v>
      </c>
      <c r="Q624" s="3">
        <v>1</v>
      </c>
    </row>
    <row r="625" spans="1:17">
      <c r="A625" t="s">
        <v>1429</v>
      </c>
      <c r="B625" s="3" t="s">
        <v>619</v>
      </c>
      <c r="C625" s="3" t="s">
        <v>620</v>
      </c>
      <c r="D625" s="3" t="s">
        <v>15</v>
      </c>
      <c r="E625" s="3" t="s">
        <v>16</v>
      </c>
      <c r="F625" s="3">
        <v>8.9999999999999993E-3</v>
      </c>
      <c r="G625" s="74">
        <f>F625*VLOOKUP(D625,GWPs!$B$3:$C$6,2,FALSE)</f>
        <v>8.9999999999999993E-3</v>
      </c>
      <c r="H625" s="3">
        <v>0</v>
      </c>
      <c r="I625" s="74">
        <f>H625*VLOOKUP(D625,GWPs!$B$3:$C$6,2,FALSE)</f>
        <v>0</v>
      </c>
      <c r="J625" s="3">
        <v>8.9999999999999993E-3</v>
      </c>
      <c r="K625" s="74">
        <f>J625*VLOOKUP(D625,GWPs!$B$3:$C$6,2,FALSE)</f>
        <v>8.9999999999999993E-3</v>
      </c>
      <c r="M625" s="3">
        <v>3</v>
      </c>
      <c r="N625" s="3">
        <v>2</v>
      </c>
      <c r="O625" s="3">
        <v>1</v>
      </c>
      <c r="P625" s="3">
        <v>2</v>
      </c>
      <c r="Q625" s="3">
        <v>1</v>
      </c>
    </row>
    <row r="626" spans="1:17">
      <c r="A626" t="s">
        <v>1429</v>
      </c>
      <c r="B626" s="3" t="s">
        <v>621</v>
      </c>
      <c r="C626" s="3" t="s">
        <v>622</v>
      </c>
      <c r="D626" s="3" t="s">
        <v>11</v>
      </c>
      <c r="E626" s="3" t="s">
        <v>12</v>
      </c>
      <c r="F626" s="3">
        <v>0.16900000000000001</v>
      </c>
      <c r="G626" s="74">
        <f>F626*VLOOKUP(D626,GWPs!$B$3:$C$6,2,FALSE)</f>
        <v>0.16900000000000001</v>
      </c>
      <c r="H626" s="3">
        <v>4.8000000000000001E-2</v>
      </c>
      <c r="I626" s="74">
        <f>H626*VLOOKUP(D626,GWPs!$B$3:$C$6,2,FALSE)</f>
        <v>4.8000000000000001E-2</v>
      </c>
      <c r="J626" s="3">
        <v>0.217</v>
      </c>
      <c r="K626" s="74">
        <f>J626*VLOOKUP(D626,GWPs!$B$3:$C$6,2,FALSE)</f>
        <v>0.217</v>
      </c>
      <c r="M626" s="3">
        <v>3</v>
      </c>
      <c r="N626" s="3">
        <v>2</v>
      </c>
      <c r="O626" s="3">
        <v>1</v>
      </c>
      <c r="P626" s="3">
        <v>3</v>
      </c>
      <c r="Q626" s="3">
        <v>1</v>
      </c>
    </row>
    <row r="627" spans="1:17">
      <c r="A627" t="s">
        <v>1429</v>
      </c>
      <c r="B627" s="3" t="s">
        <v>621</v>
      </c>
      <c r="C627" s="3" t="s">
        <v>622</v>
      </c>
      <c r="D627" s="3" t="s">
        <v>13</v>
      </c>
      <c r="E627" s="3" t="s">
        <v>12</v>
      </c>
      <c r="F627" s="3">
        <v>1E-3</v>
      </c>
      <c r="G627" s="74">
        <f>F627*VLOOKUP(D627,GWPs!$B$3:$C$6,2,FALSE)</f>
        <v>2.8000000000000001E-2</v>
      </c>
      <c r="H627" s="3">
        <v>0</v>
      </c>
      <c r="I627" s="74">
        <f>H627*VLOOKUP(D627,GWPs!$B$3:$C$6,2,FALSE)</f>
        <v>0</v>
      </c>
      <c r="J627" s="3">
        <v>1E-3</v>
      </c>
      <c r="K627" s="74">
        <f>J627*VLOOKUP(D627,GWPs!$B$3:$C$6,2,FALSE)</f>
        <v>2.8000000000000001E-2</v>
      </c>
      <c r="M627" s="3">
        <v>4</v>
      </c>
      <c r="N627" s="3">
        <v>2</v>
      </c>
      <c r="O627" s="3">
        <v>1</v>
      </c>
      <c r="P627" s="3">
        <v>1</v>
      </c>
      <c r="Q627" s="3">
        <v>1</v>
      </c>
    </row>
    <row r="628" spans="1:17">
      <c r="A628" t="s">
        <v>1429</v>
      </c>
      <c r="B628" s="3" t="s">
        <v>621</v>
      </c>
      <c r="C628" s="3" t="s">
        <v>622</v>
      </c>
      <c r="D628" s="3" t="s">
        <v>14</v>
      </c>
      <c r="E628" s="3" t="s">
        <v>12</v>
      </c>
      <c r="F628" s="3">
        <v>0</v>
      </c>
      <c r="G628" s="74">
        <f>F628*VLOOKUP(D628,GWPs!$B$3:$C$6,2,FALSE)</f>
        <v>0</v>
      </c>
      <c r="H628" s="3">
        <v>0</v>
      </c>
      <c r="I628" s="74">
        <f>H628*VLOOKUP(D628,GWPs!$B$3:$C$6,2,FALSE)</f>
        <v>0</v>
      </c>
      <c r="J628" s="3">
        <v>0</v>
      </c>
      <c r="K628" s="74">
        <f>J628*VLOOKUP(D628,GWPs!$B$3:$C$6,2,FALSE)</f>
        <v>0</v>
      </c>
      <c r="M628" s="3">
        <v>3</v>
      </c>
      <c r="N628" s="3">
        <v>2</v>
      </c>
      <c r="O628" s="3">
        <v>1</v>
      </c>
      <c r="P628" s="3">
        <v>3</v>
      </c>
      <c r="Q628" s="3">
        <v>1</v>
      </c>
    </row>
    <row r="629" spans="1:17">
      <c r="A629" t="s">
        <v>1429</v>
      </c>
      <c r="B629" s="3" t="s">
        <v>621</v>
      </c>
      <c r="C629" s="3" t="s">
        <v>622</v>
      </c>
      <c r="D629" s="3" t="s">
        <v>15</v>
      </c>
      <c r="E629" s="3" t="s">
        <v>16</v>
      </c>
      <c r="F629" s="3">
        <v>8.0000000000000002E-3</v>
      </c>
      <c r="G629" s="74">
        <f>F629*VLOOKUP(D629,GWPs!$B$3:$C$6,2,FALSE)</f>
        <v>8.0000000000000002E-3</v>
      </c>
      <c r="H629" s="3">
        <v>0</v>
      </c>
      <c r="I629" s="74">
        <f>H629*VLOOKUP(D629,GWPs!$B$3:$C$6,2,FALSE)</f>
        <v>0</v>
      </c>
      <c r="J629" s="3">
        <v>8.0000000000000002E-3</v>
      </c>
      <c r="K629" s="74">
        <f>J629*VLOOKUP(D629,GWPs!$B$3:$C$6,2,FALSE)</f>
        <v>8.0000000000000002E-3</v>
      </c>
      <c r="M629" s="3">
        <v>3</v>
      </c>
      <c r="N629" s="3">
        <v>2</v>
      </c>
      <c r="O629" s="3">
        <v>1</v>
      </c>
      <c r="P629" s="3">
        <v>2</v>
      </c>
      <c r="Q629" s="3">
        <v>1</v>
      </c>
    </row>
    <row r="630" spans="1:17">
      <c r="A630" t="s">
        <v>1429</v>
      </c>
      <c r="B630" s="3" t="s">
        <v>623</v>
      </c>
      <c r="C630" s="3" t="s">
        <v>624</v>
      </c>
      <c r="D630" s="3" t="s">
        <v>11</v>
      </c>
      <c r="E630" s="3" t="s">
        <v>12</v>
      </c>
      <c r="F630" s="3">
        <v>0.27</v>
      </c>
      <c r="G630" s="74">
        <f>F630*VLOOKUP(D630,GWPs!$B$3:$C$6,2,FALSE)</f>
        <v>0.27</v>
      </c>
      <c r="H630" s="3">
        <v>5.3999999999999999E-2</v>
      </c>
      <c r="I630" s="74">
        <f>H630*VLOOKUP(D630,GWPs!$B$3:$C$6,2,FALSE)</f>
        <v>5.3999999999999999E-2</v>
      </c>
      <c r="J630" s="3">
        <v>0.32400000000000001</v>
      </c>
      <c r="K630" s="74">
        <f>J630*VLOOKUP(D630,GWPs!$B$3:$C$6,2,FALSE)</f>
        <v>0.32400000000000001</v>
      </c>
      <c r="M630" s="3">
        <v>3</v>
      </c>
      <c r="N630" s="3">
        <v>2</v>
      </c>
      <c r="O630" s="3">
        <v>1</v>
      </c>
      <c r="P630" s="3">
        <v>3</v>
      </c>
      <c r="Q630" s="3">
        <v>1</v>
      </c>
    </row>
    <row r="631" spans="1:17">
      <c r="A631" t="s">
        <v>1429</v>
      </c>
      <c r="B631" s="3" t="s">
        <v>623</v>
      </c>
      <c r="C631" s="3" t="s">
        <v>624</v>
      </c>
      <c r="D631" s="3" t="s">
        <v>13</v>
      </c>
      <c r="E631" s="3" t="s">
        <v>12</v>
      </c>
      <c r="F631" s="3">
        <v>1E-3</v>
      </c>
      <c r="G631" s="74">
        <f>F631*VLOOKUP(D631,GWPs!$B$3:$C$6,2,FALSE)</f>
        <v>2.8000000000000001E-2</v>
      </c>
      <c r="H631" s="3">
        <v>0</v>
      </c>
      <c r="I631" s="74">
        <f>H631*VLOOKUP(D631,GWPs!$B$3:$C$6,2,FALSE)</f>
        <v>0</v>
      </c>
      <c r="J631" s="3">
        <v>1E-3</v>
      </c>
      <c r="K631" s="74">
        <f>J631*VLOOKUP(D631,GWPs!$B$3:$C$6,2,FALSE)</f>
        <v>2.8000000000000001E-2</v>
      </c>
      <c r="M631" s="3">
        <v>4</v>
      </c>
      <c r="N631" s="3">
        <v>2</v>
      </c>
      <c r="O631" s="3">
        <v>1</v>
      </c>
      <c r="P631" s="3">
        <v>1</v>
      </c>
      <c r="Q631" s="3">
        <v>1</v>
      </c>
    </row>
    <row r="632" spans="1:17">
      <c r="A632" t="s">
        <v>1429</v>
      </c>
      <c r="B632" s="3" t="s">
        <v>623</v>
      </c>
      <c r="C632" s="3" t="s">
        <v>624</v>
      </c>
      <c r="D632" s="3" t="s">
        <v>14</v>
      </c>
      <c r="E632" s="3" t="s">
        <v>12</v>
      </c>
      <c r="F632" s="3">
        <v>0</v>
      </c>
      <c r="G632" s="74">
        <f>F632*VLOOKUP(D632,GWPs!$B$3:$C$6,2,FALSE)</f>
        <v>0</v>
      </c>
      <c r="H632" s="3">
        <v>0</v>
      </c>
      <c r="I632" s="74">
        <f>H632*VLOOKUP(D632,GWPs!$B$3:$C$6,2,FALSE)</f>
        <v>0</v>
      </c>
      <c r="J632" s="3">
        <v>0</v>
      </c>
      <c r="K632" s="74">
        <f>J632*VLOOKUP(D632,GWPs!$B$3:$C$6,2,FALSE)</f>
        <v>0</v>
      </c>
      <c r="M632" s="3">
        <v>3</v>
      </c>
      <c r="N632" s="3">
        <v>2</v>
      </c>
      <c r="O632" s="3">
        <v>1</v>
      </c>
      <c r="P632" s="3">
        <v>2</v>
      </c>
      <c r="Q632" s="3">
        <v>1</v>
      </c>
    </row>
    <row r="633" spans="1:17">
      <c r="A633" t="s">
        <v>1429</v>
      </c>
      <c r="B633" s="3" t="s">
        <v>623</v>
      </c>
      <c r="C633" s="3" t="s">
        <v>624</v>
      </c>
      <c r="D633" s="3" t="s">
        <v>15</v>
      </c>
      <c r="E633" s="3" t="s">
        <v>16</v>
      </c>
      <c r="F633" s="3">
        <v>5.0000000000000001E-3</v>
      </c>
      <c r="G633" s="74">
        <f>F633*VLOOKUP(D633,GWPs!$B$3:$C$6,2,FALSE)</f>
        <v>5.0000000000000001E-3</v>
      </c>
      <c r="H633" s="3">
        <v>0</v>
      </c>
      <c r="I633" s="74">
        <f>H633*VLOOKUP(D633,GWPs!$B$3:$C$6,2,FALSE)</f>
        <v>0</v>
      </c>
      <c r="J633" s="3">
        <v>5.0000000000000001E-3</v>
      </c>
      <c r="K633" s="74">
        <f>J633*VLOOKUP(D633,GWPs!$B$3:$C$6,2,FALSE)</f>
        <v>5.0000000000000001E-3</v>
      </c>
      <c r="M633" s="3">
        <v>3</v>
      </c>
      <c r="N633" s="3">
        <v>2</v>
      </c>
      <c r="O633" s="3">
        <v>1</v>
      </c>
      <c r="P633" s="3">
        <v>2</v>
      </c>
      <c r="Q633" s="3">
        <v>1</v>
      </c>
    </row>
    <row r="634" spans="1:17">
      <c r="A634" t="s">
        <v>1429</v>
      </c>
      <c r="B634" s="3" t="s">
        <v>625</v>
      </c>
      <c r="C634" s="3" t="s">
        <v>626</v>
      </c>
      <c r="D634" s="3" t="s">
        <v>11</v>
      </c>
      <c r="E634" s="3" t="s">
        <v>12</v>
      </c>
      <c r="F634" s="3">
        <v>0.29599999999999999</v>
      </c>
      <c r="G634" s="74">
        <f>F634*VLOOKUP(D634,GWPs!$B$3:$C$6,2,FALSE)</f>
        <v>0.29599999999999999</v>
      </c>
      <c r="H634" s="3">
        <v>3.2000000000000001E-2</v>
      </c>
      <c r="I634" s="74">
        <f>H634*VLOOKUP(D634,GWPs!$B$3:$C$6,2,FALSE)</f>
        <v>3.2000000000000001E-2</v>
      </c>
      <c r="J634" s="3">
        <v>0.32800000000000001</v>
      </c>
      <c r="K634" s="74">
        <f>J634*VLOOKUP(D634,GWPs!$B$3:$C$6,2,FALSE)</f>
        <v>0.32800000000000001</v>
      </c>
      <c r="M634" s="3">
        <v>3</v>
      </c>
      <c r="N634" s="3">
        <v>2</v>
      </c>
      <c r="O634" s="3">
        <v>1</v>
      </c>
      <c r="P634" s="3">
        <v>3</v>
      </c>
      <c r="Q634" s="3">
        <v>1</v>
      </c>
    </row>
    <row r="635" spans="1:17">
      <c r="A635" t="s">
        <v>1429</v>
      </c>
      <c r="B635" s="3" t="s">
        <v>625</v>
      </c>
      <c r="C635" s="3" t="s">
        <v>626</v>
      </c>
      <c r="D635" s="3" t="s">
        <v>13</v>
      </c>
      <c r="E635" s="3" t="s">
        <v>12</v>
      </c>
      <c r="F635" s="3">
        <v>1E-3</v>
      </c>
      <c r="G635" s="74">
        <f>F635*VLOOKUP(D635,GWPs!$B$3:$C$6,2,FALSE)</f>
        <v>2.8000000000000001E-2</v>
      </c>
      <c r="H635" s="3">
        <v>0</v>
      </c>
      <c r="I635" s="74">
        <f>H635*VLOOKUP(D635,GWPs!$B$3:$C$6,2,FALSE)</f>
        <v>0</v>
      </c>
      <c r="J635" s="3">
        <v>2E-3</v>
      </c>
      <c r="K635" s="74">
        <f>J635*VLOOKUP(D635,GWPs!$B$3:$C$6,2,FALSE)</f>
        <v>5.6000000000000001E-2</v>
      </c>
      <c r="M635" s="3">
        <v>4</v>
      </c>
      <c r="N635" s="3">
        <v>2</v>
      </c>
      <c r="O635" s="3">
        <v>1</v>
      </c>
      <c r="P635" s="3">
        <v>1</v>
      </c>
      <c r="Q635" s="3">
        <v>1</v>
      </c>
    </row>
    <row r="636" spans="1:17">
      <c r="A636" t="s">
        <v>1429</v>
      </c>
      <c r="B636" s="3" t="s">
        <v>625</v>
      </c>
      <c r="C636" s="3" t="s">
        <v>626</v>
      </c>
      <c r="D636" s="3" t="s">
        <v>14</v>
      </c>
      <c r="E636" s="3" t="s">
        <v>12</v>
      </c>
      <c r="F636" s="3">
        <v>0</v>
      </c>
      <c r="G636" s="74">
        <f>F636*VLOOKUP(D636,GWPs!$B$3:$C$6,2,FALSE)</f>
        <v>0</v>
      </c>
      <c r="H636" s="3">
        <v>0</v>
      </c>
      <c r="I636" s="74">
        <f>H636*VLOOKUP(D636,GWPs!$B$3:$C$6,2,FALSE)</f>
        <v>0</v>
      </c>
      <c r="J636" s="3">
        <v>0</v>
      </c>
      <c r="K636" s="74">
        <f>J636*VLOOKUP(D636,GWPs!$B$3:$C$6,2,FALSE)</f>
        <v>0</v>
      </c>
      <c r="M636" s="3">
        <v>3</v>
      </c>
      <c r="N636" s="3">
        <v>2</v>
      </c>
      <c r="O636" s="3">
        <v>1</v>
      </c>
      <c r="P636" s="3">
        <v>3</v>
      </c>
      <c r="Q636" s="3">
        <v>1</v>
      </c>
    </row>
    <row r="637" spans="1:17">
      <c r="A637" t="s">
        <v>1429</v>
      </c>
      <c r="B637" s="3" t="s">
        <v>625</v>
      </c>
      <c r="C637" s="3" t="s">
        <v>626</v>
      </c>
      <c r="D637" s="3" t="s">
        <v>15</v>
      </c>
      <c r="E637" s="3" t="s">
        <v>16</v>
      </c>
      <c r="F637" s="3">
        <v>7.0000000000000001E-3</v>
      </c>
      <c r="G637" s="74">
        <f>F637*VLOOKUP(D637,GWPs!$B$3:$C$6,2,FALSE)</f>
        <v>7.0000000000000001E-3</v>
      </c>
      <c r="H637" s="3">
        <v>0</v>
      </c>
      <c r="I637" s="74">
        <f>H637*VLOOKUP(D637,GWPs!$B$3:$C$6,2,FALSE)</f>
        <v>0</v>
      </c>
      <c r="J637" s="3">
        <v>7.0000000000000001E-3</v>
      </c>
      <c r="K637" s="74">
        <f>J637*VLOOKUP(D637,GWPs!$B$3:$C$6,2,FALSE)</f>
        <v>7.0000000000000001E-3</v>
      </c>
      <c r="M637" s="3">
        <v>3</v>
      </c>
      <c r="N637" s="3">
        <v>2</v>
      </c>
      <c r="O637" s="3">
        <v>1</v>
      </c>
      <c r="P637" s="3">
        <v>2</v>
      </c>
      <c r="Q637" s="3">
        <v>1</v>
      </c>
    </row>
    <row r="638" spans="1:17">
      <c r="A638" t="s">
        <v>1429</v>
      </c>
      <c r="B638" s="3" t="s">
        <v>627</v>
      </c>
      <c r="C638" s="3" t="s">
        <v>628</v>
      </c>
      <c r="D638" s="3" t="s">
        <v>11</v>
      </c>
      <c r="E638" s="3" t="s">
        <v>12</v>
      </c>
      <c r="F638" s="3">
        <v>0.33</v>
      </c>
      <c r="G638" s="74">
        <f>F638*VLOOKUP(D638,GWPs!$B$3:$C$6,2,FALSE)</f>
        <v>0.33</v>
      </c>
      <c r="H638" s="3">
        <v>7.0000000000000007E-2</v>
      </c>
      <c r="I638" s="74">
        <f>H638*VLOOKUP(D638,GWPs!$B$3:$C$6,2,FALSE)</f>
        <v>7.0000000000000007E-2</v>
      </c>
      <c r="J638" s="3">
        <v>0.40100000000000002</v>
      </c>
      <c r="K638" s="74">
        <f>J638*VLOOKUP(D638,GWPs!$B$3:$C$6,2,FALSE)</f>
        <v>0.40100000000000002</v>
      </c>
      <c r="M638" s="3">
        <v>3</v>
      </c>
      <c r="N638" s="3">
        <v>2</v>
      </c>
      <c r="O638" s="3">
        <v>1</v>
      </c>
      <c r="P638" s="3">
        <v>3</v>
      </c>
      <c r="Q638" s="3">
        <v>1</v>
      </c>
    </row>
    <row r="639" spans="1:17">
      <c r="A639" t="s">
        <v>1429</v>
      </c>
      <c r="B639" s="3" t="s">
        <v>627</v>
      </c>
      <c r="C639" s="3" t="s">
        <v>628</v>
      </c>
      <c r="D639" s="3" t="s">
        <v>13</v>
      </c>
      <c r="E639" s="3" t="s">
        <v>12</v>
      </c>
      <c r="F639" s="3">
        <v>1E-3</v>
      </c>
      <c r="G639" s="74">
        <f>F639*VLOOKUP(D639,GWPs!$B$3:$C$6,2,FALSE)</f>
        <v>2.8000000000000001E-2</v>
      </c>
      <c r="H639" s="3">
        <v>0</v>
      </c>
      <c r="I639" s="74">
        <f>H639*VLOOKUP(D639,GWPs!$B$3:$C$6,2,FALSE)</f>
        <v>0</v>
      </c>
      <c r="J639" s="3">
        <v>2E-3</v>
      </c>
      <c r="K639" s="74">
        <f>J639*VLOOKUP(D639,GWPs!$B$3:$C$6,2,FALSE)</f>
        <v>5.6000000000000001E-2</v>
      </c>
      <c r="M639" s="3">
        <v>4</v>
      </c>
      <c r="N639" s="3">
        <v>2</v>
      </c>
      <c r="O639" s="3">
        <v>1</v>
      </c>
      <c r="P639" s="3">
        <v>1</v>
      </c>
      <c r="Q639" s="3">
        <v>1</v>
      </c>
    </row>
    <row r="640" spans="1:17">
      <c r="A640" t="s">
        <v>1429</v>
      </c>
      <c r="B640" s="3" t="s">
        <v>627</v>
      </c>
      <c r="C640" s="3" t="s">
        <v>628</v>
      </c>
      <c r="D640" s="3" t="s">
        <v>14</v>
      </c>
      <c r="E640" s="3" t="s">
        <v>12</v>
      </c>
      <c r="F640" s="3">
        <v>0</v>
      </c>
      <c r="G640" s="74">
        <f>F640*VLOOKUP(D640,GWPs!$B$3:$C$6,2,FALSE)</f>
        <v>0</v>
      </c>
      <c r="H640" s="3">
        <v>0</v>
      </c>
      <c r="I640" s="74">
        <f>H640*VLOOKUP(D640,GWPs!$B$3:$C$6,2,FALSE)</f>
        <v>0</v>
      </c>
      <c r="J640" s="3">
        <v>0</v>
      </c>
      <c r="K640" s="74">
        <f>J640*VLOOKUP(D640,GWPs!$B$3:$C$6,2,FALSE)</f>
        <v>0</v>
      </c>
      <c r="M640" s="3">
        <v>3</v>
      </c>
      <c r="N640" s="3">
        <v>2</v>
      </c>
      <c r="O640" s="3">
        <v>1</v>
      </c>
      <c r="P640" s="3">
        <v>3</v>
      </c>
      <c r="Q640" s="3">
        <v>1</v>
      </c>
    </row>
    <row r="641" spans="1:17">
      <c r="A641" t="s">
        <v>1429</v>
      </c>
      <c r="B641" s="3" t="s">
        <v>627</v>
      </c>
      <c r="C641" s="3" t="s">
        <v>628</v>
      </c>
      <c r="D641" s="3" t="s">
        <v>15</v>
      </c>
      <c r="E641" s="3" t="s">
        <v>16</v>
      </c>
      <c r="F641" s="3">
        <v>1.2E-2</v>
      </c>
      <c r="G641" s="74">
        <f>F641*VLOOKUP(D641,GWPs!$B$3:$C$6,2,FALSE)</f>
        <v>1.2E-2</v>
      </c>
      <c r="H641" s="3">
        <v>0</v>
      </c>
      <c r="I641" s="74">
        <f>H641*VLOOKUP(D641,GWPs!$B$3:$C$6,2,FALSE)</f>
        <v>0</v>
      </c>
      <c r="J641" s="3">
        <v>1.2E-2</v>
      </c>
      <c r="K641" s="74">
        <f>J641*VLOOKUP(D641,GWPs!$B$3:$C$6,2,FALSE)</f>
        <v>1.2E-2</v>
      </c>
      <c r="M641" s="3">
        <v>3</v>
      </c>
      <c r="N641" s="3">
        <v>2</v>
      </c>
      <c r="O641" s="3">
        <v>1</v>
      </c>
      <c r="P641" s="3">
        <v>2</v>
      </c>
      <c r="Q641" s="3">
        <v>1</v>
      </c>
    </row>
    <row r="642" spans="1:17">
      <c r="A642" t="s">
        <v>1429</v>
      </c>
      <c r="B642" s="3" t="s">
        <v>629</v>
      </c>
      <c r="C642" s="3" t="s">
        <v>630</v>
      </c>
      <c r="D642" s="3" t="s">
        <v>11</v>
      </c>
      <c r="E642" s="3" t="s">
        <v>12</v>
      </c>
      <c r="F642" s="3">
        <v>0.2</v>
      </c>
      <c r="G642" s="74">
        <f>F642*VLOOKUP(D642,GWPs!$B$3:$C$6,2,FALSE)</f>
        <v>0.2</v>
      </c>
      <c r="H642" s="3">
        <v>0.111</v>
      </c>
      <c r="I642" s="74">
        <f>H642*VLOOKUP(D642,GWPs!$B$3:$C$6,2,FALSE)</f>
        <v>0.111</v>
      </c>
      <c r="J642" s="3">
        <v>0.31</v>
      </c>
      <c r="K642" s="74">
        <f>J642*VLOOKUP(D642,GWPs!$B$3:$C$6,2,FALSE)</f>
        <v>0.31</v>
      </c>
      <c r="M642" s="3">
        <v>3</v>
      </c>
      <c r="N642" s="3">
        <v>2</v>
      </c>
      <c r="O642" s="3">
        <v>1</v>
      </c>
      <c r="P642" s="3">
        <v>3</v>
      </c>
      <c r="Q642" s="3">
        <v>1</v>
      </c>
    </row>
    <row r="643" spans="1:17">
      <c r="A643" t="s">
        <v>1429</v>
      </c>
      <c r="B643" s="3" t="s">
        <v>629</v>
      </c>
      <c r="C643" s="3" t="s">
        <v>630</v>
      </c>
      <c r="D643" s="3" t="s">
        <v>13</v>
      </c>
      <c r="E643" s="3" t="s">
        <v>12</v>
      </c>
      <c r="F643" s="3">
        <v>1E-3</v>
      </c>
      <c r="G643" s="74">
        <f>F643*VLOOKUP(D643,GWPs!$B$3:$C$6,2,FALSE)</f>
        <v>2.8000000000000001E-2</v>
      </c>
      <c r="H643" s="3">
        <v>1E-3</v>
      </c>
      <c r="I643" s="74">
        <f>H643*VLOOKUP(D643,GWPs!$B$3:$C$6,2,FALSE)</f>
        <v>2.8000000000000001E-2</v>
      </c>
      <c r="J643" s="3">
        <v>1E-3</v>
      </c>
      <c r="K643" s="74">
        <f>J643*VLOOKUP(D643,GWPs!$B$3:$C$6,2,FALSE)</f>
        <v>2.8000000000000001E-2</v>
      </c>
      <c r="M643" s="3">
        <v>3</v>
      </c>
      <c r="N643" s="3">
        <v>2</v>
      </c>
      <c r="O643" s="3">
        <v>1</v>
      </c>
      <c r="P643" s="3">
        <v>1</v>
      </c>
      <c r="Q643" s="3">
        <v>1</v>
      </c>
    </row>
    <row r="644" spans="1:17">
      <c r="A644" t="s">
        <v>1429</v>
      </c>
      <c r="B644" s="3" t="s">
        <v>629</v>
      </c>
      <c r="C644" s="3" t="s">
        <v>630</v>
      </c>
      <c r="D644" s="3" t="s">
        <v>14</v>
      </c>
      <c r="E644" s="3" t="s">
        <v>12</v>
      </c>
      <c r="F644" s="3">
        <v>0</v>
      </c>
      <c r="G644" s="74">
        <f>F644*VLOOKUP(D644,GWPs!$B$3:$C$6,2,FALSE)</f>
        <v>0</v>
      </c>
      <c r="H644" s="3">
        <v>0</v>
      </c>
      <c r="I644" s="74">
        <f>H644*VLOOKUP(D644,GWPs!$B$3:$C$6,2,FALSE)</f>
        <v>0</v>
      </c>
      <c r="J644" s="3">
        <v>0</v>
      </c>
      <c r="K644" s="74">
        <f>J644*VLOOKUP(D644,GWPs!$B$3:$C$6,2,FALSE)</f>
        <v>0</v>
      </c>
      <c r="M644" s="3">
        <v>3</v>
      </c>
      <c r="N644" s="3">
        <v>2</v>
      </c>
      <c r="O644" s="3">
        <v>1</v>
      </c>
      <c r="P644" s="3">
        <v>3</v>
      </c>
      <c r="Q644" s="3">
        <v>1</v>
      </c>
    </row>
    <row r="645" spans="1:17">
      <c r="A645" t="s">
        <v>1429</v>
      </c>
      <c r="B645" s="3" t="s">
        <v>629</v>
      </c>
      <c r="C645" s="3" t="s">
        <v>630</v>
      </c>
      <c r="D645" s="3" t="s">
        <v>15</v>
      </c>
      <c r="E645" s="3" t="s">
        <v>16</v>
      </c>
      <c r="F645" s="3">
        <v>6.0000000000000001E-3</v>
      </c>
      <c r="G645" s="74">
        <f>F645*VLOOKUP(D645,GWPs!$B$3:$C$6,2,FALSE)</f>
        <v>6.0000000000000001E-3</v>
      </c>
      <c r="H645" s="3">
        <v>0</v>
      </c>
      <c r="I645" s="74">
        <f>H645*VLOOKUP(D645,GWPs!$B$3:$C$6,2,FALSE)</f>
        <v>0</v>
      </c>
      <c r="J645" s="3">
        <v>6.0000000000000001E-3</v>
      </c>
      <c r="K645" s="74">
        <f>J645*VLOOKUP(D645,GWPs!$B$3:$C$6,2,FALSE)</f>
        <v>6.0000000000000001E-3</v>
      </c>
      <c r="M645" s="3">
        <v>3</v>
      </c>
      <c r="N645" s="3">
        <v>2</v>
      </c>
      <c r="O645" s="3">
        <v>1</v>
      </c>
      <c r="P645" s="3">
        <v>2</v>
      </c>
      <c r="Q645" s="3">
        <v>1</v>
      </c>
    </row>
    <row r="646" spans="1:17">
      <c r="A646" t="s">
        <v>1429</v>
      </c>
      <c r="B646" s="3" t="s">
        <v>631</v>
      </c>
      <c r="C646" s="3" t="s">
        <v>632</v>
      </c>
      <c r="D646" s="3" t="s">
        <v>11</v>
      </c>
      <c r="E646" s="3" t="s">
        <v>12</v>
      </c>
      <c r="F646" s="3">
        <v>0.245</v>
      </c>
      <c r="G646" s="74">
        <f>F646*VLOOKUP(D646,GWPs!$B$3:$C$6,2,FALSE)</f>
        <v>0.245</v>
      </c>
      <c r="H646" s="3">
        <v>5.8999999999999997E-2</v>
      </c>
      <c r="I646" s="74">
        <f>H646*VLOOKUP(D646,GWPs!$B$3:$C$6,2,FALSE)</f>
        <v>5.8999999999999997E-2</v>
      </c>
      <c r="J646" s="3">
        <v>0.30399999999999999</v>
      </c>
      <c r="K646" s="74">
        <f>J646*VLOOKUP(D646,GWPs!$B$3:$C$6,2,FALSE)</f>
        <v>0.30399999999999999</v>
      </c>
      <c r="M646" s="3">
        <v>3</v>
      </c>
      <c r="N646" s="3">
        <v>2</v>
      </c>
      <c r="O646" s="3">
        <v>1</v>
      </c>
      <c r="P646" s="3">
        <v>3</v>
      </c>
      <c r="Q646" s="3">
        <v>1</v>
      </c>
    </row>
    <row r="647" spans="1:17">
      <c r="A647" t="s">
        <v>1429</v>
      </c>
      <c r="B647" s="3" t="s">
        <v>631</v>
      </c>
      <c r="C647" s="3" t="s">
        <v>632</v>
      </c>
      <c r="D647" s="3" t="s">
        <v>13</v>
      </c>
      <c r="E647" s="3" t="s">
        <v>12</v>
      </c>
      <c r="F647" s="3">
        <v>1E-3</v>
      </c>
      <c r="G647" s="74">
        <f>F647*VLOOKUP(D647,GWPs!$B$3:$C$6,2,FALSE)</f>
        <v>2.8000000000000001E-2</v>
      </c>
      <c r="H647" s="3">
        <v>0</v>
      </c>
      <c r="I647" s="74">
        <f>H647*VLOOKUP(D647,GWPs!$B$3:$C$6,2,FALSE)</f>
        <v>0</v>
      </c>
      <c r="J647" s="3">
        <v>1E-3</v>
      </c>
      <c r="K647" s="74">
        <f>J647*VLOOKUP(D647,GWPs!$B$3:$C$6,2,FALSE)</f>
        <v>2.8000000000000001E-2</v>
      </c>
      <c r="M647" s="3">
        <v>4</v>
      </c>
      <c r="N647" s="3">
        <v>2</v>
      </c>
      <c r="O647" s="3">
        <v>1</v>
      </c>
      <c r="P647" s="3">
        <v>1</v>
      </c>
      <c r="Q647" s="3">
        <v>1</v>
      </c>
    </row>
    <row r="648" spans="1:17">
      <c r="A648" t="s">
        <v>1429</v>
      </c>
      <c r="B648" s="3" t="s">
        <v>631</v>
      </c>
      <c r="C648" s="3" t="s">
        <v>632</v>
      </c>
      <c r="D648" s="3" t="s">
        <v>14</v>
      </c>
      <c r="E648" s="3" t="s">
        <v>12</v>
      </c>
      <c r="F648" s="3">
        <v>0</v>
      </c>
      <c r="G648" s="74">
        <f>F648*VLOOKUP(D648,GWPs!$B$3:$C$6,2,FALSE)</f>
        <v>0</v>
      </c>
      <c r="H648" s="3">
        <v>0</v>
      </c>
      <c r="I648" s="74">
        <f>H648*VLOOKUP(D648,GWPs!$B$3:$C$6,2,FALSE)</f>
        <v>0</v>
      </c>
      <c r="J648" s="3">
        <v>0</v>
      </c>
      <c r="K648" s="74">
        <f>J648*VLOOKUP(D648,GWPs!$B$3:$C$6,2,FALSE)</f>
        <v>0</v>
      </c>
      <c r="M648" s="3">
        <v>3</v>
      </c>
      <c r="N648" s="3">
        <v>2</v>
      </c>
      <c r="O648" s="3">
        <v>1</v>
      </c>
      <c r="P648" s="3">
        <v>3</v>
      </c>
      <c r="Q648" s="3">
        <v>1</v>
      </c>
    </row>
    <row r="649" spans="1:17">
      <c r="A649" t="s">
        <v>1429</v>
      </c>
      <c r="B649" s="3" t="s">
        <v>631</v>
      </c>
      <c r="C649" s="3" t="s">
        <v>632</v>
      </c>
      <c r="D649" s="3" t="s">
        <v>15</v>
      </c>
      <c r="E649" s="3" t="s">
        <v>16</v>
      </c>
      <c r="F649" s="3">
        <v>8.0000000000000002E-3</v>
      </c>
      <c r="G649" s="74">
        <f>F649*VLOOKUP(D649,GWPs!$B$3:$C$6,2,FALSE)</f>
        <v>8.0000000000000002E-3</v>
      </c>
      <c r="H649" s="3">
        <v>0</v>
      </c>
      <c r="I649" s="74">
        <f>H649*VLOOKUP(D649,GWPs!$B$3:$C$6,2,FALSE)</f>
        <v>0</v>
      </c>
      <c r="J649" s="3">
        <v>8.0000000000000002E-3</v>
      </c>
      <c r="K649" s="74">
        <f>J649*VLOOKUP(D649,GWPs!$B$3:$C$6,2,FALSE)</f>
        <v>8.0000000000000002E-3</v>
      </c>
      <c r="M649" s="3">
        <v>3</v>
      </c>
      <c r="N649" s="3">
        <v>2</v>
      </c>
      <c r="O649" s="3">
        <v>1</v>
      </c>
      <c r="P649" s="3">
        <v>3</v>
      </c>
      <c r="Q649" s="3">
        <v>1</v>
      </c>
    </row>
    <row r="650" spans="1:17">
      <c r="A650" t="s">
        <v>1429</v>
      </c>
      <c r="B650" s="3" t="s">
        <v>633</v>
      </c>
      <c r="C650" s="3" t="s">
        <v>634</v>
      </c>
      <c r="D650" s="3" t="s">
        <v>11</v>
      </c>
      <c r="E650" s="3" t="s">
        <v>12</v>
      </c>
      <c r="F650" s="3">
        <v>0.23699999999999999</v>
      </c>
      <c r="G650" s="74">
        <f>F650*VLOOKUP(D650,GWPs!$B$3:$C$6,2,FALSE)</f>
        <v>0.23699999999999999</v>
      </c>
      <c r="H650" s="3">
        <v>0.28000000000000003</v>
      </c>
      <c r="I650" s="74">
        <f>H650*VLOOKUP(D650,GWPs!$B$3:$C$6,2,FALSE)</f>
        <v>0.28000000000000003</v>
      </c>
      <c r="J650" s="3">
        <v>0.51700000000000002</v>
      </c>
      <c r="K650" s="74">
        <f>J650*VLOOKUP(D650,GWPs!$B$3:$C$6,2,FALSE)</f>
        <v>0.51700000000000002</v>
      </c>
      <c r="M650" s="3">
        <v>3</v>
      </c>
      <c r="N650" s="3">
        <v>2</v>
      </c>
      <c r="O650" s="3">
        <v>1</v>
      </c>
      <c r="P650" s="3">
        <v>3</v>
      </c>
      <c r="Q650" s="3">
        <v>1</v>
      </c>
    </row>
    <row r="651" spans="1:17">
      <c r="A651" t="s">
        <v>1429</v>
      </c>
      <c r="B651" s="3" t="s">
        <v>633</v>
      </c>
      <c r="C651" s="3" t="s">
        <v>634</v>
      </c>
      <c r="D651" s="3" t="s">
        <v>13</v>
      </c>
      <c r="E651" s="3" t="s">
        <v>12</v>
      </c>
      <c r="F651" s="3">
        <v>1E-3</v>
      </c>
      <c r="G651" s="74">
        <f>F651*VLOOKUP(D651,GWPs!$B$3:$C$6,2,FALSE)</f>
        <v>2.8000000000000001E-2</v>
      </c>
      <c r="H651" s="3">
        <v>1E-3</v>
      </c>
      <c r="I651" s="74">
        <f>H651*VLOOKUP(D651,GWPs!$B$3:$C$6,2,FALSE)</f>
        <v>2.8000000000000001E-2</v>
      </c>
      <c r="J651" s="3">
        <v>2E-3</v>
      </c>
      <c r="K651" s="74">
        <f>J651*VLOOKUP(D651,GWPs!$B$3:$C$6,2,FALSE)</f>
        <v>5.6000000000000001E-2</v>
      </c>
      <c r="M651" s="3">
        <v>4</v>
      </c>
      <c r="N651" s="3">
        <v>2</v>
      </c>
      <c r="O651" s="3">
        <v>1</v>
      </c>
      <c r="P651" s="3">
        <v>1</v>
      </c>
      <c r="Q651" s="3">
        <v>1</v>
      </c>
    </row>
    <row r="652" spans="1:17">
      <c r="A652" t="s">
        <v>1429</v>
      </c>
      <c r="B652" s="3" t="s">
        <v>633</v>
      </c>
      <c r="C652" s="3" t="s">
        <v>634</v>
      </c>
      <c r="D652" s="3" t="s">
        <v>14</v>
      </c>
      <c r="E652" s="3" t="s">
        <v>12</v>
      </c>
      <c r="F652" s="3">
        <v>0</v>
      </c>
      <c r="G652" s="74">
        <f>F652*VLOOKUP(D652,GWPs!$B$3:$C$6,2,FALSE)</f>
        <v>0</v>
      </c>
      <c r="H652" s="3">
        <v>0</v>
      </c>
      <c r="I652" s="74">
        <f>H652*VLOOKUP(D652,GWPs!$B$3:$C$6,2,FALSE)</f>
        <v>0</v>
      </c>
      <c r="J652" s="3">
        <v>0</v>
      </c>
      <c r="K652" s="74">
        <f>J652*VLOOKUP(D652,GWPs!$B$3:$C$6,2,FALSE)</f>
        <v>0</v>
      </c>
      <c r="M652" s="3">
        <v>3</v>
      </c>
      <c r="N652" s="3">
        <v>2</v>
      </c>
      <c r="O652" s="3">
        <v>1</v>
      </c>
      <c r="P652" s="3">
        <v>3</v>
      </c>
      <c r="Q652" s="3">
        <v>1</v>
      </c>
    </row>
    <row r="653" spans="1:17">
      <c r="A653" t="s">
        <v>1429</v>
      </c>
      <c r="B653" s="3" t="s">
        <v>633</v>
      </c>
      <c r="C653" s="3" t="s">
        <v>634</v>
      </c>
      <c r="D653" s="3" t="s">
        <v>15</v>
      </c>
      <c r="E653" s="3" t="s">
        <v>16</v>
      </c>
      <c r="F653" s="3">
        <v>8.9999999999999993E-3</v>
      </c>
      <c r="G653" s="74">
        <f>F653*VLOOKUP(D653,GWPs!$B$3:$C$6,2,FALSE)</f>
        <v>8.9999999999999993E-3</v>
      </c>
      <c r="H653" s="3">
        <v>0</v>
      </c>
      <c r="I653" s="74">
        <f>H653*VLOOKUP(D653,GWPs!$B$3:$C$6,2,FALSE)</f>
        <v>0</v>
      </c>
      <c r="J653" s="3">
        <v>8.9999999999999993E-3</v>
      </c>
      <c r="K653" s="74">
        <f>J653*VLOOKUP(D653,GWPs!$B$3:$C$6,2,FALSE)</f>
        <v>8.9999999999999993E-3</v>
      </c>
      <c r="M653" s="3">
        <v>3</v>
      </c>
      <c r="N653" s="3">
        <v>2</v>
      </c>
      <c r="O653" s="3">
        <v>1</v>
      </c>
      <c r="P653" s="3">
        <v>3</v>
      </c>
      <c r="Q653" s="3">
        <v>1</v>
      </c>
    </row>
    <row r="654" spans="1:17">
      <c r="A654" t="s">
        <v>1429</v>
      </c>
      <c r="B654" s="3" t="s">
        <v>635</v>
      </c>
      <c r="C654" s="3" t="s">
        <v>636</v>
      </c>
      <c r="D654" s="3" t="s">
        <v>11</v>
      </c>
      <c r="E654" s="3" t="s">
        <v>12</v>
      </c>
      <c r="F654" s="3">
        <v>0.13800000000000001</v>
      </c>
      <c r="G654" s="74">
        <f>F654*VLOOKUP(D654,GWPs!$B$3:$C$6,2,FALSE)</f>
        <v>0.13800000000000001</v>
      </c>
      <c r="H654" s="3">
        <v>3.5000000000000003E-2</v>
      </c>
      <c r="I654" s="74">
        <f>H654*VLOOKUP(D654,GWPs!$B$3:$C$6,2,FALSE)</f>
        <v>3.5000000000000003E-2</v>
      </c>
      <c r="J654" s="3">
        <v>0.17199999999999999</v>
      </c>
      <c r="K654" s="74">
        <f>J654*VLOOKUP(D654,GWPs!$B$3:$C$6,2,FALSE)</f>
        <v>0.17199999999999999</v>
      </c>
      <c r="M654" s="3">
        <v>3</v>
      </c>
      <c r="N654" s="3">
        <v>2</v>
      </c>
      <c r="O654" s="3">
        <v>1</v>
      </c>
      <c r="P654" s="3">
        <v>3</v>
      </c>
      <c r="Q654" s="3">
        <v>1</v>
      </c>
    </row>
    <row r="655" spans="1:17">
      <c r="A655" t="s">
        <v>1429</v>
      </c>
      <c r="B655" s="3" t="s">
        <v>635</v>
      </c>
      <c r="C655" s="3" t="s">
        <v>636</v>
      </c>
      <c r="D655" s="3" t="s">
        <v>13</v>
      </c>
      <c r="E655" s="3" t="s">
        <v>12</v>
      </c>
      <c r="F655" s="3">
        <v>1E-3</v>
      </c>
      <c r="G655" s="74">
        <f>F655*VLOOKUP(D655,GWPs!$B$3:$C$6,2,FALSE)</f>
        <v>2.8000000000000001E-2</v>
      </c>
      <c r="H655" s="3">
        <v>0</v>
      </c>
      <c r="I655" s="74">
        <f>H655*VLOOKUP(D655,GWPs!$B$3:$C$6,2,FALSE)</f>
        <v>0</v>
      </c>
      <c r="J655" s="3">
        <v>1E-3</v>
      </c>
      <c r="K655" s="74">
        <f>J655*VLOOKUP(D655,GWPs!$B$3:$C$6,2,FALSE)</f>
        <v>2.8000000000000001E-2</v>
      </c>
      <c r="M655" s="3">
        <v>4</v>
      </c>
      <c r="N655" s="3">
        <v>2</v>
      </c>
      <c r="O655" s="3">
        <v>1</v>
      </c>
      <c r="P655" s="3">
        <v>1</v>
      </c>
      <c r="Q655" s="3">
        <v>1</v>
      </c>
    </row>
    <row r="656" spans="1:17">
      <c r="A656" t="s">
        <v>1429</v>
      </c>
      <c r="B656" s="3" t="s">
        <v>635</v>
      </c>
      <c r="C656" s="3" t="s">
        <v>636</v>
      </c>
      <c r="D656" s="3" t="s">
        <v>14</v>
      </c>
      <c r="E656" s="3" t="s">
        <v>12</v>
      </c>
      <c r="F656" s="3">
        <v>0</v>
      </c>
      <c r="G656" s="74">
        <f>F656*VLOOKUP(D656,GWPs!$B$3:$C$6,2,FALSE)</f>
        <v>0</v>
      </c>
      <c r="H656" s="3">
        <v>0</v>
      </c>
      <c r="I656" s="74">
        <f>H656*VLOOKUP(D656,GWPs!$B$3:$C$6,2,FALSE)</f>
        <v>0</v>
      </c>
      <c r="J656" s="3">
        <v>0</v>
      </c>
      <c r="K656" s="74">
        <f>J656*VLOOKUP(D656,GWPs!$B$3:$C$6,2,FALSE)</f>
        <v>0</v>
      </c>
      <c r="M656" s="3">
        <v>3</v>
      </c>
      <c r="N656" s="3">
        <v>2</v>
      </c>
      <c r="O656" s="3">
        <v>1</v>
      </c>
      <c r="P656" s="3">
        <v>3</v>
      </c>
      <c r="Q656" s="3">
        <v>1</v>
      </c>
    </row>
    <row r="657" spans="1:17">
      <c r="A657" t="s">
        <v>1429</v>
      </c>
      <c r="B657" s="3" t="s">
        <v>635</v>
      </c>
      <c r="C657" s="3" t="s">
        <v>636</v>
      </c>
      <c r="D657" s="3" t="s">
        <v>15</v>
      </c>
      <c r="E657" s="3" t="s">
        <v>16</v>
      </c>
      <c r="F657" s="3">
        <v>7.0000000000000001E-3</v>
      </c>
      <c r="G657" s="74">
        <f>F657*VLOOKUP(D657,GWPs!$B$3:$C$6,2,FALSE)</f>
        <v>7.0000000000000001E-3</v>
      </c>
      <c r="H657" s="3">
        <v>0</v>
      </c>
      <c r="I657" s="74">
        <f>H657*VLOOKUP(D657,GWPs!$B$3:$C$6,2,FALSE)</f>
        <v>0</v>
      </c>
      <c r="J657" s="3">
        <v>7.0000000000000001E-3</v>
      </c>
      <c r="K657" s="74">
        <f>J657*VLOOKUP(D657,GWPs!$B$3:$C$6,2,FALSE)</f>
        <v>7.0000000000000001E-3</v>
      </c>
      <c r="M657" s="3">
        <v>3</v>
      </c>
      <c r="N657" s="3">
        <v>2</v>
      </c>
      <c r="O657" s="3">
        <v>1</v>
      </c>
      <c r="P657" s="3">
        <v>3</v>
      </c>
      <c r="Q657" s="3">
        <v>1</v>
      </c>
    </row>
    <row r="658" spans="1:17">
      <c r="A658" t="s">
        <v>1429</v>
      </c>
      <c r="B658" s="3" t="s">
        <v>637</v>
      </c>
      <c r="C658" s="3" t="s">
        <v>638</v>
      </c>
      <c r="D658" s="3" t="s">
        <v>11</v>
      </c>
      <c r="E658" s="3" t="s">
        <v>12</v>
      </c>
      <c r="F658" s="3">
        <v>0.24099999999999999</v>
      </c>
      <c r="G658" s="74">
        <f>F658*VLOOKUP(D658,GWPs!$B$3:$C$6,2,FALSE)</f>
        <v>0.24099999999999999</v>
      </c>
      <c r="H658" s="3">
        <v>4.2999999999999997E-2</v>
      </c>
      <c r="I658" s="74">
        <f>H658*VLOOKUP(D658,GWPs!$B$3:$C$6,2,FALSE)</f>
        <v>4.2999999999999997E-2</v>
      </c>
      <c r="J658" s="3">
        <v>0.28399999999999997</v>
      </c>
      <c r="K658" s="74">
        <f>J658*VLOOKUP(D658,GWPs!$B$3:$C$6,2,FALSE)</f>
        <v>0.28399999999999997</v>
      </c>
      <c r="M658" s="3">
        <v>3</v>
      </c>
      <c r="N658" s="3">
        <v>2</v>
      </c>
      <c r="O658" s="3">
        <v>1</v>
      </c>
      <c r="P658" s="3">
        <v>3</v>
      </c>
      <c r="Q658" s="3">
        <v>1</v>
      </c>
    </row>
    <row r="659" spans="1:17">
      <c r="A659" t="s">
        <v>1429</v>
      </c>
      <c r="B659" s="3" t="s">
        <v>637</v>
      </c>
      <c r="C659" s="3" t="s">
        <v>638</v>
      </c>
      <c r="D659" s="3" t="s">
        <v>13</v>
      </c>
      <c r="E659" s="3" t="s">
        <v>12</v>
      </c>
      <c r="F659" s="3">
        <v>1E-3</v>
      </c>
      <c r="G659" s="74">
        <f>F659*VLOOKUP(D659,GWPs!$B$3:$C$6,2,FALSE)</f>
        <v>2.8000000000000001E-2</v>
      </c>
      <c r="H659" s="3">
        <v>0</v>
      </c>
      <c r="I659" s="74">
        <f>H659*VLOOKUP(D659,GWPs!$B$3:$C$6,2,FALSE)</f>
        <v>0</v>
      </c>
      <c r="J659" s="3">
        <v>1E-3</v>
      </c>
      <c r="K659" s="74">
        <f>J659*VLOOKUP(D659,GWPs!$B$3:$C$6,2,FALSE)</f>
        <v>2.8000000000000001E-2</v>
      </c>
      <c r="M659" s="3">
        <v>4</v>
      </c>
      <c r="N659" s="3">
        <v>2</v>
      </c>
      <c r="O659" s="3">
        <v>1</v>
      </c>
      <c r="P659" s="3">
        <v>1</v>
      </c>
      <c r="Q659" s="3">
        <v>1</v>
      </c>
    </row>
    <row r="660" spans="1:17">
      <c r="A660" t="s">
        <v>1429</v>
      </c>
      <c r="B660" s="3" t="s">
        <v>637</v>
      </c>
      <c r="C660" s="3" t="s">
        <v>638</v>
      </c>
      <c r="D660" s="3" t="s">
        <v>14</v>
      </c>
      <c r="E660" s="3" t="s">
        <v>12</v>
      </c>
      <c r="F660" s="3">
        <v>0</v>
      </c>
      <c r="G660" s="74">
        <f>F660*VLOOKUP(D660,GWPs!$B$3:$C$6,2,FALSE)</f>
        <v>0</v>
      </c>
      <c r="H660" s="3">
        <v>0</v>
      </c>
      <c r="I660" s="74">
        <f>H660*VLOOKUP(D660,GWPs!$B$3:$C$6,2,FALSE)</f>
        <v>0</v>
      </c>
      <c r="J660" s="3">
        <v>0</v>
      </c>
      <c r="K660" s="74">
        <f>J660*VLOOKUP(D660,GWPs!$B$3:$C$6,2,FALSE)</f>
        <v>0</v>
      </c>
      <c r="M660" s="3">
        <v>3</v>
      </c>
      <c r="N660" s="3">
        <v>2</v>
      </c>
      <c r="O660" s="3">
        <v>1</v>
      </c>
      <c r="P660" s="3">
        <v>3</v>
      </c>
      <c r="Q660" s="3">
        <v>1</v>
      </c>
    </row>
    <row r="661" spans="1:17">
      <c r="A661" t="s">
        <v>1429</v>
      </c>
      <c r="B661" s="3" t="s">
        <v>637</v>
      </c>
      <c r="C661" s="3" t="s">
        <v>638</v>
      </c>
      <c r="D661" s="3" t="s">
        <v>15</v>
      </c>
      <c r="E661" s="3" t="s">
        <v>16</v>
      </c>
      <c r="F661" s="3">
        <v>8.0000000000000002E-3</v>
      </c>
      <c r="G661" s="74">
        <f>F661*VLOOKUP(D661,GWPs!$B$3:$C$6,2,FALSE)</f>
        <v>8.0000000000000002E-3</v>
      </c>
      <c r="H661" s="3">
        <v>0</v>
      </c>
      <c r="I661" s="74">
        <f>H661*VLOOKUP(D661,GWPs!$B$3:$C$6,2,FALSE)</f>
        <v>0</v>
      </c>
      <c r="J661" s="3">
        <v>8.0000000000000002E-3</v>
      </c>
      <c r="K661" s="74">
        <f>J661*VLOOKUP(D661,GWPs!$B$3:$C$6,2,FALSE)</f>
        <v>8.0000000000000002E-3</v>
      </c>
      <c r="M661" s="3">
        <v>3</v>
      </c>
      <c r="N661" s="3">
        <v>2</v>
      </c>
      <c r="O661" s="3">
        <v>1</v>
      </c>
      <c r="P661" s="3">
        <v>3</v>
      </c>
      <c r="Q661" s="3">
        <v>1</v>
      </c>
    </row>
    <row r="662" spans="1:17">
      <c r="A662" t="s">
        <v>1429</v>
      </c>
      <c r="B662" s="3" t="s">
        <v>639</v>
      </c>
      <c r="C662" s="3" t="s">
        <v>640</v>
      </c>
      <c r="D662" s="3" t="s">
        <v>11</v>
      </c>
      <c r="E662" s="3" t="s">
        <v>12</v>
      </c>
      <c r="F662" s="3">
        <v>0.14499999999999999</v>
      </c>
      <c r="G662" s="74">
        <f>F662*VLOOKUP(D662,GWPs!$B$3:$C$6,2,FALSE)</f>
        <v>0.14499999999999999</v>
      </c>
      <c r="H662" s="3">
        <v>4.2999999999999997E-2</v>
      </c>
      <c r="I662" s="74">
        <f>H662*VLOOKUP(D662,GWPs!$B$3:$C$6,2,FALSE)</f>
        <v>4.2999999999999997E-2</v>
      </c>
      <c r="J662" s="3">
        <v>0.189</v>
      </c>
      <c r="K662" s="74">
        <f>J662*VLOOKUP(D662,GWPs!$B$3:$C$6,2,FALSE)</f>
        <v>0.189</v>
      </c>
      <c r="M662" s="3">
        <v>3</v>
      </c>
      <c r="N662" s="3">
        <v>2</v>
      </c>
      <c r="O662" s="3">
        <v>1</v>
      </c>
      <c r="P662" s="3">
        <v>3</v>
      </c>
      <c r="Q662" s="3">
        <v>1</v>
      </c>
    </row>
    <row r="663" spans="1:17">
      <c r="A663" t="s">
        <v>1429</v>
      </c>
      <c r="B663" s="3" t="s">
        <v>639</v>
      </c>
      <c r="C663" s="3" t="s">
        <v>640</v>
      </c>
      <c r="D663" s="3" t="s">
        <v>13</v>
      </c>
      <c r="E663" s="3" t="s">
        <v>12</v>
      </c>
      <c r="F663" s="3">
        <v>1E-3</v>
      </c>
      <c r="G663" s="74">
        <f>F663*VLOOKUP(D663,GWPs!$B$3:$C$6,2,FALSE)</f>
        <v>2.8000000000000001E-2</v>
      </c>
      <c r="H663" s="3">
        <v>0</v>
      </c>
      <c r="I663" s="74">
        <f>H663*VLOOKUP(D663,GWPs!$B$3:$C$6,2,FALSE)</f>
        <v>0</v>
      </c>
      <c r="J663" s="3">
        <v>1E-3</v>
      </c>
      <c r="K663" s="74">
        <f>J663*VLOOKUP(D663,GWPs!$B$3:$C$6,2,FALSE)</f>
        <v>2.8000000000000001E-2</v>
      </c>
      <c r="M663" s="3">
        <v>3</v>
      </c>
      <c r="N663" s="3">
        <v>2</v>
      </c>
      <c r="O663" s="3">
        <v>1</v>
      </c>
      <c r="P663" s="3">
        <v>1</v>
      </c>
      <c r="Q663" s="3">
        <v>1</v>
      </c>
    </row>
    <row r="664" spans="1:17">
      <c r="A664" t="s">
        <v>1429</v>
      </c>
      <c r="B664" s="3" t="s">
        <v>639</v>
      </c>
      <c r="C664" s="3" t="s">
        <v>640</v>
      </c>
      <c r="D664" s="3" t="s">
        <v>14</v>
      </c>
      <c r="E664" s="3" t="s">
        <v>12</v>
      </c>
      <c r="F664" s="3">
        <v>0</v>
      </c>
      <c r="G664" s="74">
        <f>F664*VLOOKUP(D664,GWPs!$B$3:$C$6,2,FALSE)</f>
        <v>0</v>
      </c>
      <c r="H664" s="3">
        <v>0</v>
      </c>
      <c r="I664" s="74">
        <f>H664*VLOOKUP(D664,GWPs!$B$3:$C$6,2,FALSE)</f>
        <v>0</v>
      </c>
      <c r="J664" s="3">
        <v>0</v>
      </c>
      <c r="K664" s="74">
        <f>J664*VLOOKUP(D664,GWPs!$B$3:$C$6,2,FALSE)</f>
        <v>0</v>
      </c>
      <c r="M664" s="3">
        <v>3</v>
      </c>
      <c r="N664" s="3">
        <v>2</v>
      </c>
      <c r="O664" s="3">
        <v>1</v>
      </c>
      <c r="P664" s="3">
        <v>3</v>
      </c>
      <c r="Q664" s="3">
        <v>1</v>
      </c>
    </row>
    <row r="665" spans="1:17">
      <c r="A665" t="s">
        <v>1429</v>
      </c>
      <c r="B665" s="3" t="s">
        <v>639</v>
      </c>
      <c r="C665" s="3" t="s">
        <v>640</v>
      </c>
      <c r="D665" s="3" t="s">
        <v>15</v>
      </c>
      <c r="E665" s="3" t="s">
        <v>16</v>
      </c>
      <c r="F665" s="3">
        <v>6.0000000000000001E-3</v>
      </c>
      <c r="G665" s="74">
        <f>F665*VLOOKUP(D665,GWPs!$B$3:$C$6,2,FALSE)</f>
        <v>6.0000000000000001E-3</v>
      </c>
      <c r="H665" s="3">
        <v>0</v>
      </c>
      <c r="I665" s="74">
        <f>H665*VLOOKUP(D665,GWPs!$B$3:$C$6,2,FALSE)</f>
        <v>0</v>
      </c>
      <c r="J665" s="3">
        <v>6.0000000000000001E-3</v>
      </c>
      <c r="K665" s="74">
        <f>J665*VLOOKUP(D665,GWPs!$B$3:$C$6,2,FALSE)</f>
        <v>6.0000000000000001E-3</v>
      </c>
      <c r="M665" s="3">
        <v>3</v>
      </c>
      <c r="N665" s="3">
        <v>2</v>
      </c>
      <c r="O665" s="3">
        <v>1</v>
      </c>
      <c r="P665" s="3">
        <v>2</v>
      </c>
      <c r="Q665" s="3">
        <v>1</v>
      </c>
    </row>
    <row r="666" spans="1:17">
      <c r="A666" t="s">
        <v>1429</v>
      </c>
      <c r="B666" s="3" t="s">
        <v>641</v>
      </c>
      <c r="C666" s="3" t="s">
        <v>642</v>
      </c>
      <c r="D666" s="3" t="s">
        <v>11</v>
      </c>
      <c r="E666" s="3" t="s">
        <v>12</v>
      </c>
      <c r="F666" s="3">
        <v>0.219</v>
      </c>
      <c r="G666" s="74">
        <f>F666*VLOOKUP(D666,GWPs!$B$3:$C$6,2,FALSE)</f>
        <v>0.219</v>
      </c>
      <c r="H666" s="3">
        <v>5.6000000000000001E-2</v>
      </c>
      <c r="I666" s="74">
        <f>H666*VLOOKUP(D666,GWPs!$B$3:$C$6,2,FALSE)</f>
        <v>5.6000000000000001E-2</v>
      </c>
      <c r="J666" s="3">
        <v>0.27500000000000002</v>
      </c>
      <c r="K666" s="74">
        <f>J666*VLOOKUP(D666,GWPs!$B$3:$C$6,2,FALSE)</f>
        <v>0.27500000000000002</v>
      </c>
      <c r="M666" s="3">
        <v>3</v>
      </c>
      <c r="N666" s="3">
        <v>2</v>
      </c>
      <c r="O666" s="3">
        <v>1</v>
      </c>
      <c r="P666" s="3">
        <v>3</v>
      </c>
      <c r="Q666" s="3">
        <v>1</v>
      </c>
    </row>
    <row r="667" spans="1:17">
      <c r="A667" t="s">
        <v>1429</v>
      </c>
      <c r="B667" s="3" t="s">
        <v>641</v>
      </c>
      <c r="C667" s="3" t="s">
        <v>642</v>
      </c>
      <c r="D667" s="3" t="s">
        <v>13</v>
      </c>
      <c r="E667" s="3" t="s">
        <v>12</v>
      </c>
      <c r="F667" s="3">
        <v>1E-3</v>
      </c>
      <c r="G667" s="74">
        <f>F667*VLOOKUP(D667,GWPs!$B$3:$C$6,2,FALSE)</f>
        <v>2.8000000000000001E-2</v>
      </c>
      <c r="H667" s="3">
        <v>0</v>
      </c>
      <c r="I667" s="74">
        <f>H667*VLOOKUP(D667,GWPs!$B$3:$C$6,2,FALSE)</f>
        <v>0</v>
      </c>
      <c r="J667" s="3">
        <v>1E-3</v>
      </c>
      <c r="K667" s="74">
        <f>J667*VLOOKUP(D667,GWPs!$B$3:$C$6,2,FALSE)</f>
        <v>2.8000000000000001E-2</v>
      </c>
      <c r="M667" s="3">
        <v>4</v>
      </c>
      <c r="N667" s="3">
        <v>2</v>
      </c>
      <c r="O667" s="3">
        <v>1</v>
      </c>
      <c r="P667" s="3">
        <v>1</v>
      </c>
      <c r="Q667" s="3">
        <v>1</v>
      </c>
    </row>
    <row r="668" spans="1:17">
      <c r="A668" t="s">
        <v>1429</v>
      </c>
      <c r="B668" s="3" t="s">
        <v>641</v>
      </c>
      <c r="C668" s="3" t="s">
        <v>642</v>
      </c>
      <c r="D668" s="3" t="s">
        <v>14</v>
      </c>
      <c r="E668" s="3" t="s">
        <v>12</v>
      </c>
      <c r="F668" s="3">
        <v>0</v>
      </c>
      <c r="G668" s="74">
        <f>F668*VLOOKUP(D668,GWPs!$B$3:$C$6,2,FALSE)</f>
        <v>0</v>
      </c>
      <c r="H668" s="3">
        <v>0</v>
      </c>
      <c r="I668" s="74">
        <f>H668*VLOOKUP(D668,GWPs!$B$3:$C$6,2,FALSE)</f>
        <v>0</v>
      </c>
      <c r="J668" s="3">
        <v>0</v>
      </c>
      <c r="K668" s="74">
        <f>J668*VLOOKUP(D668,GWPs!$B$3:$C$6,2,FALSE)</f>
        <v>0</v>
      </c>
      <c r="M668" s="3">
        <v>3</v>
      </c>
      <c r="N668" s="3">
        <v>2</v>
      </c>
      <c r="O668" s="3">
        <v>1</v>
      </c>
      <c r="P668" s="3">
        <v>3</v>
      </c>
      <c r="Q668" s="3">
        <v>1</v>
      </c>
    </row>
    <row r="669" spans="1:17">
      <c r="A669" t="s">
        <v>1429</v>
      </c>
      <c r="B669" s="3" t="s">
        <v>641</v>
      </c>
      <c r="C669" s="3" t="s">
        <v>642</v>
      </c>
      <c r="D669" s="3" t="s">
        <v>15</v>
      </c>
      <c r="E669" s="3" t="s">
        <v>16</v>
      </c>
      <c r="F669" s="3">
        <v>6.0000000000000001E-3</v>
      </c>
      <c r="G669" s="74">
        <f>F669*VLOOKUP(D669,GWPs!$B$3:$C$6,2,FALSE)</f>
        <v>6.0000000000000001E-3</v>
      </c>
      <c r="H669" s="3">
        <v>0</v>
      </c>
      <c r="I669" s="74">
        <f>H669*VLOOKUP(D669,GWPs!$B$3:$C$6,2,FALSE)</f>
        <v>0</v>
      </c>
      <c r="J669" s="3">
        <v>6.0000000000000001E-3</v>
      </c>
      <c r="K669" s="74">
        <f>J669*VLOOKUP(D669,GWPs!$B$3:$C$6,2,FALSE)</f>
        <v>6.0000000000000001E-3</v>
      </c>
      <c r="M669" s="3">
        <v>3</v>
      </c>
      <c r="N669" s="3">
        <v>2</v>
      </c>
      <c r="O669" s="3">
        <v>1</v>
      </c>
      <c r="P669" s="3">
        <v>3</v>
      </c>
      <c r="Q669" s="3">
        <v>1</v>
      </c>
    </row>
    <row r="670" spans="1:17">
      <c r="A670" t="s">
        <v>1429</v>
      </c>
      <c r="B670" s="3" t="s">
        <v>643</v>
      </c>
      <c r="C670" s="3" t="s">
        <v>644</v>
      </c>
      <c r="D670" s="3" t="s">
        <v>11</v>
      </c>
      <c r="E670" s="3" t="s">
        <v>12</v>
      </c>
      <c r="F670" s="3">
        <v>0.11899999999999999</v>
      </c>
      <c r="G670" s="74">
        <f>F670*VLOOKUP(D670,GWPs!$B$3:$C$6,2,FALSE)</f>
        <v>0.11899999999999999</v>
      </c>
      <c r="H670" s="3">
        <v>6.4000000000000001E-2</v>
      </c>
      <c r="I670" s="74">
        <f>H670*VLOOKUP(D670,GWPs!$B$3:$C$6,2,FALSE)</f>
        <v>6.4000000000000001E-2</v>
      </c>
      <c r="J670" s="3">
        <v>0.182</v>
      </c>
      <c r="K670" s="74">
        <f>J670*VLOOKUP(D670,GWPs!$B$3:$C$6,2,FALSE)</f>
        <v>0.182</v>
      </c>
      <c r="M670" s="3">
        <v>3</v>
      </c>
      <c r="N670" s="3">
        <v>2</v>
      </c>
      <c r="O670" s="3">
        <v>1</v>
      </c>
      <c r="P670" s="3">
        <v>3</v>
      </c>
      <c r="Q670" s="3">
        <v>1</v>
      </c>
    </row>
    <row r="671" spans="1:17">
      <c r="A671" t="s">
        <v>1429</v>
      </c>
      <c r="B671" s="3" t="s">
        <v>643</v>
      </c>
      <c r="C671" s="3" t="s">
        <v>644</v>
      </c>
      <c r="D671" s="3" t="s">
        <v>13</v>
      </c>
      <c r="E671" s="3" t="s">
        <v>12</v>
      </c>
      <c r="F671" s="3">
        <v>0</v>
      </c>
      <c r="G671" s="74">
        <f>F671*VLOOKUP(D671,GWPs!$B$3:$C$6,2,FALSE)</f>
        <v>0</v>
      </c>
      <c r="H671" s="3">
        <v>1E-3</v>
      </c>
      <c r="I671" s="74">
        <f>H671*VLOOKUP(D671,GWPs!$B$3:$C$6,2,FALSE)</f>
        <v>2.8000000000000001E-2</v>
      </c>
      <c r="J671" s="3">
        <v>1E-3</v>
      </c>
      <c r="K671" s="74">
        <f>J671*VLOOKUP(D671,GWPs!$B$3:$C$6,2,FALSE)</f>
        <v>2.8000000000000001E-2</v>
      </c>
      <c r="M671" s="3">
        <v>4</v>
      </c>
      <c r="N671" s="3">
        <v>2</v>
      </c>
      <c r="O671" s="3">
        <v>1</v>
      </c>
      <c r="P671" s="3">
        <v>1</v>
      </c>
      <c r="Q671" s="3">
        <v>1</v>
      </c>
    </row>
    <row r="672" spans="1:17">
      <c r="A672" t="s">
        <v>1429</v>
      </c>
      <c r="B672" s="3" t="s">
        <v>643</v>
      </c>
      <c r="C672" s="3" t="s">
        <v>644</v>
      </c>
      <c r="D672" s="3" t="s">
        <v>14</v>
      </c>
      <c r="E672" s="3" t="s">
        <v>12</v>
      </c>
      <c r="F672" s="3">
        <v>0</v>
      </c>
      <c r="G672" s="74">
        <f>F672*VLOOKUP(D672,GWPs!$B$3:$C$6,2,FALSE)</f>
        <v>0</v>
      </c>
      <c r="H672" s="3">
        <v>0</v>
      </c>
      <c r="I672" s="74">
        <f>H672*VLOOKUP(D672,GWPs!$B$3:$C$6,2,FALSE)</f>
        <v>0</v>
      </c>
      <c r="J672" s="3">
        <v>0</v>
      </c>
      <c r="K672" s="74">
        <f>J672*VLOOKUP(D672,GWPs!$B$3:$C$6,2,FALSE)</f>
        <v>0</v>
      </c>
      <c r="M672" s="3">
        <v>3</v>
      </c>
      <c r="N672" s="3">
        <v>2</v>
      </c>
      <c r="O672" s="3">
        <v>1</v>
      </c>
      <c r="P672" s="3">
        <v>3</v>
      </c>
      <c r="Q672" s="3">
        <v>1</v>
      </c>
    </row>
    <row r="673" spans="1:17">
      <c r="A673" t="s">
        <v>1429</v>
      </c>
      <c r="B673" s="3" t="s">
        <v>643</v>
      </c>
      <c r="C673" s="3" t="s">
        <v>644</v>
      </c>
      <c r="D673" s="3" t="s">
        <v>15</v>
      </c>
      <c r="E673" s="3" t="s">
        <v>16</v>
      </c>
      <c r="F673" s="3">
        <v>4.0000000000000001E-3</v>
      </c>
      <c r="G673" s="74">
        <f>F673*VLOOKUP(D673,GWPs!$B$3:$C$6,2,FALSE)</f>
        <v>4.0000000000000001E-3</v>
      </c>
      <c r="H673" s="3">
        <v>0</v>
      </c>
      <c r="I673" s="74">
        <f>H673*VLOOKUP(D673,GWPs!$B$3:$C$6,2,FALSE)</f>
        <v>0</v>
      </c>
      <c r="J673" s="3">
        <v>4.0000000000000001E-3</v>
      </c>
      <c r="K673" s="74">
        <f>J673*VLOOKUP(D673,GWPs!$B$3:$C$6,2,FALSE)</f>
        <v>4.0000000000000001E-3</v>
      </c>
      <c r="M673" s="3">
        <v>3</v>
      </c>
      <c r="N673" s="3">
        <v>2</v>
      </c>
      <c r="O673" s="3">
        <v>1</v>
      </c>
      <c r="P673" s="3">
        <v>3</v>
      </c>
      <c r="Q673" s="3">
        <v>1</v>
      </c>
    </row>
    <row r="674" spans="1:17">
      <c r="A674" t="s">
        <v>1429</v>
      </c>
      <c r="B674" s="3" t="s">
        <v>645</v>
      </c>
      <c r="C674" s="3" t="s">
        <v>646</v>
      </c>
      <c r="D674" s="3" t="s">
        <v>11</v>
      </c>
      <c r="E674" s="3" t="s">
        <v>12</v>
      </c>
      <c r="F674" s="3">
        <v>0.19600000000000001</v>
      </c>
      <c r="G674" s="74">
        <f>F674*VLOOKUP(D674,GWPs!$B$3:$C$6,2,FALSE)</f>
        <v>0.19600000000000001</v>
      </c>
      <c r="H674" s="3">
        <v>0.252</v>
      </c>
      <c r="I674" s="74">
        <f>H674*VLOOKUP(D674,GWPs!$B$3:$C$6,2,FALSE)</f>
        <v>0.252</v>
      </c>
      <c r="J674" s="3">
        <v>0.44800000000000001</v>
      </c>
      <c r="K674" s="74">
        <f>J674*VLOOKUP(D674,GWPs!$B$3:$C$6,2,FALSE)</f>
        <v>0.44800000000000001</v>
      </c>
      <c r="M674" s="3">
        <v>3</v>
      </c>
      <c r="N674" s="3">
        <v>2</v>
      </c>
      <c r="O674" s="3">
        <v>1</v>
      </c>
      <c r="P674" s="3">
        <v>3</v>
      </c>
      <c r="Q674" s="3">
        <v>1</v>
      </c>
    </row>
    <row r="675" spans="1:17">
      <c r="A675" t="s">
        <v>1429</v>
      </c>
      <c r="B675" s="3" t="s">
        <v>645</v>
      </c>
      <c r="C675" s="3" t="s">
        <v>646</v>
      </c>
      <c r="D675" s="3" t="s">
        <v>13</v>
      </c>
      <c r="E675" s="3" t="s">
        <v>12</v>
      </c>
      <c r="F675" s="3">
        <v>1E-3</v>
      </c>
      <c r="G675" s="74">
        <f>F675*VLOOKUP(D675,GWPs!$B$3:$C$6,2,FALSE)</f>
        <v>2.8000000000000001E-2</v>
      </c>
      <c r="H675" s="3">
        <v>1E-3</v>
      </c>
      <c r="I675" s="74">
        <f>H675*VLOOKUP(D675,GWPs!$B$3:$C$6,2,FALSE)</f>
        <v>2.8000000000000001E-2</v>
      </c>
      <c r="J675" s="3">
        <v>2E-3</v>
      </c>
      <c r="K675" s="74">
        <f>J675*VLOOKUP(D675,GWPs!$B$3:$C$6,2,FALSE)</f>
        <v>5.6000000000000001E-2</v>
      </c>
      <c r="M675" s="3">
        <v>4</v>
      </c>
      <c r="N675" s="3">
        <v>2</v>
      </c>
      <c r="O675" s="3">
        <v>1</v>
      </c>
      <c r="P675" s="3">
        <v>1</v>
      </c>
      <c r="Q675" s="3">
        <v>1</v>
      </c>
    </row>
    <row r="676" spans="1:17">
      <c r="A676" t="s">
        <v>1429</v>
      </c>
      <c r="B676" s="3" t="s">
        <v>645</v>
      </c>
      <c r="C676" s="3" t="s">
        <v>646</v>
      </c>
      <c r="D676" s="3" t="s">
        <v>14</v>
      </c>
      <c r="E676" s="3" t="s">
        <v>12</v>
      </c>
      <c r="F676" s="3">
        <v>0</v>
      </c>
      <c r="G676" s="74">
        <f>F676*VLOOKUP(D676,GWPs!$B$3:$C$6,2,FALSE)</f>
        <v>0</v>
      </c>
      <c r="H676" s="3">
        <v>0</v>
      </c>
      <c r="I676" s="74">
        <f>H676*VLOOKUP(D676,GWPs!$B$3:$C$6,2,FALSE)</f>
        <v>0</v>
      </c>
      <c r="J676" s="3">
        <v>0</v>
      </c>
      <c r="K676" s="74">
        <f>J676*VLOOKUP(D676,GWPs!$B$3:$C$6,2,FALSE)</f>
        <v>0</v>
      </c>
      <c r="M676" s="3">
        <v>3</v>
      </c>
      <c r="N676" s="3">
        <v>2</v>
      </c>
      <c r="O676" s="3">
        <v>1</v>
      </c>
      <c r="P676" s="3">
        <v>3</v>
      </c>
      <c r="Q676" s="3">
        <v>1</v>
      </c>
    </row>
    <row r="677" spans="1:17">
      <c r="A677" t="s">
        <v>1429</v>
      </c>
      <c r="B677" s="3" t="s">
        <v>645</v>
      </c>
      <c r="C677" s="3" t="s">
        <v>646</v>
      </c>
      <c r="D677" s="3" t="s">
        <v>15</v>
      </c>
      <c r="E677" s="3" t="s">
        <v>16</v>
      </c>
      <c r="F677" s="3">
        <v>1.2E-2</v>
      </c>
      <c r="G677" s="74">
        <f>F677*VLOOKUP(D677,GWPs!$B$3:$C$6,2,FALSE)</f>
        <v>1.2E-2</v>
      </c>
      <c r="H677" s="3">
        <v>0</v>
      </c>
      <c r="I677" s="74">
        <f>H677*VLOOKUP(D677,GWPs!$B$3:$C$6,2,FALSE)</f>
        <v>0</v>
      </c>
      <c r="J677" s="3">
        <v>1.2E-2</v>
      </c>
      <c r="K677" s="74">
        <f>J677*VLOOKUP(D677,GWPs!$B$3:$C$6,2,FALSE)</f>
        <v>1.2E-2</v>
      </c>
      <c r="M677" s="3">
        <v>3</v>
      </c>
      <c r="N677" s="3">
        <v>2</v>
      </c>
      <c r="O677" s="3">
        <v>1</v>
      </c>
      <c r="P677" s="3">
        <v>3</v>
      </c>
      <c r="Q677" s="3">
        <v>1</v>
      </c>
    </row>
    <row r="678" spans="1:17">
      <c r="A678" t="s">
        <v>1429</v>
      </c>
      <c r="B678" s="3" t="s">
        <v>647</v>
      </c>
      <c r="C678" s="3" t="s">
        <v>648</v>
      </c>
      <c r="D678" s="3" t="s">
        <v>11</v>
      </c>
      <c r="E678" s="3" t="s">
        <v>12</v>
      </c>
      <c r="F678" s="3">
        <v>0.30599999999999999</v>
      </c>
      <c r="G678" s="74">
        <f>F678*VLOOKUP(D678,GWPs!$B$3:$C$6,2,FALSE)</f>
        <v>0.30599999999999999</v>
      </c>
      <c r="H678" s="3">
        <v>0.1</v>
      </c>
      <c r="I678" s="74">
        <f>H678*VLOOKUP(D678,GWPs!$B$3:$C$6,2,FALSE)</f>
        <v>0.1</v>
      </c>
      <c r="J678" s="3">
        <v>0.40600000000000003</v>
      </c>
      <c r="K678" s="74">
        <f>J678*VLOOKUP(D678,GWPs!$B$3:$C$6,2,FALSE)</f>
        <v>0.40600000000000003</v>
      </c>
      <c r="M678" s="3">
        <v>3</v>
      </c>
      <c r="N678" s="3">
        <v>2</v>
      </c>
      <c r="O678" s="3">
        <v>1</v>
      </c>
      <c r="P678" s="3">
        <v>4</v>
      </c>
      <c r="Q678" s="3">
        <v>1</v>
      </c>
    </row>
    <row r="679" spans="1:17">
      <c r="A679" t="s">
        <v>1429</v>
      </c>
      <c r="B679" s="3" t="s">
        <v>647</v>
      </c>
      <c r="C679" s="3" t="s">
        <v>648</v>
      </c>
      <c r="D679" s="3" t="s">
        <v>13</v>
      </c>
      <c r="E679" s="3" t="s">
        <v>12</v>
      </c>
      <c r="F679" s="3">
        <v>1E-3</v>
      </c>
      <c r="G679" s="74">
        <f>F679*VLOOKUP(D679,GWPs!$B$3:$C$6,2,FALSE)</f>
        <v>2.8000000000000001E-2</v>
      </c>
      <c r="H679" s="3">
        <v>1E-3</v>
      </c>
      <c r="I679" s="74">
        <f>H679*VLOOKUP(D679,GWPs!$B$3:$C$6,2,FALSE)</f>
        <v>2.8000000000000001E-2</v>
      </c>
      <c r="J679" s="3">
        <v>2E-3</v>
      </c>
      <c r="K679" s="74">
        <f>J679*VLOOKUP(D679,GWPs!$B$3:$C$6,2,FALSE)</f>
        <v>5.6000000000000001E-2</v>
      </c>
      <c r="M679" s="3">
        <v>4</v>
      </c>
      <c r="N679" s="3">
        <v>2</v>
      </c>
      <c r="O679" s="3">
        <v>1</v>
      </c>
      <c r="P679" s="3">
        <v>1</v>
      </c>
      <c r="Q679" s="3">
        <v>1</v>
      </c>
    </row>
    <row r="680" spans="1:17">
      <c r="A680" t="s">
        <v>1429</v>
      </c>
      <c r="B680" s="3" t="s">
        <v>647</v>
      </c>
      <c r="C680" s="3" t="s">
        <v>648</v>
      </c>
      <c r="D680" s="3" t="s">
        <v>14</v>
      </c>
      <c r="E680" s="3" t="s">
        <v>12</v>
      </c>
      <c r="F680" s="3">
        <v>0</v>
      </c>
      <c r="G680" s="74">
        <f>F680*VLOOKUP(D680,GWPs!$B$3:$C$6,2,FALSE)</f>
        <v>0</v>
      </c>
      <c r="H680" s="3">
        <v>0</v>
      </c>
      <c r="I680" s="74">
        <f>H680*VLOOKUP(D680,GWPs!$B$3:$C$6,2,FALSE)</f>
        <v>0</v>
      </c>
      <c r="J680" s="3">
        <v>0</v>
      </c>
      <c r="K680" s="74">
        <f>J680*VLOOKUP(D680,GWPs!$B$3:$C$6,2,FALSE)</f>
        <v>0</v>
      </c>
      <c r="M680" s="3">
        <v>3</v>
      </c>
      <c r="N680" s="3">
        <v>2</v>
      </c>
      <c r="O680" s="3">
        <v>1</v>
      </c>
      <c r="P680" s="3">
        <v>3</v>
      </c>
      <c r="Q680" s="3">
        <v>1</v>
      </c>
    </row>
    <row r="681" spans="1:17">
      <c r="A681" t="s">
        <v>1429</v>
      </c>
      <c r="B681" s="3" t="s">
        <v>647</v>
      </c>
      <c r="C681" s="3" t="s">
        <v>648</v>
      </c>
      <c r="D681" s="3" t="s">
        <v>15</v>
      </c>
      <c r="E681" s="3" t="s">
        <v>16</v>
      </c>
      <c r="F681" s="3">
        <v>3.4000000000000002E-2</v>
      </c>
      <c r="G681" s="74">
        <f>F681*VLOOKUP(D681,GWPs!$B$3:$C$6,2,FALSE)</f>
        <v>3.4000000000000002E-2</v>
      </c>
      <c r="H681" s="3">
        <v>0</v>
      </c>
      <c r="I681" s="74">
        <f>H681*VLOOKUP(D681,GWPs!$B$3:$C$6,2,FALSE)</f>
        <v>0</v>
      </c>
      <c r="J681" s="3">
        <v>3.4000000000000002E-2</v>
      </c>
      <c r="K681" s="74">
        <f>J681*VLOOKUP(D681,GWPs!$B$3:$C$6,2,FALSE)</f>
        <v>3.4000000000000002E-2</v>
      </c>
      <c r="M681" s="3">
        <v>4</v>
      </c>
      <c r="N681" s="3">
        <v>2</v>
      </c>
      <c r="O681" s="3">
        <v>1</v>
      </c>
      <c r="P681" s="3">
        <v>5</v>
      </c>
      <c r="Q681" s="3">
        <v>1</v>
      </c>
    </row>
    <row r="682" spans="1:17">
      <c r="A682" t="s">
        <v>1429</v>
      </c>
      <c r="B682" s="3" t="s">
        <v>649</v>
      </c>
      <c r="C682" s="3" t="s">
        <v>650</v>
      </c>
      <c r="D682" s="3" t="s">
        <v>11</v>
      </c>
      <c r="E682" s="3" t="s">
        <v>12</v>
      </c>
      <c r="F682" s="3">
        <v>0.22700000000000001</v>
      </c>
      <c r="G682" s="74">
        <f>F682*VLOOKUP(D682,GWPs!$B$3:$C$6,2,FALSE)</f>
        <v>0.22700000000000001</v>
      </c>
      <c r="H682" s="3">
        <v>4.8000000000000001E-2</v>
      </c>
      <c r="I682" s="74">
        <f>H682*VLOOKUP(D682,GWPs!$B$3:$C$6,2,FALSE)</f>
        <v>4.8000000000000001E-2</v>
      </c>
      <c r="J682" s="3">
        <v>0.27500000000000002</v>
      </c>
      <c r="K682" s="74">
        <f>J682*VLOOKUP(D682,GWPs!$B$3:$C$6,2,FALSE)</f>
        <v>0.27500000000000002</v>
      </c>
      <c r="M682" s="3">
        <v>3</v>
      </c>
      <c r="N682" s="3">
        <v>2</v>
      </c>
      <c r="O682" s="3">
        <v>1</v>
      </c>
      <c r="P682" s="3">
        <v>3</v>
      </c>
      <c r="Q682" s="3">
        <v>1</v>
      </c>
    </row>
    <row r="683" spans="1:17">
      <c r="A683" t="s">
        <v>1429</v>
      </c>
      <c r="B683" s="3" t="s">
        <v>649</v>
      </c>
      <c r="C683" s="3" t="s">
        <v>650</v>
      </c>
      <c r="D683" s="3" t="s">
        <v>13</v>
      </c>
      <c r="E683" s="3" t="s">
        <v>12</v>
      </c>
      <c r="F683" s="3">
        <v>1E-3</v>
      </c>
      <c r="G683" s="74">
        <f>F683*VLOOKUP(D683,GWPs!$B$3:$C$6,2,FALSE)</f>
        <v>2.8000000000000001E-2</v>
      </c>
      <c r="H683" s="3">
        <v>0</v>
      </c>
      <c r="I683" s="74">
        <f>H683*VLOOKUP(D683,GWPs!$B$3:$C$6,2,FALSE)</f>
        <v>0</v>
      </c>
      <c r="J683" s="3">
        <v>1E-3</v>
      </c>
      <c r="K683" s="74">
        <f>J683*VLOOKUP(D683,GWPs!$B$3:$C$6,2,FALSE)</f>
        <v>2.8000000000000001E-2</v>
      </c>
      <c r="M683" s="3">
        <v>4</v>
      </c>
      <c r="N683" s="3">
        <v>2</v>
      </c>
      <c r="O683" s="3">
        <v>1</v>
      </c>
      <c r="P683" s="3">
        <v>1</v>
      </c>
      <c r="Q683" s="3">
        <v>1</v>
      </c>
    </row>
    <row r="684" spans="1:17">
      <c r="A684" t="s">
        <v>1429</v>
      </c>
      <c r="B684" s="3" t="s">
        <v>649</v>
      </c>
      <c r="C684" s="3" t="s">
        <v>650</v>
      </c>
      <c r="D684" s="3" t="s">
        <v>14</v>
      </c>
      <c r="E684" s="3" t="s">
        <v>12</v>
      </c>
      <c r="F684" s="3">
        <v>0</v>
      </c>
      <c r="G684" s="74">
        <f>F684*VLOOKUP(D684,GWPs!$B$3:$C$6,2,FALSE)</f>
        <v>0</v>
      </c>
      <c r="H684" s="3">
        <v>0</v>
      </c>
      <c r="I684" s="74">
        <f>H684*VLOOKUP(D684,GWPs!$B$3:$C$6,2,FALSE)</f>
        <v>0</v>
      </c>
      <c r="J684" s="3">
        <v>0</v>
      </c>
      <c r="K684" s="74">
        <f>J684*VLOOKUP(D684,GWPs!$B$3:$C$6,2,FALSE)</f>
        <v>0</v>
      </c>
      <c r="M684" s="3">
        <v>3</v>
      </c>
      <c r="N684" s="3">
        <v>2</v>
      </c>
      <c r="O684" s="3">
        <v>1</v>
      </c>
      <c r="P684" s="3">
        <v>3</v>
      </c>
      <c r="Q684" s="3">
        <v>1</v>
      </c>
    </row>
    <row r="685" spans="1:17">
      <c r="A685" t="s">
        <v>1429</v>
      </c>
      <c r="B685" s="3" t="s">
        <v>649</v>
      </c>
      <c r="C685" s="3" t="s">
        <v>650</v>
      </c>
      <c r="D685" s="3" t="s">
        <v>15</v>
      </c>
      <c r="E685" s="3" t="s">
        <v>16</v>
      </c>
      <c r="F685" s="3">
        <v>2.7E-2</v>
      </c>
      <c r="G685" s="74">
        <f>F685*VLOOKUP(D685,GWPs!$B$3:$C$6,2,FALSE)</f>
        <v>2.7E-2</v>
      </c>
      <c r="H685" s="3">
        <v>0</v>
      </c>
      <c r="I685" s="74">
        <f>H685*VLOOKUP(D685,GWPs!$B$3:$C$6,2,FALSE)</f>
        <v>0</v>
      </c>
      <c r="J685" s="3">
        <v>2.7E-2</v>
      </c>
      <c r="K685" s="74">
        <f>J685*VLOOKUP(D685,GWPs!$B$3:$C$6,2,FALSE)</f>
        <v>2.7E-2</v>
      </c>
      <c r="M685" s="3">
        <v>4</v>
      </c>
      <c r="N685" s="3">
        <v>2</v>
      </c>
      <c r="O685" s="3">
        <v>1</v>
      </c>
      <c r="P685" s="3">
        <v>4</v>
      </c>
      <c r="Q685" s="3">
        <v>1</v>
      </c>
    </row>
    <row r="686" spans="1:17">
      <c r="A686" t="s">
        <v>1429</v>
      </c>
      <c r="B686" s="3" t="s">
        <v>651</v>
      </c>
      <c r="C686" s="3" t="s">
        <v>652</v>
      </c>
      <c r="D686" s="3" t="s">
        <v>11</v>
      </c>
      <c r="E686" s="3" t="s">
        <v>12</v>
      </c>
      <c r="F686" s="3">
        <v>0.248</v>
      </c>
      <c r="G686" s="74">
        <f>F686*VLOOKUP(D686,GWPs!$B$3:$C$6,2,FALSE)</f>
        <v>0.248</v>
      </c>
      <c r="H686" s="3">
        <v>9.6000000000000002E-2</v>
      </c>
      <c r="I686" s="74">
        <f>H686*VLOOKUP(D686,GWPs!$B$3:$C$6,2,FALSE)</f>
        <v>9.6000000000000002E-2</v>
      </c>
      <c r="J686" s="3">
        <v>0.34399999999999997</v>
      </c>
      <c r="K686" s="74">
        <f>J686*VLOOKUP(D686,GWPs!$B$3:$C$6,2,FALSE)</f>
        <v>0.34399999999999997</v>
      </c>
      <c r="M686" s="3">
        <v>3</v>
      </c>
      <c r="N686" s="3">
        <v>2</v>
      </c>
      <c r="O686" s="3">
        <v>1</v>
      </c>
      <c r="P686" s="3">
        <v>3</v>
      </c>
      <c r="Q686" s="3">
        <v>1</v>
      </c>
    </row>
    <row r="687" spans="1:17">
      <c r="A687" t="s">
        <v>1429</v>
      </c>
      <c r="B687" s="3" t="s">
        <v>651</v>
      </c>
      <c r="C687" s="3" t="s">
        <v>652</v>
      </c>
      <c r="D687" s="3" t="s">
        <v>13</v>
      </c>
      <c r="E687" s="3" t="s">
        <v>12</v>
      </c>
      <c r="F687" s="3">
        <v>1E-3</v>
      </c>
      <c r="G687" s="74">
        <f>F687*VLOOKUP(D687,GWPs!$B$3:$C$6,2,FALSE)</f>
        <v>2.8000000000000001E-2</v>
      </c>
      <c r="H687" s="3">
        <v>1E-3</v>
      </c>
      <c r="I687" s="74">
        <f>H687*VLOOKUP(D687,GWPs!$B$3:$C$6,2,FALSE)</f>
        <v>2.8000000000000001E-2</v>
      </c>
      <c r="J687" s="3">
        <v>2E-3</v>
      </c>
      <c r="K687" s="74">
        <f>J687*VLOOKUP(D687,GWPs!$B$3:$C$6,2,FALSE)</f>
        <v>5.6000000000000001E-2</v>
      </c>
      <c r="M687" s="3">
        <v>4</v>
      </c>
      <c r="N687" s="3">
        <v>2</v>
      </c>
      <c r="O687" s="3">
        <v>1</v>
      </c>
      <c r="P687" s="3">
        <v>1</v>
      </c>
      <c r="Q687" s="3">
        <v>1</v>
      </c>
    </row>
    <row r="688" spans="1:17">
      <c r="A688" t="s">
        <v>1429</v>
      </c>
      <c r="B688" s="3" t="s">
        <v>651</v>
      </c>
      <c r="C688" s="3" t="s">
        <v>652</v>
      </c>
      <c r="D688" s="3" t="s">
        <v>14</v>
      </c>
      <c r="E688" s="3" t="s">
        <v>12</v>
      </c>
      <c r="F688" s="3">
        <v>0</v>
      </c>
      <c r="G688" s="74">
        <f>F688*VLOOKUP(D688,GWPs!$B$3:$C$6,2,FALSE)</f>
        <v>0</v>
      </c>
      <c r="H688" s="3">
        <v>0</v>
      </c>
      <c r="I688" s="74">
        <f>H688*VLOOKUP(D688,GWPs!$B$3:$C$6,2,FALSE)</f>
        <v>0</v>
      </c>
      <c r="J688" s="3">
        <v>0</v>
      </c>
      <c r="K688" s="74">
        <f>J688*VLOOKUP(D688,GWPs!$B$3:$C$6,2,FALSE)</f>
        <v>0</v>
      </c>
      <c r="M688" s="3">
        <v>3</v>
      </c>
      <c r="N688" s="3">
        <v>2</v>
      </c>
      <c r="O688" s="3">
        <v>1</v>
      </c>
      <c r="P688" s="3">
        <v>3</v>
      </c>
      <c r="Q688" s="3">
        <v>1</v>
      </c>
    </row>
    <row r="689" spans="1:17">
      <c r="A689" t="s">
        <v>1429</v>
      </c>
      <c r="B689" s="3" t="s">
        <v>651</v>
      </c>
      <c r="C689" s="3" t="s">
        <v>652</v>
      </c>
      <c r="D689" s="3" t="s">
        <v>15</v>
      </c>
      <c r="E689" s="3" t="s">
        <v>16</v>
      </c>
      <c r="F689" s="3">
        <v>8.0000000000000002E-3</v>
      </c>
      <c r="G689" s="74">
        <f>F689*VLOOKUP(D689,GWPs!$B$3:$C$6,2,FALSE)</f>
        <v>8.0000000000000002E-3</v>
      </c>
      <c r="H689" s="3">
        <v>0</v>
      </c>
      <c r="I689" s="74">
        <f>H689*VLOOKUP(D689,GWPs!$B$3:$C$6,2,FALSE)</f>
        <v>0</v>
      </c>
      <c r="J689" s="3">
        <v>8.0000000000000002E-3</v>
      </c>
      <c r="K689" s="74">
        <f>J689*VLOOKUP(D689,GWPs!$B$3:$C$6,2,FALSE)</f>
        <v>8.0000000000000002E-3</v>
      </c>
      <c r="M689" s="3">
        <v>3</v>
      </c>
      <c r="N689" s="3">
        <v>2</v>
      </c>
      <c r="O689" s="3">
        <v>1</v>
      </c>
      <c r="P689" s="3">
        <v>3</v>
      </c>
      <c r="Q689" s="3">
        <v>1</v>
      </c>
    </row>
    <row r="690" spans="1:17">
      <c r="A690" t="s">
        <v>1430</v>
      </c>
      <c r="B690" s="3" t="s">
        <v>653</v>
      </c>
      <c r="C690" s="3" t="s">
        <v>654</v>
      </c>
      <c r="D690" s="3" t="s">
        <v>11</v>
      </c>
      <c r="E690" s="3" t="s">
        <v>12</v>
      </c>
      <c r="F690" s="3">
        <v>0.22</v>
      </c>
      <c r="G690" s="74">
        <f>F690*VLOOKUP(D690,GWPs!$B$3:$C$6,2,FALSE)</f>
        <v>0.22</v>
      </c>
      <c r="H690" s="3">
        <v>8.8999999999999996E-2</v>
      </c>
      <c r="I690" s="74">
        <f>H690*VLOOKUP(D690,GWPs!$B$3:$C$6,2,FALSE)</f>
        <v>8.8999999999999996E-2</v>
      </c>
      <c r="J690" s="3">
        <v>0.309</v>
      </c>
      <c r="K690" s="74">
        <f>J690*VLOOKUP(D690,GWPs!$B$3:$C$6,2,FALSE)</f>
        <v>0.309</v>
      </c>
      <c r="M690" s="3">
        <v>3</v>
      </c>
      <c r="N690" s="3">
        <v>2</v>
      </c>
      <c r="O690" s="3">
        <v>1</v>
      </c>
      <c r="P690" s="3">
        <v>3</v>
      </c>
      <c r="Q690" s="3">
        <v>1</v>
      </c>
    </row>
    <row r="691" spans="1:17">
      <c r="A691" t="s">
        <v>1430</v>
      </c>
      <c r="B691" s="3" t="s">
        <v>653</v>
      </c>
      <c r="C691" s="3" t="s">
        <v>654</v>
      </c>
      <c r="D691" s="3" t="s">
        <v>13</v>
      </c>
      <c r="E691" s="3" t="s">
        <v>12</v>
      </c>
      <c r="F691" s="3">
        <v>1E-3</v>
      </c>
      <c r="G691" s="74">
        <f>F691*VLOOKUP(D691,GWPs!$B$3:$C$6,2,FALSE)</f>
        <v>2.8000000000000001E-2</v>
      </c>
      <c r="H691" s="3">
        <v>1E-3</v>
      </c>
      <c r="I691" s="74">
        <f>H691*VLOOKUP(D691,GWPs!$B$3:$C$6,2,FALSE)</f>
        <v>2.8000000000000001E-2</v>
      </c>
      <c r="J691" s="3">
        <v>1E-3</v>
      </c>
      <c r="K691" s="74">
        <f>J691*VLOOKUP(D691,GWPs!$B$3:$C$6,2,FALSE)</f>
        <v>2.8000000000000001E-2</v>
      </c>
      <c r="M691" s="3">
        <v>4</v>
      </c>
      <c r="N691" s="3">
        <v>2</v>
      </c>
      <c r="O691" s="3">
        <v>1</v>
      </c>
      <c r="P691" s="3">
        <v>1</v>
      </c>
      <c r="Q691" s="3">
        <v>1</v>
      </c>
    </row>
    <row r="692" spans="1:17">
      <c r="A692" t="s">
        <v>1430</v>
      </c>
      <c r="B692" s="3" t="s">
        <v>653</v>
      </c>
      <c r="C692" s="3" t="s">
        <v>654</v>
      </c>
      <c r="D692" s="3" t="s">
        <v>14</v>
      </c>
      <c r="E692" s="3" t="s">
        <v>12</v>
      </c>
      <c r="F692" s="3">
        <v>0</v>
      </c>
      <c r="G692" s="74">
        <f>F692*VLOOKUP(D692,GWPs!$B$3:$C$6,2,FALSE)</f>
        <v>0</v>
      </c>
      <c r="H692" s="3">
        <v>0</v>
      </c>
      <c r="I692" s="74">
        <f>H692*VLOOKUP(D692,GWPs!$B$3:$C$6,2,FALSE)</f>
        <v>0</v>
      </c>
      <c r="J692" s="3">
        <v>0</v>
      </c>
      <c r="K692" s="74">
        <f>J692*VLOOKUP(D692,GWPs!$B$3:$C$6,2,FALSE)</f>
        <v>0</v>
      </c>
      <c r="M692" s="3">
        <v>3</v>
      </c>
      <c r="N692" s="3">
        <v>2</v>
      </c>
      <c r="O692" s="3">
        <v>1</v>
      </c>
      <c r="P692" s="3">
        <v>3</v>
      </c>
      <c r="Q692" s="3">
        <v>1</v>
      </c>
    </row>
    <row r="693" spans="1:17">
      <c r="A693" t="s">
        <v>1430</v>
      </c>
      <c r="B693" s="3" t="s">
        <v>653</v>
      </c>
      <c r="C693" s="3" t="s">
        <v>654</v>
      </c>
      <c r="D693" s="3" t="s">
        <v>15</v>
      </c>
      <c r="E693" s="3" t="s">
        <v>16</v>
      </c>
      <c r="F693" s="3">
        <v>0.433</v>
      </c>
      <c r="G693" s="74">
        <f>F693*VLOOKUP(D693,GWPs!$B$3:$C$6,2,FALSE)</f>
        <v>0.433</v>
      </c>
      <c r="H693" s="3">
        <v>0</v>
      </c>
      <c r="I693" s="74">
        <f>H693*VLOOKUP(D693,GWPs!$B$3:$C$6,2,FALSE)</f>
        <v>0</v>
      </c>
      <c r="J693" s="3">
        <v>0.433</v>
      </c>
      <c r="K693" s="74">
        <f>J693*VLOOKUP(D693,GWPs!$B$3:$C$6,2,FALSE)</f>
        <v>0.433</v>
      </c>
      <c r="M693" s="3">
        <v>4</v>
      </c>
      <c r="N693" s="3">
        <v>2</v>
      </c>
      <c r="O693" s="3">
        <v>1</v>
      </c>
      <c r="P693" s="3">
        <v>5</v>
      </c>
      <c r="Q693" s="3">
        <v>1</v>
      </c>
    </row>
    <row r="694" spans="1:17">
      <c r="A694" t="s">
        <v>1429</v>
      </c>
      <c r="B694" s="3" t="s">
        <v>655</v>
      </c>
      <c r="C694" s="3" t="s">
        <v>656</v>
      </c>
      <c r="D694" s="3" t="s">
        <v>11</v>
      </c>
      <c r="E694" s="3" t="s">
        <v>12</v>
      </c>
      <c r="F694" s="3">
        <v>0.29799999999999999</v>
      </c>
      <c r="G694" s="74">
        <f>F694*VLOOKUP(D694,GWPs!$B$3:$C$6,2,FALSE)</f>
        <v>0.29799999999999999</v>
      </c>
      <c r="H694" s="3">
        <v>3.7999999999999999E-2</v>
      </c>
      <c r="I694" s="74">
        <f>H694*VLOOKUP(D694,GWPs!$B$3:$C$6,2,FALSE)</f>
        <v>3.7999999999999999E-2</v>
      </c>
      <c r="J694" s="3">
        <v>0.33600000000000002</v>
      </c>
      <c r="K694" s="74">
        <f>J694*VLOOKUP(D694,GWPs!$B$3:$C$6,2,FALSE)</f>
        <v>0.33600000000000002</v>
      </c>
      <c r="M694" s="3">
        <v>3</v>
      </c>
      <c r="N694" s="3">
        <v>2</v>
      </c>
      <c r="O694" s="3">
        <v>1</v>
      </c>
      <c r="P694" s="3">
        <v>3</v>
      </c>
      <c r="Q694" s="3">
        <v>1</v>
      </c>
    </row>
    <row r="695" spans="1:17">
      <c r="A695" t="s">
        <v>1429</v>
      </c>
      <c r="B695" s="3" t="s">
        <v>655</v>
      </c>
      <c r="C695" s="3" t="s">
        <v>656</v>
      </c>
      <c r="D695" s="3" t="s">
        <v>13</v>
      </c>
      <c r="E695" s="3" t="s">
        <v>12</v>
      </c>
      <c r="F695" s="3">
        <v>1E-3</v>
      </c>
      <c r="G695" s="74">
        <f>F695*VLOOKUP(D695,GWPs!$B$3:$C$6,2,FALSE)</f>
        <v>2.8000000000000001E-2</v>
      </c>
      <c r="H695" s="3">
        <v>0</v>
      </c>
      <c r="I695" s="74">
        <f>H695*VLOOKUP(D695,GWPs!$B$3:$C$6,2,FALSE)</f>
        <v>0</v>
      </c>
      <c r="J695" s="3">
        <v>1E-3</v>
      </c>
      <c r="K695" s="74">
        <f>J695*VLOOKUP(D695,GWPs!$B$3:$C$6,2,FALSE)</f>
        <v>2.8000000000000001E-2</v>
      </c>
      <c r="M695" s="3">
        <v>4</v>
      </c>
      <c r="N695" s="3">
        <v>2</v>
      </c>
      <c r="O695" s="3">
        <v>1</v>
      </c>
      <c r="P695" s="3">
        <v>1</v>
      </c>
      <c r="Q695" s="3">
        <v>1</v>
      </c>
    </row>
    <row r="696" spans="1:17">
      <c r="A696" t="s">
        <v>1429</v>
      </c>
      <c r="B696" s="3" t="s">
        <v>655</v>
      </c>
      <c r="C696" s="3" t="s">
        <v>656</v>
      </c>
      <c r="D696" s="3" t="s">
        <v>14</v>
      </c>
      <c r="E696" s="3" t="s">
        <v>12</v>
      </c>
      <c r="F696" s="3">
        <v>0</v>
      </c>
      <c r="G696" s="74">
        <f>F696*VLOOKUP(D696,GWPs!$B$3:$C$6,2,FALSE)</f>
        <v>0</v>
      </c>
      <c r="H696" s="3">
        <v>0</v>
      </c>
      <c r="I696" s="74">
        <f>H696*VLOOKUP(D696,GWPs!$B$3:$C$6,2,FALSE)</f>
        <v>0</v>
      </c>
      <c r="J696" s="3">
        <v>0</v>
      </c>
      <c r="K696" s="74">
        <f>J696*VLOOKUP(D696,GWPs!$B$3:$C$6,2,FALSE)</f>
        <v>0</v>
      </c>
      <c r="M696" s="3">
        <v>3</v>
      </c>
      <c r="N696" s="3">
        <v>2</v>
      </c>
      <c r="O696" s="3">
        <v>1</v>
      </c>
      <c r="P696" s="3">
        <v>3</v>
      </c>
      <c r="Q696" s="3">
        <v>1</v>
      </c>
    </row>
    <row r="697" spans="1:17">
      <c r="A697" t="s">
        <v>1429</v>
      </c>
      <c r="B697" s="3" t="s">
        <v>655</v>
      </c>
      <c r="C697" s="3" t="s">
        <v>656</v>
      </c>
      <c r="D697" s="3" t="s">
        <v>15</v>
      </c>
      <c r="E697" s="3" t="s">
        <v>16</v>
      </c>
      <c r="F697" s="3">
        <v>7.0000000000000001E-3</v>
      </c>
      <c r="G697" s="74">
        <f>F697*VLOOKUP(D697,GWPs!$B$3:$C$6,2,FALSE)</f>
        <v>7.0000000000000001E-3</v>
      </c>
      <c r="H697" s="3">
        <v>0</v>
      </c>
      <c r="I697" s="74">
        <f>H697*VLOOKUP(D697,GWPs!$B$3:$C$6,2,FALSE)</f>
        <v>0</v>
      </c>
      <c r="J697" s="3">
        <v>7.0000000000000001E-3</v>
      </c>
      <c r="K697" s="74">
        <f>J697*VLOOKUP(D697,GWPs!$B$3:$C$6,2,FALSE)</f>
        <v>7.0000000000000001E-3</v>
      </c>
      <c r="M697" s="3">
        <v>3</v>
      </c>
      <c r="N697" s="3">
        <v>2</v>
      </c>
      <c r="O697" s="3">
        <v>1</v>
      </c>
      <c r="P697" s="3">
        <v>2</v>
      </c>
      <c r="Q697" s="3">
        <v>1</v>
      </c>
    </row>
    <row r="698" spans="1:17">
      <c r="A698" t="s">
        <v>1429</v>
      </c>
      <c r="B698" s="3" t="s">
        <v>657</v>
      </c>
      <c r="C698" s="3" t="s">
        <v>658</v>
      </c>
      <c r="D698" s="3" t="s">
        <v>11</v>
      </c>
      <c r="E698" s="3" t="s">
        <v>12</v>
      </c>
      <c r="F698" s="3">
        <v>0.20300000000000001</v>
      </c>
      <c r="G698" s="74">
        <f>F698*VLOOKUP(D698,GWPs!$B$3:$C$6,2,FALSE)</f>
        <v>0.20300000000000001</v>
      </c>
      <c r="H698" s="3">
        <v>3.4000000000000002E-2</v>
      </c>
      <c r="I698" s="74">
        <f>H698*VLOOKUP(D698,GWPs!$B$3:$C$6,2,FALSE)</f>
        <v>3.4000000000000002E-2</v>
      </c>
      <c r="J698" s="3">
        <v>0.23699999999999999</v>
      </c>
      <c r="K698" s="74">
        <f>J698*VLOOKUP(D698,GWPs!$B$3:$C$6,2,FALSE)</f>
        <v>0.23699999999999999</v>
      </c>
      <c r="M698" s="3">
        <v>3</v>
      </c>
      <c r="N698" s="3">
        <v>2</v>
      </c>
      <c r="O698" s="3">
        <v>1</v>
      </c>
      <c r="P698" s="3">
        <v>3</v>
      </c>
      <c r="Q698" s="3">
        <v>1</v>
      </c>
    </row>
    <row r="699" spans="1:17">
      <c r="A699" t="s">
        <v>1429</v>
      </c>
      <c r="B699" s="3" t="s">
        <v>657</v>
      </c>
      <c r="C699" s="3" t="s">
        <v>658</v>
      </c>
      <c r="D699" s="3" t="s">
        <v>13</v>
      </c>
      <c r="E699" s="3" t="s">
        <v>12</v>
      </c>
      <c r="F699" s="3">
        <v>1E-3</v>
      </c>
      <c r="G699" s="74">
        <f>F699*VLOOKUP(D699,GWPs!$B$3:$C$6,2,FALSE)</f>
        <v>2.8000000000000001E-2</v>
      </c>
      <c r="H699" s="3">
        <v>0</v>
      </c>
      <c r="I699" s="74">
        <f>H699*VLOOKUP(D699,GWPs!$B$3:$C$6,2,FALSE)</f>
        <v>0</v>
      </c>
      <c r="J699" s="3">
        <v>1E-3</v>
      </c>
      <c r="K699" s="74">
        <f>J699*VLOOKUP(D699,GWPs!$B$3:$C$6,2,FALSE)</f>
        <v>2.8000000000000001E-2</v>
      </c>
      <c r="M699" s="3">
        <v>4</v>
      </c>
      <c r="N699" s="3">
        <v>2</v>
      </c>
      <c r="O699" s="3">
        <v>1</v>
      </c>
      <c r="P699" s="3">
        <v>1</v>
      </c>
      <c r="Q699" s="3">
        <v>1</v>
      </c>
    </row>
    <row r="700" spans="1:17">
      <c r="A700" t="s">
        <v>1429</v>
      </c>
      <c r="B700" s="3" t="s">
        <v>657</v>
      </c>
      <c r="C700" s="3" t="s">
        <v>658</v>
      </c>
      <c r="D700" s="3" t="s">
        <v>14</v>
      </c>
      <c r="E700" s="3" t="s">
        <v>12</v>
      </c>
      <c r="F700" s="3">
        <v>0</v>
      </c>
      <c r="G700" s="74">
        <f>F700*VLOOKUP(D700,GWPs!$B$3:$C$6,2,FALSE)</f>
        <v>0</v>
      </c>
      <c r="H700" s="3">
        <v>0</v>
      </c>
      <c r="I700" s="74">
        <f>H700*VLOOKUP(D700,GWPs!$B$3:$C$6,2,FALSE)</f>
        <v>0</v>
      </c>
      <c r="J700" s="3">
        <v>0</v>
      </c>
      <c r="K700" s="74">
        <f>J700*VLOOKUP(D700,GWPs!$B$3:$C$6,2,FALSE)</f>
        <v>0</v>
      </c>
      <c r="M700" s="3">
        <v>3</v>
      </c>
      <c r="N700" s="3">
        <v>2</v>
      </c>
      <c r="O700" s="3">
        <v>1</v>
      </c>
      <c r="P700" s="3">
        <v>3</v>
      </c>
      <c r="Q700" s="3">
        <v>1</v>
      </c>
    </row>
    <row r="701" spans="1:17">
      <c r="A701" t="s">
        <v>1429</v>
      </c>
      <c r="B701" s="3" t="s">
        <v>657</v>
      </c>
      <c r="C701" s="3" t="s">
        <v>658</v>
      </c>
      <c r="D701" s="3" t="s">
        <v>15</v>
      </c>
      <c r="E701" s="3" t="s">
        <v>16</v>
      </c>
      <c r="F701" s="3">
        <v>6.0000000000000001E-3</v>
      </c>
      <c r="G701" s="74">
        <f>F701*VLOOKUP(D701,GWPs!$B$3:$C$6,2,FALSE)</f>
        <v>6.0000000000000001E-3</v>
      </c>
      <c r="H701" s="3">
        <v>0</v>
      </c>
      <c r="I701" s="74">
        <f>H701*VLOOKUP(D701,GWPs!$B$3:$C$6,2,FALSE)</f>
        <v>0</v>
      </c>
      <c r="J701" s="3">
        <v>6.0000000000000001E-3</v>
      </c>
      <c r="K701" s="74">
        <f>J701*VLOOKUP(D701,GWPs!$B$3:$C$6,2,FALSE)</f>
        <v>6.0000000000000001E-3</v>
      </c>
      <c r="M701" s="3">
        <v>3</v>
      </c>
      <c r="N701" s="3">
        <v>2</v>
      </c>
      <c r="O701" s="3">
        <v>1</v>
      </c>
      <c r="P701" s="3">
        <v>2</v>
      </c>
      <c r="Q701" s="3">
        <v>1</v>
      </c>
    </row>
    <row r="702" spans="1:17">
      <c r="A702" t="s">
        <v>1429</v>
      </c>
      <c r="B702" s="3" t="s">
        <v>659</v>
      </c>
      <c r="C702" s="3" t="s">
        <v>660</v>
      </c>
      <c r="D702" s="3" t="s">
        <v>11</v>
      </c>
      <c r="E702" s="3" t="s">
        <v>12</v>
      </c>
      <c r="F702" s="3">
        <v>0.23</v>
      </c>
      <c r="G702" s="74">
        <f>F702*VLOOKUP(D702,GWPs!$B$3:$C$6,2,FALSE)</f>
        <v>0.23</v>
      </c>
      <c r="H702" s="3">
        <v>6.3E-2</v>
      </c>
      <c r="I702" s="74">
        <f>H702*VLOOKUP(D702,GWPs!$B$3:$C$6,2,FALSE)</f>
        <v>6.3E-2</v>
      </c>
      <c r="J702" s="3">
        <v>0.29299999999999998</v>
      </c>
      <c r="K702" s="74">
        <f>J702*VLOOKUP(D702,GWPs!$B$3:$C$6,2,FALSE)</f>
        <v>0.29299999999999998</v>
      </c>
      <c r="M702" s="3">
        <v>3</v>
      </c>
      <c r="N702" s="3">
        <v>2</v>
      </c>
      <c r="O702" s="3">
        <v>1</v>
      </c>
      <c r="P702" s="3">
        <v>3</v>
      </c>
      <c r="Q702" s="3">
        <v>1</v>
      </c>
    </row>
    <row r="703" spans="1:17">
      <c r="A703" t="s">
        <v>1429</v>
      </c>
      <c r="B703" s="3" t="s">
        <v>659</v>
      </c>
      <c r="C703" s="3" t="s">
        <v>660</v>
      </c>
      <c r="D703" s="3" t="s">
        <v>13</v>
      </c>
      <c r="E703" s="3" t="s">
        <v>12</v>
      </c>
      <c r="F703" s="3">
        <v>1E-3</v>
      </c>
      <c r="G703" s="74">
        <f>F703*VLOOKUP(D703,GWPs!$B$3:$C$6,2,FALSE)</f>
        <v>2.8000000000000001E-2</v>
      </c>
      <c r="H703" s="3">
        <v>1E-3</v>
      </c>
      <c r="I703" s="74">
        <f>H703*VLOOKUP(D703,GWPs!$B$3:$C$6,2,FALSE)</f>
        <v>2.8000000000000001E-2</v>
      </c>
      <c r="J703" s="3">
        <v>1E-3</v>
      </c>
      <c r="K703" s="74">
        <f>J703*VLOOKUP(D703,GWPs!$B$3:$C$6,2,FALSE)</f>
        <v>2.8000000000000001E-2</v>
      </c>
      <c r="M703" s="3">
        <v>4</v>
      </c>
      <c r="N703" s="3">
        <v>2</v>
      </c>
      <c r="O703" s="3">
        <v>1</v>
      </c>
      <c r="P703" s="3">
        <v>1</v>
      </c>
      <c r="Q703" s="3">
        <v>1</v>
      </c>
    </row>
    <row r="704" spans="1:17">
      <c r="A704" t="s">
        <v>1429</v>
      </c>
      <c r="B704" s="3" t="s">
        <v>659</v>
      </c>
      <c r="C704" s="3" t="s">
        <v>660</v>
      </c>
      <c r="D704" s="3" t="s">
        <v>14</v>
      </c>
      <c r="E704" s="3" t="s">
        <v>12</v>
      </c>
      <c r="F704" s="3">
        <v>0</v>
      </c>
      <c r="G704" s="74">
        <f>F704*VLOOKUP(D704,GWPs!$B$3:$C$6,2,FALSE)</f>
        <v>0</v>
      </c>
      <c r="H704" s="3">
        <v>0</v>
      </c>
      <c r="I704" s="74">
        <f>H704*VLOOKUP(D704,GWPs!$B$3:$C$6,2,FALSE)</f>
        <v>0</v>
      </c>
      <c r="J704" s="3">
        <v>0</v>
      </c>
      <c r="K704" s="74">
        <f>J704*VLOOKUP(D704,GWPs!$B$3:$C$6,2,FALSE)</f>
        <v>0</v>
      </c>
      <c r="M704" s="3">
        <v>3</v>
      </c>
      <c r="N704" s="3">
        <v>2</v>
      </c>
      <c r="O704" s="3">
        <v>1</v>
      </c>
      <c r="P704" s="3">
        <v>3</v>
      </c>
      <c r="Q704" s="3">
        <v>1</v>
      </c>
    </row>
    <row r="705" spans="1:17">
      <c r="A705" t="s">
        <v>1429</v>
      </c>
      <c r="B705" s="3" t="s">
        <v>659</v>
      </c>
      <c r="C705" s="3" t="s">
        <v>660</v>
      </c>
      <c r="D705" s="3" t="s">
        <v>15</v>
      </c>
      <c r="E705" s="3" t="s">
        <v>16</v>
      </c>
      <c r="F705" s="3">
        <v>7.0000000000000001E-3</v>
      </c>
      <c r="G705" s="74">
        <f>F705*VLOOKUP(D705,GWPs!$B$3:$C$6,2,FALSE)</f>
        <v>7.0000000000000001E-3</v>
      </c>
      <c r="H705" s="3">
        <v>0</v>
      </c>
      <c r="I705" s="74">
        <f>H705*VLOOKUP(D705,GWPs!$B$3:$C$6,2,FALSE)</f>
        <v>0</v>
      </c>
      <c r="J705" s="3">
        <v>7.0000000000000001E-3</v>
      </c>
      <c r="K705" s="74">
        <f>J705*VLOOKUP(D705,GWPs!$B$3:$C$6,2,FALSE)</f>
        <v>7.0000000000000001E-3</v>
      </c>
      <c r="M705" s="3">
        <v>3</v>
      </c>
      <c r="N705" s="3">
        <v>2</v>
      </c>
      <c r="O705" s="3">
        <v>1</v>
      </c>
      <c r="P705" s="3">
        <v>3</v>
      </c>
      <c r="Q705" s="3">
        <v>1</v>
      </c>
    </row>
    <row r="706" spans="1:17">
      <c r="A706" t="s">
        <v>1429</v>
      </c>
      <c r="B706" s="3" t="s">
        <v>661</v>
      </c>
      <c r="C706" s="3" t="s">
        <v>662</v>
      </c>
      <c r="D706" s="3" t="s">
        <v>11</v>
      </c>
      <c r="E706" s="3" t="s">
        <v>12</v>
      </c>
      <c r="F706" s="3">
        <v>0.22900000000000001</v>
      </c>
      <c r="G706" s="74">
        <f>F706*VLOOKUP(D706,GWPs!$B$3:$C$6,2,FALSE)</f>
        <v>0.22900000000000001</v>
      </c>
      <c r="H706" s="3">
        <v>3.7999999999999999E-2</v>
      </c>
      <c r="I706" s="74">
        <f>H706*VLOOKUP(D706,GWPs!$B$3:$C$6,2,FALSE)</f>
        <v>3.7999999999999999E-2</v>
      </c>
      <c r="J706" s="3">
        <v>0.26700000000000002</v>
      </c>
      <c r="K706" s="74">
        <f>J706*VLOOKUP(D706,GWPs!$B$3:$C$6,2,FALSE)</f>
        <v>0.26700000000000002</v>
      </c>
      <c r="M706" s="3">
        <v>3</v>
      </c>
      <c r="N706" s="3">
        <v>2</v>
      </c>
      <c r="O706" s="3">
        <v>1</v>
      </c>
      <c r="P706" s="3">
        <v>3</v>
      </c>
      <c r="Q706" s="3">
        <v>1</v>
      </c>
    </row>
    <row r="707" spans="1:17">
      <c r="A707" t="s">
        <v>1429</v>
      </c>
      <c r="B707" s="3" t="s">
        <v>661</v>
      </c>
      <c r="C707" s="3" t="s">
        <v>662</v>
      </c>
      <c r="D707" s="3" t="s">
        <v>13</v>
      </c>
      <c r="E707" s="3" t="s">
        <v>12</v>
      </c>
      <c r="F707" s="3">
        <v>1E-3</v>
      </c>
      <c r="G707" s="74">
        <f>F707*VLOOKUP(D707,GWPs!$B$3:$C$6,2,FALSE)</f>
        <v>2.8000000000000001E-2</v>
      </c>
      <c r="H707" s="3">
        <v>0</v>
      </c>
      <c r="I707" s="74">
        <f>H707*VLOOKUP(D707,GWPs!$B$3:$C$6,2,FALSE)</f>
        <v>0</v>
      </c>
      <c r="J707" s="3">
        <v>1E-3</v>
      </c>
      <c r="K707" s="74">
        <f>J707*VLOOKUP(D707,GWPs!$B$3:$C$6,2,FALSE)</f>
        <v>2.8000000000000001E-2</v>
      </c>
      <c r="M707" s="3">
        <v>4</v>
      </c>
      <c r="N707" s="3">
        <v>2</v>
      </c>
      <c r="O707" s="3">
        <v>1</v>
      </c>
      <c r="P707" s="3">
        <v>1</v>
      </c>
      <c r="Q707" s="3">
        <v>1</v>
      </c>
    </row>
    <row r="708" spans="1:17">
      <c r="A708" t="s">
        <v>1429</v>
      </c>
      <c r="B708" s="3" t="s">
        <v>661</v>
      </c>
      <c r="C708" s="3" t="s">
        <v>662</v>
      </c>
      <c r="D708" s="3" t="s">
        <v>14</v>
      </c>
      <c r="E708" s="3" t="s">
        <v>12</v>
      </c>
      <c r="F708" s="3">
        <v>0</v>
      </c>
      <c r="G708" s="74">
        <f>F708*VLOOKUP(D708,GWPs!$B$3:$C$6,2,FALSE)</f>
        <v>0</v>
      </c>
      <c r="H708" s="3">
        <v>0</v>
      </c>
      <c r="I708" s="74">
        <f>H708*VLOOKUP(D708,GWPs!$B$3:$C$6,2,FALSE)</f>
        <v>0</v>
      </c>
      <c r="J708" s="3">
        <v>0</v>
      </c>
      <c r="K708" s="74">
        <f>J708*VLOOKUP(D708,GWPs!$B$3:$C$6,2,FALSE)</f>
        <v>0</v>
      </c>
      <c r="M708" s="3">
        <v>3</v>
      </c>
      <c r="N708" s="3">
        <v>2</v>
      </c>
      <c r="O708" s="3">
        <v>1</v>
      </c>
      <c r="P708" s="3">
        <v>3</v>
      </c>
      <c r="Q708" s="3">
        <v>1</v>
      </c>
    </row>
    <row r="709" spans="1:17">
      <c r="A709" t="s">
        <v>1429</v>
      </c>
      <c r="B709" s="3" t="s">
        <v>661</v>
      </c>
      <c r="C709" s="3" t="s">
        <v>662</v>
      </c>
      <c r="D709" s="3" t="s">
        <v>15</v>
      </c>
      <c r="E709" s="3" t="s">
        <v>16</v>
      </c>
      <c r="F709" s="3">
        <v>7.0000000000000001E-3</v>
      </c>
      <c r="G709" s="74">
        <f>F709*VLOOKUP(D709,GWPs!$B$3:$C$6,2,FALSE)</f>
        <v>7.0000000000000001E-3</v>
      </c>
      <c r="H709" s="3">
        <v>0</v>
      </c>
      <c r="I709" s="74">
        <f>H709*VLOOKUP(D709,GWPs!$B$3:$C$6,2,FALSE)</f>
        <v>0</v>
      </c>
      <c r="J709" s="3">
        <v>7.0000000000000001E-3</v>
      </c>
      <c r="K709" s="74">
        <f>J709*VLOOKUP(D709,GWPs!$B$3:$C$6,2,FALSE)</f>
        <v>7.0000000000000001E-3</v>
      </c>
      <c r="M709" s="3">
        <v>3</v>
      </c>
      <c r="N709" s="3">
        <v>2</v>
      </c>
      <c r="O709" s="3">
        <v>1</v>
      </c>
      <c r="P709" s="3">
        <v>2</v>
      </c>
      <c r="Q709" s="3">
        <v>1</v>
      </c>
    </row>
    <row r="710" spans="1:17">
      <c r="A710" t="s">
        <v>1429</v>
      </c>
      <c r="B710" s="3" t="s">
        <v>663</v>
      </c>
      <c r="C710" s="3" t="s">
        <v>664</v>
      </c>
      <c r="D710" s="3" t="s">
        <v>11</v>
      </c>
      <c r="E710" s="3" t="s">
        <v>12</v>
      </c>
      <c r="F710" s="3">
        <v>0.22500000000000001</v>
      </c>
      <c r="G710" s="74">
        <f>F710*VLOOKUP(D710,GWPs!$B$3:$C$6,2,FALSE)</f>
        <v>0.22500000000000001</v>
      </c>
      <c r="H710" s="3">
        <v>4.4999999999999998E-2</v>
      </c>
      <c r="I710" s="74">
        <f>H710*VLOOKUP(D710,GWPs!$B$3:$C$6,2,FALSE)</f>
        <v>4.4999999999999998E-2</v>
      </c>
      <c r="J710" s="3">
        <v>0.27</v>
      </c>
      <c r="K710" s="74">
        <f>J710*VLOOKUP(D710,GWPs!$B$3:$C$6,2,FALSE)</f>
        <v>0.27</v>
      </c>
      <c r="M710" s="3">
        <v>3</v>
      </c>
      <c r="N710" s="3">
        <v>2</v>
      </c>
      <c r="O710" s="3">
        <v>1</v>
      </c>
      <c r="P710" s="3">
        <v>3</v>
      </c>
      <c r="Q710" s="3">
        <v>1</v>
      </c>
    </row>
    <row r="711" spans="1:17">
      <c r="A711" t="s">
        <v>1429</v>
      </c>
      <c r="B711" s="3" t="s">
        <v>663</v>
      </c>
      <c r="C711" s="3" t="s">
        <v>664</v>
      </c>
      <c r="D711" s="3" t="s">
        <v>13</v>
      </c>
      <c r="E711" s="3" t="s">
        <v>12</v>
      </c>
      <c r="F711" s="3">
        <v>1E-3</v>
      </c>
      <c r="G711" s="74">
        <f>F711*VLOOKUP(D711,GWPs!$B$3:$C$6,2,FALSE)</f>
        <v>2.8000000000000001E-2</v>
      </c>
      <c r="H711" s="3">
        <v>0</v>
      </c>
      <c r="I711" s="74">
        <f>H711*VLOOKUP(D711,GWPs!$B$3:$C$6,2,FALSE)</f>
        <v>0</v>
      </c>
      <c r="J711" s="3">
        <v>1E-3</v>
      </c>
      <c r="K711" s="74">
        <f>J711*VLOOKUP(D711,GWPs!$B$3:$C$6,2,FALSE)</f>
        <v>2.8000000000000001E-2</v>
      </c>
      <c r="M711" s="3">
        <v>4</v>
      </c>
      <c r="N711" s="3">
        <v>2</v>
      </c>
      <c r="O711" s="3">
        <v>1</v>
      </c>
      <c r="P711" s="3">
        <v>1</v>
      </c>
      <c r="Q711" s="3">
        <v>1</v>
      </c>
    </row>
    <row r="712" spans="1:17">
      <c r="A712" t="s">
        <v>1429</v>
      </c>
      <c r="B712" s="3" t="s">
        <v>663</v>
      </c>
      <c r="C712" s="3" t="s">
        <v>664</v>
      </c>
      <c r="D712" s="3" t="s">
        <v>14</v>
      </c>
      <c r="E712" s="3" t="s">
        <v>12</v>
      </c>
      <c r="F712" s="3">
        <v>0</v>
      </c>
      <c r="G712" s="74">
        <f>F712*VLOOKUP(D712,GWPs!$B$3:$C$6,2,FALSE)</f>
        <v>0</v>
      </c>
      <c r="H712" s="3">
        <v>0</v>
      </c>
      <c r="I712" s="74">
        <f>H712*VLOOKUP(D712,GWPs!$B$3:$C$6,2,FALSE)</f>
        <v>0</v>
      </c>
      <c r="J712" s="3">
        <v>0</v>
      </c>
      <c r="K712" s="74">
        <f>J712*VLOOKUP(D712,GWPs!$B$3:$C$6,2,FALSE)</f>
        <v>0</v>
      </c>
      <c r="M712" s="3">
        <v>3</v>
      </c>
      <c r="N712" s="3">
        <v>2</v>
      </c>
      <c r="O712" s="3">
        <v>1</v>
      </c>
      <c r="P712" s="3">
        <v>3</v>
      </c>
      <c r="Q712" s="3">
        <v>1</v>
      </c>
    </row>
    <row r="713" spans="1:17">
      <c r="A713" t="s">
        <v>1429</v>
      </c>
      <c r="B713" s="3" t="s">
        <v>663</v>
      </c>
      <c r="C713" s="3" t="s">
        <v>664</v>
      </c>
      <c r="D713" s="3" t="s">
        <v>15</v>
      </c>
      <c r="E713" s="3" t="s">
        <v>16</v>
      </c>
      <c r="F713" s="3">
        <v>7.0000000000000001E-3</v>
      </c>
      <c r="G713" s="74">
        <f>F713*VLOOKUP(D713,GWPs!$B$3:$C$6,2,FALSE)</f>
        <v>7.0000000000000001E-3</v>
      </c>
      <c r="H713" s="3">
        <v>0</v>
      </c>
      <c r="I713" s="74">
        <f>H713*VLOOKUP(D713,GWPs!$B$3:$C$6,2,FALSE)</f>
        <v>0</v>
      </c>
      <c r="J713" s="3">
        <v>7.0000000000000001E-3</v>
      </c>
      <c r="K713" s="74">
        <f>J713*VLOOKUP(D713,GWPs!$B$3:$C$6,2,FALSE)</f>
        <v>7.0000000000000001E-3</v>
      </c>
      <c r="M713" s="3">
        <v>3</v>
      </c>
      <c r="N713" s="3">
        <v>2</v>
      </c>
      <c r="O713" s="3">
        <v>1</v>
      </c>
      <c r="P713" s="3">
        <v>2</v>
      </c>
      <c r="Q713" s="3">
        <v>1</v>
      </c>
    </row>
    <row r="714" spans="1:17">
      <c r="A714" t="s">
        <v>1429</v>
      </c>
      <c r="B714" s="3" t="s">
        <v>665</v>
      </c>
      <c r="C714" s="3" t="s">
        <v>666</v>
      </c>
      <c r="D714" s="3" t="s">
        <v>11</v>
      </c>
      <c r="E714" s="3" t="s">
        <v>12</v>
      </c>
      <c r="F714" s="3">
        <v>0.14399999999999999</v>
      </c>
      <c r="G714" s="74">
        <f>F714*VLOOKUP(D714,GWPs!$B$3:$C$6,2,FALSE)</f>
        <v>0.14399999999999999</v>
      </c>
      <c r="H714" s="3">
        <v>4.1000000000000002E-2</v>
      </c>
      <c r="I714" s="74">
        <f>H714*VLOOKUP(D714,GWPs!$B$3:$C$6,2,FALSE)</f>
        <v>4.1000000000000002E-2</v>
      </c>
      <c r="J714" s="3">
        <v>0.186</v>
      </c>
      <c r="K714" s="74">
        <f>J714*VLOOKUP(D714,GWPs!$B$3:$C$6,2,FALSE)</f>
        <v>0.186</v>
      </c>
      <c r="M714" s="3">
        <v>3</v>
      </c>
      <c r="N714" s="3">
        <v>2</v>
      </c>
      <c r="O714" s="3">
        <v>1</v>
      </c>
      <c r="P714" s="3">
        <v>3</v>
      </c>
      <c r="Q714" s="3">
        <v>1</v>
      </c>
    </row>
    <row r="715" spans="1:17">
      <c r="A715" t="s">
        <v>1429</v>
      </c>
      <c r="B715" s="3" t="s">
        <v>665</v>
      </c>
      <c r="C715" s="3" t="s">
        <v>666</v>
      </c>
      <c r="D715" s="3" t="s">
        <v>13</v>
      </c>
      <c r="E715" s="3" t="s">
        <v>12</v>
      </c>
      <c r="F715" s="3">
        <v>0</v>
      </c>
      <c r="G715" s="74">
        <f>F715*VLOOKUP(D715,GWPs!$B$3:$C$6,2,FALSE)</f>
        <v>0</v>
      </c>
      <c r="H715" s="3">
        <v>0</v>
      </c>
      <c r="I715" s="74">
        <f>H715*VLOOKUP(D715,GWPs!$B$3:$C$6,2,FALSE)</f>
        <v>0</v>
      </c>
      <c r="J715" s="3">
        <v>1E-3</v>
      </c>
      <c r="K715" s="74">
        <f>J715*VLOOKUP(D715,GWPs!$B$3:$C$6,2,FALSE)</f>
        <v>2.8000000000000001E-2</v>
      </c>
      <c r="M715" s="3">
        <v>4</v>
      </c>
      <c r="N715" s="3">
        <v>2</v>
      </c>
      <c r="O715" s="3">
        <v>1</v>
      </c>
      <c r="P715" s="3">
        <v>1</v>
      </c>
      <c r="Q715" s="3">
        <v>1</v>
      </c>
    </row>
    <row r="716" spans="1:17">
      <c r="A716" t="s">
        <v>1429</v>
      </c>
      <c r="B716" s="3" t="s">
        <v>665</v>
      </c>
      <c r="C716" s="3" t="s">
        <v>666</v>
      </c>
      <c r="D716" s="3" t="s">
        <v>14</v>
      </c>
      <c r="E716" s="3" t="s">
        <v>12</v>
      </c>
      <c r="F716" s="3">
        <v>0</v>
      </c>
      <c r="G716" s="74">
        <f>F716*VLOOKUP(D716,GWPs!$B$3:$C$6,2,FALSE)</f>
        <v>0</v>
      </c>
      <c r="H716" s="3">
        <v>0</v>
      </c>
      <c r="I716" s="74">
        <f>H716*VLOOKUP(D716,GWPs!$B$3:$C$6,2,FALSE)</f>
        <v>0</v>
      </c>
      <c r="J716" s="3">
        <v>0</v>
      </c>
      <c r="K716" s="74">
        <f>J716*VLOOKUP(D716,GWPs!$B$3:$C$6,2,FALSE)</f>
        <v>0</v>
      </c>
      <c r="M716" s="3">
        <v>3</v>
      </c>
      <c r="N716" s="3">
        <v>2</v>
      </c>
      <c r="O716" s="3">
        <v>1</v>
      </c>
      <c r="P716" s="3">
        <v>3</v>
      </c>
      <c r="Q716" s="3">
        <v>1</v>
      </c>
    </row>
    <row r="717" spans="1:17">
      <c r="A717" t="s">
        <v>1429</v>
      </c>
      <c r="B717" s="3" t="s">
        <v>665</v>
      </c>
      <c r="C717" s="3" t="s">
        <v>666</v>
      </c>
      <c r="D717" s="3" t="s">
        <v>15</v>
      </c>
      <c r="E717" s="3" t="s">
        <v>16</v>
      </c>
      <c r="F717" s="3">
        <v>6.0000000000000001E-3</v>
      </c>
      <c r="G717" s="74">
        <f>F717*VLOOKUP(D717,GWPs!$B$3:$C$6,2,FALSE)</f>
        <v>6.0000000000000001E-3</v>
      </c>
      <c r="H717" s="3">
        <v>0</v>
      </c>
      <c r="I717" s="74">
        <f>H717*VLOOKUP(D717,GWPs!$B$3:$C$6,2,FALSE)</f>
        <v>0</v>
      </c>
      <c r="J717" s="3">
        <v>6.0000000000000001E-3</v>
      </c>
      <c r="K717" s="74">
        <f>J717*VLOOKUP(D717,GWPs!$B$3:$C$6,2,FALSE)</f>
        <v>6.0000000000000001E-3</v>
      </c>
      <c r="M717" s="3">
        <v>3</v>
      </c>
      <c r="N717" s="3">
        <v>2</v>
      </c>
      <c r="O717" s="3">
        <v>1</v>
      </c>
      <c r="P717" s="3">
        <v>3</v>
      </c>
      <c r="Q717" s="3">
        <v>1</v>
      </c>
    </row>
    <row r="718" spans="1:17">
      <c r="A718" t="s">
        <v>1429</v>
      </c>
      <c r="B718" s="3" t="s">
        <v>667</v>
      </c>
      <c r="C718" s="3" t="s">
        <v>668</v>
      </c>
      <c r="D718" s="3" t="s">
        <v>11</v>
      </c>
      <c r="E718" s="3" t="s">
        <v>12</v>
      </c>
      <c r="F718" s="3">
        <v>0.17100000000000001</v>
      </c>
      <c r="G718" s="74">
        <f>F718*VLOOKUP(D718,GWPs!$B$3:$C$6,2,FALSE)</f>
        <v>0.17100000000000001</v>
      </c>
      <c r="H718" s="3">
        <v>0.04</v>
      </c>
      <c r="I718" s="74">
        <f>H718*VLOOKUP(D718,GWPs!$B$3:$C$6,2,FALSE)</f>
        <v>0.04</v>
      </c>
      <c r="J718" s="3">
        <v>0.21099999999999999</v>
      </c>
      <c r="K718" s="74">
        <f>J718*VLOOKUP(D718,GWPs!$B$3:$C$6,2,FALSE)</f>
        <v>0.21099999999999999</v>
      </c>
      <c r="M718" s="3">
        <v>3</v>
      </c>
      <c r="N718" s="3">
        <v>2</v>
      </c>
      <c r="O718" s="3">
        <v>1</v>
      </c>
      <c r="P718" s="3">
        <v>3</v>
      </c>
      <c r="Q718" s="3">
        <v>1</v>
      </c>
    </row>
    <row r="719" spans="1:17">
      <c r="A719" t="s">
        <v>1429</v>
      </c>
      <c r="B719" s="3" t="s">
        <v>667</v>
      </c>
      <c r="C719" s="3" t="s">
        <v>668</v>
      </c>
      <c r="D719" s="3" t="s">
        <v>13</v>
      </c>
      <c r="E719" s="3" t="s">
        <v>12</v>
      </c>
      <c r="F719" s="3">
        <v>1E-3</v>
      </c>
      <c r="G719" s="74">
        <f>F719*VLOOKUP(D719,GWPs!$B$3:$C$6,2,FALSE)</f>
        <v>2.8000000000000001E-2</v>
      </c>
      <c r="H719" s="3">
        <v>0</v>
      </c>
      <c r="I719" s="74">
        <f>H719*VLOOKUP(D719,GWPs!$B$3:$C$6,2,FALSE)</f>
        <v>0</v>
      </c>
      <c r="J719" s="3">
        <v>1E-3</v>
      </c>
      <c r="K719" s="74">
        <f>J719*VLOOKUP(D719,GWPs!$B$3:$C$6,2,FALSE)</f>
        <v>2.8000000000000001E-2</v>
      </c>
      <c r="M719" s="3">
        <v>4</v>
      </c>
      <c r="N719" s="3">
        <v>2</v>
      </c>
      <c r="O719" s="3">
        <v>1</v>
      </c>
      <c r="P719" s="3">
        <v>1</v>
      </c>
      <c r="Q719" s="3">
        <v>1</v>
      </c>
    </row>
    <row r="720" spans="1:17">
      <c r="A720" t="s">
        <v>1429</v>
      </c>
      <c r="B720" s="3" t="s">
        <v>667</v>
      </c>
      <c r="C720" s="3" t="s">
        <v>668</v>
      </c>
      <c r="D720" s="3" t="s">
        <v>14</v>
      </c>
      <c r="E720" s="3" t="s">
        <v>12</v>
      </c>
      <c r="F720" s="3">
        <v>0</v>
      </c>
      <c r="G720" s="74">
        <f>F720*VLOOKUP(D720,GWPs!$B$3:$C$6,2,FALSE)</f>
        <v>0</v>
      </c>
      <c r="H720" s="3">
        <v>0</v>
      </c>
      <c r="I720" s="74">
        <f>H720*VLOOKUP(D720,GWPs!$B$3:$C$6,2,FALSE)</f>
        <v>0</v>
      </c>
      <c r="J720" s="3">
        <v>0</v>
      </c>
      <c r="K720" s="74">
        <f>J720*VLOOKUP(D720,GWPs!$B$3:$C$6,2,FALSE)</f>
        <v>0</v>
      </c>
      <c r="M720" s="3">
        <v>3</v>
      </c>
      <c r="N720" s="3">
        <v>2</v>
      </c>
      <c r="O720" s="3">
        <v>1</v>
      </c>
      <c r="P720" s="3">
        <v>3</v>
      </c>
      <c r="Q720" s="3">
        <v>1</v>
      </c>
    </row>
    <row r="721" spans="1:17">
      <c r="A721" t="s">
        <v>1429</v>
      </c>
      <c r="B721" s="3" t="s">
        <v>667</v>
      </c>
      <c r="C721" s="3" t="s">
        <v>668</v>
      </c>
      <c r="D721" s="3" t="s">
        <v>15</v>
      </c>
      <c r="E721" s="3" t="s">
        <v>16</v>
      </c>
      <c r="F721" s="3">
        <v>6.0000000000000001E-3</v>
      </c>
      <c r="G721" s="74">
        <f>F721*VLOOKUP(D721,GWPs!$B$3:$C$6,2,FALSE)</f>
        <v>6.0000000000000001E-3</v>
      </c>
      <c r="H721" s="3">
        <v>0</v>
      </c>
      <c r="I721" s="74">
        <f>H721*VLOOKUP(D721,GWPs!$B$3:$C$6,2,FALSE)</f>
        <v>0</v>
      </c>
      <c r="J721" s="3">
        <v>6.0000000000000001E-3</v>
      </c>
      <c r="K721" s="74">
        <f>J721*VLOOKUP(D721,GWPs!$B$3:$C$6,2,FALSE)</f>
        <v>6.0000000000000001E-3</v>
      </c>
      <c r="M721" s="3">
        <v>3</v>
      </c>
      <c r="N721" s="3">
        <v>2</v>
      </c>
      <c r="O721" s="3">
        <v>1</v>
      </c>
      <c r="P721" s="3">
        <v>2</v>
      </c>
      <c r="Q721" s="3">
        <v>1</v>
      </c>
    </row>
    <row r="722" spans="1:17">
      <c r="A722" t="s">
        <v>1429</v>
      </c>
      <c r="B722" s="3" t="s">
        <v>669</v>
      </c>
      <c r="C722" s="3" t="s">
        <v>670</v>
      </c>
      <c r="D722" s="3" t="s">
        <v>11</v>
      </c>
      <c r="E722" s="3" t="s">
        <v>12</v>
      </c>
      <c r="F722" s="3">
        <v>0.20799999999999999</v>
      </c>
      <c r="G722" s="74">
        <f>F722*VLOOKUP(D722,GWPs!$B$3:$C$6,2,FALSE)</f>
        <v>0.20799999999999999</v>
      </c>
      <c r="H722" s="3">
        <v>3.9E-2</v>
      </c>
      <c r="I722" s="74">
        <f>H722*VLOOKUP(D722,GWPs!$B$3:$C$6,2,FALSE)</f>
        <v>3.9E-2</v>
      </c>
      <c r="J722" s="3">
        <v>0.247</v>
      </c>
      <c r="K722" s="74">
        <f>J722*VLOOKUP(D722,GWPs!$B$3:$C$6,2,FALSE)</f>
        <v>0.247</v>
      </c>
      <c r="M722" s="3">
        <v>3</v>
      </c>
      <c r="N722" s="3">
        <v>2</v>
      </c>
      <c r="O722" s="3">
        <v>1</v>
      </c>
      <c r="P722" s="3">
        <v>3</v>
      </c>
      <c r="Q722" s="3">
        <v>1</v>
      </c>
    </row>
    <row r="723" spans="1:17">
      <c r="A723" t="s">
        <v>1429</v>
      </c>
      <c r="B723" s="3" t="s">
        <v>669</v>
      </c>
      <c r="C723" s="3" t="s">
        <v>670</v>
      </c>
      <c r="D723" s="3" t="s">
        <v>13</v>
      </c>
      <c r="E723" s="3" t="s">
        <v>12</v>
      </c>
      <c r="F723" s="3">
        <v>1E-3</v>
      </c>
      <c r="G723" s="74">
        <f>F723*VLOOKUP(D723,GWPs!$B$3:$C$6,2,FALSE)</f>
        <v>2.8000000000000001E-2</v>
      </c>
      <c r="H723" s="3">
        <v>0</v>
      </c>
      <c r="I723" s="74">
        <f>H723*VLOOKUP(D723,GWPs!$B$3:$C$6,2,FALSE)</f>
        <v>0</v>
      </c>
      <c r="J723" s="3">
        <v>1E-3</v>
      </c>
      <c r="K723" s="74">
        <f>J723*VLOOKUP(D723,GWPs!$B$3:$C$6,2,FALSE)</f>
        <v>2.8000000000000001E-2</v>
      </c>
      <c r="M723" s="3">
        <v>4</v>
      </c>
      <c r="N723" s="3">
        <v>2</v>
      </c>
      <c r="O723" s="3">
        <v>1</v>
      </c>
      <c r="P723" s="3">
        <v>1</v>
      </c>
      <c r="Q723" s="3">
        <v>1</v>
      </c>
    </row>
    <row r="724" spans="1:17">
      <c r="A724" t="s">
        <v>1429</v>
      </c>
      <c r="B724" s="3" t="s">
        <v>669</v>
      </c>
      <c r="C724" s="3" t="s">
        <v>670</v>
      </c>
      <c r="D724" s="3" t="s">
        <v>14</v>
      </c>
      <c r="E724" s="3" t="s">
        <v>12</v>
      </c>
      <c r="F724" s="3">
        <v>0</v>
      </c>
      <c r="G724" s="74">
        <f>F724*VLOOKUP(D724,GWPs!$B$3:$C$6,2,FALSE)</f>
        <v>0</v>
      </c>
      <c r="H724" s="3">
        <v>0</v>
      </c>
      <c r="I724" s="74">
        <f>H724*VLOOKUP(D724,GWPs!$B$3:$C$6,2,FALSE)</f>
        <v>0</v>
      </c>
      <c r="J724" s="3">
        <v>0</v>
      </c>
      <c r="K724" s="74">
        <f>J724*VLOOKUP(D724,GWPs!$B$3:$C$6,2,FALSE)</f>
        <v>0</v>
      </c>
      <c r="M724" s="3">
        <v>3</v>
      </c>
      <c r="N724" s="3">
        <v>2</v>
      </c>
      <c r="O724" s="3">
        <v>1</v>
      </c>
      <c r="P724" s="3">
        <v>3</v>
      </c>
      <c r="Q724" s="3">
        <v>1</v>
      </c>
    </row>
    <row r="725" spans="1:17">
      <c r="A725" t="s">
        <v>1429</v>
      </c>
      <c r="B725" s="3" t="s">
        <v>669</v>
      </c>
      <c r="C725" s="3" t="s">
        <v>670</v>
      </c>
      <c r="D725" s="3" t="s">
        <v>15</v>
      </c>
      <c r="E725" s="3" t="s">
        <v>16</v>
      </c>
      <c r="F725" s="3">
        <v>1.6E-2</v>
      </c>
      <c r="G725" s="74">
        <f>F725*VLOOKUP(D725,GWPs!$B$3:$C$6,2,FALSE)</f>
        <v>1.6E-2</v>
      </c>
      <c r="H725" s="3">
        <v>0</v>
      </c>
      <c r="I725" s="74">
        <f>H725*VLOOKUP(D725,GWPs!$B$3:$C$6,2,FALSE)</f>
        <v>0</v>
      </c>
      <c r="J725" s="3">
        <v>1.6E-2</v>
      </c>
      <c r="K725" s="74">
        <f>J725*VLOOKUP(D725,GWPs!$B$3:$C$6,2,FALSE)</f>
        <v>1.6E-2</v>
      </c>
      <c r="M725" s="3">
        <v>4</v>
      </c>
      <c r="N725" s="3">
        <v>2</v>
      </c>
      <c r="O725" s="3">
        <v>1</v>
      </c>
      <c r="P725" s="3">
        <v>4</v>
      </c>
      <c r="Q725" s="3">
        <v>1</v>
      </c>
    </row>
    <row r="726" spans="1:17">
      <c r="A726" t="s">
        <v>1429</v>
      </c>
      <c r="B726" s="3" t="s">
        <v>671</v>
      </c>
      <c r="C726" s="3" t="s">
        <v>672</v>
      </c>
      <c r="D726" s="3" t="s">
        <v>11</v>
      </c>
      <c r="E726" s="3" t="s">
        <v>12</v>
      </c>
      <c r="F726" s="3">
        <v>9.1999999999999998E-2</v>
      </c>
      <c r="G726" s="74">
        <f>F726*VLOOKUP(D726,GWPs!$B$3:$C$6,2,FALSE)</f>
        <v>9.1999999999999998E-2</v>
      </c>
      <c r="H726" s="3">
        <v>1.7999999999999999E-2</v>
      </c>
      <c r="I726" s="74">
        <f>H726*VLOOKUP(D726,GWPs!$B$3:$C$6,2,FALSE)</f>
        <v>1.7999999999999999E-2</v>
      </c>
      <c r="J726" s="3">
        <v>0.11</v>
      </c>
      <c r="K726" s="74">
        <f>J726*VLOOKUP(D726,GWPs!$B$3:$C$6,2,FALSE)</f>
        <v>0.11</v>
      </c>
      <c r="M726" s="3">
        <v>3</v>
      </c>
      <c r="N726" s="3">
        <v>2</v>
      </c>
      <c r="O726" s="3">
        <v>1</v>
      </c>
      <c r="P726" s="3">
        <v>3</v>
      </c>
      <c r="Q726" s="3">
        <v>1</v>
      </c>
    </row>
    <row r="727" spans="1:17">
      <c r="A727" t="s">
        <v>1429</v>
      </c>
      <c r="B727" s="3" t="s">
        <v>671</v>
      </c>
      <c r="C727" s="3" t="s">
        <v>672</v>
      </c>
      <c r="D727" s="3" t="s">
        <v>13</v>
      </c>
      <c r="E727" s="3" t="s">
        <v>12</v>
      </c>
      <c r="F727" s="3">
        <v>0</v>
      </c>
      <c r="G727" s="74">
        <f>F727*VLOOKUP(D727,GWPs!$B$3:$C$6,2,FALSE)</f>
        <v>0</v>
      </c>
      <c r="H727" s="3">
        <v>0</v>
      </c>
      <c r="I727" s="74">
        <f>H727*VLOOKUP(D727,GWPs!$B$3:$C$6,2,FALSE)</f>
        <v>0</v>
      </c>
      <c r="J727" s="3">
        <v>1E-3</v>
      </c>
      <c r="K727" s="74">
        <f>J727*VLOOKUP(D727,GWPs!$B$3:$C$6,2,FALSE)</f>
        <v>2.8000000000000001E-2</v>
      </c>
      <c r="M727" s="3">
        <v>4</v>
      </c>
      <c r="N727" s="3">
        <v>2</v>
      </c>
      <c r="O727" s="3">
        <v>1</v>
      </c>
      <c r="P727" s="3">
        <v>1</v>
      </c>
      <c r="Q727" s="3">
        <v>1</v>
      </c>
    </row>
    <row r="728" spans="1:17">
      <c r="A728" t="s">
        <v>1429</v>
      </c>
      <c r="B728" s="3" t="s">
        <v>671</v>
      </c>
      <c r="C728" s="3" t="s">
        <v>672</v>
      </c>
      <c r="D728" s="3" t="s">
        <v>14</v>
      </c>
      <c r="E728" s="3" t="s">
        <v>12</v>
      </c>
      <c r="F728" s="3">
        <v>0</v>
      </c>
      <c r="G728" s="74">
        <f>F728*VLOOKUP(D728,GWPs!$B$3:$C$6,2,FALSE)</f>
        <v>0</v>
      </c>
      <c r="H728" s="3">
        <v>0</v>
      </c>
      <c r="I728" s="74">
        <f>H728*VLOOKUP(D728,GWPs!$B$3:$C$6,2,FALSE)</f>
        <v>0</v>
      </c>
      <c r="J728" s="3">
        <v>0</v>
      </c>
      <c r="K728" s="74">
        <f>J728*VLOOKUP(D728,GWPs!$B$3:$C$6,2,FALSE)</f>
        <v>0</v>
      </c>
      <c r="M728" s="3">
        <v>3</v>
      </c>
      <c r="N728" s="3">
        <v>2</v>
      </c>
      <c r="O728" s="3">
        <v>1</v>
      </c>
      <c r="P728" s="3">
        <v>3</v>
      </c>
      <c r="Q728" s="3">
        <v>1</v>
      </c>
    </row>
    <row r="729" spans="1:17">
      <c r="A729" t="s">
        <v>1429</v>
      </c>
      <c r="B729" s="3" t="s">
        <v>671</v>
      </c>
      <c r="C729" s="3" t="s">
        <v>672</v>
      </c>
      <c r="D729" s="3" t="s">
        <v>15</v>
      </c>
      <c r="E729" s="3" t="s">
        <v>16</v>
      </c>
      <c r="F729" s="3">
        <v>8.0000000000000002E-3</v>
      </c>
      <c r="G729" s="74">
        <f>F729*VLOOKUP(D729,GWPs!$B$3:$C$6,2,FALSE)</f>
        <v>8.0000000000000002E-3</v>
      </c>
      <c r="H729" s="3">
        <v>0</v>
      </c>
      <c r="I729" s="74">
        <f>H729*VLOOKUP(D729,GWPs!$B$3:$C$6,2,FALSE)</f>
        <v>0</v>
      </c>
      <c r="J729" s="3">
        <v>8.0000000000000002E-3</v>
      </c>
      <c r="K729" s="74">
        <f>J729*VLOOKUP(D729,GWPs!$B$3:$C$6,2,FALSE)</f>
        <v>8.0000000000000002E-3</v>
      </c>
      <c r="M729" s="3">
        <v>3</v>
      </c>
      <c r="N729" s="3">
        <v>2</v>
      </c>
      <c r="O729" s="3">
        <v>1</v>
      </c>
      <c r="P729" s="3">
        <v>2</v>
      </c>
      <c r="Q729" s="3">
        <v>1</v>
      </c>
    </row>
    <row r="730" spans="1:17">
      <c r="A730" t="s">
        <v>1429</v>
      </c>
      <c r="B730" s="3" t="s">
        <v>673</v>
      </c>
      <c r="C730" s="3" t="s">
        <v>674</v>
      </c>
      <c r="D730" s="3" t="s">
        <v>11</v>
      </c>
      <c r="E730" s="3" t="s">
        <v>12</v>
      </c>
      <c r="F730" s="3">
        <v>0.158</v>
      </c>
      <c r="G730" s="74">
        <f>F730*VLOOKUP(D730,GWPs!$B$3:$C$6,2,FALSE)</f>
        <v>0.158</v>
      </c>
      <c r="H730" s="3">
        <v>3.4000000000000002E-2</v>
      </c>
      <c r="I730" s="74">
        <f>H730*VLOOKUP(D730,GWPs!$B$3:$C$6,2,FALSE)</f>
        <v>3.4000000000000002E-2</v>
      </c>
      <c r="J730" s="3">
        <v>0.192</v>
      </c>
      <c r="K730" s="74">
        <f>J730*VLOOKUP(D730,GWPs!$B$3:$C$6,2,FALSE)</f>
        <v>0.192</v>
      </c>
      <c r="M730" s="3">
        <v>3</v>
      </c>
      <c r="N730" s="3">
        <v>2</v>
      </c>
      <c r="O730" s="3">
        <v>1</v>
      </c>
      <c r="P730" s="3">
        <v>3</v>
      </c>
      <c r="Q730" s="3">
        <v>1</v>
      </c>
    </row>
    <row r="731" spans="1:17">
      <c r="A731" t="s">
        <v>1429</v>
      </c>
      <c r="B731" s="3" t="s">
        <v>673</v>
      </c>
      <c r="C731" s="3" t="s">
        <v>674</v>
      </c>
      <c r="D731" s="3" t="s">
        <v>13</v>
      </c>
      <c r="E731" s="3" t="s">
        <v>12</v>
      </c>
      <c r="F731" s="3">
        <v>1E-3</v>
      </c>
      <c r="G731" s="74">
        <f>F731*VLOOKUP(D731,GWPs!$B$3:$C$6,2,FALSE)</f>
        <v>2.8000000000000001E-2</v>
      </c>
      <c r="H731" s="3">
        <v>0</v>
      </c>
      <c r="I731" s="74">
        <f>H731*VLOOKUP(D731,GWPs!$B$3:$C$6,2,FALSE)</f>
        <v>0</v>
      </c>
      <c r="J731" s="3">
        <v>1E-3</v>
      </c>
      <c r="K731" s="74">
        <f>J731*VLOOKUP(D731,GWPs!$B$3:$C$6,2,FALSE)</f>
        <v>2.8000000000000001E-2</v>
      </c>
      <c r="M731" s="3">
        <v>4</v>
      </c>
      <c r="N731" s="3">
        <v>2</v>
      </c>
      <c r="O731" s="3">
        <v>1</v>
      </c>
      <c r="P731" s="3">
        <v>1</v>
      </c>
      <c r="Q731" s="3">
        <v>1</v>
      </c>
    </row>
    <row r="732" spans="1:17">
      <c r="A732" t="s">
        <v>1429</v>
      </c>
      <c r="B732" s="3" t="s">
        <v>673</v>
      </c>
      <c r="C732" s="3" t="s">
        <v>674</v>
      </c>
      <c r="D732" s="3" t="s">
        <v>14</v>
      </c>
      <c r="E732" s="3" t="s">
        <v>12</v>
      </c>
      <c r="F732" s="3">
        <v>0</v>
      </c>
      <c r="G732" s="74">
        <f>F732*VLOOKUP(D732,GWPs!$B$3:$C$6,2,FALSE)</f>
        <v>0</v>
      </c>
      <c r="H732" s="3">
        <v>0</v>
      </c>
      <c r="I732" s="74">
        <f>H732*VLOOKUP(D732,GWPs!$B$3:$C$6,2,FALSE)</f>
        <v>0</v>
      </c>
      <c r="J732" s="3">
        <v>0</v>
      </c>
      <c r="K732" s="74">
        <f>J732*VLOOKUP(D732,GWPs!$B$3:$C$6,2,FALSE)</f>
        <v>0</v>
      </c>
      <c r="M732" s="3">
        <v>3</v>
      </c>
      <c r="N732" s="3">
        <v>2</v>
      </c>
      <c r="O732" s="3">
        <v>1</v>
      </c>
      <c r="P732" s="3">
        <v>3</v>
      </c>
      <c r="Q732" s="3">
        <v>1</v>
      </c>
    </row>
    <row r="733" spans="1:17">
      <c r="A733" t="s">
        <v>1429</v>
      </c>
      <c r="B733" s="3" t="s">
        <v>673</v>
      </c>
      <c r="C733" s="3" t="s">
        <v>674</v>
      </c>
      <c r="D733" s="3" t="s">
        <v>15</v>
      </c>
      <c r="E733" s="3" t="s">
        <v>16</v>
      </c>
      <c r="F733" s="3">
        <v>8.0000000000000002E-3</v>
      </c>
      <c r="G733" s="74">
        <f>F733*VLOOKUP(D733,GWPs!$B$3:$C$6,2,FALSE)</f>
        <v>8.0000000000000002E-3</v>
      </c>
      <c r="H733" s="3">
        <v>0</v>
      </c>
      <c r="I733" s="74">
        <f>H733*VLOOKUP(D733,GWPs!$B$3:$C$6,2,FALSE)</f>
        <v>0</v>
      </c>
      <c r="J733" s="3">
        <v>8.0000000000000002E-3</v>
      </c>
      <c r="K733" s="74">
        <f>J733*VLOOKUP(D733,GWPs!$B$3:$C$6,2,FALSE)</f>
        <v>8.0000000000000002E-3</v>
      </c>
      <c r="M733" s="3">
        <v>3</v>
      </c>
      <c r="N733" s="3">
        <v>2</v>
      </c>
      <c r="O733" s="3">
        <v>1</v>
      </c>
      <c r="P733" s="3">
        <v>2</v>
      </c>
      <c r="Q733" s="3">
        <v>1</v>
      </c>
    </row>
    <row r="734" spans="1:17">
      <c r="A734" t="s">
        <v>1429</v>
      </c>
      <c r="B734" s="3" t="s">
        <v>675</v>
      </c>
      <c r="C734" s="3" t="s">
        <v>676</v>
      </c>
      <c r="D734" s="3" t="s">
        <v>11</v>
      </c>
      <c r="E734" s="3" t="s">
        <v>12</v>
      </c>
      <c r="F734" s="3">
        <v>0.192</v>
      </c>
      <c r="G734" s="74">
        <f>F734*VLOOKUP(D734,GWPs!$B$3:$C$6,2,FALSE)</f>
        <v>0.192</v>
      </c>
      <c r="H734" s="3">
        <v>2.5999999999999999E-2</v>
      </c>
      <c r="I734" s="74">
        <f>H734*VLOOKUP(D734,GWPs!$B$3:$C$6,2,FALSE)</f>
        <v>2.5999999999999999E-2</v>
      </c>
      <c r="J734" s="3">
        <v>0.218</v>
      </c>
      <c r="K734" s="74">
        <f>J734*VLOOKUP(D734,GWPs!$B$3:$C$6,2,FALSE)</f>
        <v>0.218</v>
      </c>
      <c r="M734" s="3">
        <v>3</v>
      </c>
      <c r="N734" s="3">
        <v>2</v>
      </c>
      <c r="O734" s="3">
        <v>1</v>
      </c>
      <c r="P734" s="3">
        <v>3</v>
      </c>
      <c r="Q734" s="3">
        <v>1</v>
      </c>
    </row>
    <row r="735" spans="1:17">
      <c r="A735" t="s">
        <v>1429</v>
      </c>
      <c r="B735" s="3" t="s">
        <v>675</v>
      </c>
      <c r="C735" s="3" t="s">
        <v>676</v>
      </c>
      <c r="D735" s="3" t="s">
        <v>13</v>
      </c>
      <c r="E735" s="3" t="s">
        <v>12</v>
      </c>
      <c r="F735" s="3">
        <v>1E-3</v>
      </c>
      <c r="G735" s="74">
        <f>F735*VLOOKUP(D735,GWPs!$B$3:$C$6,2,FALSE)</f>
        <v>2.8000000000000001E-2</v>
      </c>
      <c r="H735" s="3">
        <v>0</v>
      </c>
      <c r="I735" s="74">
        <f>H735*VLOOKUP(D735,GWPs!$B$3:$C$6,2,FALSE)</f>
        <v>0</v>
      </c>
      <c r="J735" s="3">
        <v>1E-3</v>
      </c>
      <c r="K735" s="74">
        <f>J735*VLOOKUP(D735,GWPs!$B$3:$C$6,2,FALSE)</f>
        <v>2.8000000000000001E-2</v>
      </c>
      <c r="M735" s="3">
        <v>4</v>
      </c>
      <c r="N735" s="3">
        <v>2</v>
      </c>
      <c r="O735" s="3">
        <v>1</v>
      </c>
      <c r="P735" s="3">
        <v>1</v>
      </c>
      <c r="Q735" s="3">
        <v>1</v>
      </c>
    </row>
    <row r="736" spans="1:17">
      <c r="A736" t="s">
        <v>1429</v>
      </c>
      <c r="B736" s="3" t="s">
        <v>675</v>
      </c>
      <c r="C736" s="3" t="s">
        <v>676</v>
      </c>
      <c r="D736" s="3" t="s">
        <v>14</v>
      </c>
      <c r="E736" s="3" t="s">
        <v>12</v>
      </c>
      <c r="F736" s="3">
        <v>0</v>
      </c>
      <c r="G736" s="74">
        <f>F736*VLOOKUP(D736,GWPs!$B$3:$C$6,2,FALSE)</f>
        <v>0</v>
      </c>
      <c r="H736" s="3">
        <v>0</v>
      </c>
      <c r="I736" s="74">
        <f>H736*VLOOKUP(D736,GWPs!$B$3:$C$6,2,FALSE)</f>
        <v>0</v>
      </c>
      <c r="J736" s="3">
        <v>0</v>
      </c>
      <c r="K736" s="74">
        <f>J736*VLOOKUP(D736,GWPs!$B$3:$C$6,2,FALSE)</f>
        <v>0</v>
      </c>
      <c r="M736" s="3">
        <v>3</v>
      </c>
      <c r="N736" s="3">
        <v>2</v>
      </c>
      <c r="O736" s="3">
        <v>1</v>
      </c>
      <c r="P736" s="3">
        <v>3</v>
      </c>
      <c r="Q736" s="3">
        <v>1</v>
      </c>
    </row>
    <row r="737" spans="1:17">
      <c r="A737" t="s">
        <v>1429</v>
      </c>
      <c r="B737" s="3" t="s">
        <v>675</v>
      </c>
      <c r="C737" s="3" t="s">
        <v>676</v>
      </c>
      <c r="D737" s="3" t="s">
        <v>15</v>
      </c>
      <c r="E737" s="3" t="s">
        <v>16</v>
      </c>
      <c r="F737" s="3">
        <v>7.0000000000000001E-3</v>
      </c>
      <c r="G737" s="74">
        <f>F737*VLOOKUP(D737,GWPs!$B$3:$C$6,2,FALSE)</f>
        <v>7.0000000000000001E-3</v>
      </c>
      <c r="H737" s="3">
        <v>0</v>
      </c>
      <c r="I737" s="74">
        <f>H737*VLOOKUP(D737,GWPs!$B$3:$C$6,2,FALSE)</f>
        <v>0</v>
      </c>
      <c r="J737" s="3">
        <v>7.0000000000000001E-3</v>
      </c>
      <c r="K737" s="74">
        <f>J737*VLOOKUP(D737,GWPs!$B$3:$C$6,2,FALSE)</f>
        <v>7.0000000000000001E-3</v>
      </c>
      <c r="M737" s="3">
        <v>3</v>
      </c>
      <c r="N737" s="3">
        <v>2</v>
      </c>
      <c r="O737" s="3">
        <v>1</v>
      </c>
      <c r="P737" s="3">
        <v>3</v>
      </c>
      <c r="Q737" s="3">
        <v>1</v>
      </c>
    </row>
    <row r="738" spans="1:17">
      <c r="A738" t="s">
        <v>1429</v>
      </c>
      <c r="B738" s="3" t="s">
        <v>677</v>
      </c>
      <c r="C738" s="3" t="s">
        <v>678</v>
      </c>
      <c r="D738" s="3" t="s">
        <v>11</v>
      </c>
      <c r="E738" s="3" t="s">
        <v>12</v>
      </c>
      <c r="F738" s="3">
        <v>0.19600000000000001</v>
      </c>
      <c r="G738" s="74">
        <f>F738*VLOOKUP(D738,GWPs!$B$3:$C$6,2,FALSE)</f>
        <v>0.19600000000000001</v>
      </c>
      <c r="H738" s="3">
        <v>0.28599999999999998</v>
      </c>
      <c r="I738" s="74">
        <f>H738*VLOOKUP(D738,GWPs!$B$3:$C$6,2,FALSE)</f>
        <v>0.28599999999999998</v>
      </c>
      <c r="J738" s="3">
        <v>0.48299999999999998</v>
      </c>
      <c r="K738" s="74">
        <f>J738*VLOOKUP(D738,GWPs!$B$3:$C$6,2,FALSE)</f>
        <v>0.48299999999999998</v>
      </c>
      <c r="M738" s="3">
        <v>3</v>
      </c>
      <c r="N738" s="3">
        <v>2</v>
      </c>
      <c r="O738" s="3">
        <v>1</v>
      </c>
      <c r="P738" s="3">
        <v>3</v>
      </c>
      <c r="Q738" s="3">
        <v>1</v>
      </c>
    </row>
    <row r="739" spans="1:17">
      <c r="A739" t="s">
        <v>1429</v>
      </c>
      <c r="B739" s="3" t="s">
        <v>677</v>
      </c>
      <c r="C739" s="3" t="s">
        <v>678</v>
      </c>
      <c r="D739" s="3" t="s">
        <v>13</v>
      </c>
      <c r="E739" s="3" t="s">
        <v>12</v>
      </c>
      <c r="F739" s="3">
        <v>1E-3</v>
      </c>
      <c r="G739" s="74">
        <f>F739*VLOOKUP(D739,GWPs!$B$3:$C$6,2,FALSE)</f>
        <v>2.8000000000000001E-2</v>
      </c>
      <c r="H739" s="3">
        <v>1E-3</v>
      </c>
      <c r="I739" s="74">
        <f>H739*VLOOKUP(D739,GWPs!$B$3:$C$6,2,FALSE)</f>
        <v>2.8000000000000001E-2</v>
      </c>
      <c r="J739" s="3">
        <v>2E-3</v>
      </c>
      <c r="K739" s="74">
        <f>J739*VLOOKUP(D739,GWPs!$B$3:$C$6,2,FALSE)</f>
        <v>5.6000000000000001E-2</v>
      </c>
      <c r="M739" s="3">
        <v>4</v>
      </c>
      <c r="N739" s="3">
        <v>2</v>
      </c>
      <c r="O739" s="3">
        <v>1</v>
      </c>
      <c r="P739" s="3">
        <v>1</v>
      </c>
      <c r="Q739" s="3">
        <v>1</v>
      </c>
    </row>
    <row r="740" spans="1:17">
      <c r="A740" t="s">
        <v>1429</v>
      </c>
      <c r="B740" s="3" t="s">
        <v>677</v>
      </c>
      <c r="C740" s="3" t="s">
        <v>678</v>
      </c>
      <c r="D740" s="3" t="s">
        <v>14</v>
      </c>
      <c r="E740" s="3" t="s">
        <v>12</v>
      </c>
      <c r="F740" s="3">
        <v>0</v>
      </c>
      <c r="G740" s="74">
        <f>F740*VLOOKUP(D740,GWPs!$B$3:$C$6,2,FALSE)</f>
        <v>0</v>
      </c>
      <c r="H740" s="3">
        <v>0</v>
      </c>
      <c r="I740" s="74">
        <f>H740*VLOOKUP(D740,GWPs!$B$3:$C$6,2,FALSE)</f>
        <v>0</v>
      </c>
      <c r="J740" s="3">
        <v>0</v>
      </c>
      <c r="K740" s="74">
        <f>J740*VLOOKUP(D740,GWPs!$B$3:$C$6,2,FALSE)</f>
        <v>0</v>
      </c>
      <c r="M740" s="3">
        <v>3</v>
      </c>
      <c r="N740" s="3">
        <v>2</v>
      </c>
      <c r="O740" s="3">
        <v>1</v>
      </c>
      <c r="P740" s="3">
        <v>3</v>
      </c>
      <c r="Q740" s="3">
        <v>1</v>
      </c>
    </row>
    <row r="741" spans="1:17">
      <c r="A741" t="s">
        <v>1429</v>
      </c>
      <c r="B741" s="3" t="s">
        <v>677</v>
      </c>
      <c r="C741" s="3" t="s">
        <v>678</v>
      </c>
      <c r="D741" s="3" t="s">
        <v>15</v>
      </c>
      <c r="E741" s="3" t="s">
        <v>16</v>
      </c>
      <c r="F741" s="3">
        <v>6.0000000000000001E-3</v>
      </c>
      <c r="G741" s="74">
        <f>F741*VLOOKUP(D741,GWPs!$B$3:$C$6,2,FALSE)</f>
        <v>6.0000000000000001E-3</v>
      </c>
      <c r="H741" s="3">
        <v>0</v>
      </c>
      <c r="I741" s="74">
        <f>H741*VLOOKUP(D741,GWPs!$B$3:$C$6,2,FALSE)</f>
        <v>0</v>
      </c>
      <c r="J741" s="3">
        <v>6.0000000000000001E-3</v>
      </c>
      <c r="K741" s="74">
        <f>J741*VLOOKUP(D741,GWPs!$B$3:$C$6,2,FALSE)</f>
        <v>6.0000000000000001E-3</v>
      </c>
      <c r="M741" s="3">
        <v>3</v>
      </c>
      <c r="N741" s="3">
        <v>2</v>
      </c>
      <c r="O741" s="3">
        <v>1</v>
      </c>
      <c r="P741" s="3">
        <v>2</v>
      </c>
      <c r="Q741" s="3">
        <v>1</v>
      </c>
    </row>
    <row r="742" spans="1:17">
      <c r="A742" t="s">
        <v>1429</v>
      </c>
      <c r="B742" s="3" t="s">
        <v>679</v>
      </c>
      <c r="C742" s="3" t="s">
        <v>680</v>
      </c>
      <c r="D742" s="3" t="s">
        <v>11</v>
      </c>
      <c r="E742" s="3" t="s">
        <v>12</v>
      </c>
      <c r="F742" s="3">
        <v>0.16400000000000001</v>
      </c>
      <c r="G742" s="74">
        <f>F742*VLOOKUP(D742,GWPs!$B$3:$C$6,2,FALSE)</f>
        <v>0.16400000000000001</v>
      </c>
      <c r="H742" s="3">
        <v>4.3999999999999997E-2</v>
      </c>
      <c r="I742" s="74">
        <f>H742*VLOOKUP(D742,GWPs!$B$3:$C$6,2,FALSE)</f>
        <v>4.3999999999999997E-2</v>
      </c>
      <c r="J742" s="3">
        <v>0.20799999999999999</v>
      </c>
      <c r="K742" s="74">
        <f>J742*VLOOKUP(D742,GWPs!$B$3:$C$6,2,FALSE)</f>
        <v>0.20799999999999999</v>
      </c>
      <c r="M742" s="3">
        <v>3</v>
      </c>
      <c r="N742" s="3">
        <v>2</v>
      </c>
      <c r="O742" s="3">
        <v>1</v>
      </c>
      <c r="P742" s="3">
        <v>3</v>
      </c>
      <c r="Q742" s="3">
        <v>1</v>
      </c>
    </row>
    <row r="743" spans="1:17">
      <c r="A743" t="s">
        <v>1429</v>
      </c>
      <c r="B743" s="3" t="s">
        <v>679</v>
      </c>
      <c r="C743" s="3" t="s">
        <v>680</v>
      </c>
      <c r="D743" s="3" t="s">
        <v>13</v>
      </c>
      <c r="E743" s="3" t="s">
        <v>12</v>
      </c>
      <c r="F743" s="3">
        <v>1E-3</v>
      </c>
      <c r="G743" s="74">
        <f>F743*VLOOKUP(D743,GWPs!$B$3:$C$6,2,FALSE)</f>
        <v>2.8000000000000001E-2</v>
      </c>
      <c r="H743" s="3">
        <v>0</v>
      </c>
      <c r="I743" s="74">
        <f>H743*VLOOKUP(D743,GWPs!$B$3:$C$6,2,FALSE)</f>
        <v>0</v>
      </c>
      <c r="J743" s="3">
        <v>1E-3</v>
      </c>
      <c r="K743" s="74">
        <f>J743*VLOOKUP(D743,GWPs!$B$3:$C$6,2,FALSE)</f>
        <v>2.8000000000000001E-2</v>
      </c>
      <c r="M743" s="3">
        <v>4</v>
      </c>
      <c r="N743" s="3">
        <v>2</v>
      </c>
      <c r="O743" s="3">
        <v>1</v>
      </c>
      <c r="P743" s="3">
        <v>1</v>
      </c>
      <c r="Q743" s="3">
        <v>1</v>
      </c>
    </row>
    <row r="744" spans="1:17">
      <c r="A744" t="s">
        <v>1429</v>
      </c>
      <c r="B744" s="3" t="s">
        <v>679</v>
      </c>
      <c r="C744" s="3" t="s">
        <v>680</v>
      </c>
      <c r="D744" s="3" t="s">
        <v>14</v>
      </c>
      <c r="E744" s="3" t="s">
        <v>12</v>
      </c>
      <c r="F744" s="3">
        <v>0</v>
      </c>
      <c r="G744" s="74">
        <f>F744*VLOOKUP(D744,GWPs!$B$3:$C$6,2,FALSE)</f>
        <v>0</v>
      </c>
      <c r="H744" s="3">
        <v>0</v>
      </c>
      <c r="I744" s="74">
        <f>H744*VLOOKUP(D744,GWPs!$B$3:$C$6,2,FALSE)</f>
        <v>0</v>
      </c>
      <c r="J744" s="3">
        <v>0</v>
      </c>
      <c r="K744" s="74">
        <f>J744*VLOOKUP(D744,GWPs!$B$3:$C$6,2,FALSE)</f>
        <v>0</v>
      </c>
      <c r="M744" s="3">
        <v>3</v>
      </c>
      <c r="N744" s="3">
        <v>2</v>
      </c>
      <c r="O744" s="3">
        <v>1</v>
      </c>
      <c r="P744" s="3">
        <v>3</v>
      </c>
      <c r="Q744" s="3">
        <v>1</v>
      </c>
    </row>
    <row r="745" spans="1:17">
      <c r="A745" t="s">
        <v>1429</v>
      </c>
      <c r="B745" s="3" t="s">
        <v>679</v>
      </c>
      <c r="C745" s="3" t="s">
        <v>680</v>
      </c>
      <c r="D745" s="3" t="s">
        <v>15</v>
      </c>
      <c r="E745" s="3" t="s">
        <v>16</v>
      </c>
      <c r="F745" s="3">
        <v>6.0000000000000001E-3</v>
      </c>
      <c r="G745" s="74">
        <f>F745*VLOOKUP(D745,GWPs!$B$3:$C$6,2,FALSE)</f>
        <v>6.0000000000000001E-3</v>
      </c>
      <c r="H745" s="3">
        <v>0</v>
      </c>
      <c r="I745" s="74">
        <f>H745*VLOOKUP(D745,GWPs!$B$3:$C$6,2,FALSE)</f>
        <v>0</v>
      </c>
      <c r="J745" s="3">
        <v>6.0000000000000001E-3</v>
      </c>
      <c r="K745" s="74">
        <f>J745*VLOOKUP(D745,GWPs!$B$3:$C$6,2,FALSE)</f>
        <v>6.0000000000000001E-3</v>
      </c>
      <c r="M745" s="3">
        <v>3</v>
      </c>
      <c r="N745" s="3">
        <v>2</v>
      </c>
      <c r="O745" s="3">
        <v>1</v>
      </c>
      <c r="P745" s="3">
        <v>2</v>
      </c>
      <c r="Q745" s="3">
        <v>1</v>
      </c>
    </row>
    <row r="746" spans="1:17">
      <c r="A746" t="s">
        <v>1429</v>
      </c>
      <c r="B746" s="3" t="s">
        <v>681</v>
      </c>
      <c r="C746" s="3" t="s">
        <v>682</v>
      </c>
      <c r="D746" s="3" t="s">
        <v>11</v>
      </c>
      <c r="E746" s="3" t="s">
        <v>12</v>
      </c>
      <c r="F746" s="3">
        <v>0.16200000000000001</v>
      </c>
      <c r="G746" s="74">
        <f>F746*VLOOKUP(D746,GWPs!$B$3:$C$6,2,FALSE)</f>
        <v>0.16200000000000001</v>
      </c>
      <c r="H746" s="3">
        <v>3.2000000000000001E-2</v>
      </c>
      <c r="I746" s="74">
        <f>H746*VLOOKUP(D746,GWPs!$B$3:$C$6,2,FALSE)</f>
        <v>3.2000000000000001E-2</v>
      </c>
      <c r="J746" s="3">
        <v>0.19400000000000001</v>
      </c>
      <c r="K746" s="74">
        <f>J746*VLOOKUP(D746,GWPs!$B$3:$C$6,2,FALSE)</f>
        <v>0.19400000000000001</v>
      </c>
      <c r="M746" s="3">
        <v>3</v>
      </c>
      <c r="N746" s="3">
        <v>2</v>
      </c>
      <c r="O746" s="3">
        <v>1</v>
      </c>
      <c r="P746" s="3">
        <v>3</v>
      </c>
      <c r="Q746" s="3">
        <v>1</v>
      </c>
    </row>
    <row r="747" spans="1:17">
      <c r="A747" t="s">
        <v>1429</v>
      </c>
      <c r="B747" s="3" t="s">
        <v>681</v>
      </c>
      <c r="C747" s="3" t="s">
        <v>682</v>
      </c>
      <c r="D747" s="3" t="s">
        <v>13</v>
      </c>
      <c r="E747" s="3" t="s">
        <v>12</v>
      </c>
      <c r="F747" s="3">
        <v>1E-3</v>
      </c>
      <c r="G747" s="74">
        <f>F747*VLOOKUP(D747,GWPs!$B$3:$C$6,2,FALSE)</f>
        <v>2.8000000000000001E-2</v>
      </c>
      <c r="H747" s="3">
        <v>0</v>
      </c>
      <c r="I747" s="74">
        <f>H747*VLOOKUP(D747,GWPs!$B$3:$C$6,2,FALSE)</f>
        <v>0</v>
      </c>
      <c r="J747" s="3">
        <v>1E-3</v>
      </c>
      <c r="K747" s="74">
        <f>J747*VLOOKUP(D747,GWPs!$B$3:$C$6,2,FALSE)</f>
        <v>2.8000000000000001E-2</v>
      </c>
      <c r="M747" s="3">
        <v>4</v>
      </c>
      <c r="N747" s="3">
        <v>2</v>
      </c>
      <c r="O747" s="3">
        <v>1</v>
      </c>
      <c r="P747" s="3">
        <v>1</v>
      </c>
      <c r="Q747" s="3">
        <v>1</v>
      </c>
    </row>
    <row r="748" spans="1:17">
      <c r="A748" t="s">
        <v>1429</v>
      </c>
      <c r="B748" s="3" t="s">
        <v>681</v>
      </c>
      <c r="C748" s="3" t="s">
        <v>682</v>
      </c>
      <c r="D748" s="3" t="s">
        <v>14</v>
      </c>
      <c r="E748" s="3" t="s">
        <v>12</v>
      </c>
      <c r="F748" s="3">
        <v>0</v>
      </c>
      <c r="G748" s="74">
        <f>F748*VLOOKUP(D748,GWPs!$B$3:$C$6,2,FALSE)</f>
        <v>0</v>
      </c>
      <c r="H748" s="3">
        <v>0</v>
      </c>
      <c r="I748" s="74">
        <f>H748*VLOOKUP(D748,GWPs!$B$3:$C$6,2,FALSE)</f>
        <v>0</v>
      </c>
      <c r="J748" s="3">
        <v>0</v>
      </c>
      <c r="K748" s="74">
        <f>J748*VLOOKUP(D748,GWPs!$B$3:$C$6,2,FALSE)</f>
        <v>0</v>
      </c>
      <c r="M748" s="3">
        <v>3</v>
      </c>
      <c r="N748" s="3">
        <v>2</v>
      </c>
      <c r="O748" s="3">
        <v>1</v>
      </c>
      <c r="P748" s="3">
        <v>3</v>
      </c>
      <c r="Q748" s="3">
        <v>1</v>
      </c>
    </row>
    <row r="749" spans="1:17">
      <c r="A749" t="s">
        <v>1429</v>
      </c>
      <c r="B749" s="3" t="s">
        <v>681</v>
      </c>
      <c r="C749" s="3" t="s">
        <v>682</v>
      </c>
      <c r="D749" s="3" t="s">
        <v>15</v>
      </c>
      <c r="E749" s="3" t="s">
        <v>16</v>
      </c>
      <c r="F749" s="3">
        <v>6.0000000000000001E-3</v>
      </c>
      <c r="G749" s="74">
        <f>F749*VLOOKUP(D749,GWPs!$B$3:$C$6,2,FALSE)</f>
        <v>6.0000000000000001E-3</v>
      </c>
      <c r="H749" s="3">
        <v>0</v>
      </c>
      <c r="I749" s="74">
        <f>H749*VLOOKUP(D749,GWPs!$B$3:$C$6,2,FALSE)</f>
        <v>0</v>
      </c>
      <c r="J749" s="3">
        <v>6.0000000000000001E-3</v>
      </c>
      <c r="K749" s="74">
        <f>J749*VLOOKUP(D749,GWPs!$B$3:$C$6,2,FALSE)</f>
        <v>6.0000000000000001E-3</v>
      </c>
      <c r="M749" s="3">
        <v>3</v>
      </c>
      <c r="N749" s="3">
        <v>2</v>
      </c>
      <c r="O749" s="3">
        <v>1</v>
      </c>
      <c r="P749" s="3">
        <v>2</v>
      </c>
      <c r="Q749" s="3">
        <v>1</v>
      </c>
    </row>
    <row r="750" spans="1:17">
      <c r="A750" t="s">
        <v>1429</v>
      </c>
      <c r="B750" s="3" t="s">
        <v>683</v>
      </c>
      <c r="C750" s="3" t="s">
        <v>684</v>
      </c>
      <c r="D750" s="3" t="s">
        <v>11</v>
      </c>
      <c r="E750" s="3" t="s">
        <v>12</v>
      </c>
      <c r="F750" s="3">
        <v>0.122</v>
      </c>
      <c r="G750" s="74">
        <f>F750*VLOOKUP(D750,GWPs!$B$3:$C$6,2,FALSE)</f>
        <v>0.122</v>
      </c>
      <c r="H750" s="3">
        <v>2.5999999999999999E-2</v>
      </c>
      <c r="I750" s="74">
        <f>H750*VLOOKUP(D750,GWPs!$B$3:$C$6,2,FALSE)</f>
        <v>2.5999999999999999E-2</v>
      </c>
      <c r="J750" s="3">
        <v>0.14799999999999999</v>
      </c>
      <c r="K750" s="74">
        <f>J750*VLOOKUP(D750,GWPs!$B$3:$C$6,2,FALSE)</f>
        <v>0.14799999999999999</v>
      </c>
      <c r="M750" s="3">
        <v>3</v>
      </c>
      <c r="N750" s="3">
        <v>2</v>
      </c>
      <c r="O750" s="3">
        <v>1</v>
      </c>
      <c r="P750" s="3">
        <v>3</v>
      </c>
      <c r="Q750" s="3">
        <v>1</v>
      </c>
    </row>
    <row r="751" spans="1:17">
      <c r="A751" t="s">
        <v>1429</v>
      </c>
      <c r="B751" s="3" t="s">
        <v>683</v>
      </c>
      <c r="C751" s="3" t="s">
        <v>684</v>
      </c>
      <c r="D751" s="3" t="s">
        <v>13</v>
      </c>
      <c r="E751" s="3" t="s">
        <v>12</v>
      </c>
      <c r="F751" s="3">
        <v>0</v>
      </c>
      <c r="G751" s="74">
        <f>F751*VLOOKUP(D751,GWPs!$B$3:$C$6,2,FALSE)</f>
        <v>0</v>
      </c>
      <c r="H751" s="3">
        <v>0</v>
      </c>
      <c r="I751" s="74">
        <f>H751*VLOOKUP(D751,GWPs!$B$3:$C$6,2,FALSE)</f>
        <v>0</v>
      </c>
      <c r="J751" s="3">
        <v>1E-3</v>
      </c>
      <c r="K751" s="74">
        <f>J751*VLOOKUP(D751,GWPs!$B$3:$C$6,2,FALSE)</f>
        <v>2.8000000000000001E-2</v>
      </c>
      <c r="M751" s="3">
        <v>4</v>
      </c>
      <c r="N751" s="3">
        <v>2</v>
      </c>
      <c r="O751" s="3">
        <v>1</v>
      </c>
      <c r="P751" s="3">
        <v>1</v>
      </c>
      <c r="Q751" s="3">
        <v>1</v>
      </c>
    </row>
    <row r="752" spans="1:17">
      <c r="A752" t="s">
        <v>1429</v>
      </c>
      <c r="B752" s="3" t="s">
        <v>683</v>
      </c>
      <c r="C752" s="3" t="s">
        <v>684</v>
      </c>
      <c r="D752" s="3" t="s">
        <v>14</v>
      </c>
      <c r="E752" s="3" t="s">
        <v>12</v>
      </c>
      <c r="F752" s="3">
        <v>0</v>
      </c>
      <c r="G752" s="74">
        <f>F752*VLOOKUP(D752,GWPs!$B$3:$C$6,2,FALSE)</f>
        <v>0</v>
      </c>
      <c r="H752" s="3">
        <v>0</v>
      </c>
      <c r="I752" s="74">
        <f>H752*VLOOKUP(D752,GWPs!$B$3:$C$6,2,FALSE)</f>
        <v>0</v>
      </c>
      <c r="J752" s="3">
        <v>0</v>
      </c>
      <c r="K752" s="74">
        <f>J752*VLOOKUP(D752,GWPs!$B$3:$C$6,2,FALSE)</f>
        <v>0</v>
      </c>
      <c r="M752" s="3">
        <v>3</v>
      </c>
      <c r="N752" s="3">
        <v>2</v>
      </c>
      <c r="O752" s="3">
        <v>1</v>
      </c>
      <c r="P752" s="3">
        <v>3</v>
      </c>
      <c r="Q752" s="3">
        <v>1</v>
      </c>
    </row>
    <row r="753" spans="1:17">
      <c r="A753" t="s">
        <v>1429</v>
      </c>
      <c r="B753" s="3" t="s">
        <v>683</v>
      </c>
      <c r="C753" s="3" t="s">
        <v>684</v>
      </c>
      <c r="D753" s="3" t="s">
        <v>15</v>
      </c>
      <c r="E753" s="3" t="s">
        <v>16</v>
      </c>
      <c r="F753" s="3">
        <v>6.0000000000000001E-3</v>
      </c>
      <c r="G753" s="74">
        <f>F753*VLOOKUP(D753,GWPs!$B$3:$C$6,2,FALSE)</f>
        <v>6.0000000000000001E-3</v>
      </c>
      <c r="H753" s="3">
        <v>0</v>
      </c>
      <c r="I753" s="74">
        <f>H753*VLOOKUP(D753,GWPs!$B$3:$C$6,2,FALSE)</f>
        <v>0</v>
      </c>
      <c r="J753" s="3">
        <v>6.0000000000000001E-3</v>
      </c>
      <c r="K753" s="74">
        <f>J753*VLOOKUP(D753,GWPs!$B$3:$C$6,2,FALSE)</f>
        <v>6.0000000000000001E-3</v>
      </c>
      <c r="M753" s="3">
        <v>3</v>
      </c>
      <c r="N753" s="3">
        <v>2</v>
      </c>
      <c r="O753" s="3">
        <v>1</v>
      </c>
      <c r="P753" s="3">
        <v>3</v>
      </c>
      <c r="Q753" s="3">
        <v>1</v>
      </c>
    </row>
    <row r="754" spans="1:17">
      <c r="A754" t="s">
        <v>1429</v>
      </c>
      <c r="B754" s="3" t="s">
        <v>685</v>
      </c>
      <c r="C754" s="3" t="s">
        <v>686</v>
      </c>
      <c r="D754" s="3" t="s">
        <v>11</v>
      </c>
      <c r="E754" s="3" t="s">
        <v>12</v>
      </c>
      <c r="F754" s="3">
        <v>0.22700000000000001</v>
      </c>
      <c r="G754" s="74">
        <f>F754*VLOOKUP(D754,GWPs!$B$3:$C$6,2,FALSE)</f>
        <v>0.22700000000000001</v>
      </c>
      <c r="H754" s="3">
        <v>4.5999999999999999E-2</v>
      </c>
      <c r="I754" s="74">
        <f>H754*VLOOKUP(D754,GWPs!$B$3:$C$6,2,FALSE)</f>
        <v>4.5999999999999999E-2</v>
      </c>
      <c r="J754" s="3">
        <v>0.27200000000000002</v>
      </c>
      <c r="K754" s="74">
        <f>J754*VLOOKUP(D754,GWPs!$B$3:$C$6,2,FALSE)</f>
        <v>0.27200000000000002</v>
      </c>
      <c r="M754" s="3">
        <v>3</v>
      </c>
      <c r="N754" s="3">
        <v>2</v>
      </c>
      <c r="O754" s="3">
        <v>1</v>
      </c>
      <c r="P754" s="3">
        <v>3</v>
      </c>
      <c r="Q754" s="3">
        <v>1</v>
      </c>
    </row>
    <row r="755" spans="1:17">
      <c r="A755" t="s">
        <v>1429</v>
      </c>
      <c r="B755" s="3" t="s">
        <v>685</v>
      </c>
      <c r="C755" s="3" t="s">
        <v>686</v>
      </c>
      <c r="D755" s="3" t="s">
        <v>13</v>
      </c>
      <c r="E755" s="3" t="s">
        <v>12</v>
      </c>
      <c r="F755" s="3">
        <v>1E-3</v>
      </c>
      <c r="G755" s="74">
        <f>F755*VLOOKUP(D755,GWPs!$B$3:$C$6,2,FALSE)</f>
        <v>2.8000000000000001E-2</v>
      </c>
      <c r="H755" s="3">
        <v>0</v>
      </c>
      <c r="I755" s="74">
        <f>H755*VLOOKUP(D755,GWPs!$B$3:$C$6,2,FALSE)</f>
        <v>0</v>
      </c>
      <c r="J755" s="3">
        <v>1E-3</v>
      </c>
      <c r="K755" s="74">
        <f>J755*VLOOKUP(D755,GWPs!$B$3:$C$6,2,FALSE)</f>
        <v>2.8000000000000001E-2</v>
      </c>
      <c r="M755" s="3">
        <v>4</v>
      </c>
      <c r="N755" s="3">
        <v>2</v>
      </c>
      <c r="O755" s="3">
        <v>1</v>
      </c>
      <c r="P755" s="3">
        <v>1</v>
      </c>
      <c r="Q755" s="3">
        <v>1</v>
      </c>
    </row>
    <row r="756" spans="1:17">
      <c r="A756" t="s">
        <v>1429</v>
      </c>
      <c r="B756" s="3" t="s">
        <v>685</v>
      </c>
      <c r="C756" s="3" t="s">
        <v>686</v>
      </c>
      <c r="D756" s="3" t="s">
        <v>14</v>
      </c>
      <c r="E756" s="3" t="s">
        <v>12</v>
      </c>
      <c r="F756" s="3">
        <v>0</v>
      </c>
      <c r="G756" s="74">
        <f>F756*VLOOKUP(D756,GWPs!$B$3:$C$6,2,FALSE)</f>
        <v>0</v>
      </c>
      <c r="H756" s="3">
        <v>0</v>
      </c>
      <c r="I756" s="74">
        <f>H756*VLOOKUP(D756,GWPs!$B$3:$C$6,2,FALSE)</f>
        <v>0</v>
      </c>
      <c r="J756" s="3">
        <v>0</v>
      </c>
      <c r="K756" s="74">
        <f>J756*VLOOKUP(D756,GWPs!$B$3:$C$6,2,FALSE)</f>
        <v>0</v>
      </c>
      <c r="M756" s="3">
        <v>3</v>
      </c>
      <c r="N756" s="3">
        <v>2</v>
      </c>
      <c r="O756" s="3">
        <v>1</v>
      </c>
      <c r="P756" s="3">
        <v>3</v>
      </c>
      <c r="Q756" s="3">
        <v>1</v>
      </c>
    </row>
    <row r="757" spans="1:17">
      <c r="A757" t="s">
        <v>1429</v>
      </c>
      <c r="B757" s="3" t="s">
        <v>685</v>
      </c>
      <c r="C757" s="3" t="s">
        <v>686</v>
      </c>
      <c r="D757" s="3" t="s">
        <v>15</v>
      </c>
      <c r="E757" s="3" t="s">
        <v>16</v>
      </c>
      <c r="F757" s="3">
        <v>7.0000000000000001E-3</v>
      </c>
      <c r="G757" s="74">
        <f>F757*VLOOKUP(D757,GWPs!$B$3:$C$6,2,FALSE)</f>
        <v>7.0000000000000001E-3</v>
      </c>
      <c r="H757" s="3">
        <v>0</v>
      </c>
      <c r="I757" s="74">
        <f>H757*VLOOKUP(D757,GWPs!$B$3:$C$6,2,FALSE)</f>
        <v>0</v>
      </c>
      <c r="J757" s="3">
        <v>7.0000000000000001E-3</v>
      </c>
      <c r="K757" s="74">
        <f>J757*VLOOKUP(D757,GWPs!$B$3:$C$6,2,FALSE)</f>
        <v>7.0000000000000001E-3</v>
      </c>
      <c r="M757" s="3">
        <v>3</v>
      </c>
      <c r="N757" s="3">
        <v>2</v>
      </c>
      <c r="O757" s="3">
        <v>1</v>
      </c>
      <c r="P757" s="3">
        <v>2</v>
      </c>
      <c r="Q757" s="3">
        <v>1</v>
      </c>
    </row>
    <row r="758" spans="1:17">
      <c r="A758" t="s">
        <v>1430</v>
      </c>
      <c r="B758" s="3" t="s">
        <v>687</v>
      </c>
      <c r="C758" s="3" t="s">
        <v>688</v>
      </c>
      <c r="D758" s="3" t="s">
        <v>11</v>
      </c>
      <c r="E758" s="3" t="s">
        <v>12</v>
      </c>
      <c r="F758" s="3">
        <v>0.03</v>
      </c>
      <c r="G758" s="74">
        <f>F758*VLOOKUP(D758,GWPs!$B$3:$C$6,2,FALSE)</f>
        <v>0.03</v>
      </c>
      <c r="H758" s="3">
        <v>0.40200000000000002</v>
      </c>
      <c r="I758" s="74">
        <f>H758*VLOOKUP(D758,GWPs!$B$3:$C$6,2,FALSE)</f>
        <v>0.40200000000000002</v>
      </c>
      <c r="J758" s="3">
        <v>0.43099999999999999</v>
      </c>
      <c r="K758" s="74">
        <f>J758*VLOOKUP(D758,GWPs!$B$3:$C$6,2,FALSE)</f>
        <v>0.43099999999999999</v>
      </c>
      <c r="M758" s="3">
        <v>3</v>
      </c>
      <c r="N758" s="3">
        <v>2</v>
      </c>
      <c r="O758" s="3">
        <v>1</v>
      </c>
      <c r="P758" s="3">
        <v>3</v>
      </c>
      <c r="Q758" s="3">
        <v>1</v>
      </c>
    </row>
    <row r="759" spans="1:17">
      <c r="A759" t="s">
        <v>1430</v>
      </c>
      <c r="B759" s="3" t="s">
        <v>687</v>
      </c>
      <c r="C759" s="3" t="s">
        <v>688</v>
      </c>
      <c r="D759" s="3" t="s">
        <v>13</v>
      </c>
      <c r="E759" s="3" t="s">
        <v>12</v>
      </c>
      <c r="F759" s="3">
        <v>0</v>
      </c>
      <c r="G759" s="74">
        <f>F759*VLOOKUP(D759,GWPs!$B$3:$C$6,2,FALSE)</f>
        <v>0</v>
      </c>
      <c r="H759" s="3">
        <v>2E-3</v>
      </c>
      <c r="I759" s="74">
        <f>H759*VLOOKUP(D759,GWPs!$B$3:$C$6,2,FALSE)</f>
        <v>5.6000000000000001E-2</v>
      </c>
      <c r="J759" s="3">
        <v>2E-3</v>
      </c>
      <c r="K759" s="74">
        <f>J759*VLOOKUP(D759,GWPs!$B$3:$C$6,2,FALSE)</f>
        <v>5.6000000000000001E-2</v>
      </c>
      <c r="M759" s="3">
        <v>3</v>
      </c>
      <c r="N759" s="3">
        <v>2</v>
      </c>
      <c r="O759" s="3">
        <v>1</v>
      </c>
      <c r="P759" s="3">
        <v>1</v>
      </c>
      <c r="Q759" s="3">
        <v>1</v>
      </c>
    </row>
    <row r="760" spans="1:17">
      <c r="A760" t="s">
        <v>1430</v>
      </c>
      <c r="B760" s="3" t="s">
        <v>687</v>
      </c>
      <c r="C760" s="3" t="s">
        <v>688</v>
      </c>
      <c r="D760" s="3" t="s">
        <v>14</v>
      </c>
      <c r="E760" s="3" t="s">
        <v>12</v>
      </c>
      <c r="F760" s="3">
        <v>0</v>
      </c>
      <c r="G760" s="74">
        <f>F760*VLOOKUP(D760,GWPs!$B$3:$C$6,2,FALSE)</f>
        <v>0</v>
      </c>
      <c r="H760" s="3">
        <v>0</v>
      </c>
      <c r="I760" s="74">
        <f>H760*VLOOKUP(D760,GWPs!$B$3:$C$6,2,FALSE)</f>
        <v>0</v>
      </c>
      <c r="J760" s="3">
        <v>0</v>
      </c>
      <c r="K760" s="74">
        <f>J760*VLOOKUP(D760,GWPs!$B$3:$C$6,2,FALSE)</f>
        <v>0</v>
      </c>
      <c r="M760" s="3">
        <v>3</v>
      </c>
      <c r="N760" s="3">
        <v>2</v>
      </c>
      <c r="O760" s="3">
        <v>1</v>
      </c>
      <c r="P760" s="3">
        <v>2</v>
      </c>
      <c r="Q760" s="3">
        <v>1</v>
      </c>
    </row>
    <row r="761" spans="1:17">
      <c r="A761" t="s">
        <v>1430</v>
      </c>
      <c r="B761" s="3" t="s">
        <v>687</v>
      </c>
      <c r="C761" s="3" t="s">
        <v>688</v>
      </c>
      <c r="D761" s="3" t="s">
        <v>15</v>
      </c>
      <c r="E761" s="3" t="s">
        <v>16</v>
      </c>
      <c r="F761" s="3">
        <v>7.0000000000000001E-3</v>
      </c>
      <c r="G761" s="74">
        <f>F761*VLOOKUP(D761,GWPs!$B$3:$C$6,2,FALSE)</f>
        <v>7.0000000000000001E-3</v>
      </c>
      <c r="H761" s="3">
        <v>0</v>
      </c>
      <c r="I761" s="74">
        <f>H761*VLOOKUP(D761,GWPs!$B$3:$C$6,2,FALSE)</f>
        <v>0</v>
      </c>
      <c r="J761" s="3">
        <v>7.0000000000000001E-3</v>
      </c>
      <c r="K761" s="74">
        <f>J761*VLOOKUP(D761,GWPs!$B$3:$C$6,2,FALSE)</f>
        <v>7.0000000000000001E-3</v>
      </c>
      <c r="M761" s="3">
        <v>2</v>
      </c>
      <c r="N761" s="3">
        <v>2</v>
      </c>
      <c r="O761" s="3">
        <v>1</v>
      </c>
      <c r="P761" s="3">
        <v>1</v>
      </c>
      <c r="Q761" s="3">
        <v>1</v>
      </c>
    </row>
    <row r="762" spans="1:17">
      <c r="A762" t="s">
        <v>1430</v>
      </c>
      <c r="B762" s="3" t="s">
        <v>689</v>
      </c>
      <c r="C762" s="3" t="s">
        <v>690</v>
      </c>
      <c r="D762" s="3" t="s">
        <v>11</v>
      </c>
      <c r="E762" s="3" t="s">
        <v>12</v>
      </c>
      <c r="F762" s="3">
        <v>7.3999999999999996E-2</v>
      </c>
      <c r="G762" s="74">
        <f>F762*VLOOKUP(D762,GWPs!$B$3:$C$6,2,FALSE)</f>
        <v>7.3999999999999996E-2</v>
      </c>
      <c r="H762" s="3">
        <v>0.10199999999999999</v>
      </c>
      <c r="I762" s="74">
        <f>H762*VLOOKUP(D762,GWPs!$B$3:$C$6,2,FALSE)</f>
        <v>0.10199999999999999</v>
      </c>
      <c r="J762" s="3">
        <v>0.17599999999999999</v>
      </c>
      <c r="K762" s="74">
        <f>J762*VLOOKUP(D762,GWPs!$B$3:$C$6,2,FALSE)</f>
        <v>0.17599999999999999</v>
      </c>
      <c r="M762" s="3">
        <v>3</v>
      </c>
      <c r="N762" s="3">
        <v>2</v>
      </c>
      <c r="O762" s="3">
        <v>1</v>
      </c>
      <c r="P762" s="3">
        <v>3</v>
      </c>
      <c r="Q762" s="3">
        <v>1</v>
      </c>
    </row>
    <row r="763" spans="1:17">
      <c r="A763" t="s">
        <v>1430</v>
      </c>
      <c r="B763" s="3" t="s">
        <v>689</v>
      </c>
      <c r="C763" s="3" t="s">
        <v>690</v>
      </c>
      <c r="D763" s="3" t="s">
        <v>13</v>
      </c>
      <c r="E763" s="3" t="s">
        <v>12</v>
      </c>
      <c r="F763" s="3">
        <v>0</v>
      </c>
      <c r="G763" s="74">
        <f>F763*VLOOKUP(D763,GWPs!$B$3:$C$6,2,FALSE)</f>
        <v>0</v>
      </c>
      <c r="H763" s="3">
        <v>1E-3</v>
      </c>
      <c r="I763" s="74">
        <f>H763*VLOOKUP(D763,GWPs!$B$3:$C$6,2,FALSE)</f>
        <v>2.8000000000000001E-2</v>
      </c>
      <c r="J763" s="3">
        <v>1E-3</v>
      </c>
      <c r="K763" s="74">
        <f>J763*VLOOKUP(D763,GWPs!$B$3:$C$6,2,FALSE)</f>
        <v>2.8000000000000001E-2</v>
      </c>
      <c r="M763" s="3">
        <v>3</v>
      </c>
      <c r="N763" s="3">
        <v>2</v>
      </c>
      <c r="O763" s="3">
        <v>1</v>
      </c>
      <c r="P763" s="3">
        <v>1</v>
      </c>
      <c r="Q763" s="3">
        <v>1</v>
      </c>
    </row>
    <row r="764" spans="1:17">
      <c r="A764" t="s">
        <v>1430</v>
      </c>
      <c r="B764" s="3" t="s">
        <v>689</v>
      </c>
      <c r="C764" s="3" t="s">
        <v>690</v>
      </c>
      <c r="D764" s="3" t="s">
        <v>14</v>
      </c>
      <c r="E764" s="3" t="s">
        <v>12</v>
      </c>
      <c r="F764" s="3">
        <v>0</v>
      </c>
      <c r="G764" s="74">
        <f>F764*VLOOKUP(D764,GWPs!$B$3:$C$6,2,FALSE)</f>
        <v>0</v>
      </c>
      <c r="H764" s="3">
        <v>0</v>
      </c>
      <c r="I764" s="74">
        <f>H764*VLOOKUP(D764,GWPs!$B$3:$C$6,2,FALSE)</f>
        <v>0</v>
      </c>
      <c r="J764" s="3">
        <v>0</v>
      </c>
      <c r="K764" s="74">
        <f>J764*VLOOKUP(D764,GWPs!$B$3:$C$6,2,FALSE)</f>
        <v>0</v>
      </c>
      <c r="M764" s="3">
        <v>3</v>
      </c>
      <c r="N764" s="3">
        <v>2</v>
      </c>
      <c r="O764" s="3">
        <v>1</v>
      </c>
      <c r="P764" s="3">
        <v>2</v>
      </c>
      <c r="Q764" s="3">
        <v>1</v>
      </c>
    </row>
    <row r="765" spans="1:17">
      <c r="A765" t="s">
        <v>1430</v>
      </c>
      <c r="B765" s="3" t="s">
        <v>689</v>
      </c>
      <c r="C765" s="3" t="s">
        <v>690</v>
      </c>
      <c r="D765" s="3" t="s">
        <v>15</v>
      </c>
      <c r="E765" s="3" t="s">
        <v>16</v>
      </c>
      <c r="F765" s="3">
        <v>7.0000000000000001E-3</v>
      </c>
      <c r="G765" s="74">
        <f>F765*VLOOKUP(D765,GWPs!$B$3:$C$6,2,FALSE)</f>
        <v>7.0000000000000001E-3</v>
      </c>
      <c r="H765" s="3">
        <v>0</v>
      </c>
      <c r="I765" s="74">
        <f>H765*VLOOKUP(D765,GWPs!$B$3:$C$6,2,FALSE)</f>
        <v>0</v>
      </c>
      <c r="J765" s="3">
        <v>7.0000000000000001E-3</v>
      </c>
      <c r="K765" s="74">
        <f>J765*VLOOKUP(D765,GWPs!$B$3:$C$6,2,FALSE)</f>
        <v>7.0000000000000001E-3</v>
      </c>
      <c r="M765" s="3">
        <v>2</v>
      </c>
      <c r="N765" s="3">
        <v>2</v>
      </c>
      <c r="O765" s="3">
        <v>1</v>
      </c>
      <c r="P765" s="3">
        <v>2</v>
      </c>
      <c r="Q765" s="3">
        <v>1</v>
      </c>
    </row>
    <row r="766" spans="1:17">
      <c r="A766" t="s">
        <v>1430</v>
      </c>
      <c r="B766" s="3" t="s">
        <v>691</v>
      </c>
      <c r="C766" s="3" t="s">
        <v>692</v>
      </c>
      <c r="D766" s="3" t="s">
        <v>11</v>
      </c>
      <c r="E766" s="3" t="s">
        <v>12</v>
      </c>
      <c r="F766" s="3">
        <v>0.114</v>
      </c>
      <c r="G766" s="74">
        <f>F766*VLOOKUP(D766,GWPs!$B$3:$C$6,2,FALSE)</f>
        <v>0.114</v>
      </c>
      <c r="H766" s="3">
        <v>0.16500000000000001</v>
      </c>
      <c r="I766" s="74">
        <f>H766*VLOOKUP(D766,GWPs!$B$3:$C$6,2,FALSE)</f>
        <v>0.16500000000000001</v>
      </c>
      <c r="J766" s="3">
        <v>0.27900000000000003</v>
      </c>
      <c r="K766" s="74">
        <f>J766*VLOOKUP(D766,GWPs!$B$3:$C$6,2,FALSE)</f>
        <v>0.27900000000000003</v>
      </c>
      <c r="M766" s="3">
        <v>3</v>
      </c>
      <c r="N766" s="3">
        <v>2</v>
      </c>
      <c r="O766" s="3">
        <v>1</v>
      </c>
      <c r="P766" s="3">
        <v>3</v>
      </c>
      <c r="Q766" s="3">
        <v>1</v>
      </c>
    </row>
    <row r="767" spans="1:17">
      <c r="A767" t="s">
        <v>1430</v>
      </c>
      <c r="B767" s="3" t="s">
        <v>691</v>
      </c>
      <c r="C767" s="3" t="s">
        <v>692</v>
      </c>
      <c r="D767" s="3" t="s">
        <v>13</v>
      </c>
      <c r="E767" s="3" t="s">
        <v>12</v>
      </c>
      <c r="F767" s="3">
        <v>0</v>
      </c>
      <c r="G767" s="74">
        <f>F767*VLOOKUP(D767,GWPs!$B$3:$C$6,2,FALSE)</f>
        <v>0</v>
      </c>
      <c r="H767" s="3">
        <v>1E-3</v>
      </c>
      <c r="I767" s="74">
        <f>H767*VLOOKUP(D767,GWPs!$B$3:$C$6,2,FALSE)</f>
        <v>2.8000000000000001E-2</v>
      </c>
      <c r="J767" s="3">
        <v>1E-3</v>
      </c>
      <c r="K767" s="74">
        <f>J767*VLOOKUP(D767,GWPs!$B$3:$C$6,2,FALSE)</f>
        <v>2.8000000000000001E-2</v>
      </c>
      <c r="M767" s="3">
        <v>4</v>
      </c>
      <c r="N767" s="3">
        <v>2</v>
      </c>
      <c r="O767" s="3">
        <v>1</v>
      </c>
      <c r="P767" s="3">
        <v>1</v>
      </c>
      <c r="Q767" s="3">
        <v>1</v>
      </c>
    </row>
    <row r="768" spans="1:17">
      <c r="A768" t="s">
        <v>1430</v>
      </c>
      <c r="B768" s="3" t="s">
        <v>691</v>
      </c>
      <c r="C768" s="3" t="s">
        <v>692</v>
      </c>
      <c r="D768" s="3" t="s">
        <v>14</v>
      </c>
      <c r="E768" s="3" t="s">
        <v>12</v>
      </c>
      <c r="F768" s="3">
        <v>0</v>
      </c>
      <c r="G768" s="74">
        <f>F768*VLOOKUP(D768,GWPs!$B$3:$C$6,2,FALSE)</f>
        <v>0</v>
      </c>
      <c r="H768" s="3">
        <v>0</v>
      </c>
      <c r="I768" s="74">
        <f>H768*VLOOKUP(D768,GWPs!$B$3:$C$6,2,FALSE)</f>
        <v>0</v>
      </c>
      <c r="J768" s="3">
        <v>0</v>
      </c>
      <c r="K768" s="74">
        <f>J768*VLOOKUP(D768,GWPs!$B$3:$C$6,2,FALSE)</f>
        <v>0</v>
      </c>
      <c r="M768" s="3">
        <v>3</v>
      </c>
      <c r="N768" s="3">
        <v>2</v>
      </c>
      <c r="O768" s="3">
        <v>1</v>
      </c>
      <c r="P768" s="3">
        <v>3</v>
      </c>
      <c r="Q768" s="3">
        <v>1</v>
      </c>
    </row>
    <row r="769" spans="1:17">
      <c r="A769" t="s">
        <v>1430</v>
      </c>
      <c r="B769" s="3" t="s">
        <v>691</v>
      </c>
      <c r="C769" s="3" t="s">
        <v>692</v>
      </c>
      <c r="D769" s="3" t="s">
        <v>15</v>
      </c>
      <c r="E769" s="3" t="s">
        <v>16</v>
      </c>
      <c r="F769" s="3">
        <v>4.0000000000000001E-3</v>
      </c>
      <c r="G769" s="74">
        <f>F769*VLOOKUP(D769,GWPs!$B$3:$C$6,2,FALSE)</f>
        <v>4.0000000000000001E-3</v>
      </c>
      <c r="H769" s="3">
        <v>0</v>
      </c>
      <c r="I769" s="74">
        <f>H769*VLOOKUP(D769,GWPs!$B$3:$C$6,2,FALSE)</f>
        <v>0</v>
      </c>
      <c r="J769" s="3">
        <v>4.0000000000000001E-3</v>
      </c>
      <c r="K769" s="74">
        <f>J769*VLOOKUP(D769,GWPs!$B$3:$C$6,2,FALSE)</f>
        <v>4.0000000000000001E-3</v>
      </c>
      <c r="M769" s="3">
        <v>3</v>
      </c>
      <c r="N769" s="3">
        <v>2</v>
      </c>
      <c r="O769" s="3">
        <v>1</v>
      </c>
      <c r="P769" s="3">
        <v>2</v>
      </c>
      <c r="Q769" s="3">
        <v>1</v>
      </c>
    </row>
    <row r="770" spans="1:17">
      <c r="A770" t="s">
        <v>1430</v>
      </c>
      <c r="B770" s="3" t="s">
        <v>693</v>
      </c>
      <c r="C770" s="3" t="s">
        <v>694</v>
      </c>
      <c r="D770" s="3" t="s">
        <v>11</v>
      </c>
      <c r="E770" s="3" t="s">
        <v>12</v>
      </c>
      <c r="F770" s="3">
        <v>4.7E-2</v>
      </c>
      <c r="G770" s="74">
        <f>F770*VLOOKUP(D770,GWPs!$B$3:$C$6,2,FALSE)</f>
        <v>4.7E-2</v>
      </c>
      <c r="H770" s="3">
        <v>0.161</v>
      </c>
      <c r="I770" s="74">
        <f>H770*VLOOKUP(D770,GWPs!$B$3:$C$6,2,FALSE)</f>
        <v>0.161</v>
      </c>
      <c r="J770" s="3">
        <v>0.20799999999999999</v>
      </c>
      <c r="K770" s="74">
        <f>J770*VLOOKUP(D770,GWPs!$B$3:$C$6,2,FALSE)</f>
        <v>0.20799999999999999</v>
      </c>
      <c r="M770" s="3">
        <v>3</v>
      </c>
      <c r="N770" s="3">
        <v>2</v>
      </c>
      <c r="O770" s="3">
        <v>1</v>
      </c>
      <c r="P770" s="3">
        <v>3</v>
      </c>
      <c r="Q770" s="3">
        <v>1</v>
      </c>
    </row>
    <row r="771" spans="1:17">
      <c r="A771" t="s">
        <v>1430</v>
      </c>
      <c r="B771" s="3" t="s">
        <v>693</v>
      </c>
      <c r="C771" s="3" t="s">
        <v>694</v>
      </c>
      <c r="D771" s="3" t="s">
        <v>13</v>
      </c>
      <c r="E771" s="3" t="s">
        <v>12</v>
      </c>
      <c r="F771" s="3">
        <v>0</v>
      </c>
      <c r="G771" s="74">
        <f>F771*VLOOKUP(D771,GWPs!$B$3:$C$6,2,FALSE)</f>
        <v>0</v>
      </c>
      <c r="H771" s="3">
        <v>1E-3</v>
      </c>
      <c r="I771" s="74">
        <f>H771*VLOOKUP(D771,GWPs!$B$3:$C$6,2,FALSE)</f>
        <v>2.8000000000000001E-2</v>
      </c>
      <c r="J771" s="3">
        <v>1E-3</v>
      </c>
      <c r="K771" s="74">
        <f>J771*VLOOKUP(D771,GWPs!$B$3:$C$6,2,FALSE)</f>
        <v>2.8000000000000001E-2</v>
      </c>
      <c r="M771" s="3">
        <v>3</v>
      </c>
      <c r="N771" s="3">
        <v>2</v>
      </c>
      <c r="O771" s="3">
        <v>1</v>
      </c>
      <c r="P771" s="3">
        <v>1</v>
      </c>
      <c r="Q771" s="3">
        <v>1</v>
      </c>
    </row>
    <row r="772" spans="1:17">
      <c r="A772" t="s">
        <v>1430</v>
      </c>
      <c r="B772" s="3" t="s">
        <v>693</v>
      </c>
      <c r="C772" s="3" t="s">
        <v>694</v>
      </c>
      <c r="D772" s="3" t="s">
        <v>14</v>
      </c>
      <c r="E772" s="3" t="s">
        <v>12</v>
      </c>
      <c r="F772" s="3">
        <v>0</v>
      </c>
      <c r="G772" s="74">
        <f>F772*VLOOKUP(D772,GWPs!$B$3:$C$6,2,FALSE)</f>
        <v>0</v>
      </c>
      <c r="H772" s="3">
        <v>0</v>
      </c>
      <c r="I772" s="74">
        <f>H772*VLOOKUP(D772,GWPs!$B$3:$C$6,2,FALSE)</f>
        <v>0</v>
      </c>
      <c r="J772" s="3">
        <v>0</v>
      </c>
      <c r="K772" s="74">
        <f>J772*VLOOKUP(D772,GWPs!$B$3:$C$6,2,FALSE)</f>
        <v>0</v>
      </c>
      <c r="M772" s="3">
        <v>3</v>
      </c>
      <c r="N772" s="3">
        <v>2</v>
      </c>
      <c r="O772" s="3">
        <v>1</v>
      </c>
      <c r="P772" s="3">
        <v>3</v>
      </c>
      <c r="Q772" s="3">
        <v>1</v>
      </c>
    </row>
    <row r="773" spans="1:17">
      <c r="A773" t="s">
        <v>1430</v>
      </c>
      <c r="B773" s="3" t="s">
        <v>693</v>
      </c>
      <c r="C773" s="3" t="s">
        <v>694</v>
      </c>
      <c r="D773" s="3" t="s">
        <v>15</v>
      </c>
      <c r="E773" s="3" t="s">
        <v>16</v>
      </c>
      <c r="F773" s="3">
        <v>3.0000000000000001E-3</v>
      </c>
      <c r="G773" s="74">
        <f>F773*VLOOKUP(D773,GWPs!$B$3:$C$6,2,FALSE)</f>
        <v>3.0000000000000001E-3</v>
      </c>
      <c r="H773" s="3">
        <v>0</v>
      </c>
      <c r="I773" s="74">
        <f>H773*VLOOKUP(D773,GWPs!$B$3:$C$6,2,FALSE)</f>
        <v>0</v>
      </c>
      <c r="J773" s="3">
        <v>3.0000000000000001E-3</v>
      </c>
      <c r="K773" s="74">
        <f>J773*VLOOKUP(D773,GWPs!$B$3:$C$6,2,FALSE)</f>
        <v>3.0000000000000001E-3</v>
      </c>
      <c r="M773" s="3">
        <v>3</v>
      </c>
      <c r="N773" s="3">
        <v>2</v>
      </c>
      <c r="O773" s="3">
        <v>1</v>
      </c>
      <c r="P773" s="3">
        <v>2</v>
      </c>
      <c r="Q773" s="3">
        <v>1</v>
      </c>
    </row>
    <row r="774" spans="1:17">
      <c r="A774" t="s">
        <v>1429</v>
      </c>
      <c r="B774" s="3" t="s">
        <v>695</v>
      </c>
      <c r="C774" s="3" t="s">
        <v>696</v>
      </c>
      <c r="D774" s="3" t="s">
        <v>11</v>
      </c>
      <c r="E774" s="3" t="s">
        <v>12</v>
      </c>
      <c r="F774" s="3">
        <v>0.04</v>
      </c>
      <c r="G774" s="74">
        <f>F774*VLOOKUP(D774,GWPs!$B$3:$C$6,2,FALSE)</f>
        <v>0.04</v>
      </c>
      <c r="H774" s="3">
        <v>0.14399999999999999</v>
      </c>
      <c r="I774" s="74">
        <f>H774*VLOOKUP(D774,GWPs!$B$3:$C$6,2,FALSE)</f>
        <v>0.14399999999999999</v>
      </c>
      <c r="J774" s="3">
        <v>0.184</v>
      </c>
      <c r="K774" s="74">
        <f>J774*VLOOKUP(D774,GWPs!$B$3:$C$6,2,FALSE)</f>
        <v>0.184</v>
      </c>
      <c r="M774" s="3">
        <v>3</v>
      </c>
      <c r="N774" s="3">
        <v>2</v>
      </c>
      <c r="O774" s="3">
        <v>1</v>
      </c>
      <c r="P774" s="3">
        <v>3</v>
      </c>
      <c r="Q774" s="3">
        <v>1</v>
      </c>
    </row>
    <row r="775" spans="1:17">
      <c r="A775" t="s">
        <v>1429</v>
      </c>
      <c r="B775" s="3" t="s">
        <v>695</v>
      </c>
      <c r="C775" s="3" t="s">
        <v>696</v>
      </c>
      <c r="D775" s="3" t="s">
        <v>13</v>
      </c>
      <c r="E775" s="3" t="s">
        <v>12</v>
      </c>
      <c r="F775" s="3">
        <v>0</v>
      </c>
      <c r="G775" s="74">
        <f>F775*VLOOKUP(D775,GWPs!$B$3:$C$6,2,FALSE)</f>
        <v>0</v>
      </c>
      <c r="H775" s="3">
        <v>1E-3</v>
      </c>
      <c r="I775" s="74">
        <f>H775*VLOOKUP(D775,GWPs!$B$3:$C$6,2,FALSE)</f>
        <v>2.8000000000000001E-2</v>
      </c>
      <c r="J775" s="3">
        <v>1E-3</v>
      </c>
      <c r="K775" s="74">
        <f>J775*VLOOKUP(D775,GWPs!$B$3:$C$6,2,FALSE)</f>
        <v>2.8000000000000001E-2</v>
      </c>
      <c r="M775" s="3">
        <v>3</v>
      </c>
      <c r="N775" s="3">
        <v>2</v>
      </c>
      <c r="O775" s="3">
        <v>1</v>
      </c>
      <c r="P775" s="3">
        <v>1</v>
      </c>
      <c r="Q775" s="3">
        <v>1</v>
      </c>
    </row>
    <row r="776" spans="1:17">
      <c r="A776" t="s">
        <v>1429</v>
      </c>
      <c r="B776" s="3" t="s">
        <v>695</v>
      </c>
      <c r="C776" s="3" t="s">
        <v>696</v>
      </c>
      <c r="D776" s="3" t="s">
        <v>14</v>
      </c>
      <c r="E776" s="3" t="s">
        <v>12</v>
      </c>
      <c r="F776" s="3">
        <v>0</v>
      </c>
      <c r="G776" s="74">
        <f>F776*VLOOKUP(D776,GWPs!$B$3:$C$6,2,FALSE)</f>
        <v>0</v>
      </c>
      <c r="H776" s="3">
        <v>0</v>
      </c>
      <c r="I776" s="74">
        <f>H776*VLOOKUP(D776,GWPs!$B$3:$C$6,2,FALSE)</f>
        <v>0</v>
      </c>
      <c r="J776" s="3">
        <v>0</v>
      </c>
      <c r="K776" s="74">
        <f>J776*VLOOKUP(D776,GWPs!$B$3:$C$6,2,FALSE)</f>
        <v>0</v>
      </c>
      <c r="M776" s="3">
        <v>3</v>
      </c>
      <c r="N776" s="3">
        <v>2</v>
      </c>
      <c r="O776" s="3">
        <v>1</v>
      </c>
      <c r="P776" s="3">
        <v>3</v>
      </c>
      <c r="Q776" s="3">
        <v>1</v>
      </c>
    </row>
    <row r="777" spans="1:17">
      <c r="A777" t="s">
        <v>1429</v>
      </c>
      <c r="B777" s="3" t="s">
        <v>695</v>
      </c>
      <c r="C777" s="3" t="s">
        <v>696</v>
      </c>
      <c r="D777" s="3" t="s">
        <v>15</v>
      </c>
      <c r="E777" s="3" t="s">
        <v>16</v>
      </c>
      <c r="F777" s="3">
        <v>2E-3</v>
      </c>
      <c r="G777" s="74">
        <f>F777*VLOOKUP(D777,GWPs!$B$3:$C$6,2,FALSE)</f>
        <v>2E-3</v>
      </c>
      <c r="H777" s="3">
        <v>0</v>
      </c>
      <c r="I777" s="74">
        <f>H777*VLOOKUP(D777,GWPs!$B$3:$C$6,2,FALSE)</f>
        <v>0</v>
      </c>
      <c r="J777" s="3">
        <v>2E-3</v>
      </c>
      <c r="K777" s="74">
        <f>J777*VLOOKUP(D777,GWPs!$B$3:$C$6,2,FALSE)</f>
        <v>2E-3</v>
      </c>
      <c r="M777" s="3">
        <v>3</v>
      </c>
      <c r="N777" s="3">
        <v>2</v>
      </c>
      <c r="O777" s="3">
        <v>1</v>
      </c>
      <c r="P777" s="3">
        <v>2</v>
      </c>
      <c r="Q777" s="3">
        <v>1</v>
      </c>
    </row>
    <row r="778" spans="1:17">
      <c r="A778" t="s">
        <v>1429</v>
      </c>
      <c r="B778" s="3" t="s">
        <v>697</v>
      </c>
      <c r="C778" s="3" t="s">
        <v>698</v>
      </c>
      <c r="D778" s="3" t="s">
        <v>11</v>
      </c>
      <c r="E778" s="3" t="s">
        <v>12</v>
      </c>
      <c r="F778" s="3">
        <v>5.6000000000000001E-2</v>
      </c>
      <c r="G778" s="74">
        <f>F778*VLOOKUP(D778,GWPs!$B$3:$C$6,2,FALSE)</f>
        <v>5.6000000000000001E-2</v>
      </c>
      <c r="H778" s="3">
        <v>4.4999999999999998E-2</v>
      </c>
      <c r="I778" s="74">
        <f>H778*VLOOKUP(D778,GWPs!$B$3:$C$6,2,FALSE)</f>
        <v>4.4999999999999998E-2</v>
      </c>
      <c r="J778" s="3">
        <v>0.10100000000000001</v>
      </c>
      <c r="K778" s="74">
        <f>J778*VLOOKUP(D778,GWPs!$B$3:$C$6,2,FALSE)</f>
        <v>0.10100000000000001</v>
      </c>
      <c r="M778" s="3">
        <v>3</v>
      </c>
      <c r="N778" s="3">
        <v>2</v>
      </c>
      <c r="O778" s="3">
        <v>1</v>
      </c>
      <c r="P778" s="3">
        <v>3</v>
      </c>
      <c r="Q778" s="3">
        <v>1</v>
      </c>
    </row>
    <row r="779" spans="1:17">
      <c r="A779" t="s">
        <v>1429</v>
      </c>
      <c r="B779" s="3" t="s">
        <v>697</v>
      </c>
      <c r="C779" s="3" t="s">
        <v>698</v>
      </c>
      <c r="D779" s="3" t="s">
        <v>13</v>
      </c>
      <c r="E779" s="3" t="s">
        <v>12</v>
      </c>
      <c r="F779" s="3">
        <v>0</v>
      </c>
      <c r="G779" s="74">
        <f>F779*VLOOKUP(D779,GWPs!$B$3:$C$6,2,FALSE)</f>
        <v>0</v>
      </c>
      <c r="H779" s="3">
        <v>0</v>
      </c>
      <c r="I779" s="74">
        <f>H779*VLOOKUP(D779,GWPs!$B$3:$C$6,2,FALSE)</f>
        <v>0</v>
      </c>
      <c r="J779" s="3">
        <v>0</v>
      </c>
      <c r="K779" s="74">
        <f>J779*VLOOKUP(D779,GWPs!$B$3:$C$6,2,FALSE)</f>
        <v>0</v>
      </c>
      <c r="M779" s="3">
        <v>4</v>
      </c>
      <c r="N779" s="3">
        <v>2</v>
      </c>
      <c r="O779" s="3">
        <v>1</v>
      </c>
      <c r="P779" s="3">
        <v>1</v>
      </c>
      <c r="Q779" s="3">
        <v>1</v>
      </c>
    </row>
    <row r="780" spans="1:17">
      <c r="A780" t="s">
        <v>1429</v>
      </c>
      <c r="B780" s="3" t="s">
        <v>697</v>
      </c>
      <c r="C780" s="3" t="s">
        <v>698</v>
      </c>
      <c r="D780" s="3" t="s">
        <v>14</v>
      </c>
      <c r="E780" s="3" t="s">
        <v>12</v>
      </c>
      <c r="F780" s="3">
        <v>0</v>
      </c>
      <c r="G780" s="74">
        <f>F780*VLOOKUP(D780,GWPs!$B$3:$C$6,2,FALSE)</f>
        <v>0</v>
      </c>
      <c r="H780" s="3">
        <v>0</v>
      </c>
      <c r="I780" s="74">
        <f>H780*VLOOKUP(D780,GWPs!$B$3:$C$6,2,FALSE)</f>
        <v>0</v>
      </c>
      <c r="J780" s="3">
        <v>0</v>
      </c>
      <c r="K780" s="74">
        <f>J780*VLOOKUP(D780,GWPs!$B$3:$C$6,2,FALSE)</f>
        <v>0</v>
      </c>
      <c r="M780" s="3">
        <v>3</v>
      </c>
      <c r="N780" s="3">
        <v>2</v>
      </c>
      <c r="O780" s="3">
        <v>1</v>
      </c>
      <c r="P780" s="3">
        <v>3</v>
      </c>
      <c r="Q780" s="3">
        <v>1</v>
      </c>
    </row>
    <row r="781" spans="1:17">
      <c r="A781" t="s">
        <v>1429</v>
      </c>
      <c r="B781" s="3" t="s">
        <v>697</v>
      </c>
      <c r="C781" s="3" t="s">
        <v>698</v>
      </c>
      <c r="D781" s="3" t="s">
        <v>15</v>
      </c>
      <c r="E781" s="3" t="s">
        <v>16</v>
      </c>
      <c r="F781" s="3">
        <v>3.0000000000000001E-3</v>
      </c>
      <c r="G781" s="74">
        <f>F781*VLOOKUP(D781,GWPs!$B$3:$C$6,2,FALSE)</f>
        <v>3.0000000000000001E-3</v>
      </c>
      <c r="H781" s="3">
        <v>0</v>
      </c>
      <c r="I781" s="74">
        <f>H781*VLOOKUP(D781,GWPs!$B$3:$C$6,2,FALSE)</f>
        <v>0</v>
      </c>
      <c r="J781" s="3">
        <v>3.0000000000000001E-3</v>
      </c>
      <c r="K781" s="74">
        <f>J781*VLOOKUP(D781,GWPs!$B$3:$C$6,2,FALSE)</f>
        <v>3.0000000000000001E-3</v>
      </c>
      <c r="M781" s="3">
        <v>3</v>
      </c>
      <c r="N781" s="3">
        <v>2</v>
      </c>
      <c r="O781" s="3">
        <v>1</v>
      </c>
      <c r="P781" s="3">
        <v>2</v>
      </c>
      <c r="Q781" s="3">
        <v>1</v>
      </c>
    </row>
    <row r="782" spans="1:17">
      <c r="A782" t="s">
        <v>1430</v>
      </c>
      <c r="B782" s="3" t="s">
        <v>699</v>
      </c>
      <c r="C782" s="3" t="s">
        <v>700</v>
      </c>
      <c r="D782" s="3" t="s">
        <v>11</v>
      </c>
      <c r="E782" s="3" t="s">
        <v>12</v>
      </c>
      <c r="F782" s="3">
        <v>6.5000000000000002E-2</v>
      </c>
      <c r="G782" s="74">
        <f>F782*VLOOKUP(D782,GWPs!$B$3:$C$6,2,FALSE)</f>
        <v>6.5000000000000002E-2</v>
      </c>
      <c r="H782" s="3">
        <v>1.036</v>
      </c>
      <c r="I782" s="74">
        <f>H782*VLOOKUP(D782,GWPs!$B$3:$C$6,2,FALSE)</f>
        <v>1.036</v>
      </c>
      <c r="J782" s="3">
        <v>1.101</v>
      </c>
      <c r="K782" s="74">
        <f>J782*VLOOKUP(D782,GWPs!$B$3:$C$6,2,FALSE)</f>
        <v>1.101</v>
      </c>
      <c r="M782" s="3">
        <v>3</v>
      </c>
      <c r="N782" s="3">
        <v>2</v>
      </c>
      <c r="O782" s="3">
        <v>1</v>
      </c>
      <c r="P782" s="3">
        <v>3</v>
      </c>
      <c r="Q782" s="3">
        <v>1</v>
      </c>
    </row>
    <row r="783" spans="1:17">
      <c r="A783" t="s">
        <v>1430</v>
      </c>
      <c r="B783" s="3" t="s">
        <v>699</v>
      </c>
      <c r="C783" s="3" t="s">
        <v>700</v>
      </c>
      <c r="D783" s="3" t="s">
        <v>13</v>
      </c>
      <c r="E783" s="3" t="s">
        <v>12</v>
      </c>
      <c r="F783" s="3">
        <v>0</v>
      </c>
      <c r="G783" s="74">
        <f>F783*VLOOKUP(D783,GWPs!$B$3:$C$6,2,FALSE)</f>
        <v>0</v>
      </c>
      <c r="H783" s="3">
        <v>5.0000000000000001E-3</v>
      </c>
      <c r="I783" s="74">
        <f>H783*VLOOKUP(D783,GWPs!$B$3:$C$6,2,FALSE)</f>
        <v>0.14000000000000001</v>
      </c>
      <c r="J783" s="3">
        <v>5.0000000000000001E-3</v>
      </c>
      <c r="K783" s="74">
        <f>J783*VLOOKUP(D783,GWPs!$B$3:$C$6,2,FALSE)</f>
        <v>0.14000000000000001</v>
      </c>
      <c r="M783" s="3">
        <v>4</v>
      </c>
      <c r="N783" s="3">
        <v>2</v>
      </c>
      <c r="O783" s="3">
        <v>1</v>
      </c>
      <c r="P783" s="3">
        <v>1</v>
      </c>
      <c r="Q783" s="3">
        <v>1</v>
      </c>
    </row>
    <row r="784" spans="1:17">
      <c r="A784" t="s">
        <v>1430</v>
      </c>
      <c r="B784" s="3" t="s">
        <v>699</v>
      </c>
      <c r="C784" s="3" t="s">
        <v>700</v>
      </c>
      <c r="D784" s="3" t="s">
        <v>14</v>
      </c>
      <c r="E784" s="3" t="s">
        <v>12</v>
      </c>
      <c r="F784" s="3">
        <v>0</v>
      </c>
      <c r="G784" s="74">
        <f>F784*VLOOKUP(D784,GWPs!$B$3:$C$6,2,FALSE)</f>
        <v>0</v>
      </c>
      <c r="H784" s="3">
        <v>0</v>
      </c>
      <c r="I784" s="74">
        <f>H784*VLOOKUP(D784,GWPs!$B$3:$C$6,2,FALSE)</f>
        <v>0</v>
      </c>
      <c r="J784" s="3">
        <v>0</v>
      </c>
      <c r="K784" s="74">
        <f>J784*VLOOKUP(D784,GWPs!$B$3:$C$6,2,FALSE)</f>
        <v>0</v>
      </c>
      <c r="M784" s="3">
        <v>3</v>
      </c>
      <c r="N784" s="3">
        <v>2</v>
      </c>
      <c r="O784" s="3">
        <v>1</v>
      </c>
      <c r="P784" s="3">
        <v>3</v>
      </c>
      <c r="Q784" s="3">
        <v>1</v>
      </c>
    </row>
    <row r="785" spans="1:17">
      <c r="A785" t="s">
        <v>1430</v>
      </c>
      <c r="B785" s="3" t="s">
        <v>699</v>
      </c>
      <c r="C785" s="3" t="s">
        <v>700</v>
      </c>
      <c r="D785" s="3" t="s">
        <v>15</v>
      </c>
      <c r="E785" s="3" t="s">
        <v>16</v>
      </c>
      <c r="F785" s="3">
        <v>3.0000000000000001E-3</v>
      </c>
      <c r="G785" s="74">
        <f>F785*VLOOKUP(D785,GWPs!$B$3:$C$6,2,FALSE)</f>
        <v>3.0000000000000001E-3</v>
      </c>
      <c r="H785" s="3">
        <v>0</v>
      </c>
      <c r="I785" s="74">
        <f>H785*VLOOKUP(D785,GWPs!$B$3:$C$6,2,FALSE)</f>
        <v>0</v>
      </c>
      <c r="J785" s="3">
        <v>3.0000000000000001E-3</v>
      </c>
      <c r="K785" s="74">
        <f>J785*VLOOKUP(D785,GWPs!$B$3:$C$6,2,FALSE)</f>
        <v>3.0000000000000001E-3</v>
      </c>
      <c r="M785" s="3">
        <v>3</v>
      </c>
      <c r="N785" s="3">
        <v>2</v>
      </c>
      <c r="O785" s="3">
        <v>1</v>
      </c>
      <c r="P785" s="3">
        <v>3</v>
      </c>
      <c r="Q785" s="3">
        <v>1</v>
      </c>
    </row>
    <row r="786" spans="1:17">
      <c r="A786" t="s">
        <v>1429</v>
      </c>
      <c r="B786" s="3" t="s">
        <v>701</v>
      </c>
      <c r="C786" s="3" t="s">
        <v>702</v>
      </c>
      <c r="D786" s="3" t="s">
        <v>11</v>
      </c>
      <c r="E786" s="3" t="s">
        <v>12</v>
      </c>
      <c r="F786" s="3">
        <v>0.107</v>
      </c>
      <c r="G786" s="74">
        <f>F786*VLOOKUP(D786,GWPs!$B$3:$C$6,2,FALSE)</f>
        <v>0.107</v>
      </c>
      <c r="H786" s="3">
        <v>4.2999999999999997E-2</v>
      </c>
      <c r="I786" s="74">
        <f>H786*VLOOKUP(D786,GWPs!$B$3:$C$6,2,FALSE)</f>
        <v>4.2999999999999997E-2</v>
      </c>
      <c r="J786" s="3">
        <v>0.15</v>
      </c>
      <c r="K786" s="74">
        <f>J786*VLOOKUP(D786,GWPs!$B$3:$C$6,2,FALSE)</f>
        <v>0.15</v>
      </c>
      <c r="M786" s="3">
        <v>3</v>
      </c>
      <c r="N786" s="3">
        <v>2</v>
      </c>
      <c r="O786" s="3">
        <v>1</v>
      </c>
      <c r="P786" s="3">
        <v>3</v>
      </c>
      <c r="Q786" s="3">
        <v>1</v>
      </c>
    </row>
    <row r="787" spans="1:17">
      <c r="A787" t="s">
        <v>1429</v>
      </c>
      <c r="B787" s="3" t="s">
        <v>701</v>
      </c>
      <c r="C787" s="3" t="s">
        <v>702</v>
      </c>
      <c r="D787" s="3" t="s">
        <v>13</v>
      </c>
      <c r="E787" s="3" t="s">
        <v>12</v>
      </c>
      <c r="F787" s="3">
        <v>0</v>
      </c>
      <c r="G787" s="74">
        <f>F787*VLOOKUP(D787,GWPs!$B$3:$C$6,2,FALSE)</f>
        <v>0</v>
      </c>
      <c r="H787" s="3">
        <v>0</v>
      </c>
      <c r="I787" s="74">
        <f>H787*VLOOKUP(D787,GWPs!$B$3:$C$6,2,FALSE)</f>
        <v>0</v>
      </c>
      <c r="J787" s="3">
        <v>1E-3</v>
      </c>
      <c r="K787" s="74">
        <f>J787*VLOOKUP(D787,GWPs!$B$3:$C$6,2,FALSE)</f>
        <v>2.8000000000000001E-2</v>
      </c>
      <c r="M787" s="3">
        <v>3</v>
      </c>
      <c r="N787" s="3">
        <v>2</v>
      </c>
      <c r="O787" s="3">
        <v>1</v>
      </c>
      <c r="P787" s="3">
        <v>1</v>
      </c>
      <c r="Q787" s="3">
        <v>1</v>
      </c>
    </row>
    <row r="788" spans="1:17">
      <c r="A788" t="s">
        <v>1429</v>
      </c>
      <c r="B788" s="3" t="s">
        <v>701</v>
      </c>
      <c r="C788" s="3" t="s">
        <v>702</v>
      </c>
      <c r="D788" s="3" t="s">
        <v>14</v>
      </c>
      <c r="E788" s="3" t="s">
        <v>12</v>
      </c>
      <c r="F788" s="3">
        <v>0</v>
      </c>
      <c r="G788" s="74">
        <f>F788*VLOOKUP(D788,GWPs!$B$3:$C$6,2,FALSE)</f>
        <v>0</v>
      </c>
      <c r="H788" s="3">
        <v>0</v>
      </c>
      <c r="I788" s="74">
        <f>H788*VLOOKUP(D788,GWPs!$B$3:$C$6,2,FALSE)</f>
        <v>0</v>
      </c>
      <c r="J788" s="3">
        <v>0</v>
      </c>
      <c r="K788" s="74">
        <f>J788*VLOOKUP(D788,GWPs!$B$3:$C$6,2,FALSE)</f>
        <v>0</v>
      </c>
      <c r="M788" s="3">
        <v>3</v>
      </c>
      <c r="N788" s="3">
        <v>2</v>
      </c>
      <c r="O788" s="3">
        <v>1</v>
      </c>
      <c r="P788" s="3">
        <v>2</v>
      </c>
      <c r="Q788" s="3">
        <v>1</v>
      </c>
    </row>
    <row r="789" spans="1:17">
      <c r="A789" t="s">
        <v>1429</v>
      </c>
      <c r="B789" s="3" t="s">
        <v>701</v>
      </c>
      <c r="C789" s="3" t="s">
        <v>702</v>
      </c>
      <c r="D789" s="3" t="s">
        <v>15</v>
      </c>
      <c r="E789" s="3" t="s">
        <v>16</v>
      </c>
      <c r="F789" s="3">
        <v>7.9000000000000001E-2</v>
      </c>
      <c r="G789" s="74">
        <f>F789*VLOOKUP(D789,GWPs!$B$3:$C$6,2,FALSE)</f>
        <v>7.9000000000000001E-2</v>
      </c>
      <c r="H789" s="3">
        <v>0</v>
      </c>
      <c r="I789" s="74">
        <f>H789*VLOOKUP(D789,GWPs!$B$3:$C$6,2,FALSE)</f>
        <v>0</v>
      </c>
      <c r="J789" s="3">
        <v>7.9000000000000001E-2</v>
      </c>
      <c r="K789" s="74">
        <f>J789*VLOOKUP(D789,GWPs!$B$3:$C$6,2,FALSE)</f>
        <v>7.9000000000000001E-2</v>
      </c>
      <c r="M789" s="3">
        <v>2</v>
      </c>
      <c r="N789" s="3">
        <v>2</v>
      </c>
      <c r="O789" s="3">
        <v>1</v>
      </c>
      <c r="P789" s="3">
        <v>1</v>
      </c>
      <c r="Q789" s="3">
        <v>1</v>
      </c>
    </row>
    <row r="790" spans="1:17">
      <c r="A790" t="s">
        <v>1429</v>
      </c>
      <c r="B790" s="3" t="s">
        <v>703</v>
      </c>
      <c r="C790" s="3" t="s">
        <v>704</v>
      </c>
      <c r="D790" s="3" t="s">
        <v>11</v>
      </c>
      <c r="E790" s="3" t="s">
        <v>12</v>
      </c>
      <c r="F790" s="3">
        <v>8.7999999999999995E-2</v>
      </c>
      <c r="G790" s="74">
        <f>F790*VLOOKUP(D790,GWPs!$B$3:$C$6,2,FALSE)</f>
        <v>8.7999999999999995E-2</v>
      </c>
      <c r="H790" s="3">
        <v>2.4E-2</v>
      </c>
      <c r="I790" s="74">
        <f>H790*VLOOKUP(D790,GWPs!$B$3:$C$6,2,FALSE)</f>
        <v>2.4E-2</v>
      </c>
      <c r="J790" s="3">
        <v>0.112</v>
      </c>
      <c r="K790" s="74">
        <f>J790*VLOOKUP(D790,GWPs!$B$3:$C$6,2,FALSE)</f>
        <v>0.112</v>
      </c>
      <c r="M790" s="3">
        <v>3</v>
      </c>
      <c r="N790" s="3">
        <v>2</v>
      </c>
      <c r="O790" s="3">
        <v>1</v>
      </c>
      <c r="P790" s="3">
        <v>3</v>
      </c>
      <c r="Q790" s="3">
        <v>1</v>
      </c>
    </row>
    <row r="791" spans="1:17">
      <c r="A791" t="s">
        <v>1429</v>
      </c>
      <c r="B791" s="3" t="s">
        <v>703</v>
      </c>
      <c r="C791" s="3" t="s">
        <v>704</v>
      </c>
      <c r="D791" s="3" t="s">
        <v>13</v>
      </c>
      <c r="E791" s="3" t="s">
        <v>12</v>
      </c>
      <c r="F791" s="3">
        <v>0</v>
      </c>
      <c r="G791" s="74">
        <f>F791*VLOOKUP(D791,GWPs!$B$3:$C$6,2,FALSE)</f>
        <v>0</v>
      </c>
      <c r="H791" s="3">
        <v>0</v>
      </c>
      <c r="I791" s="74">
        <f>H791*VLOOKUP(D791,GWPs!$B$3:$C$6,2,FALSE)</f>
        <v>0</v>
      </c>
      <c r="J791" s="3">
        <v>0</v>
      </c>
      <c r="K791" s="74">
        <f>J791*VLOOKUP(D791,GWPs!$B$3:$C$6,2,FALSE)</f>
        <v>0</v>
      </c>
      <c r="M791" s="3">
        <v>4</v>
      </c>
      <c r="N791" s="3">
        <v>2</v>
      </c>
      <c r="O791" s="3">
        <v>1</v>
      </c>
      <c r="P791" s="3">
        <v>1</v>
      </c>
      <c r="Q791" s="3">
        <v>1</v>
      </c>
    </row>
    <row r="792" spans="1:17">
      <c r="A792" t="s">
        <v>1429</v>
      </c>
      <c r="B792" s="3" t="s">
        <v>703</v>
      </c>
      <c r="C792" s="3" t="s">
        <v>704</v>
      </c>
      <c r="D792" s="3" t="s">
        <v>14</v>
      </c>
      <c r="E792" s="3" t="s">
        <v>12</v>
      </c>
      <c r="F792" s="3">
        <v>0</v>
      </c>
      <c r="G792" s="74">
        <f>F792*VLOOKUP(D792,GWPs!$B$3:$C$6,2,FALSE)</f>
        <v>0</v>
      </c>
      <c r="H792" s="3">
        <v>0</v>
      </c>
      <c r="I792" s="74">
        <f>H792*VLOOKUP(D792,GWPs!$B$3:$C$6,2,FALSE)</f>
        <v>0</v>
      </c>
      <c r="J792" s="3">
        <v>0</v>
      </c>
      <c r="K792" s="74">
        <f>J792*VLOOKUP(D792,GWPs!$B$3:$C$6,2,FALSE)</f>
        <v>0</v>
      </c>
      <c r="M792" s="3">
        <v>3</v>
      </c>
      <c r="N792" s="3">
        <v>2</v>
      </c>
      <c r="O792" s="3">
        <v>1</v>
      </c>
      <c r="P792" s="3">
        <v>2</v>
      </c>
      <c r="Q792" s="3">
        <v>1</v>
      </c>
    </row>
    <row r="793" spans="1:17">
      <c r="A793" t="s">
        <v>1429</v>
      </c>
      <c r="B793" s="3" t="s">
        <v>703</v>
      </c>
      <c r="C793" s="3" t="s">
        <v>704</v>
      </c>
      <c r="D793" s="3" t="s">
        <v>15</v>
      </c>
      <c r="E793" s="3" t="s">
        <v>16</v>
      </c>
      <c r="F793" s="3">
        <v>1.2E-2</v>
      </c>
      <c r="G793" s="74">
        <f>F793*VLOOKUP(D793,GWPs!$B$3:$C$6,2,FALSE)</f>
        <v>1.2E-2</v>
      </c>
      <c r="H793" s="3">
        <v>0</v>
      </c>
      <c r="I793" s="74">
        <f>H793*VLOOKUP(D793,GWPs!$B$3:$C$6,2,FALSE)</f>
        <v>0</v>
      </c>
      <c r="J793" s="3">
        <v>1.2E-2</v>
      </c>
      <c r="K793" s="74">
        <f>J793*VLOOKUP(D793,GWPs!$B$3:$C$6,2,FALSE)</f>
        <v>1.2E-2</v>
      </c>
      <c r="M793" s="3">
        <v>2</v>
      </c>
      <c r="N793" s="3">
        <v>2</v>
      </c>
      <c r="O793" s="3">
        <v>1</v>
      </c>
      <c r="P793" s="3">
        <v>2</v>
      </c>
      <c r="Q793" s="3">
        <v>1</v>
      </c>
    </row>
    <row r="794" spans="1:17">
      <c r="A794" t="s">
        <v>1430</v>
      </c>
      <c r="B794" s="3" t="s">
        <v>705</v>
      </c>
      <c r="C794" s="3" t="s">
        <v>706</v>
      </c>
      <c r="D794" s="3" t="s">
        <v>11</v>
      </c>
      <c r="E794" s="3" t="s">
        <v>12</v>
      </c>
      <c r="F794" s="3">
        <v>8.1000000000000003E-2</v>
      </c>
      <c r="G794" s="74">
        <f>F794*VLOOKUP(D794,GWPs!$B$3:$C$6,2,FALSE)</f>
        <v>8.1000000000000003E-2</v>
      </c>
      <c r="H794" s="3">
        <v>2.5999999999999999E-2</v>
      </c>
      <c r="I794" s="74">
        <f>H794*VLOOKUP(D794,GWPs!$B$3:$C$6,2,FALSE)</f>
        <v>2.5999999999999999E-2</v>
      </c>
      <c r="J794" s="3">
        <v>0.106</v>
      </c>
      <c r="K794" s="74">
        <f>J794*VLOOKUP(D794,GWPs!$B$3:$C$6,2,FALSE)</f>
        <v>0.106</v>
      </c>
      <c r="M794" s="3">
        <v>3</v>
      </c>
      <c r="N794" s="3">
        <v>2</v>
      </c>
      <c r="O794" s="3">
        <v>1</v>
      </c>
      <c r="P794" s="3">
        <v>3</v>
      </c>
      <c r="Q794" s="3">
        <v>1</v>
      </c>
    </row>
    <row r="795" spans="1:17">
      <c r="A795" t="s">
        <v>1430</v>
      </c>
      <c r="B795" s="3" t="s">
        <v>705</v>
      </c>
      <c r="C795" s="3" t="s">
        <v>706</v>
      </c>
      <c r="D795" s="3" t="s">
        <v>13</v>
      </c>
      <c r="E795" s="3" t="s">
        <v>12</v>
      </c>
      <c r="F795" s="3">
        <v>0</v>
      </c>
      <c r="G795" s="74">
        <f>F795*VLOOKUP(D795,GWPs!$B$3:$C$6,2,FALSE)</f>
        <v>0</v>
      </c>
      <c r="H795" s="3">
        <v>0</v>
      </c>
      <c r="I795" s="74">
        <f>H795*VLOOKUP(D795,GWPs!$B$3:$C$6,2,FALSE)</f>
        <v>0</v>
      </c>
      <c r="J795" s="3">
        <v>0</v>
      </c>
      <c r="K795" s="74">
        <f>J795*VLOOKUP(D795,GWPs!$B$3:$C$6,2,FALSE)</f>
        <v>0</v>
      </c>
      <c r="M795" s="3">
        <v>3</v>
      </c>
      <c r="N795" s="3">
        <v>2</v>
      </c>
      <c r="O795" s="3">
        <v>1</v>
      </c>
      <c r="P795" s="3">
        <v>1</v>
      </c>
      <c r="Q795" s="3">
        <v>1</v>
      </c>
    </row>
    <row r="796" spans="1:17">
      <c r="A796" t="s">
        <v>1430</v>
      </c>
      <c r="B796" s="3" t="s">
        <v>705</v>
      </c>
      <c r="C796" s="3" t="s">
        <v>706</v>
      </c>
      <c r="D796" s="3" t="s">
        <v>14</v>
      </c>
      <c r="E796" s="3" t="s">
        <v>12</v>
      </c>
      <c r="F796" s="3">
        <v>0</v>
      </c>
      <c r="G796" s="74">
        <f>F796*VLOOKUP(D796,GWPs!$B$3:$C$6,2,FALSE)</f>
        <v>0</v>
      </c>
      <c r="H796" s="3">
        <v>0</v>
      </c>
      <c r="I796" s="74">
        <f>H796*VLOOKUP(D796,GWPs!$B$3:$C$6,2,FALSE)</f>
        <v>0</v>
      </c>
      <c r="J796" s="3">
        <v>0</v>
      </c>
      <c r="K796" s="74">
        <f>J796*VLOOKUP(D796,GWPs!$B$3:$C$6,2,FALSE)</f>
        <v>0</v>
      </c>
      <c r="M796" s="3">
        <v>3</v>
      </c>
      <c r="N796" s="3">
        <v>2</v>
      </c>
      <c r="O796" s="3">
        <v>1</v>
      </c>
      <c r="P796" s="3">
        <v>3</v>
      </c>
      <c r="Q796" s="3">
        <v>1</v>
      </c>
    </row>
    <row r="797" spans="1:17">
      <c r="A797" t="s">
        <v>1430</v>
      </c>
      <c r="B797" s="3" t="s">
        <v>705</v>
      </c>
      <c r="C797" s="3" t="s">
        <v>706</v>
      </c>
      <c r="D797" s="3" t="s">
        <v>15</v>
      </c>
      <c r="E797" s="3" t="s">
        <v>16</v>
      </c>
      <c r="F797" s="3">
        <v>8.0000000000000002E-3</v>
      </c>
      <c r="G797" s="74">
        <f>F797*VLOOKUP(D797,GWPs!$B$3:$C$6,2,FALSE)</f>
        <v>8.0000000000000002E-3</v>
      </c>
      <c r="H797" s="3">
        <v>0</v>
      </c>
      <c r="I797" s="74">
        <f>H797*VLOOKUP(D797,GWPs!$B$3:$C$6,2,FALSE)</f>
        <v>0</v>
      </c>
      <c r="J797" s="3">
        <v>8.0000000000000002E-3</v>
      </c>
      <c r="K797" s="74">
        <f>J797*VLOOKUP(D797,GWPs!$B$3:$C$6,2,FALSE)</f>
        <v>8.0000000000000002E-3</v>
      </c>
      <c r="M797" s="3">
        <v>3</v>
      </c>
      <c r="N797" s="3">
        <v>2</v>
      </c>
      <c r="O797" s="3">
        <v>1</v>
      </c>
      <c r="P797" s="3">
        <v>2</v>
      </c>
      <c r="Q797" s="3">
        <v>1</v>
      </c>
    </row>
    <row r="798" spans="1:17">
      <c r="A798" t="s">
        <v>1430</v>
      </c>
      <c r="B798" s="3" t="s">
        <v>707</v>
      </c>
      <c r="C798" s="3" t="s">
        <v>3594</v>
      </c>
      <c r="D798" s="3" t="s">
        <v>11</v>
      </c>
      <c r="E798" s="3" t="s">
        <v>12</v>
      </c>
      <c r="F798" s="3">
        <v>4.3999999999999997E-2</v>
      </c>
      <c r="G798" s="74">
        <f>F798*VLOOKUP(D798,GWPs!$B$3:$C$6,2,FALSE)</f>
        <v>4.3999999999999997E-2</v>
      </c>
      <c r="H798" s="3">
        <v>0.05</v>
      </c>
      <c r="I798" s="74">
        <f>H798*VLOOKUP(D798,GWPs!$B$3:$C$6,2,FALSE)</f>
        <v>0.05</v>
      </c>
      <c r="J798" s="3">
        <v>9.5000000000000001E-2</v>
      </c>
      <c r="K798" s="74">
        <f>J798*VLOOKUP(D798,GWPs!$B$3:$C$6,2,FALSE)</f>
        <v>9.5000000000000001E-2</v>
      </c>
      <c r="M798" s="3">
        <v>3</v>
      </c>
      <c r="N798" s="3">
        <v>2</v>
      </c>
      <c r="O798" s="3">
        <v>1</v>
      </c>
      <c r="P798" s="3">
        <v>3</v>
      </c>
      <c r="Q798" s="3">
        <v>1</v>
      </c>
    </row>
    <row r="799" spans="1:17">
      <c r="A799" t="s">
        <v>1430</v>
      </c>
      <c r="B799" s="3" t="s">
        <v>707</v>
      </c>
      <c r="C799" s="3" t="s">
        <v>3594</v>
      </c>
      <c r="D799" s="3" t="s">
        <v>13</v>
      </c>
      <c r="E799" s="3" t="s">
        <v>12</v>
      </c>
      <c r="F799" s="3">
        <v>0</v>
      </c>
      <c r="G799" s="74">
        <f>F799*VLOOKUP(D799,GWPs!$B$3:$C$6,2,FALSE)</f>
        <v>0</v>
      </c>
      <c r="H799" s="3">
        <v>0</v>
      </c>
      <c r="I799" s="74">
        <f>H799*VLOOKUP(D799,GWPs!$B$3:$C$6,2,FALSE)</f>
        <v>0</v>
      </c>
      <c r="J799" s="3">
        <v>0</v>
      </c>
      <c r="K799" s="74">
        <f>J799*VLOOKUP(D799,GWPs!$B$3:$C$6,2,FALSE)</f>
        <v>0</v>
      </c>
      <c r="M799" s="3">
        <v>4</v>
      </c>
      <c r="N799" s="3">
        <v>2</v>
      </c>
      <c r="O799" s="3">
        <v>1</v>
      </c>
      <c r="P799" s="3">
        <v>1</v>
      </c>
      <c r="Q799" s="3">
        <v>1</v>
      </c>
    </row>
    <row r="800" spans="1:17">
      <c r="A800" t="s">
        <v>1430</v>
      </c>
      <c r="B800" s="3" t="s">
        <v>707</v>
      </c>
      <c r="C800" s="3" t="s">
        <v>3594</v>
      </c>
      <c r="D800" s="3" t="s">
        <v>14</v>
      </c>
      <c r="E800" s="3" t="s">
        <v>12</v>
      </c>
      <c r="F800" s="3">
        <v>0</v>
      </c>
      <c r="G800" s="74">
        <f>F800*VLOOKUP(D800,GWPs!$B$3:$C$6,2,FALSE)</f>
        <v>0</v>
      </c>
      <c r="H800" s="3">
        <v>0</v>
      </c>
      <c r="I800" s="74">
        <f>H800*VLOOKUP(D800,GWPs!$B$3:$C$6,2,FALSE)</f>
        <v>0</v>
      </c>
      <c r="J800" s="3">
        <v>0</v>
      </c>
      <c r="K800" s="74">
        <f>J800*VLOOKUP(D800,GWPs!$B$3:$C$6,2,FALSE)</f>
        <v>0</v>
      </c>
      <c r="M800" s="3">
        <v>3</v>
      </c>
      <c r="N800" s="3">
        <v>2</v>
      </c>
      <c r="O800" s="3">
        <v>1</v>
      </c>
      <c r="P800" s="3">
        <v>3</v>
      </c>
      <c r="Q800" s="3">
        <v>1</v>
      </c>
    </row>
    <row r="801" spans="1:17">
      <c r="A801" t="s">
        <v>1430</v>
      </c>
      <c r="B801" s="3" t="s">
        <v>707</v>
      </c>
      <c r="C801" s="3" t="s">
        <v>3594</v>
      </c>
      <c r="D801" s="3" t="s">
        <v>15</v>
      </c>
      <c r="E801" s="3" t="s">
        <v>16</v>
      </c>
      <c r="F801" s="3">
        <v>2E-3</v>
      </c>
      <c r="G801" s="74">
        <f>F801*VLOOKUP(D801,GWPs!$B$3:$C$6,2,FALSE)</f>
        <v>2E-3</v>
      </c>
      <c r="H801" s="3">
        <v>0</v>
      </c>
      <c r="I801" s="74">
        <f>H801*VLOOKUP(D801,GWPs!$B$3:$C$6,2,FALSE)</f>
        <v>0</v>
      </c>
      <c r="J801" s="3">
        <v>2E-3</v>
      </c>
      <c r="K801" s="74">
        <f>J801*VLOOKUP(D801,GWPs!$B$3:$C$6,2,FALSE)</f>
        <v>2E-3</v>
      </c>
      <c r="M801" s="3">
        <v>3</v>
      </c>
      <c r="N801" s="3">
        <v>2</v>
      </c>
      <c r="O801" s="3">
        <v>1</v>
      </c>
      <c r="P801" s="3">
        <v>2</v>
      </c>
      <c r="Q801" s="3">
        <v>1</v>
      </c>
    </row>
    <row r="802" spans="1:17">
      <c r="A802" t="s">
        <v>1429</v>
      </c>
      <c r="B802" s="3" t="s">
        <v>709</v>
      </c>
      <c r="C802" s="3" t="s">
        <v>710</v>
      </c>
      <c r="D802" s="3" t="s">
        <v>11</v>
      </c>
      <c r="E802" s="3" t="s">
        <v>12</v>
      </c>
      <c r="F802" s="3">
        <v>3.6999999999999998E-2</v>
      </c>
      <c r="G802" s="74">
        <f>F802*VLOOKUP(D802,GWPs!$B$3:$C$6,2,FALSE)</f>
        <v>3.6999999999999998E-2</v>
      </c>
      <c r="H802" s="3">
        <v>1.7999999999999999E-2</v>
      </c>
      <c r="I802" s="74">
        <f>H802*VLOOKUP(D802,GWPs!$B$3:$C$6,2,FALSE)</f>
        <v>1.7999999999999999E-2</v>
      </c>
      <c r="J802" s="3">
        <v>5.5E-2</v>
      </c>
      <c r="K802" s="74">
        <f>J802*VLOOKUP(D802,GWPs!$B$3:$C$6,2,FALSE)</f>
        <v>5.5E-2</v>
      </c>
      <c r="M802" s="3">
        <v>3</v>
      </c>
      <c r="N802" s="3">
        <v>2</v>
      </c>
      <c r="O802" s="3">
        <v>1</v>
      </c>
      <c r="P802" s="3">
        <v>3</v>
      </c>
      <c r="Q802" s="3">
        <v>1</v>
      </c>
    </row>
    <row r="803" spans="1:17">
      <c r="A803" t="s">
        <v>1429</v>
      </c>
      <c r="B803" s="3" t="s">
        <v>709</v>
      </c>
      <c r="C803" s="3" t="s">
        <v>710</v>
      </c>
      <c r="D803" s="3" t="s">
        <v>13</v>
      </c>
      <c r="E803" s="3" t="s">
        <v>12</v>
      </c>
      <c r="F803" s="3">
        <v>0</v>
      </c>
      <c r="G803" s="74">
        <f>F803*VLOOKUP(D803,GWPs!$B$3:$C$6,2,FALSE)</f>
        <v>0</v>
      </c>
      <c r="H803" s="3">
        <v>0</v>
      </c>
      <c r="I803" s="74">
        <f>H803*VLOOKUP(D803,GWPs!$B$3:$C$6,2,FALSE)</f>
        <v>0</v>
      </c>
      <c r="J803" s="3">
        <v>0</v>
      </c>
      <c r="K803" s="74">
        <f>J803*VLOOKUP(D803,GWPs!$B$3:$C$6,2,FALSE)</f>
        <v>0</v>
      </c>
      <c r="M803" s="3">
        <v>3</v>
      </c>
      <c r="N803" s="3">
        <v>2</v>
      </c>
      <c r="O803" s="3">
        <v>1</v>
      </c>
      <c r="P803" s="3">
        <v>1</v>
      </c>
      <c r="Q803" s="3">
        <v>1</v>
      </c>
    </row>
    <row r="804" spans="1:17">
      <c r="A804" t="s">
        <v>1429</v>
      </c>
      <c r="B804" s="3" t="s">
        <v>709</v>
      </c>
      <c r="C804" s="3" t="s">
        <v>710</v>
      </c>
      <c r="D804" s="3" t="s">
        <v>14</v>
      </c>
      <c r="E804" s="3" t="s">
        <v>12</v>
      </c>
      <c r="F804" s="3">
        <v>0</v>
      </c>
      <c r="G804" s="74">
        <f>F804*VLOOKUP(D804,GWPs!$B$3:$C$6,2,FALSE)</f>
        <v>0</v>
      </c>
      <c r="H804" s="3">
        <v>0</v>
      </c>
      <c r="I804" s="74">
        <f>H804*VLOOKUP(D804,GWPs!$B$3:$C$6,2,FALSE)</f>
        <v>0</v>
      </c>
      <c r="J804" s="3">
        <v>0</v>
      </c>
      <c r="K804" s="74">
        <f>J804*VLOOKUP(D804,GWPs!$B$3:$C$6,2,FALSE)</f>
        <v>0</v>
      </c>
      <c r="M804" s="3">
        <v>3</v>
      </c>
      <c r="N804" s="3">
        <v>2</v>
      </c>
      <c r="O804" s="3">
        <v>1</v>
      </c>
      <c r="P804" s="3">
        <v>3</v>
      </c>
      <c r="Q804" s="3">
        <v>1</v>
      </c>
    </row>
    <row r="805" spans="1:17">
      <c r="A805" t="s">
        <v>1429</v>
      </c>
      <c r="B805" s="3" t="s">
        <v>709</v>
      </c>
      <c r="C805" s="3" t="s">
        <v>710</v>
      </c>
      <c r="D805" s="3" t="s">
        <v>15</v>
      </c>
      <c r="E805" s="3" t="s">
        <v>16</v>
      </c>
      <c r="F805" s="3">
        <v>2E-3</v>
      </c>
      <c r="G805" s="74">
        <f>F805*VLOOKUP(D805,GWPs!$B$3:$C$6,2,FALSE)</f>
        <v>2E-3</v>
      </c>
      <c r="H805" s="3">
        <v>0</v>
      </c>
      <c r="I805" s="74">
        <f>H805*VLOOKUP(D805,GWPs!$B$3:$C$6,2,FALSE)</f>
        <v>0</v>
      </c>
      <c r="J805" s="3">
        <v>2E-3</v>
      </c>
      <c r="K805" s="74">
        <f>J805*VLOOKUP(D805,GWPs!$B$3:$C$6,2,FALSE)</f>
        <v>2E-3</v>
      </c>
      <c r="M805" s="3">
        <v>3</v>
      </c>
      <c r="N805" s="3">
        <v>2</v>
      </c>
      <c r="O805" s="3">
        <v>1</v>
      </c>
      <c r="P805" s="3">
        <v>2</v>
      </c>
      <c r="Q805" s="3">
        <v>1</v>
      </c>
    </row>
    <row r="806" spans="1:17">
      <c r="A806" t="s">
        <v>1429</v>
      </c>
      <c r="B806" s="3" t="s">
        <v>711</v>
      </c>
      <c r="C806" s="3" t="s">
        <v>712</v>
      </c>
      <c r="D806" s="3" t="s">
        <v>11</v>
      </c>
      <c r="E806" s="3" t="s">
        <v>12</v>
      </c>
      <c r="F806" s="3">
        <v>5.2999999999999999E-2</v>
      </c>
      <c r="G806" s="74">
        <f>F806*VLOOKUP(D806,GWPs!$B$3:$C$6,2,FALSE)</f>
        <v>5.2999999999999999E-2</v>
      </c>
      <c r="H806" s="3">
        <v>1.6E-2</v>
      </c>
      <c r="I806" s="74">
        <f>H806*VLOOKUP(D806,GWPs!$B$3:$C$6,2,FALSE)</f>
        <v>1.6E-2</v>
      </c>
      <c r="J806" s="3">
        <v>6.9000000000000006E-2</v>
      </c>
      <c r="K806" s="74">
        <f>J806*VLOOKUP(D806,GWPs!$B$3:$C$6,2,FALSE)</f>
        <v>6.9000000000000006E-2</v>
      </c>
      <c r="M806" s="3">
        <v>3</v>
      </c>
      <c r="N806" s="3">
        <v>2</v>
      </c>
      <c r="O806" s="3">
        <v>1</v>
      </c>
      <c r="P806" s="3">
        <v>3</v>
      </c>
      <c r="Q806" s="3">
        <v>1</v>
      </c>
    </row>
    <row r="807" spans="1:17">
      <c r="A807" t="s">
        <v>1429</v>
      </c>
      <c r="B807" s="3" t="s">
        <v>711</v>
      </c>
      <c r="C807" s="3" t="s">
        <v>712</v>
      </c>
      <c r="D807" s="3" t="s">
        <v>13</v>
      </c>
      <c r="E807" s="3" t="s">
        <v>12</v>
      </c>
      <c r="F807" s="3">
        <v>0</v>
      </c>
      <c r="G807" s="74">
        <f>F807*VLOOKUP(D807,GWPs!$B$3:$C$6,2,FALSE)</f>
        <v>0</v>
      </c>
      <c r="H807" s="3">
        <v>0</v>
      </c>
      <c r="I807" s="74">
        <f>H807*VLOOKUP(D807,GWPs!$B$3:$C$6,2,FALSE)</f>
        <v>0</v>
      </c>
      <c r="J807" s="3">
        <v>0</v>
      </c>
      <c r="K807" s="74">
        <f>J807*VLOOKUP(D807,GWPs!$B$3:$C$6,2,FALSE)</f>
        <v>0</v>
      </c>
      <c r="M807" s="3">
        <v>4</v>
      </c>
      <c r="N807" s="3">
        <v>2</v>
      </c>
      <c r="O807" s="3">
        <v>1</v>
      </c>
      <c r="P807" s="3">
        <v>1</v>
      </c>
      <c r="Q807" s="3">
        <v>1</v>
      </c>
    </row>
    <row r="808" spans="1:17">
      <c r="A808" t="s">
        <v>1429</v>
      </c>
      <c r="B808" s="3" t="s">
        <v>711</v>
      </c>
      <c r="C808" s="3" t="s">
        <v>712</v>
      </c>
      <c r="D808" s="3" t="s">
        <v>14</v>
      </c>
      <c r="E808" s="3" t="s">
        <v>12</v>
      </c>
      <c r="F808" s="3">
        <v>0</v>
      </c>
      <c r="G808" s="74">
        <f>F808*VLOOKUP(D808,GWPs!$B$3:$C$6,2,FALSE)</f>
        <v>0</v>
      </c>
      <c r="H808" s="3">
        <v>0</v>
      </c>
      <c r="I808" s="74">
        <f>H808*VLOOKUP(D808,GWPs!$B$3:$C$6,2,FALSE)</f>
        <v>0</v>
      </c>
      <c r="J808" s="3">
        <v>0</v>
      </c>
      <c r="K808" s="74">
        <f>J808*VLOOKUP(D808,GWPs!$B$3:$C$6,2,FALSE)</f>
        <v>0</v>
      </c>
      <c r="M808" s="3">
        <v>3</v>
      </c>
      <c r="N808" s="3">
        <v>2</v>
      </c>
      <c r="O808" s="3">
        <v>1</v>
      </c>
      <c r="P808" s="3">
        <v>3</v>
      </c>
      <c r="Q808" s="3">
        <v>1</v>
      </c>
    </row>
    <row r="809" spans="1:17">
      <c r="A809" t="s">
        <v>1429</v>
      </c>
      <c r="B809" s="3" t="s">
        <v>711</v>
      </c>
      <c r="C809" s="3" t="s">
        <v>712</v>
      </c>
      <c r="D809" s="3" t="s">
        <v>15</v>
      </c>
      <c r="E809" s="3" t="s">
        <v>16</v>
      </c>
      <c r="F809" s="3">
        <v>8.9999999999999993E-3</v>
      </c>
      <c r="G809" s="74">
        <f>F809*VLOOKUP(D809,GWPs!$B$3:$C$6,2,FALSE)</f>
        <v>8.9999999999999993E-3</v>
      </c>
      <c r="H809" s="3">
        <v>0</v>
      </c>
      <c r="I809" s="74">
        <f>H809*VLOOKUP(D809,GWPs!$B$3:$C$6,2,FALSE)</f>
        <v>0</v>
      </c>
      <c r="J809" s="3">
        <v>8.9999999999999993E-3</v>
      </c>
      <c r="K809" s="74">
        <f>J809*VLOOKUP(D809,GWPs!$B$3:$C$6,2,FALSE)</f>
        <v>8.9999999999999993E-3</v>
      </c>
      <c r="M809" s="3">
        <v>3</v>
      </c>
      <c r="N809" s="3">
        <v>2</v>
      </c>
      <c r="O809" s="3">
        <v>1</v>
      </c>
      <c r="P809" s="3">
        <v>3</v>
      </c>
      <c r="Q809" s="3">
        <v>1</v>
      </c>
    </row>
    <row r="810" spans="1:17">
      <c r="A810" t="s">
        <v>1429</v>
      </c>
      <c r="B810" s="3" t="s">
        <v>713</v>
      </c>
      <c r="C810" s="3" t="s">
        <v>714</v>
      </c>
      <c r="D810" s="3" t="s">
        <v>11</v>
      </c>
      <c r="E810" s="3" t="s">
        <v>12</v>
      </c>
      <c r="F810" s="3">
        <v>6.4000000000000001E-2</v>
      </c>
      <c r="G810" s="74">
        <f>F810*VLOOKUP(D810,GWPs!$B$3:$C$6,2,FALSE)</f>
        <v>6.4000000000000001E-2</v>
      </c>
      <c r="H810" s="3">
        <v>1.9E-2</v>
      </c>
      <c r="I810" s="74">
        <f>H810*VLOOKUP(D810,GWPs!$B$3:$C$6,2,FALSE)</f>
        <v>1.9E-2</v>
      </c>
      <c r="J810" s="3">
        <v>8.3000000000000004E-2</v>
      </c>
      <c r="K810" s="74">
        <f>J810*VLOOKUP(D810,GWPs!$B$3:$C$6,2,FALSE)</f>
        <v>8.3000000000000004E-2</v>
      </c>
      <c r="M810" s="3">
        <v>3</v>
      </c>
      <c r="N810" s="3">
        <v>2</v>
      </c>
      <c r="O810" s="3">
        <v>1</v>
      </c>
      <c r="P810" s="3">
        <v>3</v>
      </c>
      <c r="Q810" s="3">
        <v>1</v>
      </c>
    </row>
    <row r="811" spans="1:17">
      <c r="A811" t="s">
        <v>1429</v>
      </c>
      <c r="B811" s="3" t="s">
        <v>713</v>
      </c>
      <c r="C811" s="3" t="s">
        <v>714</v>
      </c>
      <c r="D811" s="3" t="s">
        <v>13</v>
      </c>
      <c r="E811" s="3" t="s">
        <v>12</v>
      </c>
      <c r="F811" s="3">
        <v>0</v>
      </c>
      <c r="G811" s="74">
        <f>F811*VLOOKUP(D811,GWPs!$B$3:$C$6,2,FALSE)</f>
        <v>0</v>
      </c>
      <c r="H811" s="3">
        <v>0</v>
      </c>
      <c r="I811" s="74">
        <f>H811*VLOOKUP(D811,GWPs!$B$3:$C$6,2,FALSE)</f>
        <v>0</v>
      </c>
      <c r="J811" s="3">
        <v>0</v>
      </c>
      <c r="K811" s="74">
        <f>J811*VLOOKUP(D811,GWPs!$B$3:$C$6,2,FALSE)</f>
        <v>0</v>
      </c>
      <c r="M811" s="3">
        <v>4</v>
      </c>
      <c r="N811" s="3">
        <v>2</v>
      </c>
      <c r="O811" s="3">
        <v>1</v>
      </c>
      <c r="P811" s="3">
        <v>1</v>
      </c>
      <c r="Q811" s="3">
        <v>1</v>
      </c>
    </row>
    <row r="812" spans="1:17">
      <c r="A812" t="s">
        <v>1429</v>
      </c>
      <c r="B812" s="3" t="s">
        <v>713</v>
      </c>
      <c r="C812" s="3" t="s">
        <v>714</v>
      </c>
      <c r="D812" s="3" t="s">
        <v>14</v>
      </c>
      <c r="E812" s="3" t="s">
        <v>12</v>
      </c>
      <c r="F812" s="3">
        <v>0</v>
      </c>
      <c r="G812" s="74">
        <f>F812*VLOOKUP(D812,GWPs!$B$3:$C$6,2,FALSE)</f>
        <v>0</v>
      </c>
      <c r="H812" s="3">
        <v>0</v>
      </c>
      <c r="I812" s="74">
        <f>H812*VLOOKUP(D812,GWPs!$B$3:$C$6,2,FALSE)</f>
        <v>0</v>
      </c>
      <c r="J812" s="3">
        <v>0</v>
      </c>
      <c r="K812" s="74">
        <f>J812*VLOOKUP(D812,GWPs!$B$3:$C$6,2,FALSE)</f>
        <v>0</v>
      </c>
      <c r="M812" s="3">
        <v>3</v>
      </c>
      <c r="N812" s="3">
        <v>2</v>
      </c>
      <c r="O812" s="3">
        <v>1</v>
      </c>
      <c r="P812" s="3">
        <v>3</v>
      </c>
      <c r="Q812" s="3">
        <v>1</v>
      </c>
    </row>
    <row r="813" spans="1:17">
      <c r="A813" t="s">
        <v>1429</v>
      </c>
      <c r="B813" s="3" t="s">
        <v>713</v>
      </c>
      <c r="C813" s="3" t="s">
        <v>714</v>
      </c>
      <c r="D813" s="3" t="s">
        <v>15</v>
      </c>
      <c r="E813" s="3" t="s">
        <v>16</v>
      </c>
      <c r="F813" s="3">
        <v>3.0000000000000001E-3</v>
      </c>
      <c r="G813" s="74">
        <f>F813*VLOOKUP(D813,GWPs!$B$3:$C$6,2,FALSE)</f>
        <v>3.0000000000000001E-3</v>
      </c>
      <c r="H813" s="3">
        <v>0</v>
      </c>
      <c r="I813" s="74">
        <f>H813*VLOOKUP(D813,GWPs!$B$3:$C$6,2,FALSE)</f>
        <v>0</v>
      </c>
      <c r="J813" s="3">
        <v>3.0000000000000001E-3</v>
      </c>
      <c r="K813" s="74">
        <f>J813*VLOOKUP(D813,GWPs!$B$3:$C$6,2,FALSE)</f>
        <v>3.0000000000000001E-3</v>
      </c>
      <c r="M813" s="3">
        <v>3</v>
      </c>
      <c r="N813" s="3">
        <v>2</v>
      </c>
      <c r="O813" s="3">
        <v>1</v>
      </c>
      <c r="P813" s="3">
        <v>2</v>
      </c>
      <c r="Q813" s="3">
        <v>1</v>
      </c>
    </row>
    <row r="814" spans="1:17">
      <c r="A814" t="s">
        <v>1429</v>
      </c>
      <c r="B814" s="3" t="s">
        <v>715</v>
      </c>
      <c r="C814" s="3" t="s">
        <v>716</v>
      </c>
      <c r="D814" s="3" t="s">
        <v>11</v>
      </c>
      <c r="E814" s="3" t="s">
        <v>12</v>
      </c>
      <c r="F814" s="3">
        <v>0.04</v>
      </c>
      <c r="G814" s="74">
        <f>F814*VLOOKUP(D814,GWPs!$B$3:$C$6,2,FALSE)</f>
        <v>0.04</v>
      </c>
      <c r="H814" s="3">
        <v>2.9000000000000001E-2</v>
      </c>
      <c r="I814" s="74">
        <f>H814*VLOOKUP(D814,GWPs!$B$3:$C$6,2,FALSE)</f>
        <v>2.9000000000000001E-2</v>
      </c>
      <c r="J814" s="3">
        <v>6.9000000000000006E-2</v>
      </c>
      <c r="K814" s="74">
        <f>J814*VLOOKUP(D814,GWPs!$B$3:$C$6,2,FALSE)</f>
        <v>6.9000000000000006E-2</v>
      </c>
      <c r="M814" s="3">
        <v>3</v>
      </c>
      <c r="N814" s="3">
        <v>2</v>
      </c>
      <c r="O814" s="3">
        <v>1</v>
      </c>
      <c r="P814" s="3">
        <v>3</v>
      </c>
      <c r="Q814" s="3">
        <v>1</v>
      </c>
    </row>
    <row r="815" spans="1:17">
      <c r="A815" t="s">
        <v>1429</v>
      </c>
      <c r="B815" s="3" t="s">
        <v>715</v>
      </c>
      <c r="C815" s="3" t="s">
        <v>716</v>
      </c>
      <c r="D815" s="3" t="s">
        <v>13</v>
      </c>
      <c r="E815" s="3" t="s">
        <v>12</v>
      </c>
      <c r="F815" s="3">
        <v>0</v>
      </c>
      <c r="G815" s="74">
        <f>F815*VLOOKUP(D815,GWPs!$B$3:$C$6,2,FALSE)</f>
        <v>0</v>
      </c>
      <c r="H815" s="3">
        <v>0</v>
      </c>
      <c r="I815" s="74">
        <f>H815*VLOOKUP(D815,GWPs!$B$3:$C$6,2,FALSE)</f>
        <v>0</v>
      </c>
      <c r="J815" s="3">
        <v>0</v>
      </c>
      <c r="K815" s="74">
        <f>J815*VLOOKUP(D815,GWPs!$B$3:$C$6,2,FALSE)</f>
        <v>0</v>
      </c>
      <c r="M815" s="3">
        <v>4</v>
      </c>
      <c r="N815" s="3">
        <v>2</v>
      </c>
      <c r="O815" s="3">
        <v>1</v>
      </c>
      <c r="P815" s="3">
        <v>1</v>
      </c>
      <c r="Q815" s="3">
        <v>1</v>
      </c>
    </row>
    <row r="816" spans="1:17">
      <c r="A816" t="s">
        <v>1429</v>
      </c>
      <c r="B816" s="3" t="s">
        <v>715</v>
      </c>
      <c r="C816" s="3" t="s">
        <v>716</v>
      </c>
      <c r="D816" s="3" t="s">
        <v>14</v>
      </c>
      <c r="E816" s="3" t="s">
        <v>12</v>
      </c>
      <c r="F816" s="3">
        <v>0</v>
      </c>
      <c r="G816" s="74">
        <f>F816*VLOOKUP(D816,GWPs!$B$3:$C$6,2,FALSE)</f>
        <v>0</v>
      </c>
      <c r="H816" s="3">
        <v>0</v>
      </c>
      <c r="I816" s="74">
        <f>H816*VLOOKUP(D816,GWPs!$B$3:$C$6,2,FALSE)</f>
        <v>0</v>
      </c>
      <c r="J816" s="3">
        <v>0</v>
      </c>
      <c r="K816" s="74">
        <f>J816*VLOOKUP(D816,GWPs!$B$3:$C$6,2,FALSE)</f>
        <v>0</v>
      </c>
      <c r="M816" s="3">
        <v>3</v>
      </c>
      <c r="N816" s="3">
        <v>2</v>
      </c>
      <c r="O816" s="3">
        <v>1</v>
      </c>
      <c r="P816" s="3">
        <v>3</v>
      </c>
      <c r="Q816" s="3">
        <v>1</v>
      </c>
    </row>
    <row r="817" spans="1:17">
      <c r="A817" t="s">
        <v>1429</v>
      </c>
      <c r="B817" s="3" t="s">
        <v>715</v>
      </c>
      <c r="C817" s="3" t="s">
        <v>716</v>
      </c>
      <c r="D817" s="3" t="s">
        <v>15</v>
      </c>
      <c r="E817" s="3" t="s">
        <v>16</v>
      </c>
      <c r="F817" s="3">
        <v>2E-3</v>
      </c>
      <c r="G817" s="74">
        <f>F817*VLOOKUP(D817,GWPs!$B$3:$C$6,2,FALSE)</f>
        <v>2E-3</v>
      </c>
      <c r="H817" s="3">
        <v>0</v>
      </c>
      <c r="I817" s="74">
        <f>H817*VLOOKUP(D817,GWPs!$B$3:$C$6,2,FALSE)</f>
        <v>0</v>
      </c>
      <c r="J817" s="3">
        <v>2E-3</v>
      </c>
      <c r="K817" s="74">
        <f>J817*VLOOKUP(D817,GWPs!$B$3:$C$6,2,FALSE)</f>
        <v>2E-3</v>
      </c>
      <c r="M817" s="3">
        <v>3</v>
      </c>
      <c r="N817" s="3">
        <v>2</v>
      </c>
      <c r="O817" s="3">
        <v>1</v>
      </c>
      <c r="P817" s="3">
        <v>2</v>
      </c>
      <c r="Q817" s="3">
        <v>1</v>
      </c>
    </row>
    <row r="818" spans="1:17">
      <c r="A818" t="s">
        <v>1429</v>
      </c>
      <c r="B818" s="3" t="s">
        <v>717</v>
      </c>
      <c r="C818" s="3" t="s">
        <v>718</v>
      </c>
      <c r="D818" s="3" t="s">
        <v>11</v>
      </c>
      <c r="E818" s="3" t="s">
        <v>12</v>
      </c>
      <c r="F818" s="3">
        <v>5.5E-2</v>
      </c>
      <c r="G818" s="74">
        <f>F818*VLOOKUP(D818,GWPs!$B$3:$C$6,2,FALSE)</f>
        <v>5.5E-2</v>
      </c>
      <c r="H818" s="3">
        <v>0.03</v>
      </c>
      <c r="I818" s="74">
        <f>H818*VLOOKUP(D818,GWPs!$B$3:$C$6,2,FALSE)</f>
        <v>0.03</v>
      </c>
      <c r="J818" s="3">
        <v>8.5000000000000006E-2</v>
      </c>
      <c r="K818" s="74">
        <f>J818*VLOOKUP(D818,GWPs!$B$3:$C$6,2,FALSE)</f>
        <v>8.5000000000000006E-2</v>
      </c>
      <c r="M818" s="3">
        <v>3</v>
      </c>
      <c r="N818" s="3">
        <v>2</v>
      </c>
      <c r="O818" s="3">
        <v>1</v>
      </c>
      <c r="P818" s="3">
        <v>3</v>
      </c>
      <c r="Q818" s="3">
        <v>1</v>
      </c>
    </row>
    <row r="819" spans="1:17">
      <c r="A819" t="s">
        <v>1429</v>
      </c>
      <c r="B819" s="3" t="s">
        <v>717</v>
      </c>
      <c r="C819" s="3" t="s">
        <v>718</v>
      </c>
      <c r="D819" s="3" t="s">
        <v>13</v>
      </c>
      <c r="E819" s="3" t="s">
        <v>12</v>
      </c>
      <c r="F819" s="3">
        <v>0</v>
      </c>
      <c r="G819" s="74">
        <f>F819*VLOOKUP(D819,GWPs!$B$3:$C$6,2,FALSE)</f>
        <v>0</v>
      </c>
      <c r="H819" s="3">
        <v>0</v>
      </c>
      <c r="I819" s="74">
        <f>H819*VLOOKUP(D819,GWPs!$B$3:$C$6,2,FALSE)</f>
        <v>0</v>
      </c>
      <c r="J819" s="3">
        <v>0</v>
      </c>
      <c r="K819" s="74">
        <f>J819*VLOOKUP(D819,GWPs!$B$3:$C$6,2,FALSE)</f>
        <v>0</v>
      </c>
      <c r="M819" s="3">
        <v>3</v>
      </c>
      <c r="N819" s="3">
        <v>2</v>
      </c>
      <c r="O819" s="3">
        <v>1</v>
      </c>
      <c r="P819" s="3">
        <v>1</v>
      </c>
      <c r="Q819" s="3">
        <v>1</v>
      </c>
    </row>
    <row r="820" spans="1:17">
      <c r="A820" t="s">
        <v>1429</v>
      </c>
      <c r="B820" s="3" t="s">
        <v>717</v>
      </c>
      <c r="C820" s="3" t="s">
        <v>718</v>
      </c>
      <c r="D820" s="3" t="s">
        <v>14</v>
      </c>
      <c r="E820" s="3" t="s">
        <v>12</v>
      </c>
      <c r="F820" s="3">
        <v>0</v>
      </c>
      <c r="G820" s="74">
        <f>F820*VLOOKUP(D820,GWPs!$B$3:$C$6,2,FALSE)</f>
        <v>0</v>
      </c>
      <c r="H820" s="3">
        <v>0</v>
      </c>
      <c r="I820" s="74">
        <f>H820*VLOOKUP(D820,GWPs!$B$3:$C$6,2,FALSE)</f>
        <v>0</v>
      </c>
      <c r="J820" s="3">
        <v>0</v>
      </c>
      <c r="K820" s="74">
        <f>J820*VLOOKUP(D820,GWPs!$B$3:$C$6,2,FALSE)</f>
        <v>0</v>
      </c>
      <c r="M820" s="3">
        <v>3</v>
      </c>
      <c r="N820" s="3">
        <v>2</v>
      </c>
      <c r="O820" s="3">
        <v>1</v>
      </c>
      <c r="P820" s="3">
        <v>3</v>
      </c>
      <c r="Q820" s="3">
        <v>1</v>
      </c>
    </row>
    <row r="821" spans="1:17">
      <c r="A821" t="s">
        <v>1429</v>
      </c>
      <c r="B821" s="3" t="s">
        <v>717</v>
      </c>
      <c r="C821" s="3" t="s">
        <v>718</v>
      </c>
      <c r="D821" s="3" t="s">
        <v>15</v>
      </c>
      <c r="E821" s="3" t="s">
        <v>16</v>
      </c>
      <c r="F821" s="3">
        <v>2E-3</v>
      </c>
      <c r="G821" s="74">
        <f>F821*VLOOKUP(D821,GWPs!$B$3:$C$6,2,FALSE)</f>
        <v>2E-3</v>
      </c>
      <c r="H821" s="3">
        <v>0</v>
      </c>
      <c r="I821" s="74">
        <f>H821*VLOOKUP(D821,GWPs!$B$3:$C$6,2,FALSE)</f>
        <v>0</v>
      </c>
      <c r="J821" s="3">
        <v>2E-3</v>
      </c>
      <c r="K821" s="74">
        <f>J821*VLOOKUP(D821,GWPs!$B$3:$C$6,2,FALSE)</f>
        <v>2E-3</v>
      </c>
      <c r="M821" s="3">
        <v>3</v>
      </c>
      <c r="N821" s="3">
        <v>2</v>
      </c>
      <c r="O821" s="3">
        <v>1</v>
      </c>
      <c r="P821" s="3">
        <v>3</v>
      </c>
      <c r="Q821" s="3">
        <v>1</v>
      </c>
    </row>
    <row r="822" spans="1:17">
      <c r="A822" t="s">
        <v>1430</v>
      </c>
      <c r="B822" s="3" t="s">
        <v>719</v>
      </c>
      <c r="C822" s="3" t="s">
        <v>720</v>
      </c>
      <c r="D822" s="3" t="s">
        <v>11</v>
      </c>
      <c r="E822" s="3" t="s">
        <v>12</v>
      </c>
      <c r="F822" s="3">
        <v>4.5999999999999999E-2</v>
      </c>
      <c r="G822" s="74">
        <f>F822*VLOOKUP(D822,GWPs!$B$3:$C$6,2,FALSE)</f>
        <v>4.5999999999999999E-2</v>
      </c>
      <c r="H822" s="3">
        <v>2.8000000000000001E-2</v>
      </c>
      <c r="I822" s="74">
        <f>H822*VLOOKUP(D822,GWPs!$B$3:$C$6,2,FALSE)</f>
        <v>2.8000000000000001E-2</v>
      </c>
      <c r="J822" s="3">
        <v>7.4999999999999997E-2</v>
      </c>
      <c r="K822" s="74">
        <f>J822*VLOOKUP(D822,GWPs!$B$3:$C$6,2,FALSE)</f>
        <v>7.4999999999999997E-2</v>
      </c>
      <c r="M822" s="3">
        <v>3</v>
      </c>
      <c r="N822" s="3">
        <v>2</v>
      </c>
      <c r="O822" s="3">
        <v>1</v>
      </c>
      <c r="P822" s="3">
        <v>3</v>
      </c>
      <c r="Q822" s="3">
        <v>1</v>
      </c>
    </row>
    <row r="823" spans="1:17">
      <c r="A823" t="s">
        <v>1430</v>
      </c>
      <c r="B823" s="3" t="s">
        <v>719</v>
      </c>
      <c r="C823" s="3" t="s">
        <v>720</v>
      </c>
      <c r="D823" s="3" t="s">
        <v>13</v>
      </c>
      <c r="E823" s="3" t="s">
        <v>12</v>
      </c>
      <c r="F823" s="3">
        <v>0</v>
      </c>
      <c r="G823" s="74">
        <f>F823*VLOOKUP(D823,GWPs!$B$3:$C$6,2,FALSE)</f>
        <v>0</v>
      </c>
      <c r="H823" s="3">
        <v>0</v>
      </c>
      <c r="I823" s="74">
        <f>H823*VLOOKUP(D823,GWPs!$B$3:$C$6,2,FALSE)</f>
        <v>0</v>
      </c>
      <c r="J823" s="3">
        <v>0</v>
      </c>
      <c r="K823" s="74">
        <f>J823*VLOOKUP(D823,GWPs!$B$3:$C$6,2,FALSE)</f>
        <v>0</v>
      </c>
      <c r="M823" s="3">
        <v>4</v>
      </c>
      <c r="N823" s="3">
        <v>2</v>
      </c>
      <c r="O823" s="3">
        <v>1</v>
      </c>
      <c r="P823" s="3">
        <v>1</v>
      </c>
      <c r="Q823" s="3">
        <v>1</v>
      </c>
    </row>
    <row r="824" spans="1:17">
      <c r="A824" t="s">
        <v>1430</v>
      </c>
      <c r="B824" s="3" t="s">
        <v>719</v>
      </c>
      <c r="C824" s="3" t="s">
        <v>720</v>
      </c>
      <c r="D824" s="3" t="s">
        <v>14</v>
      </c>
      <c r="E824" s="3" t="s">
        <v>12</v>
      </c>
      <c r="F824" s="3">
        <v>0</v>
      </c>
      <c r="G824" s="74">
        <f>F824*VLOOKUP(D824,GWPs!$B$3:$C$6,2,FALSE)</f>
        <v>0</v>
      </c>
      <c r="H824" s="3">
        <v>0</v>
      </c>
      <c r="I824" s="74">
        <f>H824*VLOOKUP(D824,GWPs!$B$3:$C$6,2,FALSE)</f>
        <v>0</v>
      </c>
      <c r="J824" s="3">
        <v>0</v>
      </c>
      <c r="K824" s="74">
        <f>J824*VLOOKUP(D824,GWPs!$B$3:$C$6,2,FALSE)</f>
        <v>0</v>
      </c>
      <c r="M824" s="3">
        <v>3</v>
      </c>
      <c r="N824" s="3">
        <v>2</v>
      </c>
      <c r="O824" s="3">
        <v>1</v>
      </c>
      <c r="P824" s="3">
        <v>3</v>
      </c>
      <c r="Q824" s="3">
        <v>1</v>
      </c>
    </row>
    <row r="825" spans="1:17">
      <c r="A825" t="s">
        <v>1430</v>
      </c>
      <c r="B825" s="3" t="s">
        <v>719</v>
      </c>
      <c r="C825" s="3" t="s">
        <v>720</v>
      </c>
      <c r="D825" s="3" t="s">
        <v>15</v>
      </c>
      <c r="E825" s="3" t="s">
        <v>16</v>
      </c>
      <c r="F825" s="3">
        <v>2E-3</v>
      </c>
      <c r="G825" s="74">
        <f>F825*VLOOKUP(D825,GWPs!$B$3:$C$6,2,FALSE)</f>
        <v>2E-3</v>
      </c>
      <c r="H825" s="3">
        <v>0</v>
      </c>
      <c r="I825" s="74">
        <f>H825*VLOOKUP(D825,GWPs!$B$3:$C$6,2,FALSE)</f>
        <v>0</v>
      </c>
      <c r="J825" s="3">
        <v>2E-3</v>
      </c>
      <c r="K825" s="74">
        <f>J825*VLOOKUP(D825,GWPs!$B$3:$C$6,2,FALSE)</f>
        <v>2E-3</v>
      </c>
      <c r="M825" s="3">
        <v>3</v>
      </c>
      <c r="N825" s="3">
        <v>2</v>
      </c>
      <c r="O825" s="3">
        <v>1</v>
      </c>
      <c r="P825" s="3">
        <v>3</v>
      </c>
      <c r="Q825" s="3">
        <v>1</v>
      </c>
    </row>
    <row r="826" spans="1:17">
      <c r="A826" t="s">
        <v>1430</v>
      </c>
      <c r="B826" s="3" t="s">
        <v>721</v>
      </c>
      <c r="C826" s="3" t="s">
        <v>722</v>
      </c>
      <c r="D826" s="3" t="s">
        <v>11</v>
      </c>
      <c r="E826" s="3" t="s">
        <v>12</v>
      </c>
      <c r="F826" s="3">
        <v>0.08</v>
      </c>
      <c r="G826" s="74">
        <f>F826*VLOOKUP(D826,GWPs!$B$3:$C$6,2,FALSE)</f>
        <v>0.08</v>
      </c>
      <c r="H826" s="3">
        <v>4.2000000000000003E-2</v>
      </c>
      <c r="I826" s="74">
        <f>H826*VLOOKUP(D826,GWPs!$B$3:$C$6,2,FALSE)</f>
        <v>4.2000000000000003E-2</v>
      </c>
      <c r="J826" s="3">
        <v>0.123</v>
      </c>
      <c r="K826" s="74">
        <f>J826*VLOOKUP(D826,GWPs!$B$3:$C$6,2,FALSE)</f>
        <v>0.123</v>
      </c>
      <c r="M826" s="3">
        <v>3</v>
      </c>
      <c r="N826" s="3">
        <v>2</v>
      </c>
      <c r="O826" s="3">
        <v>1</v>
      </c>
      <c r="P826" s="3">
        <v>3</v>
      </c>
      <c r="Q826" s="3">
        <v>1</v>
      </c>
    </row>
    <row r="827" spans="1:17">
      <c r="A827" t="s">
        <v>1430</v>
      </c>
      <c r="B827" s="3" t="s">
        <v>721</v>
      </c>
      <c r="C827" s="3" t="s">
        <v>722</v>
      </c>
      <c r="D827" s="3" t="s">
        <v>13</v>
      </c>
      <c r="E827" s="3" t="s">
        <v>12</v>
      </c>
      <c r="F827" s="3">
        <v>0</v>
      </c>
      <c r="G827" s="74">
        <f>F827*VLOOKUP(D827,GWPs!$B$3:$C$6,2,FALSE)</f>
        <v>0</v>
      </c>
      <c r="H827" s="3">
        <v>0</v>
      </c>
      <c r="I827" s="74">
        <f>H827*VLOOKUP(D827,GWPs!$B$3:$C$6,2,FALSE)</f>
        <v>0</v>
      </c>
      <c r="J827" s="3">
        <v>1E-3</v>
      </c>
      <c r="K827" s="74">
        <f>J827*VLOOKUP(D827,GWPs!$B$3:$C$6,2,FALSE)</f>
        <v>2.8000000000000001E-2</v>
      </c>
      <c r="M827" s="3">
        <v>4</v>
      </c>
      <c r="N827" s="3">
        <v>2</v>
      </c>
      <c r="O827" s="3">
        <v>1</v>
      </c>
      <c r="P827" s="3">
        <v>1</v>
      </c>
      <c r="Q827" s="3">
        <v>1</v>
      </c>
    </row>
    <row r="828" spans="1:17">
      <c r="A828" t="s">
        <v>1430</v>
      </c>
      <c r="B828" s="3" t="s">
        <v>721</v>
      </c>
      <c r="C828" s="3" t="s">
        <v>722</v>
      </c>
      <c r="D828" s="3" t="s">
        <v>14</v>
      </c>
      <c r="E828" s="3" t="s">
        <v>12</v>
      </c>
      <c r="F828" s="3">
        <v>0</v>
      </c>
      <c r="G828" s="74">
        <f>F828*VLOOKUP(D828,GWPs!$B$3:$C$6,2,FALSE)</f>
        <v>0</v>
      </c>
      <c r="H828" s="3">
        <v>0</v>
      </c>
      <c r="I828" s="74">
        <f>H828*VLOOKUP(D828,GWPs!$B$3:$C$6,2,FALSE)</f>
        <v>0</v>
      </c>
      <c r="J828" s="3">
        <v>0</v>
      </c>
      <c r="K828" s="74">
        <f>J828*VLOOKUP(D828,GWPs!$B$3:$C$6,2,FALSE)</f>
        <v>0</v>
      </c>
      <c r="M828" s="3">
        <v>3</v>
      </c>
      <c r="N828" s="3">
        <v>2</v>
      </c>
      <c r="O828" s="3">
        <v>1</v>
      </c>
      <c r="P828" s="3">
        <v>3</v>
      </c>
      <c r="Q828" s="3">
        <v>1</v>
      </c>
    </row>
    <row r="829" spans="1:17">
      <c r="A829" t="s">
        <v>1430</v>
      </c>
      <c r="B829" s="3" t="s">
        <v>721</v>
      </c>
      <c r="C829" s="3" t="s">
        <v>722</v>
      </c>
      <c r="D829" s="3" t="s">
        <v>15</v>
      </c>
      <c r="E829" s="3" t="s">
        <v>16</v>
      </c>
      <c r="F829" s="3">
        <v>3.0000000000000001E-3</v>
      </c>
      <c r="G829" s="74">
        <f>F829*VLOOKUP(D829,GWPs!$B$3:$C$6,2,FALSE)</f>
        <v>3.0000000000000001E-3</v>
      </c>
      <c r="H829" s="3">
        <v>0</v>
      </c>
      <c r="I829" s="74">
        <f>H829*VLOOKUP(D829,GWPs!$B$3:$C$6,2,FALSE)</f>
        <v>0</v>
      </c>
      <c r="J829" s="3">
        <v>3.0000000000000001E-3</v>
      </c>
      <c r="K829" s="74">
        <f>J829*VLOOKUP(D829,GWPs!$B$3:$C$6,2,FALSE)</f>
        <v>3.0000000000000001E-3</v>
      </c>
      <c r="M829" s="3">
        <v>3</v>
      </c>
      <c r="N829" s="3">
        <v>2</v>
      </c>
      <c r="O829" s="3">
        <v>1</v>
      </c>
      <c r="P829" s="3">
        <v>2</v>
      </c>
      <c r="Q829" s="3">
        <v>1</v>
      </c>
    </row>
    <row r="830" spans="1:17">
      <c r="A830" t="s">
        <v>1429</v>
      </c>
      <c r="B830" s="3" t="s">
        <v>723</v>
      </c>
      <c r="C830" s="3" t="s">
        <v>724</v>
      </c>
      <c r="D830" s="3" t="s">
        <v>11</v>
      </c>
      <c r="E830" s="3" t="s">
        <v>12</v>
      </c>
      <c r="F830" s="3">
        <v>4.5999999999999999E-2</v>
      </c>
      <c r="G830" s="74">
        <f>F830*VLOOKUP(D830,GWPs!$B$3:$C$6,2,FALSE)</f>
        <v>4.5999999999999999E-2</v>
      </c>
      <c r="H830" s="3">
        <v>0.121</v>
      </c>
      <c r="I830" s="74">
        <f>H830*VLOOKUP(D830,GWPs!$B$3:$C$6,2,FALSE)</f>
        <v>0.121</v>
      </c>
      <c r="J830" s="3">
        <v>0.16600000000000001</v>
      </c>
      <c r="K830" s="74">
        <f>J830*VLOOKUP(D830,GWPs!$B$3:$C$6,2,FALSE)</f>
        <v>0.16600000000000001</v>
      </c>
      <c r="M830" s="3">
        <v>3</v>
      </c>
      <c r="N830" s="3">
        <v>2</v>
      </c>
      <c r="O830" s="3">
        <v>1</v>
      </c>
      <c r="P830" s="3">
        <v>3</v>
      </c>
      <c r="Q830" s="3">
        <v>1</v>
      </c>
    </row>
    <row r="831" spans="1:17">
      <c r="A831" t="s">
        <v>1429</v>
      </c>
      <c r="B831" s="3" t="s">
        <v>723</v>
      </c>
      <c r="C831" s="3" t="s">
        <v>724</v>
      </c>
      <c r="D831" s="3" t="s">
        <v>13</v>
      </c>
      <c r="E831" s="3" t="s">
        <v>12</v>
      </c>
      <c r="F831" s="3">
        <v>0</v>
      </c>
      <c r="G831" s="74">
        <f>F831*VLOOKUP(D831,GWPs!$B$3:$C$6,2,FALSE)</f>
        <v>0</v>
      </c>
      <c r="H831" s="3">
        <v>1E-3</v>
      </c>
      <c r="I831" s="74">
        <f>H831*VLOOKUP(D831,GWPs!$B$3:$C$6,2,FALSE)</f>
        <v>2.8000000000000001E-2</v>
      </c>
      <c r="J831" s="3">
        <v>1E-3</v>
      </c>
      <c r="K831" s="74">
        <f>J831*VLOOKUP(D831,GWPs!$B$3:$C$6,2,FALSE)</f>
        <v>2.8000000000000001E-2</v>
      </c>
      <c r="M831" s="3">
        <v>4</v>
      </c>
      <c r="N831" s="3">
        <v>2</v>
      </c>
      <c r="O831" s="3">
        <v>1</v>
      </c>
      <c r="P831" s="3">
        <v>1</v>
      </c>
      <c r="Q831" s="3">
        <v>1</v>
      </c>
    </row>
    <row r="832" spans="1:17">
      <c r="A832" t="s">
        <v>1429</v>
      </c>
      <c r="B832" s="3" t="s">
        <v>723</v>
      </c>
      <c r="C832" s="3" t="s">
        <v>724</v>
      </c>
      <c r="D832" s="3" t="s">
        <v>14</v>
      </c>
      <c r="E832" s="3" t="s">
        <v>12</v>
      </c>
      <c r="F832" s="3">
        <v>0</v>
      </c>
      <c r="G832" s="74">
        <f>F832*VLOOKUP(D832,GWPs!$B$3:$C$6,2,FALSE)</f>
        <v>0</v>
      </c>
      <c r="H832" s="3">
        <v>0</v>
      </c>
      <c r="I832" s="74">
        <f>H832*VLOOKUP(D832,GWPs!$B$3:$C$6,2,FALSE)</f>
        <v>0</v>
      </c>
      <c r="J832" s="3">
        <v>0</v>
      </c>
      <c r="K832" s="74">
        <f>J832*VLOOKUP(D832,GWPs!$B$3:$C$6,2,FALSE)</f>
        <v>0</v>
      </c>
      <c r="M832" s="3">
        <v>3</v>
      </c>
      <c r="N832" s="3">
        <v>2</v>
      </c>
      <c r="O832" s="3">
        <v>1</v>
      </c>
      <c r="P832" s="3">
        <v>3</v>
      </c>
      <c r="Q832" s="3">
        <v>1</v>
      </c>
    </row>
    <row r="833" spans="1:17">
      <c r="A833" t="s">
        <v>1429</v>
      </c>
      <c r="B833" s="3" t="s">
        <v>723</v>
      </c>
      <c r="C833" s="3" t="s">
        <v>724</v>
      </c>
      <c r="D833" s="3" t="s">
        <v>15</v>
      </c>
      <c r="E833" s="3" t="s">
        <v>16</v>
      </c>
      <c r="F833" s="3">
        <v>2E-3</v>
      </c>
      <c r="G833" s="74">
        <f>F833*VLOOKUP(D833,GWPs!$B$3:$C$6,2,FALSE)</f>
        <v>2E-3</v>
      </c>
      <c r="H833" s="3">
        <v>0</v>
      </c>
      <c r="I833" s="74">
        <f>H833*VLOOKUP(D833,GWPs!$B$3:$C$6,2,FALSE)</f>
        <v>0</v>
      </c>
      <c r="J833" s="3">
        <v>2E-3</v>
      </c>
      <c r="K833" s="74">
        <f>J833*VLOOKUP(D833,GWPs!$B$3:$C$6,2,FALSE)</f>
        <v>2E-3</v>
      </c>
      <c r="M833" s="3">
        <v>3</v>
      </c>
      <c r="N833" s="3">
        <v>2</v>
      </c>
      <c r="O833" s="3">
        <v>1</v>
      </c>
      <c r="P833" s="3">
        <v>2</v>
      </c>
      <c r="Q833" s="3">
        <v>1</v>
      </c>
    </row>
    <row r="834" spans="1:17">
      <c r="A834" t="s">
        <v>1429</v>
      </c>
      <c r="B834" s="3" t="s">
        <v>725</v>
      </c>
      <c r="C834" s="3" t="s">
        <v>726</v>
      </c>
      <c r="D834" s="3" t="s">
        <v>11</v>
      </c>
      <c r="E834" s="3" t="s">
        <v>12</v>
      </c>
      <c r="F834" s="3">
        <v>6.6000000000000003E-2</v>
      </c>
      <c r="G834" s="74">
        <f>F834*VLOOKUP(D834,GWPs!$B$3:$C$6,2,FALSE)</f>
        <v>6.6000000000000003E-2</v>
      </c>
      <c r="H834" s="3">
        <v>1.7000000000000001E-2</v>
      </c>
      <c r="I834" s="74">
        <f>H834*VLOOKUP(D834,GWPs!$B$3:$C$6,2,FALSE)</f>
        <v>1.7000000000000001E-2</v>
      </c>
      <c r="J834" s="3">
        <v>8.3000000000000004E-2</v>
      </c>
      <c r="K834" s="74">
        <f>J834*VLOOKUP(D834,GWPs!$B$3:$C$6,2,FALSE)</f>
        <v>8.3000000000000004E-2</v>
      </c>
      <c r="M834" s="3">
        <v>3</v>
      </c>
      <c r="N834" s="3">
        <v>2</v>
      </c>
      <c r="O834" s="3">
        <v>1</v>
      </c>
      <c r="P834" s="3">
        <v>3</v>
      </c>
      <c r="Q834" s="3">
        <v>1</v>
      </c>
    </row>
    <row r="835" spans="1:17">
      <c r="A835" t="s">
        <v>1429</v>
      </c>
      <c r="B835" s="3" t="s">
        <v>725</v>
      </c>
      <c r="C835" s="3" t="s">
        <v>726</v>
      </c>
      <c r="D835" s="3" t="s">
        <v>13</v>
      </c>
      <c r="E835" s="3" t="s">
        <v>12</v>
      </c>
      <c r="F835" s="3">
        <v>0</v>
      </c>
      <c r="G835" s="74">
        <f>F835*VLOOKUP(D835,GWPs!$B$3:$C$6,2,FALSE)</f>
        <v>0</v>
      </c>
      <c r="H835" s="3">
        <v>0</v>
      </c>
      <c r="I835" s="74">
        <f>H835*VLOOKUP(D835,GWPs!$B$3:$C$6,2,FALSE)</f>
        <v>0</v>
      </c>
      <c r="J835" s="3">
        <v>0</v>
      </c>
      <c r="K835" s="74">
        <f>J835*VLOOKUP(D835,GWPs!$B$3:$C$6,2,FALSE)</f>
        <v>0</v>
      </c>
      <c r="M835" s="3">
        <v>4</v>
      </c>
      <c r="N835" s="3">
        <v>2</v>
      </c>
      <c r="O835" s="3">
        <v>1</v>
      </c>
      <c r="P835" s="3">
        <v>1</v>
      </c>
      <c r="Q835" s="3">
        <v>1</v>
      </c>
    </row>
    <row r="836" spans="1:17">
      <c r="A836" t="s">
        <v>1429</v>
      </c>
      <c r="B836" s="3" t="s">
        <v>725</v>
      </c>
      <c r="C836" s="3" t="s">
        <v>726</v>
      </c>
      <c r="D836" s="3" t="s">
        <v>14</v>
      </c>
      <c r="E836" s="3" t="s">
        <v>12</v>
      </c>
      <c r="F836" s="3">
        <v>0</v>
      </c>
      <c r="G836" s="74">
        <f>F836*VLOOKUP(D836,GWPs!$B$3:$C$6,2,FALSE)</f>
        <v>0</v>
      </c>
      <c r="H836" s="3">
        <v>0</v>
      </c>
      <c r="I836" s="74">
        <f>H836*VLOOKUP(D836,GWPs!$B$3:$C$6,2,FALSE)</f>
        <v>0</v>
      </c>
      <c r="J836" s="3">
        <v>0</v>
      </c>
      <c r="K836" s="74">
        <f>J836*VLOOKUP(D836,GWPs!$B$3:$C$6,2,FALSE)</f>
        <v>0</v>
      </c>
      <c r="M836" s="3">
        <v>3</v>
      </c>
      <c r="N836" s="3">
        <v>2</v>
      </c>
      <c r="O836" s="3">
        <v>1</v>
      </c>
      <c r="P836" s="3">
        <v>3</v>
      </c>
      <c r="Q836" s="3">
        <v>1</v>
      </c>
    </row>
    <row r="837" spans="1:17">
      <c r="A837" t="s">
        <v>1429</v>
      </c>
      <c r="B837" s="3" t="s">
        <v>725</v>
      </c>
      <c r="C837" s="3" t="s">
        <v>726</v>
      </c>
      <c r="D837" s="3" t="s">
        <v>15</v>
      </c>
      <c r="E837" s="3" t="s">
        <v>16</v>
      </c>
      <c r="F837" s="3">
        <v>3.0000000000000001E-3</v>
      </c>
      <c r="G837" s="74">
        <f>F837*VLOOKUP(D837,GWPs!$B$3:$C$6,2,FALSE)</f>
        <v>3.0000000000000001E-3</v>
      </c>
      <c r="H837" s="3">
        <v>0</v>
      </c>
      <c r="I837" s="74">
        <f>H837*VLOOKUP(D837,GWPs!$B$3:$C$6,2,FALSE)</f>
        <v>0</v>
      </c>
      <c r="J837" s="3">
        <v>3.0000000000000001E-3</v>
      </c>
      <c r="K837" s="74">
        <f>J837*VLOOKUP(D837,GWPs!$B$3:$C$6,2,FALSE)</f>
        <v>3.0000000000000001E-3</v>
      </c>
      <c r="M837" s="3">
        <v>3</v>
      </c>
      <c r="N837" s="3">
        <v>2</v>
      </c>
      <c r="O837" s="3">
        <v>1</v>
      </c>
      <c r="P837" s="3">
        <v>2</v>
      </c>
      <c r="Q837" s="3">
        <v>1</v>
      </c>
    </row>
    <row r="838" spans="1:17">
      <c r="A838" t="s">
        <v>1429</v>
      </c>
      <c r="B838" s="3" t="s">
        <v>727</v>
      </c>
      <c r="C838" s="3" t="s">
        <v>728</v>
      </c>
      <c r="D838" s="3" t="s">
        <v>11</v>
      </c>
      <c r="E838" s="3" t="s">
        <v>12</v>
      </c>
      <c r="F838" s="3">
        <v>0.20899999999999999</v>
      </c>
      <c r="G838" s="74">
        <f>F838*VLOOKUP(D838,GWPs!$B$3:$C$6,2,FALSE)</f>
        <v>0.20899999999999999</v>
      </c>
      <c r="H838" s="3">
        <v>0.17599999999999999</v>
      </c>
      <c r="I838" s="74">
        <f>H838*VLOOKUP(D838,GWPs!$B$3:$C$6,2,FALSE)</f>
        <v>0.17599999999999999</v>
      </c>
      <c r="J838" s="3">
        <v>0.38500000000000001</v>
      </c>
      <c r="K838" s="74">
        <f>J838*VLOOKUP(D838,GWPs!$B$3:$C$6,2,FALSE)</f>
        <v>0.38500000000000001</v>
      </c>
      <c r="M838" s="3">
        <v>3</v>
      </c>
      <c r="N838" s="3">
        <v>2</v>
      </c>
      <c r="O838" s="3">
        <v>1</v>
      </c>
      <c r="P838" s="3">
        <v>4</v>
      </c>
      <c r="Q838" s="3">
        <v>1</v>
      </c>
    </row>
    <row r="839" spans="1:17">
      <c r="A839" t="s">
        <v>1429</v>
      </c>
      <c r="B839" s="3" t="s">
        <v>727</v>
      </c>
      <c r="C839" s="3" t="s">
        <v>728</v>
      </c>
      <c r="D839" s="3" t="s">
        <v>13</v>
      </c>
      <c r="E839" s="3" t="s">
        <v>12</v>
      </c>
      <c r="F839" s="3">
        <v>1E-3</v>
      </c>
      <c r="G839" s="74">
        <f>F839*VLOOKUP(D839,GWPs!$B$3:$C$6,2,FALSE)</f>
        <v>2.8000000000000001E-2</v>
      </c>
      <c r="H839" s="3">
        <v>1E-3</v>
      </c>
      <c r="I839" s="74">
        <f>H839*VLOOKUP(D839,GWPs!$B$3:$C$6,2,FALSE)</f>
        <v>2.8000000000000001E-2</v>
      </c>
      <c r="J839" s="3">
        <v>1E-3</v>
      </c>
      <c r="K839" s="74">
        <f>J839*VLOOKUP(D839,GWPs!$B$3:$C$6,2,FALSE)</f>
        <v>2.8000000000000001E-2</v>
      </c>
      <c r="M839" s="3">
        <v>4</v>
      </c>
      <c r="N839" s="3">
        <v>2</v>
      </c>
      <c r="O839" s="3">
        <v>1</v>
      </c>
      <c r="P839" s="3">
        <v>1</v>
      </c>
      <c r="Q839" s="3">
        <v>1</v>
      </c>
    </row>
    <row r="840" spans="1:17">
      <c r="A840" t="s">
        <v>1429</v>
      </c>
      <c r="B840" s="3" t="s">
        <v>727</v>
      </c>
      <c r="C840" s="3" t="s">
        <v>728</v>
      </c>
      <c r="D840" s="3" t="s">
        <v>14</v>
      </c>
      <c r="E840" s="3" t="s">
        <v>12</v>
      </c>
      <c r="F840" s="3">
        <v>0</v>
      </c>
      <c r="G840" s="74">
        <f>F840*VLOOKUP(D840,GWPs!$B$3:$C$6,2,FALSE)</f>
        <v>0</v>
      </c>
      <c r="H840" s="3">
        <v>0</v>
      </c>
      <c r="I840" s="74">
        <f>H840*VLOOKUP(D840,GWPs!$B$3:$C$6,2,FALSE)</f>
        <v>0</v>
      </c>
      <c r="J840" s="3">
        <v>0</v>
      </c>
      <c r="K840" s="74">
        <f>J840*VLOOKUP(D840,GWPs!$B$3:$C$6,2,FALSE)</f>
        <v>0</v>
      </c>
      <c r="M840" s="3">
        <v>3</v>
      </c>
      <c r="N840" s="3">
        <v>2</v>
      </c>
      <c r="O840" s="3">
        <v>1</v>
      </c>
      <c r="P840" s="3">
        <v>3</v>
      </c>
      <c r="Q840" s="3">
        <v>1</v>
      </c>
    </row>
    <row r="841" spans="1:17">
      <c r="A841" t="s">
        <v>1429</v>
      </c>
      <c r="B841" s="3" t="s">
        <v>727</v>
      </c>
      <c r="C841" s="3" t="s">
        <v>728</v>
      </c>
      <c r="D841" s="3" t="s">
        <v>15</v>
      </c>
      <c r="E841" s="3" t="s">
        <v>16</v>
      </c>
      <c r="F841" s="3">
        <v>0.01</v>
      </c>
      <c r="G841" s="74">
        <f>F841*VLOOKUP(D841,GWPs!$B$3:$C$6,2,FALSE)</f>
        <v>0.01</v>
      </c>
      <c r="H841" s="3">
        <v>0</v>
      </c>
      <c r="I841" s="74">
        <f>H841*VLOOKUP(D841,GWPs!$B$3:$C$6,2,FALSE)</f>
        <v>0</v>
      </c>
      <c r="J841" s="3">
        <v>0.01</v>
      </c>
      <c r="K841" s="74">
        <f>J841*VLOOKUP(D841,GWPs!$B$3:$C$6,2,FALSE)</f>
        <v>0.01</v>
      </c>
      <c r="M841" s="3">
        <v>3</v>
      </c>
      <c r="N841" s="3">
        <v>2</v>
      </c>
      <c r="O841" s="3">
        <v>1</v>
      </c>
      <c r="P841" s="3">
        <v>2</v>
      </c>
      <c r="Q841" s="3">
        <v>1</v>
      </c>
    </row>
    <row r="842" spans="1:17">
      <c r="A842" t="s">
        <v>1429</v>
      </c>
      <c r="B842" s="3" t="s">
        <v>729</v>
      </c>
      <c r="C842" s="3" t="s">
        <v>730</v>
      </c>
      <c r="D842" s="3" t="s">
        <v>11</v>
      </c>
      <c r="E842" s="3" t="s">
        <v>12</v>
      </c>
      <c r="F842" s="3">
        <v>0.2</v>
      </c>
      <c r="G842" s="74">
        <f>F842*VLOOKUP(D842,GWPs!$B$3:$C$6,2,FALSE)</f>
        <v>0.2</v>
      </c>
      <c r="H842" s="3">
        <v>0.20200000000000001</v>
      </c>
      <c r="I842" s="74">
        <f>H842*VLOOKUP(D842,GWPs!$B$3:$C$6,2,FALSE)</f>
        <v>0.20200000000000001</v>
      </c>
      <c r="J842" s="3">
        <v>0.40200000000000002</v>
      </c>
      <c r="K842" s="74">
        <f>J842*VLOOKUP(D842,GWPs!$B$3:$C$6,2,FALSE)</f>
        <v>0.40200000000000002</v>
      </c>
      <c r="M842" s="3">
        <v>3</v>
      </c>
      <c r="N842" s="3">
        <v>2</v>
      </c>
      <c r="O842" s="3">
        <v>1</v>
      </c>
      <c r="P842" s="3">
        <v>3</v>
      </c>
      <c r="Q842" s="3">
        <v>1</v>
      </c>
    </row>
    <row r="843" spans="1:17">
      <c r="A843" t="s">
        <v>1429</v>
      </c>
      <c r="B843" s="3" t="s">
        <v>729</v>
      </c>
      <c r="C843" s="3" t="s">
        <v>730</v>
      </c>
      <c r="D843" s="3" t="s">
        <v>13</v>
      </c>
      <c r="E843" s="3" t="s">
        <v>12</v>
      </c>
      <c r="F843" s="3">
        <v>1E-3</v>
      </c>
      <c r="G843" s="74">
        <f>F843*VLOOKUP(D843,GWPs!$B$3:$C$6,2,FALSE)</f>
        <v>2.8000000000000001E-2</v>
      </c>
      <c r="H843" s="3">
        <v>2E-3</v>
      </c>
      <c r="I843" s="74">
        <f>H843*VLOOKUP(D843,GWPs!$B$3:$C$6,2,FALSE)</f>
        <v>5.6000000000000001E-2</v>
      </c>
      <c r="J843" s="3">
        <v>3.0000000000000001E-3</v>
      </c>
      <c r="K843" s="74">
        <f>J843*VLOOKUP(D843,GWPs!$B$3:$C$6,2,FALSE)</f>
        <v>8.4000000000000005E-2</v>
      </c>
      <c r="M843" s="3">
        <v>4</v>
      </c>
      <c r="N843" s="3">
        <v>2</v>
      </c>
      <c r="O843" s="3">
        <v>1</v>
      </c>
      <c r="P843" s="3">
        <v>1</v>
      </c>
      <c r="Q843" s="3">
        <v>1</v>
      </c>
    </row>
    <row r="844" spans="1:17">
      <c r="A844" t="s">
        <v>1429</v>
      </c>
      <c r="B844" s="3" t="s">
        <v>729</v>
      </c>
      <c r="C844" s="3" t="s">
        <v>730</v>
      </c>
      <c r="D844" s="3" t="s">
        <v>14</v>
      </c>
      <c r="E844" s="3" t="s">
        <v>12</v>
      </c>
      <c r="F844" s="3">
        <v>0</v>
      </c>
      <c r="G844" s="74">
        <f>F844*VLOOKUP(D844,GWPs!$B$3:$C$6,2,FALSE)</f>
        <v>0</v>
      </c>
      <c r="H844" s="3">
        <v>0</v>
      </c>
      <c r="I844" s="74">
        <f>H844*VLOOKUP(D844,GWPs!$B$3:$C$6,2,FALSE)</f>
        <v>0</v>
      </c>
      <c r="J844" s="3">
        <v>0</v>
      </c>
      <c r="K844" s="74">
        <f>J844*VLOOKUP(D844,GWPs!$B$3:$C$6,2,FALSE)</f>
        <v>0</v>
      </c>
      <c r="M844" s="3">
        <v>3</v>
      </c>
      <c r="N844" s="3">
        <v>2</v>
      </c>
      <c r="O844" s="3">
        <v>1</v>
      </c>
      <c r="P844" s="3">
        <v>3</v>
      </c>
      <c r="Q844" s="3">
        <v>1</v>
      </c>
    </row>
    <row r="845" spans="1:17">
      <c r="A845" t="s">
        <v>1429</v>
      </c>
      <c r="B845" s="3" t="s">
        <v>729</v>
      </c>
      <c r="C845" s="3" t="s">
        <v>730</v>
      </c>
      <c r="D845" s="3" t="s">
        <v>15</v>
      </c>
      <c r="E845" s="3" t="s">
        <v>16</v>
      </c>
      <c r="F845" s="3">
        <v>1.6E-2</v>
      </c>
      <c r="G845" s="74">
        <f>F845*VLOOKUP(D845,GWPs!$B$3:$C$6,2,FALSE)</f>
        <v>1.6E-2</v>
      </c>
      <c r="H845" s="3">
        <v>0</v>
      </c>
      <c r="I845" s="74">
        <f>H845*VLOOKUP(D845,GWPs!$B$3:$C$6,2,FALSE)</f>
        <v>0</v>
      </c>
      <c r="J845" s="3">
        <v>1.6E-2</v>
      </c>
      <c r="K845" s="74">
        <f>J845*VLOOKUP(D845,GWPs!$B$3:$C$6,2,FALSE)</f>
        <v>1.6E-2</v>
      </c>
      <c r="M845" s="3">
        <v>3</v>
      </c>
      <c r="N845" s="3">
        <v>2</v>
      </c>
      <c r="O845" s="3">
        <v>1</v>
      </c>
      <c r="P845" s="3">
        <v>4</v>
      </c>
      <c r="Q845" s="3">
        <v>1</v>
      </c>
    </row>
    <row r="846" spans="1:17">
      <c r="A846" t="s">
        <v>1429</v>
      </c>
      <c r="B846" s="3" t="s">
        <v>731</v>
      </c>
      <c r="C846" s="3" t="s">
        <v>732</v>
      </c>
      <c r="D846" s="3" t="s">
        <v>11</v>
      </c>
      <c r="E846" s="3" t="s">
        <v>12</v>
      </c>
      <c r="F846" s="3">
        <v>0.23499999999999999</v>
      </c>
      <c r="G846" s="74">
        <f>F846*VLOOKUP(D846,GWPs!$B$3:$C$6,2,FALSE)</f>
        <v>0.23499999999999999</v>
      </c>
      <c r="H846" s="3">
        <v>0.69199999999999995</v>
      </c>
      <c r="I846" s="74">
        <f>H846*VLOOKUP(D846,GWPs!$B$3:$C$6,2,FALSE)</f>
        <v>0.69199999999999995</v>
      </c>
      <c r="J846" s="3">
        <v>0.92700000000000005</v>
      </c>
      <c r="K846" s="74">
        <f>J846*VLOOKUP(D846,GWPs!$B$3:$C$6,2,FALSE)</f>
        <v>0.92700000000000005</v>
      </c>
      <c r="M846" s="3">
        <v>3</v>
      </c>
      <c r="N846" s="3">
        <v>2</v>
      </c>
      <c r="O846" s="3">
        <v>1</v>
      </c>
      <c r="P846" s="3">
        <v>3</v>
      </c>
      <c r="Q846" s="3">
        <v>1</v>
      </c>
    </row>
    <row r="847" spans="1:17">
      <c r="A847" t="s">
        <v>1429</v>
      </c>
      <c r="B847" s="3" t="s">
        <v>731</v>
      </c>
      <c r="C847" s="3" t="s">
        <v>732</v>
      </c>
      <c r="D847" s="3" t="s">
        <v>13</v>
      </c>
      <c r="E847" s="3" t="s">
        <v>12</v>
      </c>
      <c r="F847" s="3">
        <v>1E-3</v>
      </c>
      <c r="G847" s="74">
        <f>F847*VLOOKUP(D847,GWPs!$B$3:$C$6,2,FALSE)</f>
        <v>2.8000000000000001E-2</v>
      </c>
      <c r="H847" s="3">
        <v>5.0000000000000001E-3</v>
      </c>
      <c r="I847" s="74">
        <f>H847*VLOOKUP(D847,GWPs!$B$3:$C$6,2,FALSE)</f>
        <v>0.14000000000000001</v>
      </c>
      <c r="J847" s="3">
        <v>6.0000000000000001E-3</v>
      </c>
      <c r="K847" s="74">
        <f>J847*VLOOKUP(D847,GWPs!$B$3:$C$6,2,FALSE)</f>
        <v>0.16800000000000001</v>
      </c>
      <c r="M847" s="3">
        <v>4</v>
      </c>
      <c r="N847" s="3">
        <v>2</v>
      </c>
      <c r="O847" s="3">
        <v>1</v>
      </c>
      <c r="P847" s="3">
        <v>1</v>
      </c>
      <c r="Q847" s="3">
        <v>1</v>
      </c>
    </row>
    <row r="848" spans="1:17">
      <c r="A848" t="s">
        <v>1429</v>
      </c>
      <c r="B848" s="3" t="s">
        <v>731</v>
      </c>
      <c r="C848" s="3" t="s">
        <v>732</v>
      </c>
      <c r="D848" s="3" t="s">
        <v>14</v>
      </c>
      <c r="E848" s="3" t="s">
        <v>12</v>
      </c>
      <c r="F848" s="3">
        <v>0</v>
      </c>
      <c r="G848" s="74">
        <f>F848*VLOOKUP(D848,GWPs!$B$3:$C$6,2,FALSE)</f>
        <v>0</v>
      </c>
      <c r="H848" s="3">
        <v>0</v>
      </c>
      <c r="I848" s="74">
        <f>H848*VLOOKUP(D848,GWPs!$B$3:$C$6,2,FALSE)</f>
        <v>0</v>
      </c>
      <c r="J848" s="3">
        <v>0</v>
      </c>
      <c r="K848" s="74">
        <f>J848*VLOOKUP(D848,GWPs!$B$3:$C$6,2,FALSE)</f>
        <v>0</v>
      </c>
      <c r="M848" s="3">
        <v>3</v>
      </c>
      <c r="N848" s="3">
        <v>2</v>
      </c>
      <c r="O848" s="3">
        <v>1</v>
      </c>
      <c r="P848" s="3">
        <v>3</v>
      </c>
      <c r="Q848" s="3">
        <v>1</v>
      </c>
    </row>
    <row r="849" spans="1:17">
      <c r="A849" t="s">
        <v>1429</v>
      </c>
      <c r="B849" s="3" t="s">
        <v>731</v>
      </c>
      <c r="C849" s="3" t="s">
        <v>732</v>
      </c>
      <c r="D849" s="3" t="s">
        <v>15</v>
      </c>
      <c r="E849" s="3" t="s">
        <v>16</v>
      </c>
      <c r="F849" s="3">
        <v>6.0000000000000001E-3</v>
      </c>
      <c r="G849" s="74">
        <f>F849*VLOOKUP(D849,GWPs!$B$3:$C$6,2,FALSE)</f>
        <v>6.0000000000000001E-3</v>
      </c>
      <c r="H849" s="3">
        <v>0</v>
      </c>
      <c r="I849" s="74">
        <f>H849*VLOOKUP(D849,GWPs!$B$3:$C$6,2,FALSE)</f>
        <v>0</v>
      </c>
      <c r="J849" s="3">
        <v>6.0000000000000001E-3</v>
      </c>
      <c r="K849" s="74">
        <f>J849*VLOOKUP(D849,GWPs!$B$3:$C$6,2,FALSE)</f>
        <v>6.0000000000000001E-3</v>
      </c>
      <c r="M849" s="3">
        <v>3</v>
      </c>
      <c r="N849" s="3">
        <v>2</v>
      </c>
      <c r="O849" s="3">
        <v>1</v>
      </c>
      <c r="P849" s="3">
        <v>2</v>
      </c>
      <c r="Q849" s="3">
        <v>1</v>
      </c>
    </row>
    <row r="850" spans="1:17">
      <c r="A850" t="s">
        <v>1429</v>
      </c>
      <c r="B850" s="3" t="s">
        <v>733</v>
      </c>
      <c r="C850" s="3" t="s">
        <v>734</v>
      </c>
      <c r="D850" s="3" t="s">
        <v>11</v>
      </c>
      <c r="E850" s="3" t="s">
        <v>12</v>
      </c>
      <c r="F850" s="3">
        <v>0.249</v>
      </c>
      <c r="G850" s="74">
        <f>F850*VLOOKUP(D850,GWPs!$B$3:$C$6,2,FALSE)</f>
        <v>0.249</v>
      </c>
      <c r="H850" s="3">
        <v>0.21199999999999999</v>
      </c>
      <c r="I850" s="74">
        <f>H850*VLOOKUP(D850,GWPs!$B$3:$C$6,2,FALSE)</f>
        <v>0.21199999999999999</v>
      </c>
      <c r="J850" s="3">
        <v>0.46</v>
      </c>
      <c r="K850" s="74">
        <f>J850*VLOOKUP(D850,GWPs!$B$3:$C$6,2,FALSE)</f>
        <v>0.46</v>
      </c>
      <c r="M850" s="3">
        <v>3</v>
      </c>
      <c r="N850" s="3">
        <v>2</v>
      </c>
      <c r="O850" s="3">
        <v>1</v>
      </c>
      <c r="P850" s="3">
        <v>3</v>
      </c>
      <c r="Q850" s="3">
        <v>1</v>
      </c>
    </row>
    <row r="851" spans="1:17">
      <c r="A851" t="s">
        <v>1429</v>
      </c>
      <c r="B851" s="3" t="s">
        <v>733</v>
      </c>
      <c r="C851" s="3" t="s">
        <v>734</v>
      </c>
      <c r="D851" s="3" t="s">
        <v>13</v>
      </c>
      <c r="E851" s="3" t="s">
        <v>12</v>
      </c>
      <c r="F851" s="3">
        <v>1E-3</v>
      </c>
      <c r="G851" s="74">
        <f>F851*VLOOKUP(D851,GWPs!$B$3:$C$6,2,FALSE)</f>
        <v>2.8000000000000001E-2</v>
      </c>
      <c r="H851" s="3">
        <v>1E-3</v>
      </c>
      <c r="I851" s="74">
        <f>H851*VLOOKUP(D851,GWPs!$B$3:$C$6,2,FALSE)</f>
        <v>2.8000000000000001E-2</v>
      </c>
      <c r="J851" s="3">
        <v>2E-3</v>
      </c>
      <c r="K851" s="74">
        <f>J851*VLOOKUP(D851,GWPs!$B$3:$C$6,2,FALSE)</f>
        <v>5.6000000000000001E-2</v>
      </c>
      <c r="M851" s="3">
        <v>4</v>
      </c>
      <c r="N851" s="3">
        <v>2</v>
      </c>
      <c r="O851" s="3">
        <v>1</v>
      </c>
      <c r="P851" s="3">
        <v>1</v>
      </c>
      <c r="Q851" s="3">
        <v>1</v>
      </c>
    </row>
    <row r="852" spans="1:17">
      <c r="A852" t="s">
        <v>1429</v>
      </c>
      <c r="B852" s="3" t="s">
        <v>733</v>
      </c>
      <c r="C852" s="3" t="s">
        <v>734</v>
      </c>
      <c r="D852" s="3" t="s">
        <v>14</v>
      </c>
      <c r="E852" s="3" t="s">
        <v>12</v>
      </c>
      <c r="F852" s="3">
        <v>0</v>
      </c>
      <c r="G852" s="74">
        <f>F852*VLOOKUP(D852,GWPs!$B$3:$C$6,2,FALSE)</f>
        <v>0</v>
      </c>
      <c r="H852" s="3">
        <v>0</v>
      </c>
      <c r="I852" s="74">
        <f>H852*VLOOKUP(D852,GWPs!$B$3:$C$6,2,FALSE)</f>
        <v>0</v>
      </c>
      <c r="J852" s="3">
        <v>0</v>
      </c>
      <c r="K852" s="74">
        <f>J852*VLOOKUP(D852,GWPs!$B$3:$C$6,2,FALSE)</f>
        <v>0</v>
      </c>
      <c r="M852" s="3">
        <v>3</v>
      </c>
      <c r="N852" s="3">
        <v>2</v>
      </c>
      <c r="O852" s="3">
        <v>1</v>
      </c>
      <c r="P852" s="3">
        <v>3</v>
      </c>
      <c r="Q852" s="3">
        <v>1</v>
      </c>
    </row>
    <row r="853" spans="1:17">
      <c r="A853" t="s">
        <v>1429</v>
      </c>
      <c r="B853" s="3" t="s">
        <v>733</v>
      </c>
      <c r="C853" s="3" t="s">
        <v>734</v>
      </c>
      <c r="D853" s="3" t="s">
        <v>15</v>
      </c>
      <c r="E853" s="3" t="s">
        <v>16</v>
      </c>
      <c r="F853" s="3">
        <v>1.4E-2</v>
      </c>
      <c r="G853" s="74">
        <f>F853*VLOOKUP(D853,GWPs!$B$3:$C$6,2,FALSE)</f>
        <v>1.4E-2</v>
      </c>
      <c r="H853" s="3">
        <v>0</v>
      </c>
      <c r="I853" s="74">
        <f>H853*VLOOKUP(D853,GWPs!$B$3:$C$6,2,FALSE)</f>
        <v>0</v>
      </c>
      <c r="J853" s="3">
        <v>1.4E-2</v>
      </c>
      <c r="K853" s="74">
        <f>J853*VLOOKUP(D853,GWPs!$B$3:$C$6,2,FALSE)</f>
        <v>1.4E-2</v>
      </c>
      <c r="M853" s="3">
        <v>3</v>
      </c>
      <c r="N853" s="3">
        <v>2</v>
      </c>
      <c r="O853" s="3">
        <v>1</v>
      </c>
      <c r="P853" s="3">
        <v>2</v>
      </c>
      <c r="Q853" s="3">
        <v>1</v>
      </c>
    </row>
    <row r="854" spans="1:17">
      <c r="A854" t="s">
        <v>1429</v>
      </c>
      <c r="B854" s="3" t="s">
        <v>735</v>
      </c>
      <c r="C854" s="3" t="s">
        <v>736</v>
      </c>
      <c r="D854" s="3" t="s">
        <v>11</v>
      </c>
      <c r="E854" s="3" t="s">
        <v>12</v>
      </c>
      <c r="F854" s="3">
        <v>0.214</v>
      </c>
      <c r="G854" s="74">
        <f>F854*VLOOKUP(D854,GWPs!$B$3:$C$6,2,FALSE)</f>
        <v>0.214</v>
      </c>
      <c r="H854" s="3">
        <v>0.22700000000000001</v>
      </c>
      <c r="I854" s="74">
        <f>H854*VLOOKUP(D854,GWPs!$B$3:$C$6,2,FALSE)</f>
        <v>0.22700000000000001</v>
      </c>
      <c r="J854" s="3">
        <v>0.441</v>
      </c>
      <c r="K854" s="74">
        <f>J854*VLOOKUP(D854,GWPs!$B$3:$C$6,2,FALSE)</f>
        <v>0.441</v>
      </c>
      <c r="M854" s="3">
        <v>3</v>
      </c>
      <c r="N854" s="3">
        <v>2</v>
      </c>
      <c r="O854" s="3">
        <v>1</v>
      </c>
      <c r="P854" s="3">
        <v>3</v>
      </c>
      <c r="Q854" s="3">
        <v>1</v>
      </c>
    </row>
    <row r="855" spans="1:17">
      <c r="A855" t="s">
        <v>1429</v>
      </c>
      <c r="B855" s="3" t="s">
        <v>735</v>
      </c>
      <c r="C855" s="3" t="s">
        <v>736</v>
      </c>
      <c r="D855" s="3" t="s">
        <v>13</v>
      </c>
      <c r="E855" s="3" t="s">
        <v>12</v>
      </c>
      <c r="F855" s="3">
        <v>1E-3</v>
      </c>
      <c r="G855" s="74">
        <f>F855*VLOOKUP(D855,GWPs!$B$3:$C$6,2,FALSE)</f>
        <v>2.8000000000000001E-2</v>
      </c>
      <c r="H855" s="3">
        <v>1E-3</v>
      </c>
      <c r="I855" s="74">
        <f>H855*VLOOKUP(D855,GWPs!$B$3:$C$6,2,FALSE)</f>
        <v>2.8000000000000001E-2</v>
      </c>
      <c r="J855" s="3">
        <v>2E-3</v>
      </c>
      <c r="K855" s="74">
        <f>J855*VLOOKUP(D855,GWPs!$B$3:$C$6,2,FALSE)</f>
        <v>5.6000000000000001E-2</v>
      </c>
      <c r="M855" s="3">
        <v>4</v>
      </c>
      <c r="N855" s="3">
        <v>2</v>
      </c>
      <c r="O855" s="3">
        <v>1</v>
      </c>
      <c r="P855" s="3">
        <v>1</v>
      </c>
      <c r="Q855" s="3">
        <v>1</v>
      </c>
    </row>
    <row r="856" spans="1:17">
      <c r="A856" t="s">
        <v>1429</v>
      </c>
      <c r="B856" s="3" t="s">
        <v>735</v>
      </c>
      <c r="C856" s="3" t="s">
        <v>736</v>
      </c>
      <c r="D856" s="3" t="s">
        <v>14</v>
      </c>
      <c r="E856" s="3" t="s">
        <v>12</v>
      </c>
      <c r="F856" s="3">
        <v>0</v>
      </c>
      <c r="G856" s="74">
        <f>F856*VLOOKUP(D856,GWPs!$B$3:$C$6,2,FALSE)</f>
        <v>0</v>
      </c>
      <c r="H856" s="3">
        <v>0</v>
      </c>
      <c r="I856" s="74">
        <f>H856*VLOOKUP(D856,GWPs!$B$3:$C$6,2,FALSE)</f>
        <v>0</v>
      </c>
      <c r="J856" s="3">
        <v>0</v>
      </c>
      <c r="K856" s="74">
        <f>J856*VLOOKUP(D856,GWPs!$B$3:$C$6,2,FALSE)</f>
        <v>0</v>
      </c>
      <c r="M856" s="3">
        <v>3</v>
      </c>
      <c r="N856" s="3">
        <v>2</v>
      </c>
      <c r="O856" s="3">
        <v>1</v>
      </c>
      <c r="P856" s="3">
        <v>3</v>
      </c>
      <c r="Q856" s="3">
        <v>1</v>
      </c>
    </row>
    <row r="857" spans="1:17">
      <c r="A857" t="s">
        <v>1429</v>
      </c>
      <c r="B857" s="3" t="s">
        <v>735</v>
      </c>
      <c r="C857" s="3" t="s">
        <v>736</v>
      </c>
      <c r="D857" s="3" t="s">
        <v>15</v>
      </c>
      <c r="E857" s="3" t="s">
        <v>16</v>
      </c>
      <c r="F857" s="3">
        <v>0.111</v>
      </c>
      <c r="G857" s="74">
        <f>F857*VLOOKUP(D857,GWPs!$B$3:$C$6,2,FALSE)</f>
        <v>0.111</v>
      </c>
      <c r="H857" s="3">
        <v>0</v>
      </c>
      <c r="I857" s="74">
        <f>H857*VLOOKUP(D857,GWPs!$B$3:$C$6,2,FALSE)</f>
        <v>0</v>
      </c>
      <c r="J857" s="3">
        <v>0.111</v>
      </c>
      <c r="K857" s="74">
        <f>J857*VLOOKUP(D857,GWPs!$B$3:$C$6,2,FALSE)</f>
        <v>0.111</v>
      </c>
      <c r="M857" s="3">
        <v>4</v>
      </c>
      <c r="N857" s="3">
        <v>2</v>
      </c>
      <c r="O857" s="3">
        <v>1</v>
      </c>
      <c r="P857" s="3">
        <v>5</v>
      </c>
      <c r="Q857" s="3">
        <v>1</v>
      </c>
    </row>
    <row r="858" spans="1:17">
      <c r="A858" t="s">
        <v>1429</v>
      </c>
      <c r="B858" s="3" t="s">
        <v>737</v>
      </c>
      <c r="C858" s="3" t="s">
        <v>738</v>
      </c>
      <c r="D858" s="3" t="s">
        <v>11</v>
      </c>
      <c r="E858" s="3" t="s">
        <v>12</v>
      </c>
      <c r="F858" s="3">
        <v>0.27600000000000002</v>
      </c>
      <c r="G858" s="74">
        <f>F858*VLOOKUP(D858,GWPs!$B$3:$C$6,2,FALSE)</f>
        <v>0.27600000000000002</v>
      </c>
      <c r="H858" s="3">
        <v>0.183</v>
      </c>
      <c r="I858" s="74">
        <f>H858*VLOOKUP(D858,GWPs!$B$3:$C$6,2,FALSE)</f>
        <v>0.183</v>
      </c>
      <c r="J858" s="3">
        <v>0.45900000000000002</v>
      </c>
      <c r="K858" s="74">
        <f>J858*VLOOKUP(D858,GWPs!$B$3:$C$6,2,FALSE)</f>
        <v>0.45900000000000002</v>
      </c>
      <c r="M858" s="3">
        <v>3</v>
      </c>
      <c r="N858" s="3">
        <v>2</v>
      </c>
      <c r="O858" s="3">
        <v>1</v>
      </c>
      <c r="P858" s="3">
        <v>3</v>
      </c>
      <c r="Q858" s="3">
        <v>1</v>
      </c>
    </row>
    <row r="859" spans="1:17">
      <c r="A859" t="s">
        <v>1429</v>
      </c>
      <c r="B859" s="3" t="s">
        <v>737</v>
      </c>
      <c r="C859" s="3" t="s">
        <v>738</v>
      </c>
      <c r="D859" s="3" t="s">
        <v>13</v>
      </c>
      <c r="E859" s="3" t="s">
        <v>12</v>
      </c>
      <c r="F859" s="3">
        <v>1E-3</v>
      </c>
      <c r="G859" s="74">
        <f>F859*VLOOKUP(D859,GWPs!$B$3:$C$6,2,FALSE)</f>
        <v>2.8000000000000001E-2</v>
      </c>
      <c r="H859" s="3">
        <v>1E-3</v>
      </c>
      <c r="I859" s="74">
        <f>H859*VLOOKUP(D859,GWPs!$B$3:$C$6,2,FALSE)</f>
        <v>2.8000000000000001E-2</v>
      </c>
      <c r="J859" s="3">
        <v>2E-3</v>
      </c>
      <c r="K859" s="74">
        <f>J859*VLOOKUP(D859,GWPs!$B$3:$C$6,2,FALSE)</f>
        <v>5.6000000000000001E-2</v>
      </c>
      <c r="M859" s="3">
        <v>4</v>
      </c>
      <c r="N859" s="3">
        <v>2</v>
      </c>
      <c r="O859" s="3">
        <v>1</v>
      </c>
      <c r="P859" s="3">
        <v>1</v>
      </c>
      <c r="Q859" s="3">
        <v>1</v>
      </c>
    </row>
    <row r="860" spans="1:17">
      <c r="A860" t="s">
        <v>1429</v>
      </c>
      <c r="B860" s="3" t="s">
        <v>737</v>
      </c>
      <c r="C860" s="3" t="s">
        <v>738</v>
      </c>
      <c r="D860" s="3" t="s">
        <v>14</v>
      </c>
      <c r="E860" s="3" t="s">
        <v>12</v>
      </c>
      <c r="F860" s="3">
        <v>0</v>
      </c>
      <c r="G860" s="74">
        <f>F860*VLOOKUP(D860,GWPs!$B$3:$C$6,2,FALSE)</f>
        <v>0</v>
      </c>
      <c r="H860" s="3">
        <v>0</v>
      </c>
      <c r="I860" s="74">
        <f>H860*VLOOKUP(D860,GWPs!$B$3:$C$6,2,FALSE)</f>
        <v>0</v>
      </c>
      <c r="J860" s="3">
        <v>0</v>
      </c>
      <c r="K860" s="74">
        <f>J860*VLOOKUP(D860,GWPs!$B$3:$C$6,2,FALSE)</f>
        <v>0</v>
      </c>
      <c r="M860" s="3">
        <v>3</v>
      </c>
      <c r="N860" s="3">
        <v>2</v>
      </c>
      <c r="O860" s="3">
        <v>1</v>
      </c>
      <c r="P860" s="3">
        <v>3</v>
      </c>
      <c r="Q860" s="3">
        <v>1</v>
      </c>
    </row>
    <row r="861" spans="1:17">
      <c r="A861" t="s">
        <v>1429</v>
      </c>
      <c r="B861" s="3" t="s">
        <v>737</v>
      </c>
      <c r="C861" s="3" t="s">
        <v>738</v>
      </c>
      <c r="D861" s="3" t="s">
        <v>15</v>
      </c>
      <c r="E861" s="3" t="s">
        <v>16</v>
      </c>
      <c r="F861" s="3">
        <v>8.0000000000000002E-3</v>
      </c>
      <c r="G861" s="74">
        <f>F861*VLOOKUP(D861,GWPs!$B$3:$C$6,2,FALSE)</f>
        <v>8.0000000000000002E-3</v>
      </c>
      <c r="H861" s="3">
        <v>0</v>
      </c>
      <c r="I861" s="74">
        <f>H861*VLOOKUP(D861,GWPs!$B$3:$C$6,2,FALSE)</f>
        <v>0</v>
      </c>
      <c r="J861" s="3">
        <v>8.0000000000000002E-3</v>
      </c>
      <c r="K861" s="74">
        <f>J861*VLOOKUP(D861,GWPs!$B$3:$C$6,2,FALSE)</f>
        <v>8.0000000000000002E-3</v>
      </c>
      <c r="M861" s="3">
        <v>3</v>
      </c>
      <c r="N861" s="3">
        <v>2</v>
      </c>
      <c r="O861" s="3">
        <v>1</v>
      </c>
      <c r="P861" s="3">
        <v>3</v>
      </c>
      <c r="Q861" s="3">
        <v>1</v>
      </c>
    </row>
    <row r="862" spans="1:17">
      <c r="A862" t="s">
        <v>1429</v>
      </c>
      <c r="B862" s="3" t="s">
        <v>739</v>
      </c>
      <c r="C862" s="3" t="s">
        <v>740</v>
      </c>
      <c r="D862" s="3" t="s">
        <v>11</v>
      </c>
      <c r="E862" s="3" t="s">
        <v>12</v>
      </c>
      <c r="F862" s="3">
        <v>0.23699999999999999</v>
      </c>
      <c r="G862" s="74">
        <f>F862*VLOOKUP(D862,GWPs!$B$3:$C$6,2,FALSE)</f>
        <v>0.23699999999999999</v>
      </c>
      <c r="H862" s="3">
        <v>8.8999999999999996E-2</v>
      </c>
      <c r="I862" s="74">
        <f>H862*VLOOKUP(D862,GWPs!$B$3:$C$6,2,FALSE)</f>
        <v>8.8999999999999996E-2</v>
      </c>
      <c r="J862" s="3">
        <v>0.32700000000000001</v>
      </c>
      <c r="K862" s="74">
        <f>J862*VLOOKUP(D862,GWPs!$B$3:$C$6,2,FALSE)</f>
        <v>0.32700000000000001</v>
      </c>
      <c r="M862" s="3">
        <v>3</v>
      </c>
      <c r="N862" s="3">
        <v>2</v>
      </c>
      <c r="O862" s="3">
        <v>1</v>
      </c>
      <c r="P862" s="3">
        <v>3</v>
      </c>
      <c r="Q862" s="3">
        <v>1</v>
      </c>
    </row>
    <row r="863" spans="1:17">
      <c r="A863" t="s">
        <v>1429</v>
      </c>
      <c r="B863" s="3" t="s">
        <v>739</v>
      </c>
      <c r="C863" s="3" t="s">
        <v>740</v>
      </c>
      <c r="D863" s="3" t="s">
        <v>13</v>
      </c>
      <c r="E863" s="3" t="s">
        <v>12</v>
      </c>
      <c r="F863" s="3">
        <v>1E-3</v>
      </c>
      <c r="G863" s="74">
        <f>F863*VLOOKUP(D863,GWPs!$B$3:$C$6,2,FALSE)</f>
        <v>2.8000000000000001E-2</v>
      </c>
      <c r="H863" s="3">
        <v>0</v>
      </c>
      <c r="I863" s="74">
        <f>H863*VLOOKUP(D863,GWPs!$B$3:$C$6,2,FALSE)</f>
        <v>0</v>
      </c>
      <c r="J863" s="3">
        <v>1E-3</v>
      </c>
      <c r="K863" s="74">
        <f>J863*VLOOKUP(D863,GWPs!$B$3:$C$6,2,FALSE)</f>
        <v>2.8000000000000001E-2</v>
      </c>
      <c r="M863" s="3">
        <v>4</v>
      </c>
      <c r="N863" s="3">
        <v>2</v>
      </c>
      <c r="O863" s="3">
        <v>1</v>
      </c>
      <c r="P863" s="3">
        <v>1</v>
      </c>
      <c r="Q863" s="3">
        <v>1</v>
      </c>
    </row>
    <row r="864" spans="1:17">
      <c r="A864" t="s">
        <v>1429</v>
      </c>
      <c r="B864" s="3" t="s">
        <v>739</v>
      </c>
      <c r="C864" s="3" t="s">
        <v>740</v>
      </c>
      <c r="D864" s="3" t="s">
        <v>14</v>
      </c>
      <c r="E864" s="3" t="s">
        <v>12</v>
      </c>
      <c r="F864" s="3">
        <v>0</v>
      </c>
      <c r="G864" s="74">
        <f>F864*VLOOKUP(D864,GWPs!$B$3:$C$6,2,FALSE)</f>
        <v>0</v>
      </c>
      <c r="H864" s="3">
        <v>0</v>
      </c>
      <c r="I864" s="74">
        <f>H864*VLOOKUP(D864,GWPs!$B$3:$C$6,2,FALSE)</f>
        <v>0</v>
      </c>
      <c r="J864" s="3">
        <v>0</v>
      </c>
      <c r="K864" s="74">
        <f>J864*VLOOKUP(D864,GWPs!$B$3:$C$6,2,FALSE)</f>
        <v>0</v>
      </c>
      <c r="M864" s="3">
        <v>3</v>
      </c>
      <c r="N864" s="3">
        <v>2</v>
      </c>
      <c r="O864" s="3">
        <v>1</v>
      </c>
      <c r="P864" s="3">
        <v>3</v>
      </c>
      <c r="Q864" s="3">
        <v>1</v>
      </c>
    </row>
    <row r="865" spans="1:17">
      <c r="A865" t="s">
        <v>1429</v>
      </c>
      <c r="B865" s="3" t="s">
        <v>739</v>
      </c>
      <c r="C865" s="3" t="s">
        <v>740</v>
      </c>
      <c r="D865" s="3" t="s">
        <v>15</v>
      </c>
      <c r="E865" s="3" t="s">
        <v>16</v>
      </c>
      <c r="F865" s="3">
        <v>7.0000000000000001E-3</v>
      </c>
      <c r="G865" s="74">
        <f>F865*VLOOKUP(D865,GWPs!$B$3:$C$6,2,FALSE)</f>
        <v>7.0000000000000001E-3</v>
      </c>
      <c r="H865" s="3">
        <v>0</v>
      </c>
      <c r="I865" s="74">
        <f>H865*VLOOKUP(D865,GWPs!$B$3:$C$6,2,FALSE)</f>
        <v>0</v>
      </c>
      <c r="J865" s="3">
        <v>7.0000000000000001E-3</v>
      </c>
      <c r="K865" s="74">
        <f>J865*VLOOKUP(D865,GWPs!$B$3:$C$6,2,FALSE)</f>
        <v>7.0000000000000001E-3</v>
      </c>
      <c r="M865" s="3">
        <v>3</v>
      </c>
      <c r="N865" s="3">
        <v>2</v>
      </c>
      <c r="O865" s="3">
        <v>1</v>
      </c>
      <c r="P865" s="3">
        <v>3</v>
      </c>
      <c r="Q865" s="3">
        <v>1</v>
      </c>
    </row>
    <row r="866" spans="1:17">
      <c r="A866" t="s">
        <v>1429</v>
      </c>
      <c r="B866" s="3" t="s">
        <v>741</v>
      </c>
      <c r="C866" s="3" t="s">
        <v>742</v>
      </c>
      <c r="D866" s="3" t="s">
        <v>11</v>
      </c>
      <c r="E866" s="3" t="s">
        <v>12</v>
      </c>
      <c r="F866" s="3">
        <v>0.26200000000000001</v>
      </c>
      <c r="G866" s="74">
        <f>F866*VLOOKUP(D866,GWPs!$B$3:$C$6,2,FALSE)</f>
        <v>0.26200000000000001</v>
      </c>
      <c r="H866" s="3">
        <v>4.7E-2</v>
      </c>
      <c r="I866" s="74">
        <f>H866*VLOOKUP(D866,GWPs!$B$3:$C$6,2,FALSE)</f>
        <v>4.7E-2</v>
      </c>
      <c r="J866" s="3">
        <v>0.309</v>
      </c>
      <c r="K866" s="74">
        <f>J866*VLOOKUP(D866,GWPs!$B$3:$C$6,2,FALSE)</f>
        <v>0.309</v>
      </c>
      <c r="M866" s="3">
        <v>3</v>
      </c>
      <c r="N866" s="3">
        <v>2</v>
      </c>
      <c r="O866" s="3">
        <v>1</v>
      </c>
      <c r="P866" s="3">
        <v>3</v>
      </c>
      <c r="Q866" s="3">
        <v>1</v>
      </c>
    </row>
    <row r="867" spans="1:17">
      <c r="A867" t="s">
        <v>1429</v>
      </c>
      <c r="B867" s="3" t="s">
        <v>741</v>
      </c>
      <c r="C867" s="3" t="s">
        <v>742</v>
      </c>
      <c r="D867" s="3" t="s">
        <v>13</v>
      </c>
      <c r="E867" s="3" t="s">
        <v>12</v>
      </c>
      <c r="F867" s="3">
        <v>1E-3</v>
      </c>
      <c r="G867" s="74">
        <f>F867*VLOOKUP(D867,GWPs!$B$3:$C$6,2,FALSE)</f>
        <v>2.8000000000000001E-2</v>
      </c>
      <c r="H867" s="3">
        <v>0</v>
      </c>
      <c r="I867" s="74">
        <f>H867*VLOOKUP(D867,GWPs!$B$3:$C$6,2,FALSE)</f>
        <v>0</v>
      </c>
      <c r="J867" s="3">
        <v>2E-3</v>
      </c>
      <c r="K867" s="74">
        <f>J867*VLOOKUP(D867,GWPs!$B$3:$C$6,2,FALSE)</f>
        <v>5.6000000000000001E-2</v>
      </c>
      <c r="M867" s="3">
        <v>4</v>
      </c>
      <c r="N867" s="3">
        <v>2</v>
      </c>
      <c r="O867" s="3">
        <v>1</v>
      </c>
      <c r="P867" s="3">
        <v>1</v>
      </c>
      <c r="Q867" s="3">
        <v>1</v>
      </c>
    </row>
    <row r="868" spans="1:17">
      <c r="A868" t="s">
        <v>1429</v>
      </c>
      <c r="B868" s="3" t="s">
        <v>741</v>
      </c>
      <c r="C868" s="3" t="s">
        <v>742</v>
      </c>
      <c r="D868" s="3" t="s">
        <v>14</v>
      </c>
      <c r="E868" s="3" t="s">
        <v>12</v>
      </c>
      <c r="F868" s="3">
        <v>0</v>
      </c>
      <c r="G868" s="74">
        <f>F868*VLOOKUP(D868,GWPs!$B$3:$C$6,2,FALSE)</f>
        <v>0</v>
      </c>
      <c r="H868" s="3">
        <v>0</v>
      </c>
      <c r="I868" s="74">
        <f>H868*VLOOKUP(D868,GWPs!$B$3:$C$6,2,FALSE)</f>
        <v>0</v>
      </c>
      <c r="J868" s="3">
        <v>0</v>
      </c>
      <c r="K868" s="74">
        <f>J868*VLOOKUP(D868,GWPs!$B$3:$C$6,2,FALSE)</f>
        <v>0</v>
      </c>
      <c r="M868" s="3">
        <v>3</v>
      </c>
      <c r="N868" s="3">
        <v>2</v>
      </c>
      <c r="O868" s="3">
        <v>1</v>
      </c>
      <c r="P868" s="3">
        <v>3</v>
      </c>
      <c r="Q868" s="3">
        <v>1</v>
      </c>
    </row>
    <row r="869" spans="1:17">
      <c r="A869" t="s">
        <v>1429</v>
      </c>
      <c r="B869" s="3" t="s">
        <v>741</v>
      </c>
      <c r="C869" s="3" t="s">
        <v>742</v>
      </c>
      <c r="D869" s="3" t="s">
        <v>15</v>
      </c>
      <c r="E869" s="3" t="s">
        <v>16</v>
      </c>
      <c r="F869" s="3">
        <v>6.0000000000000001E-3</v>
      </c>
      <c r="G869" s="74">
        <f>F869*VLOOKUP(D869,GWPs!$B$3:$C$6,2,FALSE)</f>
        <v>6.0000000000000001E-3</v>
      </c>
      <c r="H869" s="3">
        <v>0</v>
      </c>
      <c r="I869" s="74">
        <f>H869*VLOOKUP(D869,GWPs!$B$3:$C$6,2,FALSE)</f>
        <v>0</v>
      </c>
      <c r="J869" s="3">
        <v>6.0000000000000001E-3</v>
      </c>
      <c r="K869" s="74">
        <f>J869*VLOOKUP(D869,GWPs!$B$3:$C$6,2,FALSE)</f>
        <v>6.0000000000000001E-3</v>
      </c>
      <c r="M869" s="3">
        <v>3</v>
      </c>
      <c r="N869" s="3">
        <v>2</v>
      </c>
      <c r="O869" s="3">
        <v>1</v>
      </c>
      <c r="P869" s="3">
        <v>2</v>
      </c>
      <c r="Q869" s="3">
        <v>1</v>
      </c>
    </row>
    <row r="870" spans="1:17">
      <c r="A870" t="s">
        <v>1429</v>
      </c>
      <c r="B870" s="3" t="s">
        <v>743</v>
      </c>
      <c r="C870" s="3" t="s">
        <v>744</v>
      </c>
      <c r="D870" s="3" t="s">
        <v>11</v>
      </c>
      <c r="E870" s="3" t="s">
        <v>12</v>
      </c>
      <c r="F870" s="3">
        <v>0.217</v>
      </c>
      <c r="G870" s="74">
        <f>F870*VLOOKUP(D870,GWPs!$B$3:$C$6,2,FALSE)</f>
        <v>0.217</v>
      </c>
      <c r="H870" s="3">
        <v>7.3999999999999996E-2</v>
      </c>
      <c r="I870" s="74">
        <f>H870*VLOOKUP(D870,GWPs!$B$3:$C$6,2,FALSE)</f>
        <v>7.3999999999999996E-2</v>
      </c>
      <c r="J870" s="3">
        <v>0.28999999999999998</v>
      </c>
      <c r="K870" s="74">
        <f>J870*VLOOKUP(D870,GWPs!$B$3:$C$6,2,FALSE)</f>
        <v>0.28999999999999998</v>
      </c>
      <c r="M870" s="3">
        <v>3</v>
      </c>
      <c r="N870" s="3">
        <v>2</v>
      </c>
      <c r="O870" s="3">
        <v>1</v>
      </c>
      <c r="P870" s="3">
        <v>3</v>
      </c>
      <c r="Q870" s="3">
        <v>1</v>
      </c>
    </row>
    <row r="871" spans="1:17">
      <c r="A871" t="s">
        <v>1429</v>
      </c>
      <c r="B871" s="3" t="s">
        <v>743</v>
      </c>
      <c r="C871" s="3" t="s">
        <v>744</v>
      </c>
      <c r="D871" s="3" t="s">
        <v>13</v>
      </c>
      <c r="E871" s="3" t="s">
        <v>12</v>
      </c>
      <c r="F871" s="3">
        <v>1E-3</v>
      </c>
      <c r="G871" s="74">
        <f>F871*VLOOKUP(D871,GWPs!$B$3:$C$6,2,FALSE)</f>
        <v>2.8000000000000001E-2</v>
      </c>
      <c r="H871" s="3">
        <v>0</v>
      </c>
      <c r="I871" s="74">
        <f>H871*VLOOKUP(D871,GWPs!$B$3:$C$6,2,FALSE)</f>
        <v>0</v>
      </c>
      <c r="J871" s="3">
        <v>1E-3</v>
      </c>
      <c r="K871" s="74">
        <f>J871*VLOOKUP(D871,GWPs!$B$3:$C$6,2,FALSE)</f>
        <v>2.8000000000000001E-2</v>
      </c>
      <c r="M871" s="3">
        <v>4</v>
      </c>
      <c r="N871" s="3">
        <v>2</v>
      </c>
      <c r="O871" s="3">
        <v>1</v>
      </c>
      <c r="P871" s="3">
        <v>1</v>
      </c>
      <c r="Q871" s="3">
        <v>1</v>
      </c>
    </row>
    <row r="872" spans="1:17">
      <c r="A872" t="s">
        <v>1429</v>
      </c>
      <c r="B872" s="3" t="s">
        <v>743</v>
      </c>
      <c r="C872" s="3" t="s">
        <v>744</v>
      </c>
      <c r="D872" s="3" t="s">
        <v>14</v>
      </c>
      <c r="E872" s="3" t="s">
        <v>12</v>
      </c>
      <c r="F872" s="3">
        <v>0</v>
      </c>
      <c r="G872" s="74">
        <f>F872*VLOOKUP(D872,GWPs!$B$3:$C$6,2,FALSE)</f>
        <v>0</v>
      </c>
      <c r="H872" s="3">
        <v>0</v>
      </c>
      <c r="I872" s="74">
        <f>H872*VLOOKUP(D872,GWPs!$B$3:$C$6,2,FALSE)</f>
        <v>0</v>
      </c>
      <c r="J872" s="3">
        <v>0</v>
      </c>
      <c r="K872" s="74">
        <f>J872*VLOOKUP(D872,GWPs!$B$3:$C$6,2,FALSE)</f>
        <v>0</v>
      </c>
      <c r="M872" s="3">
        <v>3</v>
      </c>
      <c r="N872" s="3">
        <v>2</v>
      </c>
      <c r="O872" s="3">
        <v>1</v>
      </c>
      <c r="P872" s="3">
        <v>3</v>
      </c>
      <c r="Q872" s="3">
        <v>1</v>
      </c>
    </row>
    <row r="873" spans="1:17">
      <c r="A873" t="s">
        <v>1429</v>
      </c>
      <c r="B873" s="3" t="s">
        <v>743</v>
      </c>
      <c r="C873" s="3" t="s">
        <v>744</v>
      </c>
      <c r="D873" s="3" t="s">
        <v>15</v>
      </c>
      <c r="E873" s="3" t="s">
        <v>16</v>
      </c>
      <c r="F873" s="3">
        <v>1.2999999999999999E-2</v>
      </c>
      <c r="G873" s="74">
        <f>F873*VLOOKUP(D873,GWPs!$B$3:$C$6,2,FALSE)</f>
        <v>1.2999999999999999E-2</v>
      </c>
      <c r="H873" s="3">
        <v>0</v>
      </c>
      <c r="I873" s="74">
        <f>H873*VLOOKUP(D873,GWPs!$B$3:$C$6,2,FALSE)</f>
        <v>0</v>
      </c>
      <c r="J873" s="3">
        <v>1.2999999999999999E-2</v>
      </c>
      <c r="K873" s="74">
        <f>J873*VLOOKUP(D873,GWPs!$B$3:$C$6,2,FALSE)</f>
        <v>1.2999999999999999E-2</v>
      </c>
      <c r="M873" s="3">
        <v>3</v>
      </c>
      <c r="N873" s="3">
        <v>2</v>
      </c>
      <c r="O873" s="3">
        <v>1</v>
      </c>
      <c r="P873" s="3">
        <v>3</v>
      </c>
      <c r="Q873" s="3">
        <v>1</v>
      </c>
    </row>
    <row r="874" spans="1:17">
      <c r="A874" t="s">
        <v>1429</v>
      </c>
      <c r="B874" s="3" t="s">
        <v>745</v>
      </c>
      <c r="C874" s="3" t="s">
        <v>746</v>
      </c>
      <c r="D874" s="3" t="s">
        <v>11</v>
      </c>
      <c r="E874" s="3" t="s">
        <v>12</v>
      </c>
      <c r="F874" s="3">
        <v>0.23400000000000001</v>
      </c>
      <c r="G874" s="74">
        <f>F874*VLOOKUP(D874,GWPs!$B$3:$C$6,2,FALSE)</f>
        <v>0.23400000000000001</v>
      </c>
      <c r="H874" s="3">
        <v>4.8000000000000001E-2</v>
      </c>
      <c r="I874" s="74">
        <f>H874*VLOOKUP(D874,GWPs!$B$3:$C$6,2,FALSE)</f>
        <v>4.8000000000000001E-2</v>
      </c>
      <c r="J874" s="3">
        <v>0.28199999999999997</v>
      </c>
      <c r="K874" s="74">
        <f>J874*VLOOKUP(D874,GWPs!$B$3:$C$6,2,FALSE)</f>
        <v>0.28199999999999997</v>
      </c>
      <c r="M874" s="3">
        <v>3</v>
      </c>
      <c r="N874" s="3">
        <v>2</v>
      </c>
      <c r="O874" s="3">
        <v>1</v>
      </c>
      <c r="P874" s="3">
        <v>3</v>
      </c>
      <c r="Q874" s="3">
        <v>1</v>
      </c>
    </row>
    <row r="875" spans="1:17">
      <c r="A875" t="s">
        <v>1429</v>
      </c>
      <c r="B875" s="3" t="s">
        <v>745</v>
      </c>
      <c r="C875" s="3" t="s">
        <v>746</v>
      </c>
      <c r="D875" s="3" t="s">
        <v>13</v>
      </c>
      <c r="E875" s="3" t="s">
        <v>12</v>
      </c>
      <c r="F875" s="3">
        <v>1E-3</v>
      </c>
      <c r="G875" s="74">
        <f>F875*VLOOKUP(D875,GWPs!$B$3:$C$6,2,FALSE)</f>
        <v>2.8000000000000001E-2</v>
      </c>
      <c r="H875" s="3">
        <v>0</v>
      </c>
      <c r="I875" s="74">
        <f>H875*VLOOKUP(D875,GWPs!$B$3:$C$6,2,FALSE)</f>
        <v>0</v>
      </c>
      <c r="J875" s="3">
        <v>1E-3</v>
      </c>
      <c r="K875" s="74">
        <f>J875*VLOOKUP(D875,GWPs!$B$3:$C$6,2,FALSE)</f>
        <v>2.8000000000000001E-2</v>
      </c>
      <c r="M875" s="3">
        <v>4</v>
      </c>
      <c r="N875" s="3">
        <v>2</v>
      </c>
      <c r="O875" s="3">
        <v>1</v>
      </c>
      <c r="P875" s="3">
        <v>1</v>
      </c>
      <c r="Q875" s="3">
        <v>1</v>
      </c>
    </row>
    <row r="876" spans="1:17">
      <c r="A876" t="s">
        <v>1429</v>
      </c>
      <c r="B876" s="3" t="s">
        <v>745</v>
      </c>
      <c r="C876" s="3" t="s">
        <v>746</v>
      </c>
      <c r="D876" s="3" t="s">
        <v>14</v>
      </c>
      <c r="E876" s="3" t="s">
        <v>12</v>
      </c>
      <c r="F876" s="3">
        <v>0</v>
      </c>
      <c r="G876" s="74">
        <f>F876*VLOOKUP(D876,GWPs!$B$3:$C$6,2,FALSE)</f>
        <v>0</v>
      </c>
      <c r="H876" s="3">
        <v>0</v>
      </c>
      <c r="I876" s="74">
        <f>H876*VLOOKUP(D876,GWPs!$B$3:$C$6,2,FALSE)</f>
        <v>0</v>
      </c>
      <c r="J876" s="3">
        <v>0</v>
      </c>
      <c r="K876" s="74">
        <f>J876*VLOOKUP(D876,GWPs!$B$3:$C$6,2,FALSE)</f>
        <v>0</v>
      </c>
      <c r="M876" s="3">
        <v>3</v>
      </c>
      <c r="N876" s="3">
        <v>2</v>
      </c>
      <c r="O876" s="3">
        <v>1</v>
      </c>
      <c r="P876" s="3">
        <v>3</v>
      </c>
      <c r="Q876" s="3">
        <v>1</v>
      </c>
    </row>
    <row r="877" spans="1:17">
      <c r="A877" t="s">
        <v>1429</v>
      </c>
      <c r="B877" s="3" t="s">
        <v>745</v>
      </c>
      <c r="C877" s="3" t="s">
        <v>746</v>
      </c>
      <c r="D877" s="3" t="s">
        <v>15</v>
      </c>
      <c r="E877" s="3" t="s">
        <v>16</v>
      </c>
      <c r="F877" s="3">
        <v>8.0000000000000002E-3</v>
      </c>
      <c r="G877" s="74">
        <f>F877*VLOOKUP(D877,GWPs!$B$3:$C$6,2,FALSE)</f>
        <v>8.0000000000000002E-3</v>
      </c>
      <c r="H877" s="3">
        <v>0</v>
      </c>
      <c r="I877" s="74">
        <f>H877*VLOOKUP(D877,GWPs!$B$3:$C$6,2,FALSE)</f>
        <v>0</v>
      </c>
      <c r="J877" s="3">
        <v>8.0000000000000002E-3</v>
      </c>
      <c r="K877" s="74">
        <f>J877*VLOOKUP(D877,GWPs!$B$3:$C$6,2,FALSE)</f>
        <v>8.0000000000000002E-3</v>
      </c>
      <c r="M877" s="3">
        <v>3</v>
      </c>
      <c r="N877" s="3">
        <v>2</v>
      </c>
      <c r="O877" s="3">
        <v>1</v>
      </c>
      <c r="P877" s="3">
        <v>2</v>
      </c>
      <c r="Q877" s="3">
        <v>1</v>
      </c>
    </row>
    <row r="878" spans="1:17">
      <c r="A878" t="s">
        <v>1429</v>
      </c>
      <c r="B878" s="3" t="s">
        <v>747</v>
      </c>
      <c r="C878" s="3" t="s">
        <v>748</v>
      </c>
      <c r="D878" s="3" t="s">
        <v>11</v>
      </c>
      <c r="E878" s="3" t="s">
        <v>12</v>
      </c>
      <c r="F878" s="3">
        <v>0.158</v>
      </c>
      <c r="G878" s="74">
        <f>F878*VLOOKUP(D878,GWPs!$B$3:$C$6,2,FALSE)</f>
        <v>0.158</v>
      </c>
      <c r="H878" s="3">
        <v>5.8999999999999997E-2</v>
      </c>
      <c r="I878" s="74">
        <f>H878*VLOOKUP(D878,GWPs!$B$3:$C$6,2,FALSE)</f>
        <v>5.8999999999999997E-2</v>
      </c>
      <c r="J878" s="3">
        <v>0.217</v>
      </c>
      <c r="K878" s="74">
        <f>J878*VLOOKUP(D878,GWPs!$B$3:$C$6,2,FALSE)</f>
        <v>0.217</v>
      </c>
      <c r="M878" s="3">
        <v>3</v>
      </c>
      <c r="N878" s="3">
        <v>2</v>
      </c>
      <c r="O878" s="3">
        <v>1</v>
      </c>
      <c r="P878" s="3">
        <v>3</v>
      </c>
      <c r="Q878" s="3">
        <v>1</v>
      </c>
    </row>
    <row r="879" spans="1:17">
      <c r="A879" t="s">
        <v>1429</v>
      </c>
      <c r="B879" s="3" t="s">
        <v>747</v>
      </c>
      <c r="C879" s="3" t="s">
        <v>748</v>
      </c>
      <c r="D879" s="3" t="s">
        <v>13</v>
      </c>
      <c r="E879" s="3" t="s">
        <v>12</v>
      </c>
      <c r="F879" s="3">
        <v>1E-3</v>
      </c>
      <c r="G879" s="74">
        <f>F879*VLOOKUP(D879,GWPs!$B$3:$C$6,2,FALSE)</f>
        <v>2.8000000000000001E-2</v>
      </c>
      <c r="H879" s="3">
        <v>0</v>
      </c>
      <c r="I879" s="74">
        <f>H879*VLOOKUP(D879,GWPs!$B$3:$C$6,2,FALSE)</f>
        <v>0</v>
      </c>
      <c r="J879" s="3">
        <v>1E-3</v>
      </c>
      <c r="K879" s="74">
        <f>J879*VLOOKUP(D879,GWPs!$B$3:$C$6,2,FALSE)</f>
        <v>2.8000000000000001E-2</v>
      </c>
      <c r="M879" s="3">
        <v>4</v>
      </c>
      <c r="N879" s="3">
        <v>2</v>
      </c>
      <c r="O879" s="3">
        <v>1</v>
      </c>
      <c r="P879" s="3">
        <v>1</v>
      </c>
      <c r="Q879" s="3">
        <v>1</v>
      </c>
    </row>
    <row r="880" spans="1:17">
      <c r="A880" t="s">
        <v>1429</v>
      </c>
      <c r="B880" s="3" t="s">
        <v>747</v>
      </c>
      <c r="C880" s="3" t="s">
        <v>748</v>
      </c>
      <c r="D880" s="3" t="s">
        <v>14</v>
      </c>
      <c r="E880" s="3" t="s">
        <v>12</v>
      </c>
      <c r="F880" s="3">
        <v>0</v>
      </c>
      <c r="G880" s="74">
        <f>F880*VLOOKUP(D880,GWPs!$B$3:$C$6,2,FALSE)</f>
        <v>0</v>
      </c>
      <c r="H880" s="3">
        <v>0</v>
      </c>
      <c r="I880" s="74">
        <f>H880*VLOOKUP(D880,GWPs!$B$3:$C$6,2,FALSE)</f>
        <v>0</v>
      </c>
      <c r="J880" s="3">
        <v>0</v>
      </c>
      <c r="K880" s="74">
        <f>J880*VLOOKUP(D880,GWPs!$B$3:$C$6,2,FALSE)</f>
        <v>0</v>
      </c>
      <c r="M880" s="3">
        <v>3</v>
      </c>
      <c r="N880" s="3">
        <v>2</v>
      </c>
      <c r="O880" s="3">
        <v>1</v>
      </c>
      <c r="P880" s="3">
        <v>3</v>
      </c>
      <c r="Q880" s="3">
        <v>1</v>
      </c>
    </row>
    <row r="881" spans="1:17">
      <c r="A881" t="s">
        <v>1429</v>
      </c>
      <c r="B881" s="3" t="s">
        <v>747</v>
      </c>
      <c r="C881" s="3" t="s">
        <v>748</v>
      </c>
      <c r="D881" s="3" t="s">
        <v>15</v>
      </c>
      <c r="E881" s="3" t="s">
        <v>16</v>
      </c>
      <c r="F881" s="3">
        <v>5.0000000000000001E-3</v>
      </c>
      <c r="G881" s="74">
        <f>F881*VLOOKUP(D881,GWPs!$B$3:$C$6,2,FALSE)</f>
        <v>5.0000000000000001E-3</v>
      </c>
      <c r="H881" s="3">
        <v>0</v>
      </c>
      <c r="I881" s="74">
        <f>H881*VLOOKUP(D881,GWPs!$B$3:$C$6,2,FALSE)</f>
        <v>0</v>
      </c>
      <c r="J881" s="3">
        <v>5.0000000000000001E-3</v>
      </c>
      <c r="K881" s="74">
        <f>J881*VLOOKUP(D881,GWPs!$B$3:$C$6,2,FALSE)</f>
        <v>5.0000000000000001E-3</v>
      </c>
      <c r="M881" s="3">
        <v>3</v>
      </c>
      <c r="N881" s="3">
        <v>2</v>
      </c>
      <c r="O881" s="3">
        <v>1</v>
      </c>
      <c r="P881" s="3">
        <v>2</v>
      </c>
      <c r="Q881" s="3">
        <v>1</v>
      </c>
    </row>
    <row r="882" spans="1:17">
      <c r="A882" t="s">
        <v>1429</v>
      </c>
      <c r="B882" s="3" t="s">
        <v>749</v>
      </c>
      <c r="C882" s="3" t="s">
        <v>750</v>
      </c>
      <c r="D882" s="3" t="s">
        <v>11</v>
      </c>
      <c r="E882" s="3" t="s">
        <v>12</v>
      </c>
      <c r="F882" s="3">
        <v>0.38100000000000001</v>
      </c>
      <c r="G882" s="74">
        <f>F882*VLOOKUP(D882,GWPs!$B$3:$C$6,2,FALSE)</f>
        <v>0.38100000000000001</v>
      </c>
      <c r="H882" s="3">
        <v>0.106</v>
      </c>
      <c r="I882" s="74">
        <f>H882*VLOOKUP(D882,GWPs!$B$3:$C$6,2,FALSE)</f>
        <v>0.106</v>
      </c>
      <c r="J882" s="3">
        <v>0.48799999999999999</v>
      </c>
      <c r="K882" s="74">
        <f>J882*VLOOKUP(D882,GWPs!$B$3:$C$6,2,FALSE)</f>
        <v>0.48799999999999999</v>
      </c>
      <c r="M882" s="3">
        <v>3</v>
      </c>
      <c r="N882" s="3">
        <v>2</v>
      </c>
      <c r="O882" s="3">
        <v>1</v>
      </c>
      <c r="P882" s="3">
        <v>3</v>
      </c>
      <c r="Q882" s="3">
        <v>1</v>
      </c>
    </row>
    <row r="883" spans="1:17">
      <c r="A883" t="s">
        <v>1429</v>
      </c>
      <c r="B883" s="3" t="s">
        <v>749</v>
      </c>
      <c r="C883" s="3" t="s">
        <v>750</v>
      </c>
      <c r="D883" s="3" t="s">
        <v>13</v>
      </c>
      <c r="E883" s="3" t="s">
        <v>12</v>
      </c>
      <c r="F883" s="3">
        <v>1E-3</v>
      </c>
      <c r="G883" s="74">
        <f>F883*VLOOKUP(D883,GWPs!$B$3:$C$6,2,FALSE)</f>
        <v>2.8000000000000001E-2</v>
      </c>
      <c r="H883" s="3">
        <v>1E-3</v>
      </c>
      <c r="I883" s="74">
        <f>H883*VLOOKUP(D883,GWPs!$B$3:$C$6,2,FALSE)</f>
        <v>2.8000000000000001E-2</v>
      </c>
      <c r="J883" s="3">
        <v>2E-3</v>
      </c>
      <c r="K883" s="74">
        <f>J883*VLOOKUP(D883,GWPs!$B$3:$C$6,2,FALSE)</f>
        <v>5.6000000000000001E-2</v>
      </c>
      <c r="M883" s="3">
        <v>4</v>
      </c>
      <c r="N883" s="3">
        <v>2</v>
      </c>
      <c r="O883" s="3">
        <v>1</v>
      </c>
      <c r="P883" s="3">
        <v>1</v>
      </c>
      <c r="Q883" s="3">
        <v>1</v>
      </c>
    </row>
    <row r="884" spans="1:17">
      <c r="A884" t="s">
        <v>1429</v>
      </c>
      <c r="B884" s="3" t="s">
        <v>749</v>
      </c>
      <c r="C884" s="3" t="s">
        <v>750</v>
      </c>
      <c r="D884" s="3" t="s">
        <v>14</v>
      </c>
      <c r="E884" s="3" t="s">
        <v>12</v>
      </c>
      <c r="F884" s="3">
        <v>0</v>
      </c>
      <c r="G884" s="74">
        <f>F884*VLOOKUP(D884,GWPs!$B$3:$C$6,2,FALSE)</f>
        <v>0</v>
      </c>
      <c r="H884" s="3">
        <v>0</v>
      </c>
      <c r="I884" s="74">
        <f>H884*VLOOKUP(D884,GWPs!$B$3:$C$6,2,FALSE)</f>
        <v>0</v>
      </c>
      <c r="J884" s="3">
        <v>0</v>
      </c>
      <c r="K884" s="74">
        <f>J884*VLOOKUP(D884,GWPs!$B$3:$C$6,2,FALSE)</f>
        <v>0</v>
      </c>
      <c r="M884" s="3">
        <v>3</v>
      </c>
      <c r="N884" s="3">
        <v>2</v>
      </c>
      <c r="O884" s="3">
        <v>1</v>
      </c>
      <c r="P884" s="3">
        <v>3</v>
      </c>
      <c r="Q884" s="3">
        <v>1</v>
      </c>
    </row>
    <row r="885" spans="1:17">
      <c r="A885" t="s">
        <v>1429</v>
      </c>
      <c r="B885" s="3" t="s">
        <v>749</v>
      </c>
      <c r="C885" s="3" t="s">
        <v>750</v>
      </c>
      <c r="D885" s="3" t="s">
        <v>15</v>
      </c>
      <c r="E885" s="3" t="s">
        <v>16</v>
      </c>
      <c r="F885" s="3">
        <v>1.6E-2</v>
      </c>
      <c r="G885" s="74">
        <f>F885*VLOOKUP(D885,GWPs!$B$3:$C$6,2,FALSE)</f>
        <v>1.6E-2</v>
      </c>
      <c r="H885" s="3">
        <v>0</v>
      </c>
      <c r="I885" s="74">
        <f>H885*VLOOKUP(D885,GWPs!$B$3:$C$6,2,FALSE)</f>
        <v>0</v>
      </c>
      <c r="J885" s="3">
        <v>1.6E-2</v>
      </c>
      <c r="K885" s="74">
        <f>J885*VLOOKUP(D885,GWPs!$B$3:$C$6,2,FALSE)</f>
        <v>1.6E-2</v>
      </c>
      <c r="M885" s="3">
        <v>4</v>
      </c>
      <c r="N885" s="3">
        <v>2</v>
      </c>
      <c r="O885" s="3">
        <v>1</v>
      </c>
      <c r="P885" s="3">
        <v>1</v>
      </c>
      <c r="Q885" s="3">
        <v>1</v>
      </c>
    </row>
    <row r="886" spans="1:17">
      <c r="A886" t="s">
        <v>1429</v>
      </c>
      <c r="B886" s="3" t="s">
        <v>751</v>
      </c>
      <c r="C886" s="3" t="s">
        <v>752</v>
      </c>
      <c r="D886" s="3" t="s">
        <v>11</v>
      </c>
      <c r="E886" s="3" t="s">
        <v>12</v>
      </c>
      <c r="F886" s="3">
        <v>0.27200000000000002</v>
      </c>
      <c r="G886" s="74">
        <f>F886*VLOOKUP(D886,GWPs!$B$3:$C$6,2,FALSE)</f>
        <v>0.27200000000000002</v>
      </c>
      <c r="H886" s="3">
        <v>0.183</v>
      </c>
      <c r="I886" s="74">
        <f>H886*VLOOKUP(D886,GWPs!$B$3:$C$6,2,FALSE)</f>
        <v>0.183</v>
      </c>
      <c r="J886" s="3">
        <v>0.45500000000000002</v>
      </c>
      <c r="K886" s="74">
        <f>J886*VLOOKUP(D886,GWPs!$B$3:$C$6,2,FALSE)</f>
        <v>0.45500000000000002</v>
      </c>
      <c r="M886" s="3">
        <v>3</v>
      </c>
      <c r="N886" s="3">
        <v>2</v>
      </c>
      <c r="O886" s="3">
        <v>1</v>
      </c>
      <c r="P886" s="3">
        <v>3</v>
      </c>
      <c r="Q886" s="3">
        <v>1</v>
      </c>
    </row>
    <row r="887" spans="1:17">
      <c r="A887" t="s">
        <v>1429</v>
      </c>
      <c r="B887" s="3" t="s">
        <v>751</v>
      </c>
      <c r="C887" s="3" t="s">
        <v>752</v>
      </c>
      <c r="D887" s="3" t="s">
        <v>13</v>
      </c>
      <c r="E887" s="3" t="s">
        <v>12</v>
      </c>
      <c r="F887" s="3">
        <v>1E-3</v>
      </c>
      <c r="G887" s="74">
        <f>F887*VLOOKUP(D887,GWPs!$B$3:$C$6,2,FALSE)</f>
        <v>2.8000000000000001E-2</v>
      </c>
      <c r="H887" s="3">
        <v>1E-3</v>
      </c>
      <c r="I887" s="74">
        <f>H887*VLOOKUP(D887,GWPs!$B$3:$C$6,2,FALSE)</f>
        <v>2.8000000000000001E-2</v>
      </c>
      <c r="J887" s="3">
        <v>2E-3</v>
      </c>
      <c r="K887" s="74">
        <f>J887*VLOOKUP(D887,GWPs!$B$3:$C$6,2,FALSE)</f>
        <v>5.6000000000000001E-2</v>
      </c>
      <c r="M887" s="3">
        <v>4</v>
      </c>
      <c r="N887" s="3">
        <v>2</v>
      </c>
      <c r="O887" s="3">
        <v>1</v>
      </c>
      <c r="P887" s="3">
        <v>1</v>
      </c>
      <c r="Q887" s="3">
        <v>1</v>
      </c>
    </row>
    <row r="888" spans="1:17">
      <c r="A888" t="s">
        <v>1429</v>
      </c>
      <c r="B888" s="3" t="s">
        <v>751</v>
      </c>
      <c r="C888" s="3" t="s">
        <v>752</v>
      </c>
      <c r="D888" s="3" t="s">
        <v>14</v>
      </c>
      <c r="E888" s="3" t="s">
        <v>12</v>
      </c>
      <c r="F888" s="3">
        <v>0</v>
      </c>
      <c r="G888" s="74">
        <f>F888*VLOOKUP(D888,GWPs!$B$3:$C$6,2,FALSE)</f>
        <v>0</v>
      </c>
      <c r="H888" s="3">
        <v>0</v>
      </c>
      <c r="I888" s="74">
        <f>H888*VLOOKUP(D888,GWPs!$B$3:$C$6,2,FALSE)</f>
        <v>0</v>
      </c>
      <c r="J888" s="3">
        <v>0</v>
      </c>
      <c r="K888" s="74">
        <f>J888*VLOOKUP(D888,GWPs!$B$3:$C$6,2,FALSE)</f>
        <v>0</v>
      </c>
      <c r="M888" s="3">
        <v>3</v>
      </c>
      <c r="N888" s="3">
        <v>2</v>
      </c>
      <c r="O888" s="3">
        <v>1</v>
      </c>
      <c r="P888" s="3">
        <v>3</v>
      </c>
      <c r="Q888" s="3">
        <v>1</v>
      </c>
    </row>
    <row r="889" spans="1:17">
      <c r="A889" t="s">
        <v>1429</v>
      </c>
      <c r="B889" s="3" t="s">
        <v>751</v>
      </c>
      <c r="C889" s="3" t="s">
        <v>752</v>
      </c>
      <c r="D889" s="3" t="s">
        <v>15</v>
      </c>
      <c r="E889" s="3" t="s">
        <v>16</v>
      </c>
      <c r="F889" s="3">
        <v>1.0999999999999999E-2</v>
      </c>
      <c r="G889" s="74">
        <f>F889*VLOOKUP(D889,GWPs!$B$3:$C$6,2,FALSE)</f>
        <v>1.0999999999999999E-2</v>
      </c>
      <c r="H889" s="3">
        <v>0</v>
      </c>
      <c r="I889" s="74">
        <f>H889*VLOOKUP(D889,GWPs!$B$3:$C$6,2,FALSE)</f>
        <v>0</v>
      </c>
      <c r="J889" s="3">
        <v>1.0999999999999999E-2</v>
      </c>
      <c r="K889" s="74">
        <f>J889*VLOOKUP(D889,GWPs!$B$3:$C$6,2,FALSE)</f>
        <v>1.0999999999999999E-2</v>
      </c>
      <c r="M889" s="3">
        <v>4</v>
      </c>
      <c r="N889" s="3">
        <v>2</v>
      </c>
      <c r="O889" s="3">
        <v>1</v>
      </c>
      <c r="P889" s="3">
        <v>2</v>
      </c>
      <c r="Q889" s="3">
        <v>1</v>
      </c>
    </row>
    <row r="890" spans="1:17">
      <c r="A890" t="s">
        <v>1429</v>
      </c>
      <c r="B890" s="3" t="s">
        <v>753</v>
      </c>
      <c r="C890" s="3" t="s">
        <v>754</v>
      </c>
      <c r="D890" s="3" t="s">
        <v>11</v>
      </c>
      <c r="E890" s="3" t="s">
        <v>12</v>
      </c>
      <c r="F890" s="3">
        <v>0.36399999999999999</v>
      </c>
      <c r="G890" s="74">
        <f>F890*VLOOKUP(D890,GWPs!$B$3:$C$6,2,FALSE)</f>
        <v>0.36399999999999999</v>
      </c>
      <c r="H890" s="3">
        <v>4.2999999999999997E-2</v>
      </c>
      <c r="I890" s="74">
        <f>H890*VLOOKUP(D890,GWPs!$B$3:$C$6,2,FALSE)</f>
        <v>4.2999999999999997E-2</v>
      </c>
      <c r="J890" s="3">
        <v>0.40699999999999997</v>
      </c>
      <c r="K890" s="74">
        <f>J890*VLOOKUP(D890,GWPs!$B$3:$C$6,2,FALSE)</f>
        <v>0.40699999999999997</v>
      </c>
      <c r="M890" s="3">
        <v>3</v>
      </c>
      <c r="N890" s="3">
        <v>2</v>
      </c>
      <c r="O890" s="3">
        <v>1</v>
      </c>
      <c r="P890" s="3">
        <v>3</v>
      </c>
      <c r="Q890" s="3">
        <v>1</v>
      </c>
    </row>
    <row r="891" spans="1:17">
      <c r="A891" t="s">
        <v>1429</v>
      </c>
      <c r="B891" s="3" t="s">
        <v>753</v>
      </c>
      <c r="C891" s="3" t="s">
        <v>754</v>
      </c>
      <c r="D891" s="3" t="s">
        <v>13</v>
      </c>
      <c r="E891" s="3" t="s">
        <v>12</v>
      </c>
      <c r="F891" s="3">
        <v>1E-3</v>
      </c>
      <c r="G891" s="74">
        <f>F891*VLOOKUP(D891,GWPs!$B$3:$C$6,2,FALSE)</f>
        <v>2.8000000000000001E-2</v>
      </c>
      <c r="H891" s="3">
        <v>0</v>
      </c>
      <c r="I891" s="74">
        <f>H891*VLOOKUP(D891,GWPs!$B$3:$C$6,2,FALSE)</f>
        <v>0</v>
      </c>
      <c r="J891" s="3">
        <v>1E-3</v>
      </c>
      <c r="K891" s="74">
        <f>J891*VLOOKUP(D891,GWPs!$B$3:$C$6,2,FALSE)</f>
        <v>2.8000000000000001E-2</v>
      </c>
      <c r="M891" s="3">
        <v>4</v>
      </c>
      <c r="N891" s="3">
        <v>2</v>
      </c>
      <c r="O891" s="3">
        <v>1</v>
      </c>
      <c r="P891" s="3">
        <v>1</v>
      </c>
      <c r="Q891" s="3">
        <v>1</v>
      </c>
    </row>
    <row r="892" spans="1:17">
      <c r="A892" t="s">
        <v>1429</v>
      </c>
      <c r="B892" s="3" t="s">
        <v>753</v>
      </c>
      <c r="C892" s="3" t="s">
        <v>754</v>
      </c>
      <c r="D892" s="3" t="s">
        <v>14</v>
      </c>
      <c r="E892" s="3" t="s">
        <v>12</v>
      </c>
      <c r="F892" s="3">
        <v>0</v>
      </c>
      <c r="G892" s="74">
        <f>F892*VLOOKUP(D892,GWPs!$B$3:$C$6,2,FALSE)</f>
        <v>0</v>
      </c>
      <c r="H892" s="3">
        <v>0</v>
      </c>
      <c r="I892" s="74">
        <f>H892*VLOOKUP(D892,GWPs!$B$3:$C$6,2,FALSE)</f>
        <v>0</v>
      </c>
      <c r="J892" s="3">
        <v>0</v>
      </c>
      <c r="K892" s="74">
        <f>J892*VLOOKUP(D892,GWPs!$B$3:$C$6,2,FALSE)</f>
        <v>0</v>
      </c>
      <c r="M892" s="3">
        <v>3</v>
      </c>
      <c r="N892" s="3">
        <v>2</v>
      </c>
      <c r="O892" s="3">
        <v>1</v>
      </c>
      <c r="P892" s="3">
        <v>3</v>
      </c>
      <c r="Q892" s="3">
        <v>1</v>
      </c>
    </row>
    <row r="893" spans="1:17">
      <c r="A893" t="s">
        <v>1429</v>
      </c>
      <c r="B893" s="3" t="s">
        <v>753</v>
      </c>
      <c r="C893" s="3" t="s">
        <v>754</v>
      </c>
      <c r="D893" s="3" t="s">
        <v>15</v>
      </c>
      <c r="E893" s="3" t="s">
        <v>16</v>
      </c>
      <c r="F893" s="3">
        <v>1.2999999999999999E-2</v>
      </c>
      <c r="G893" s="74">
        <f>F893*VLOOKUP(D893,GWPs!$B$3:$C$6,2,FALSE)</f>
        <v>1.2999999999999999E-2</v>
      </c>
      <c r="H893" s="3">
        <v>0</v>
      </c>
      <c r="I893" s="74">
        <f>H893*VLOOKUP(D893,GWPs!$B$3:$C$6,2,FALSE)</f>
        <v>0</v>
      </c>
      <c r="J893" s="3">
        <v>1.2999999999999999E-2</v>
      </c>
      <c r="K893" s="74">
        <f>J893*VLOOKUP(D893,GWPs!$B$3:$C$6,2,FALSE)</f>
        <v>1.2999999999999999E-2</v>
      </c>
      <c r="M893" s="3">
        <v>3</v>
      </c>
      <c r="N893" s="3">
        <v>2</v>
      </c>
      <c r="O893" s="3">
        <v>1</v>
      </c>
      <c r="P893" s="3">
        <v>2</v>
      </c>
      <c r="Q893" s="3">
        <v>1</v>
      </c>
    </row>
    <row r="894" spans="1:17">
      <c r="A894" t="s">
        <v>1429</v>
      </c>
      <c r="B894" s="3" t="s">
        <v>755</v>
      </c>
      <c r="C894" s="3" t="s">
        <v>756</v>
      </c>
      <c r="D894" s="3" t="s">
        <v>11</v>
      </c>
      <c r="E894" s="3" t="s">
        <v>12</v>
      </c>
      <c r="F894" s="3">
        <v>0.29099999999999998</v>
      </c>
      <c r="G894" s="74">
        <f>F894*VLOOKUP(D894,GWPs!$B$3:$C$6,2,FALSE)</f>
        <v>0.29099999999999998</v>
      </c>
      <c r="H894" s="3">
        <v>7.5999999999999998E-2</v>
      </c>
      <c r="I894" s="74">
        <f>H894*VLOOKUP(D894,GWPs!$B$3:$C$6,2,FALSE)</f>
        <v>7.5999999999999998E-2</v>
      </c>
      <c r="J894" s="3">
        <v>0.36699999999999999</v>
      </c>
      <c r="K894" s="74">
        <f>J894*VLOOKUP(D894,GWPs!$B$3:$C$6,2,FALSE)</f>
        <v>0.36699999999999999</v>
      </c>
      <c r="M894" s="3">
        <v>3</v>
      </c>
      <c r="N894" s="3">
        <v>2</v>
      </c>
      <c r="O894" s="3">
        <v>1</v>
      </c>
      <c r="P894" s="3">
        <v>3</v>
      </c>
      <c r="Q894" s="3">
        <v>1</v>
      </c>
    </row>
    <row r="895" spans="1:17">
      <c r="A895" t="s">
        <v>1429</v>
      </c>
      <c r="B895" s="3" t="s">
        <v>755</v>
      </c>
      <c r="C895" s="3" t="s">
        <v>756</v>
      </c>
      <c r="D895" s="3" t="s">
        <v>13</v>
      </c>
      <c r="E895" s="3" t="s">
        <v>12</v>
      </c>
      <c r="F895" s="3">
        <v>1E-3</v>
      </c>
      <c r="G895" s="74">
        <f>F895*VLOOKUP(D895,GWPs!$B$3:$C$6,2,FALSE)</f>
        <v>2.8000000000000001E-2</v>
      </c>
      <c r="H895" s="3">
        <v>0</v>
      </c>
      <c r="I895" s="74">
        <f>H895*VLOOKUP(D895,GWPs!$B$3:$C$6,2,FALSE)</f>
        <v>0</v>
      </c>
      <c r="J895" s="3">
        <v>2E-3</v>
      </c>
      <c r="K895" s="74">
        <f>J895*VLOOKUP(D895,GWPs!$B$3:$C$6,2,FALSE)</f>
        <v>5.6000000000000001E-2</v>
      </c>
      <c r="M895" s="3">
        <v>4</v>
      </c>
      <c r="N895" s="3">
        <v>2</v>
      </c>
      <c r="O895" s="3">
        <v>1</v>
      </c>
      <c r="P895" s="3">
        <v>1</v>
      </c>
      <c r="Q895" s="3">
        <v>1</v>
      </c>
    </row>
    <row r="896" spans="1:17">
      <c r="A896" t="s">
        <v>1429</v>
      </c>
      <c r="B896" s="3" t="s">
        <v>755</v>
      </c>
      <c r="C896" s="3" t="s">
        <v>756</v>
      </c>
      <c r="D896" s="3" t="s">
        <v>14</v>
      </c>
      <c r="E896" s="3" t="s">
        <v>12</v>
      </c>
      <c r="F896" s="3">
        <v>0</v>
      </c>
      <c r="G896" s="74">
        <f>F896*VLOOKUP(D896,GWPs!$B$3:$C$6,2,FALSE)</f>
        <v>0</v>
      </c>
      <c r="H896" s="3">
        <v>0</v>
      </c>
      <c r="I896" s="74">
        <f>H896*VLOOKUP(D896,GWPs!$B$3:$C$6,2,FALSE)</f>
        <v>0</v>
      </c>
      <c r="J896" s="3">
        <v>0</v>
      </c>
      <c r="K896" s="74">
        <f>J896*VLOOKUP(D896,GWPs!$B$3:$C$6,2,FALSE)</f>
        <v>0</v>
      </c>
      <c r="M896" s="3">
        <v>3</v>
      </c>
      <c r="N896" s="3">
        <v>2</v>
      </c>
      <c r="O896" s="3">
        <v>1</v>
      </c>
      <c r="P896" s="3">
        <v>3</v>
      </c>
      <c r="Q896" s="3">
        <v>1</v>
      </c>
    </row>
    <row r="897" spans="1:17">
      <c r="A897" t="s">
        <v>1429</v>
      </c>
      <c r="B897" s="3" t="s">
        <v>755</v>
      </c>
      <c r="C897" s="3" t="s">
        <v>756</v>
      </c>
      <c r="D897" s="3" t="s">
        <v>15</v>
      </c>
      <c r="E897" s="3" t="s">
        <v>16</v>
      </c>
      <c r="F897" s="3">
        <v>8.0000000000000002E-3</v>
      </c>
      <c r="G897" s="74">
        <f>F897*VLOOKUP(D897,GWPs!$B$3:$C$6,2,FALSE)</f>
        <v>8.0000000000000002E-3</v>
      </c>
      <c r="H897" s="3">
        <v>0</v>
      </c>
      <c r="I897" s="74">
        <f>H897*VLOOKUP(D897,GWPs!$B$3:$C$6,2,FALSE)</f>
        <v>0</v>
      </c>
      <c r="J897" s="3">
        <v>8.0000000000000002E-3</v>
      </c>
      <c r="K897" s="74">
        <f>J897*VLOOKUP(D897,GWPs!$B$3:$C$6,2,FALSE)</f>
        <v>8.0000000000000002E-3</v>
      </c>
      <c r="M897" s="3">
        <v>3</v>
      </c>
      <c r="N897" s="3">
        <v>2</v>
      </c>
      <c r="O897" s="3">
        <v>1</v>
      </c>
      <c r="P897" s="3">
        <v>2</v>
      </c>
      <c r="Q897" s="3">
        <v>1</v>
      </c>
    </row>
    <row r="898" spans="1:17">
      <c r="A898" t="s">
        <v>1429</v>
      </c>
      <c r="B898" s="3" t="s">
        <v>757</v>
      </c>
      <c r="C898" s="3" t="s">
        <v>758</v>
      </c>
      <c r="D898" s="3" t="s">
        <v>11</v>
      </c>
      <c r="E898" s="3" t="s">
        <v>12</v>
      </c>
      <c r="F898" s="3">
        <v>0.193</v>
      </c>
      <c r="G898" s="74">
        <f>F898*VLOOKUP(D898,GWPs!$B$3:$C$6,2,FALSE)</f>
        <v>0.193</v>
      </c>
      <c r="H898" s="3">
        <v>8.0000000000000002E-3</v>
      </c>
      <c r="I898" s="74">
        <f>H898*VLOOKUP(D898,GWPs!$B$3:$C$6,2,FALSE)</f>
        <v>8.0000000000000002E-3</v>
      </c>
      <c r="J898" s="3">
        <v>0.20100000000000001</v>
      </c>
      <c r="K898" s="74">
        <f>J898*VLOOKUP(D898,GWPs!$B$3:$C$6,2,FALSE)</f>
        <v>0.20100000000000001</v>
      </c>
      <c r="M898" s="3">
        <v>3</v>
      </c>
      <c r="N898" s="3">
        <v>2</v>
      </c>
      <c r="O898" s="3">
        <v>1</v>
      </c>
      <c r="P898" s="3">
        <v>3</v>
      </c>
      <c r="Q898" s="3">
        <v>1</v>
      </c>
    </row>
    <row r="899" spans="1:17">
      <c r="A899" t="s">
        <v>1429</v>
      </c>
      <c r="B899" s="3" t="s">
        <v>757</v>
      </c>
      <c r="C899" s="3" t="s">
        <v>758</v>
      </c>
      <c r="D899" s="3" t="s">
        <v>13</v>
      </c>
      <c r="E899" s="3" t="s">
        <v>12</v>
      </c>
      <c r="F899" s="3">
        <v>1E-3</v>
      </c>
      <c r="G899" s="74">
        <f>F899*VLOOKUP(D899,GWPs!$B$3:$C$6,2,FALSE)</f>
        <v>2.8000000000000001E-2</v>
      </c>
      <c r="H899" s="3">
        <v>0</v>
      </c>
      <c r="I899" s="74">
        <f>H899*VLOOKUP(D899,GWPs!$B$3:$C$6,2,FALSE)</f>
        <v>0</v>
      </c>
      <c r="J899" s="3">
        <v>1E-3</v>
      </c>
      <c r="K899" s="74">
        <f>J899*VLOOKUP(D899,GWPs!$B$3:$C$6,2,FALSE)</f>
        <v>2.8000000000000001E-2</v>
      </c>
      <c r="M899" s="3">
        <v>4</v>
      </c>
      <c r="N899" s="3">
        <v>2</v>
      </c>
      <c r="O899" s="3">
        <v>1</v>
      </c>
      <c r="P899" s="3">
        <v>1</v>
      </c>
      <c r="Q899" s="3">
        <v>1</v>
      </c>
    </row>
    <row r="900" spans="1:17">
      <c r="A900" t="s">
        <v>1429</v>
      </c>
      <c r="B900" s="3" t="s">
        <v>757</v>
      </c>
      <c r="C900" s="3" t="s">
        <v>758</v>
      </c>
      <c r="D900" s="3" t="s">
        <v>14</v>
      </c>
      <c r="E900" s="3" t="s">
        <v>12</v>
      </c>
      <c r="F900" s="3">
        <v>0</v>
      </c>
      <c r="G900" s="74">
        <f>F900*VLOOKUP(D900,GWPs!$B$3:$C$6,2,FALSE)</f>
        <v>0</v>
      </c>
      <c r="H900" s="3">
        <v>0</v>
      </c>
      <c r="I900" s="74">
        <f>H900*VLOOKUP(D900,GWPs!$B$3:$C$6,2,FALSE)</f>
        <v>0</v>
      </c>
      <c r="J900" s="3">
        <v>0</v>
      </c>
      <c r="K900" s="74">
        <f>J900*VLOOKUP(D900,GWPs!$B$3:$C$6,2,FALSE)</f>
        <v>0</v>
      </c>
      <c r="M900" s="3">
        <v>3</v>
      </c>
      <c r="N900" s="3">
        <v>2</v>
      </c>
      <c r="O900" s="3">
        <v>1</v>
      </c>
      <c r="P900" s="3">
        <v>3</v>
      </c>
      <c r="Q900" s="3">
        <v>1</v>
      </c>
    </row>
    <row r="901" spans="1:17">
      <c r="A901" t="s">
        <v>1429</v>
      </c>
      <c r="B901" s="3" t="s">
        <v>757</v>
      </c>
      <c r="C901" s="3" t="s">
        <v>758</v>
      </c>
      <c r="D901" s="3" t="s">
        <v>15</v>
      </c>
      <c r="E901" s="3" t="s">
        <v>16</v>
      </c>
      <c r="F901" s="3">
        <v>5.0000000000000001E-3</v>
      </c>
      <c r="G901" s="74">
        <f>F901*VLOOKUP(D901,GWPs!$B$3:$C$6,2,FALSE)</f>
        <v>5.0000000000000001E-3</v>
      </c>
      <c r="H901" s="3">
        <v>0</v>
      </c>
      <c r="I901" s="74">
        <f>H901*VLOOKUP(D901,GWPs!$B$3:$C$6,2,FALSE)</f>
        <v>0</v>
      </c>
      <c r="J901" s="3">
        <v>5.0000000000000001E-3</v>
      </c>
      <c r="K901" s="74">
        <f>J901*VLOOKUP(D901,GWPs!$B$3:$C$6,2,FALSE)</f>
        <v>5.0000000000000001E-3</v>
      </c>
      <c r="M901" s="3">
        <v>3</v>
      </c>
      <c r="N901" s="3">
        <v>2</v>
      </c>
      <c r="O901" s="3">
        <v>1</v>
      </c>
      <c r="P901" s="3">
        <v>3</v>
      </c>
      <c r="Q901" s="3">
        <v>1</v>
      </c>
    </row>
    <row r="902" spans="1:17">
      <c r="A902" t="s">
        <v>1429</v>
      </c>
      <c r="B902" s="3" t="s">
        <v>759</v>
      </c>
      <c r="C902" s="3" t="s">
        <v>760</v>
      </c>
      <c r="D902" s="3" t="s">
        <v>11</v>
      </c>
      <c r="E902" s="3" t="s">
        <v>12</v>
      </c>
      <c r="F902" s="3">
        <v>0.154</v>
      </c>
      <c r="G902" s="74">
        <f>F902*VLOOKUP(D902,GWPs!$B$3:$C$6,2,FALSE)</f>
        <v>0.154</v>
      </c>
      <c r="H902" s="3">
        <v>5.5E-2</v>
      </c>
      <c r="I902" s="74">
        <f>H902*VLOOKUP(D902,GWPs!$B$3:$C$6,2,FALSE)</f>
        <v>5.5E-2</v>
      </c>
      <c r="J902" s="3">
        <v>0.20899999999999999</v>
      </c>
      <c r="K902" s="74">
        <f>J902*VLOOKUP(D902,GWPs!$B$3:$C$6,2,FALSE)</f>
        <v>0.20899999999999999</v>
      </c>
      <c r="M902" s="3">
        <v>3</v>
      </c>
      <c r="N902" s="3">
        <v>2</v>
      </c>
      <c r="O902" s="3">
        <v>1</v>
      </c>
      <c r="P902" s="3">
        <v>3</v>
      </c>
      <c r="Q902" s="3">
        <v>1</v>
      </c>
    </row>
    <row r="903" spans="1:17">
      <c r="A903" t="s">
        <v>1429</v>
      </c>
      <c r="B903" s="3" t="s">
        <v>759</v>
      </c>
      <c r="C903" s="3" t="s">
        <v>760</v>
      </c>
      <c r="D903" s="3" t="s">
        <v>13</v>
      </c>
      <c r="E903" s="3" t="s">
        <v>12</v>
      </c>
      <c r="F903" s="3">
        <v>1E-3</v>
      </c>
      <c r="G903" s="74">
        <f>F903*VLOOKUP(D903,GWPs!$B$3:$C$6,2,FALSE)</f>
        <v>2.8000000000000001E-2</v>
      </c>
      <c r="H903" s="3">
        <v>0</v>
      </c>
      <c r="I903" s="74">
        <f>H903*VLOOKUP(D903,GWPs!$B$3:$C$6,2,FALSE)</f>
        <v>0</v>
      </c>
      <c r="J903" s="3">
        <v>1E-3</v>
      </c>
      <c r="K903" s="74">
        <f>J903*VLOOKUP(D903,GWPs!$B$3:$C$6,2,FALSE)</f>
        <v>2.8000000000000001E-2</v>
      </c>
      <c r="M903" s="3">
        <v>3</v>
      </c>
      <c r="N903" s="3">
        <v>2</v>
      </c>
      <c r="O903" s="3">
        <v>1</v>
      </c>
      <c r="P903" s="3">
        <v>1</v>
      </c>
      <c r="Q903" s="3">
        <v>1</v>
      </c>
    </row>
    <row r="904" spans="1:17">
      <c r="A904" t="s">
        <v>1429</v>
      </c>
      <c r="B904" s="3" t="s">
        <v>759</v>
      </c>
      <c r="C904" s="3" t="s">
        <v>760</v>
      </c>
      <c r="D904" s="3" t="s">
        <v>14</v>
      </c>
      <c r="E904" s="3" t="s">
        <v>12</v>
      </c>
      <c r="F904" s="3">
        <v>0</v>
      </c>
      <c r="G904" s="74">
        <f>F904*VLOOKUP(D904,GWPs!$B$3:$C$6,2,FALSE)</f>
        <v>0</v>
      </c>
      <c r="H904" s="3">
        <v>0</v>
      </c>
      <c r="I904" s="74">
        <f>H904*VLOOKUP(D904,GWPs!$B$3:$C$6,2,FALSE)</f>
        <v>0</v>
      </c>
      <c r="J904" s="3">
        <v>0</v>
      </c>
      <c r="K904" s="74">
        <f>J904*VLOOKUP(D904,GWPs!$B$3:$C$6,2,FALSE)</f>
        <v>0</v>
      </c>
      <c r="M904" s="3">
        <v>3</v>
      </c>
      <c r="N904" s="3">
        <v>2</v>
      </c>
      <c r="O904" s="3">
        <v>1</v>
      </c>
      <c r="P904" s="3">
        <v>3</v>
      </c>
      <c r="Q904" s="3">
        <v>1</v>
      </c>
    </row>
    <row r="905" spans="1:17">
      <c r="A905" t="s">
        <v>1429</v>
      </c>
      <c r="B905" s="3" t="s">
        <v>759</v>
      </c>
      <c r="C905" s="3" t="s">
        <v>760</v>
      </c>
      <c r="D905" s="3" t="s">
        <v>15</v>
      </c>
      <c r="E905" s="3" t="s">
        <v>16</v>
      </c>
      <c r="F905" s="3">
        <v>8.0000000000000002E-3</v>
      </c>
      <c r="G905" s="74">
        <f>F905*VLOOKUP(D905,GWPs!$B$3:$C$6,2,FALSE)</f>
        <v>8.0000000000000002E-3</v>
      </c>
      <c r="H905" s="3">
        <v>0</v>
      </c>
      <c r="I905" s="74">
        <f>H905*VLOOKUP(D905,GWPs!$B$3:$C$6,2,FALSE)</f>
        <v>0</v>
      </c>
      <c r="J905" s="3">
        <v>8.0000000000000002E-3</v>
      </c>
      <c r="K905" s="74">
        <f>J905*VLOOKUP(D905,GWPs!$B$3:$C$6,2,FALSE)</f>
        <v>8.0000000000000002E-3</v>
      </c>
      <c r="M905" s="3">
        <v>3</v>
      </c>
      <c r="N905" s="3">
        <v>2</v>
      </c>
      <c r="O905" s="3">
        <v>1</v>
      </c>
      <c r="P905" s="3">
        <v>2</v>
      </c>
      <c r="Q905" s="3">
        <v>1</v>
      </c>
    </row>
    <row r="906" spans="1:17">
      <c r="A906" t="s">
        <v>1429</v>
      </c>
      <c r="B906" s="3" t="s">
        <v>761</v>
      </c>
      <c r="C906" s="3" t="s">
        <v>762</v>
      </c>
      <c r="D906" s="3" t="s">
        <v>11</v>
      </c>
      <c r="E906" s="3" t="s">
        <v>12</v>
      </c>
      <c r="F906" s="3">
        <v>0.20899999999999999</v>
      </c>
      <c r="G906" s="74">
        <f>F906*VLOOKUP(D906,GWPs!$B$3:$C$6,2,FALSE)</f>
        <v>0.20899999999999999</v>
      </c>
      <c r="H906" s="3">
        <v>0.16200000000000001</v>
      </c>
      <c r="I906" s="74">
        <f>H906*VLOOKUP(D906,GWPs!$B$3:$C$6,2,FALSE)</f>
        <v>0.16200000000000001</v>
      </c>
      <c r="J906" s="3">
        <v>0.371</v>
      </c>
      <c r="K906" s="74">
        <f>J906*VLOOKUP(D906,GWPs!$B$3:$C$6,2,FALSE)</f>
        <v>0.371</v>
      </c>
      <c r="M906" s="3">
        <v>3</v>
      </c>
      <c r="N906" s="3">
        <v>2</v>
      </c>
      <c r="O906" s="3">
        <v>1</v>
      </c>
      <c r="P906" s="3">
        <v>3</v>
      </c>
      <c r="Q906" s="3">
        <v>1</v>
      </c>
    </row>
    <row r="907" spans="1:17">
      <c r="A907" t="s">
        <v>1429</v>
      </c>
      <c r="B907" s="3" t="s">
        <v>761</v>
      </c>
      <c r="C907" s="3" t="s">
        <v>762</v>
      </c>
      <c r="D907" s="3" t="s">
        <v>13</v>
      </c>
      <c r="E907" s="3" t="s">
        <v>12</v>
      </c>
      <c r="F907" s="3">
        <v>1E-3</v>
      </c>
      <c r="G907" s="74">
        <f>F907*VLOOKUP(D907,GWPs!$B$3:$C$6,2,FALSE)</f>
        <v>2.8000000000000001E-2</v>
      </c>
      <c r="H907" s="3">
        <v>1E-3</v>
      </c>
      <c r="I907" s="74">
        <f>H907*VLOOKUP(D907,GWPs!$B$3:$C$6,2,FALSE)</f>
        <v>2.8000000000000001E-2</v>
      </c>
      <c r="J907" s="3">
        <v>2E-3</v>
      </c>
      <c r="K907" s="74">
        <f>J907*VLOOKUP(D907,GWPs!$B$3:$C$6,2,FALSE)</f>
        <v>5.6000000000000001E-2</v>
      </c>
      <c r="M907" s="3">
        <v>4</v>
      </c>
      <c r="N907" s="3">
        <v>2</v>
      </c>
      <c r="O907" s="3">
        <v>1</v>
      </c>
      <c r="P907" s="3">
        <v>1</v>
      </c>
      <c r="Q907" s="3">
        <v>1</v>
      </c>
    </row>
    <row r="908" spans="1:17">
      <c r="A908" t="s">
        <v>1429</v>
      </c>
      <c r="B908" s="3" t="s">
        <v>761</v>
      </c>
      <c r="C908" s="3" t="s">
        <v>762</v>
      </c>
      <c r="D908" s="3" t="s">
        <v>14</v>
      </c>
      <c r="E908" s="3" t="s">
        <v>12</v>
      </c>
      <c r="F908" s="3">
        <v>0</v>
      </c>
      <c r="G908" s="74">
        <f>F908*VLOOKUP(D908,GWPs!$B$3:$C$6,2,FALSE)</f>
        <v>0</v>
      </c>
      <c r="H908" s="3">
        <v>0</v>
      </c>
      <c r="I908" s="74">
        <f>H908*VLOOKUP(D908,GWPs!$B$3:$C$6,2,FALSE)</f>
        <v>0</v>
      </c>
      <c r="J908" s="3">
        <v>0</v>
      </c>
      <c r="K908" s="74">
        <f>J908*VLOOKUP(D908,GWPs!$B$3:$C$6,2,FALSE)</f>
        <v>0</v>
      </c>
      <c r="M908" s="3">
        <v>3</v>
      </c>
      <c r="N908" s="3">
        <v>2</v>
      </c>
      <c r="O908" s="3">
        <v>1</v>
      </c>
      <c r="P908" s="3">
        <v>3</v>
      </c>
      <c r="Q908" s="3">
        <v>1</v>
      </c>
    </row>
    <row r="909" spans="1:17">
      <c r="A909" t="s">
        <v>1429</v>
      </c>
      <c r="B909" s="3" t="s">
        <v>761</v>
      </c>
      <c r="C909" s="3" t="s">
        <v>762</v>
      </c>
      <c r="D909" s="3" t="s">
        <v>15</v>
      </c>
      <c r="E909" s="3" t="s">
        <v>16</v>
      </c>
      <c r="F909" s="3">
        <v>2.1000000000000001E-2</v>
      </c>
      <c r="G909" s="74">
        <f>F909*VLOOKUP(D909,GWPs!$B$3:$C$6,2,FALSE)</f>
        <v>2.1000000000000001E-2</v>
      </c>
      <c r="H909" s="3">
        <v>0</v>
      </c>
      <c r="I909" s="74">
        <f>H909*VLOOKUP(D909,GWPs!$B$3:$C$6,2,FALSE)</f>
        <v>0</v>
      </c>
      <c r="J909" s="3">
        <v>2.1000000000000001E-2</v>
      </c>
      <c r="K909" s="74">
        <f>J909*VLOOKUP(D909,GWPs!$B$3:$C$6,2,FALSE)</f>
        <v>2.1000000000000001E-2</v>
      </c>
      <c r="M909" s="3">
        <v>4</v>
      </c>
      <c r="N909" s="3">
        <v>2</v>
      </c>
      <c r="O909" s="3">
        <v>1</v>
      </c>
      <c r="P909" s="3">
        <v>4</v>
      </c>
      <c r="Q909" s="3">
        <v>1</v>
      </c>
    </row>
    <row r="910" spans="1:17">
      <c r="A910" t="s">
        <v>1429</v>
      </c>
      <c r="B910" s="3" t="s">
        <v>763</v>
      </c>
      <c r="C910" s="3" t="s">
        <v>764</v>
      </c>
      <c r="D910" s="3" t="s">
        <v>11</v>
      </c>
      <c r="E910" s="3" t="s">
        <v>12</v>
      </c>
      <c r="F910" s="3">
        <v>0.22600000000000001</v>
      </c>
      <c r="G910" s="74">
        <f>F910*VLOOKUP(D910,GWPs!$B$3:$C$6,2,FALSE)</f>
        <v>0.22600000000000001</v>
      </c>
      <c r="H910" s="3">
        <v>3.1E-2</v>
      </c>
      <c r="I910" s="74">
        <f>H910*VLOOKUP(D910,GWPs!$B$3:$C$6,2,FALSE)</f>
        <v>3.1E-2</v>
      </c>
      <c r="J910" s="3">
        <v>0.25600000000000001</v>
      </c>
      <c r="K910" s="74">
        <f>J910*VLOOKUP(D910,GWPs!$B$3:$C$6,2,FALSE)</f>
        <v>0.25600000000000001</v>
      </c>
      <c r="M910" s="3">
        <v>3</v>
      </c>
      <c r="N910" s="3">
        <v>2</v>
      </c>
      <c r="O910" s="3">
        <v>1</v>
      </c>
      <c r="P910" s="3">
        <v>3</v>
      </c>
      <c r="Q910" s="3">
        <v>1</v>
      </c>
    </row>
    <row r="911" spans="1:17">
      <c r="A911" t="s">
        <v>1429</v>
      </c>
      <c r="B911" s="3" t="s">
        <v>763</v>
      </c>
      <c r="C911" s="3" t="s">
        <v>764</v>
      </c>
      <c r="D911" s="3" t="s">
        <v>13</v>
      </c>
      <c r="E911" s="3" t="s">
        <v>12</v>
      </c>
      <c r="F911" s="3">
        <v>1E-3</v>
      </c>
      <c r="G911" s="74">
        <f>F911*VLOOKUP(D911,GWPs!$B$3:$C$6,2,FALSE)</f>
        <v>2.8000000000000001E-2</v>
      </c>
      <c r="H911" s="3">
        <v>0</v>
      </c>
      <c r="I911" s="74">
        <f>H911*VLOOKUP(D911,GWPs!$B$3:$C$6,2,FALSE)</f>
        <v>0</v>
      </c>
      <c r="J911" s="3">
        <v>1E-3</v>
      </c>
      <c r="K911" s="74">
        <f>J911*VLOOKUP(D911,GWPs!$B$3:$C$6,2,FALSE)</f>
        <v>2.8000000000000001E-2</v>
      </c>
      <c r="M911" s="3">
        <v>4</v>
      </c>
      <c r="N911" s="3">
        <v>2</v>
      </c>
      <c r="O911" s="3">
        <v>1</v>
      </c>
      <c r="P911" s="3">
        <v>1</v>
      </c>
      <c r="Q911" s="3">
        <v>1</v>
      </c>
    </row>
    <row r="912" spans="1:17">
      <c r="A912" t="s">
        <v>1429</v>
      </c>
      <c r="B912" s="3" t="s">
        <v>763</v>
      </c>
      <c r="C912" s="3" t="s">
        <v>764</v>
      </c>
      <c r="D912" s="3" t="s">
        <v>14</v>
      </c>
      <c r="E912" s="3" t="s">
        <v>12</v>
      </c>
      <c r="F912" s="3">
        <v>0</v>
      </c>
      <c r="G912" s="74">
        <f>F912*VLOOKUP(D912,GWPs!$B$3:$C$6,2,FALSE)</f>
        <v>0</v>
      </c>
      <c r="H912" s="3">
        <v>0</v>
      </c>
      <c r="I912" s="74">
        <f>H912*VLOOKUP(D912,GWPs!$B$3:$C$6,2,FALSE)</f>
        <v>0</v>
      </c>
      <c r="J912" s="3">
        <v>0</v>
      </c>
      <c r="K912" s="74">
        <f>J912*VLOOKUP(D912,GWPs!$B$3:$C$6,2,FALSE)</f>
        <v>0</v>
      </c>
      <c r="M912" s="3">
        <v>3</v>
      </c>
      <c r="N912" s="3">
        <v>2</v>
      </c>
      <c r="O912" s="3">
        <v>1</v>
      </c>
      <c r="P912" s="3">
        <v>3</v>
      </c>
      <c r="Q912" s="3">
        <v>1</v>
      </c>
    </row>
    <row r="913" spans="1:17">
      <c r="A913" t="s">
        <v>1429</v>
      </c>
      <c r="B913" s="3" t="s">
        <v>763</v>
      </c>
      <c r="C913" s="3" t="s">
        <v>764</v>
      </c>
      <c r="D913" s="3" t="s">
        <v>15</v>
      </c>
      <c r="E913" s="3" t="s">
        <v>16</v>
      </c>
      <c r="F913" s="3">
        <v>0.02</v>
      </c>
      <c r="G913" s="74">
        <f>F913*VLOOKUP(D913,GWPs!$B$3:$C$6,2,FALSE)</f>
        <v>0.02</v>
      </c>
      <c r="H913" s="3">
        <v>0</v>
      </c>
      <c r="I913" s="74">
        <f>H913*VLOOKUP(D913,GWPs!$B$3:$C$6,2,FALSE)</f>
        <v>0</v>
      </c>
      <c r="J913" s="3">
        <v>0.02</v>
      </c>
      <c r="K913" s="74">
        <f>J913*VLOOKUP(D913,GWPs!$B$3:$C$6,2,FALSE)</f>
        <v>0.02</v>
      </c>
      <c r="M913" s="3">
        <v>4</v>
      </c>
      <c r="N913" s="3">
        <v>2</v>
      </c>
      <c r="O913" s="3">
        <v>1</v>
      </c>
      <c r="P913" s="3">
        <v>4</v>
      </c>
      <c r="Q913" s="3">
        <v>1</v>
      </c>
    </row>
    <row r="914" spans="1:17">
      <c r="A914" t="s">
        <v>1429</v>
      </c>
      <c r="B914" s="3" t="s">
        <v>765</v>
      </c>
      <c r="C914" s="3" t="s">
        <v>766</v>
      </c>
      <c r="D914" s="3" t="s">
        <v>11</v>
      </c>
      <c r="E914" s="3" t="s">
        <v>12</v>
      </c>
      <c r="F914" s="3">
        <v>0.26200000000000001</v>
      </c>
      <c r="G914" s="74">
        <f>F914*VLOOKUP(D914,GWPs!$B$3:$C$6,2,FALSE)</f>
        <v>0.26200000000000001</v>
      </c>
      <c r="H914" s="3">
        <v>1.6E-2</v>
      </c>
      <c r="I914" s="74">
        <f>H914*VLOOKUP(D914,GWPs!$B$3:$C$6,2,FALSE)</f>
        <v>1.6E-2</v>
      </c>
      <c r="J914" s="3">
        <v>0.27800000000000002</v>
      </c>
      <c r="K914" s="74">
        <f>J914*VLOOKUP(D914,GWPs!$B$3:$C$6,2,FALSE)</f>
        <v>0.27800000000000002</v>
      </c>
      <c r="M914" s="3">
        <v>3</v>
      </c>
      <c r="N914" s="3">
        <v>2</v>
      </c>
      <c r="O914" s="3">
        <v>1</v>
      </c>
      <c r="P914" s="3">
        <v>3</v>
      </c>
      <c r="Q914" s="3">
        <v>1</v>
      </c>
    </row>
    <row r="915" spans="1:17">
      <c r="A915" t="s">
        <v>1429</v>
      </c>
      <c r="B915" s="3" t="s">
        <v>765</v>
      </c>
      <c r="C915" s="3" t="s">
        <v>766</v>
      </c>
      <c r="D915" s="3" t="s">
        <v>13</v>
      </c>
      <c r="E915" s="3" t="s">
        <v>12</v>
      </c>
      <c r="F915" s="3">
        <v>1E-3</v>
      </c>
      <c r="G915" s="74">
        <f>F915*VLOOKUP(D915,GWPs!$B$3:$C$6,2,FALSE)</f>
        <v>2.8000000000000001E-2</v>
      </c>
      <c r="H915" s="3">
        <v>0</v>
      </c>
      <c r="I915" s="74">
        <f>H915*VLOOKUP(D915,GWPs!$B$3:$C$6,2,FALSE)</f>
        <v>0</v>
      </c>
      <c r="J915" s="3">
        <v>1E-3</v>
      </c>
      <c r="K915" s="74">
        <f>J915*VLOOKUP(D915,GWPs!$B$3:$C$6,2,FALSE)</f>
        <v>2.8000000000000001E-2</v>
      </c>
      <c r="M915" s="3">
        <v>4</v>
      </c>
      <c r="N915" s="3">
        <v>2</v>
      </c>
      <c r="O915" s="3">
        <v>1</v>
      </c>
      <c r="P915" s="3">
        <v>1</v>
      </c>
      <c r="Q915" s="3">
        <v>1</v>
      </c>
    </row>
    <row r="916" spans="1:17">
      <c r="A916" t="s">
        <v>1429</v>
      </c>
      <c r="B916" s="3" t="s">
        <v>765</v>
      </c>
      <c r="C916" s="3" t="s">
        <v>766</v>
      </c>
      <c r="D916" s="3" t="s">
        <v>14</v>
      </c>
      <c r="E916" s="3" t="s">
        <v>12</v>
      </c>
      <c r="F916" s="3">
        <v>0</v>
      </c>
      <c r="G916" s="74">
        <f>F916*VLOOKUP(D916,GWPs!$B$3:$C$6,2,FALSE)</f>
        <v>0</v>
      </c>
      <c r="H916" s="3">
        <v>0</v>
      </c>
      <c r="I916" s="74">
        <f>H916*VLOOKUP(D916,GWPs!$B$3:$C$6,2,FALSE)</f>
        <v>0</v>
      </c>
      <c r="J916" s="3">
        <v>0</v>
      </c>
      <c r="K916" s="74">
        <f>J916*VLOOKUP(D916,GWPs!$B$3:$C$6,2,FALSE)</f>
        <v>0</v>
      </c>
      <c r="M916" s="3">
        <v>3</v>
      </c>
      <c r="N916" s="3">
        <v>2</v>
      </c>
      <c r="O916" s="3">
        <v>1</v>
      </c>
      <c r="P916" s="3">
        <v>3</v>
      </c>
      <c r="Q916" s="3">
        <v>1</v>
      </c>
    </row>
    <row r="917" spans="1:17">
      <c r="A917" t="s">
        <v>1429</v>
      </c>
      <c r="B917" s="3" t="s">
        <v>765</v>
      </c>
      <c r="C917" s="3" t="s">
        <v>766</v>
      </c>
      <c r="D917" s="3" t="s">
        <v>15</v>
      </c>
      <c r="E917" s="3" t="s">
        <v>16</v>
      </c>
      <c r="F917" s="3">
        <v>4.2999999999999997E-2</v>
      </c>
      <c r="G917" s="74">
        <f>F917*VLOOKUP(D917,GWPs!$B$3:$C$6,2,FALSE)</f>
        <v>4.2999999999999997E-2</v>
      </c>
      <c r="H917" s="3">
        <v>0</v>
      </c>
      <c r="I917" s="74">
        <f>H917*VLOOKUP(D917,GWPs!$B$3:$C$6,2,FALSE)</f>
        <v>0</v>
      </c>
      <c r="J917" s="3">
        <v>4.2999999999999997E-2</v>
      </c>
      <c r="K917" s="74">
        <f>J917*VLOOKUP(D917,GWPs!$B$3:$C$6,2,FALSE)</f>
        <v>4.2999999999999997E-2</v>
      </c>
      <c r="M917" s="3">
        <v>4</v>
      </c>
      <c r="N917" s="3">
        <v>2</v>
      </c>
      <c r="O917" s="3">
        <v>1</v>
      </c>
      <c r="P917" s="3">
        <v>5</v>
      </c>
      <c r="Q917" s="3">
        <v>1</v>
      </c>
    </row>
    <row r="918" spans="1:17">
      <c r="A918" t="s">
        <v>1429</v>
      </c>
      <c r="B918" s="3" t="s">
        <v>767</v>
      </c>
      <c r="C918" s="3" t="s">
        <v>768</v>
      </c>
      <c r="D918" s="3" t="s">
        <v>11</v>
      </c>
      <c r="E918" s="3" t="s">
        <v>12</v>
      </c>
      <c r="F918" s="3">
        <v>0.24299999999999999</v>
      </c>
      <c r="G918" s="74">
        <f>F918*VLOOKUP(D918,GWPs!$B$3:$C$6,2,FALSE)</f>
        <v>0.24299999999999999</v>
      </c>
      <c r="H918" s="3">
        <v>4.9000000000000002E-2</v>
      </c>
      <c r="I918" s="74">
        <f>H918*VLOOKUP(D918,GWPs!$B$3:$C$6,2,FALSE)</f>
        <v>4.9000000000000002E-2</v>
      </c>
      <c r="J918" s="3">
        <v>0.29199999999999998</v>
      </c>
      <c r="K918" s="74">
        <f>J918*VLOOKUP(D918,GWPs!$B$3:$C$6,2,FALSE)</f>
        <v>0.29199999999999998</v>
      </c>
      <c r="M918" s="3">
        <v>3</v>
      </c>
      <c r="N918" s="3">
        <v>2</v>
      </c>
      <c r="O918" s="3">
        <v>1</v>
      </c>
      <c r="P918" s="3">
        <v>3</v>
      </c>
      <c r="Q918" s="3">
        <v>1</v>
      </c>
    </row>
    <row r="919" spans="1:17">
      <c r="A919" t="s">
        <v>1429</v>
      </c>
      <c r="B919" s="3" t="s">
        <v>767</v>
      </c>
      <c r="C919" s="3" t="s">
        <v>768</v>
      </c>
      <c r="D919" s="3" t="s">
        <v>13</v>
      </c>
      <c r="E919" s="3" t="s">
        <v>12</v>
      </c>
      <c r="F919" s="3">
        <v>1E-3</v>
      </c>
      <c r="G919" s="74">
        <f>F919*VLOOKUP(D919,GWPs!$B$3:$C$6,2,FALSE)</f>
        <v>2.8000000000000001E-2</v>
      </c>
      <c r="H919" s="3">
        <v>0</v>
      </c>
      <c r="I919" s="74">
        <f>H919*VLOOKUP(D919,GWPs!$B$3:$C$6,2,FALSE)</f>
        <v>0</v>
      </c>
      <c r="J919" s="3">
        <v>1E-3</v>
      </c>
      <c r="K919" s="74">
        <f>J919*VLOOKUP(D919,GWPs!$B$3:$C$6,2,FALSE)</f>
        <v>2.8000000000000001E-2</v>
      </c>
      <c r="M919" s="3">
        <v>4</v>
      </c>
      <c r="N919" s="3">
        <v>2</v>
      </c>
      <c r="O919" s="3">
        <v>1</v>
      </c>
      <c r="P919" s="3">
        <v>1</v>
      </c>
      <c r="Q919" s="3">
        <v>1</v>
      </c>
    </row>
    <row r="920" spans="1:17">
      <c r="A920" t="s">
        <v>1429</v>
      </c>
      <c r="B920" s="3" t="s">
        <v>767</v>
      </c>
      <c r="C920" s="3" t="s">
        <v>768</v>
      </c>
      <c r="D920" s="3" t="s">
        <v>14</v>
      </c>
      <c r="E920" s="3" t="s">
        <v>12</v>
      </c>
      <c r="F920" s="3">
        <v>0</v>
      </c>
      <c r="G920" s="74">
        <f>F920*VLOOKUP(D920,GWPs!$B$3:$C$6,2,FALSE)</f>
        <v>0</v>
      </c>
      <c r="H920" s="3">
        <v>0</v>
      </c>
      <c r="I920" s="74">
        <f>H920*VLOOKUP(D920,GWPs!$B$3:$C$6,2,FALSE)</f>
        <v>0</v>
      </c>
      <c r="J920" s="3">
        <v>0</v>
      </c>
      <c r="K920" s="74">
        <f>J920*VLOOKUP(D920,GWPs!$B$3:$C$6,2,FALSE)</f>
        <v>0</v>
      </c>
      <c r="M920" s="3">
        <v>3</v>
      </c>
      <c r="N920" s="3">
        <v>2</v>
      </c>
      <c r="O920" s="3">
        <v>1</v>
      </c>
      <c r="P920" s="3">
        <v>3</v>
      </c>
      <c r="Q920" s="3">
        <v>1</v>
      </c>
    </row>
    <row r="921" spans="1:17">
      <c r="A921" t="s">
        <v>1429</v>
      </c>
      <c r="B921" s="3" t="s">
        <v>767</v>
      </c>
      <c r="C921" s="3" t="s">
        <v>768</v>
      </c>
      <c r="D921" s="3" t="s">
        <v>15</v>
      </c>
      <c r="E921" s="3" t="s">
        <v>16</v>
      </c>
      <c r="F921" s="3">
        <v>1.4999999999999999E-2</v>
      </c>
      <c r="G921" s="74">
        <f>F921*VLOOKUP(D921,GWPs!$B$3:$C$6,2,FALSE)</f>
        <v>1.4999999999999999E-2</v>
      </c>
      <c r="H921" s="3">
        <v>0</v>
      </c>
      <c r="I921" s="74">
        <f>H921*VLOOKUP(D921,GWPs!$B$3:$C$6,2,FALSE)</f>
        <v>0</v>
      </c>
      <c r="J921" s="3">
        <v>1.4999999999999999E-2</v>
      </c>
      <c r="K921" s="74">
        <f>J921*VLOOKUP(D921,GWPs!$B$3:$C$6,2,FALSE)</f>
        <v>1.4999999999999999E-2</v>
      </c>
      <c r="M921" s="3">
        <v>4</v>
      </c>
      <c r="N921" s="3">
        <v>2</v>
      </c>
      <c r="O921" s="3">
        <v>1</v>
      </c>
      <c r="P921" s="3">
        <v>4</v>
      </c>
      <c r="Q921" s="3">
        <v>1</v>
      </c>
    </row>
    <row r="922" spans="1:17">
      <c r="A922" t="s">
        <v>1429</v>
      </c>
      <c r="B922" s="3" t="s">
        <v>769</v>
      </c>
      <c r="C922" s="3" t="s">
        <v>770</v>
      </c>
      <c r="D922" s="3" t="s">
        <v>11</v>
      </c>
      <c r="E922" s="3" t="s">
        <v>12</v>
      </c>
      <c r="F922" s="3">
        <v>0.16400000000000001</v>
      </c>
      <c r="G922" s="74">
        <f>F922*VLOOKUP(D922,GWPs!$B$3:$C$6,2,FALSE)</f>
        <v>0.16400000000000001</v>
      </c>
      <c r="H922" s="3">
        <v>2.7E-2</v>
      </c>
      <c r="I922" s="74">
        <f>H922*VLOOKUP(D922,GWPs!$B$3:$C$6,2,FALSE)</f>
        <v>2.7E-2</v>
      </c>
      <c r="J922" s="3">
        <v>0.19</v>
      </c>
      <c r="K922" s="74">
        <f>J922*VLOOKUP(D922,GWPs!$B$3:$C$6,2,FALSE)</f>
        <v>0.19</v>
      </c>
      <c r="M922" s="3">
        <v>3</v>
      </c>
      <c r="N922" s="3">
        <v>2</v>
      </c>
      <c r="O922" s="3">
        <v>1</v>
      </c>
      <c r="P922" s="3">
        <v>3</v>
      </c>
      <c r="Q922" s="3">
        <v>1</v>
      </c>
    </row>
    <row r="923" spans="1:17">
      <c r="A923" t="s">
        <v>1429</v>
      </c>
      <c r="B923" s="3" t="s">
        <v>769</v>
      </c>
      <c r="C923" s="3" t="s">
        <v>770</v>
      </c>
      <c r="D923" s="3" t="s">
        <v>13</v>
      </c>
      <c r="E923" s="3" t="s">
        <v>12</v>
      </c>
      <c r="F923" s="3">
        <v>1E-3</v>
      </c>
      <c r="G923" s="74">
        <f>F923*VLOOKUP(D923,GWPs!$B$3:$C$6,2,FALSE)</f>
        <v>2.8000000000000001E-2</v>
      </c>
      <c r="H923" s="3">
        <v>0</v>
      </c>
      <c r="I923" s="74">
        <f>H923*VLOOKUP(D923,GWPs!$B$3:$C$6,2,FALSE)</f>
        <v>0</v>
      </c>
      <c r="J923" s="3">
        <v>1E-3</v>
      </c>
      <c r="K923" s="74">
        <f>J923*VLOOKUP(D923,GWPs!$B$3:$C$6,2,FALSE)</f>
        <v>2.8000000000000001E-2</v>
      </c>
      <c r="M923" s="3">
        <v>4</v>
      </c>
      <c r="N923" s="3">
        <v>2</v>
      </c>
      <c r="O923" s="3">
        <v>1</v>
      </c>
      <c r="P923" s="3">
        <v>1</v>
      </c>
      <c r="Q923" s="3">
        <v>1</v>
      </c>
    </row>
    <row r="924" spans="1:17">
      <c r="A924" t="s">
        <v>1429</v>
      </c>
      <c r="B924" s="3" t="s">
        <v>769</v>
      </c>
      <c r="C924" s="3" t="s">
        <v>770</v>
      </c>
      <c r="D924" s="3" t="s">
        <v>14</v>
      </c>
      <c r="E924" s="3" t="s">
        <v>12</v>
      </c>
      <c r="F924" s="3">
        <v>0</v>
      </c>
      <c r="G924" s="74">
        <f>F924*VLOOKUP(D924,GWPs!$B$3:$C$6,2,FALSE)</f>
        <v>0</v>
      </c>
      <c r="H924" s="3">
        <v>0</v>
      </c>
      <c r="I924" s="74">
        <f>H924*VLOOKUP(D924,GWPs!$B$3:$C$6,2,FALSE)</f>
        <v>0</v>
      </c>
      <c r="J924" s="3">
        <v>0</v>
      </c>
      <c r="K924" s="74">
        <f>J924*VLOOKUP(D924,GWPs!$B$3:$C$6,2,FALSE)</f>
        <v>0</v>
      </c>
      <c r="M924" s="3">
        <v>3</v>
      </c>
      <c r="N924" s="3">
        <v>2</v>
      </c>
      <c r="O924" s="3">
        <v>1</v>
      </c>
      <c r="P924" s="3">
        <v>3</v>
      </c>
      <c r="Q924" s="3">
        <v>1</v>
      </c>
    </row>
    <row r="925" spans="1:17">
      <c r="A925" t="s">
        <v>1429</v>
      </c>
      <c r="B925" s="3" t="s">
        <v>769</v>
      </c>
      <c r="C925" s="3" t="s">
        <v>770</v>
      </c>
      <c r="D925" s="3" t="s">
        <v>15</v>
      </c>
      <c r="E925" s="3" t="s">
        <v>16</v>
      </c>
      <c r="F925" s="3">
        <v>4.7E-2</v>
      </c>
      <c r="G925" s="74">
        <f>F925*VLOOKUP(D925,GWPs!$B$3:$C$6,2,FALSE)</f>
        <v>4.7E-2</v>
      </c>
      <c r="H925" s="3">
        <v>0</v>
      </c>
      <c r="I925" s="74">
        <f>H925*VLOOKUP(D925,GWPs!$B$3:$C$6,2,FALSE)</f>
        <v>0</v>
      </c>
      <c r="J925" s="3">
        <v>4.7E-2</v>
      </c>
      <c r="K925" s="74">
        <f>J925*VLOOKUP(D925,GWPs!$B$3:$C$6,2,FALSE)</f>
        <v>4.7E-2</v>
      </c>
      <c r="M925" s="3">
        <v>4</v>
      </c>
      <c r="N925" s="3">
        <v>2</v>
      </c>
      <c r="O925" s="3">
        <v>1</v>
      </c>
      <c r="P925" s="3">
        <v>4</v>
      </c>
      <c r="Q925" s="3">
        <v>1</v>
      </c>
    </row>
    <row r="926" spans="1:17">
      <c r="A926" t="s">
        <v>1429</v>
      </c>
      <c r="B926" s="3" t="s">
        <v>771</v>
      </c>
      <c r="C926" s="3" t="s">
        <v>772</v>
      </c>
      <c r="D926" s="3" t="s">
        <v>11</v>
      </c>
      <c r="E926" s="3" t="s">
        <v>12</v>
      </c>
      <c r="F926" s="3">
        <v>0.21299999999999999</v>
      </c>
      <c r="G926" s="74">
        <f>F926*VLOOKUP(D926,GWPs!$B$3:$C$6,2,FALSE)</f>
        <v>0.21299999999999999</v>
      </c>
      <c r="H926" s="3">
        <v>8.4000000000000005E-2</v>
      </c>
      <c r="I926" s="74">
        <f>H926*VLOOKUP(D926,GWPs!$B$3:$C$6,2,FALSE)</f>
        <v>8.4000000000000005E-2</v>
      </c>
      <c r="J926" s="3">
        <v>0.29699999999999999</v>
      </c>
      <c r="K926" s="74">
        <f>J926*VLOOKUP(D926,GWPs!$B$3:$C$6,2,FALSE)</f>
        <v>0.29699999999999999</v>
      </c>
      <c r="M926" s="3">
        <v>3</v>
      </c>
      <c r="N926" s="3">
        <v>2</v>
      </c>
      <c r="O926" s="3">
        <v>1</v>
      </c>
      <c r="P926" s="3">
        <v>3</v>
      </c>
      <c r="Q926" s="3">
        <v>1</v>
      </c>
    </row>
    <row r="927" spans="1:17">
      <c r="A927" t="s">
        <v>1429</v>
      </c>
      <c r="B927" s="3" t="s">
        <v>771</v>
      </c>
      <c r="C927" s="3" t="s">
        <v>772</v>
      </c>
      <c r="D927" s="3" t="s">
        <v>13</v>
      </c>
      <c r="E927" s="3" t="s">
        <v>12</v>
      </c>
      <c r="F927" s="3">
        <v>1E-3</v>
      </c>
      <c r="G927" s="74">
        <f>F927*VLOOKUP(D927,GWPs!$B$3:$C$6,2,FALSE)</f>
        <v>2.8000000000000001E-2</v>
      </c>
      <c r="H927" s="3">
        <v>0</v>
      </c>
      <c r="I927" s="74">
        <f>H927*VLOOKUP(D927,GWPs!$B$3:$C$6,2,FALSE)</f>
        <v>0</v>
      </c>
      <c r="J927" s="3">
        <v>1E-3</v>
      </c>
      <c r="K927" s="74">
        <f>J927*VLOOKUP(D927,GWPs!$B$3:$C$6,2,FALSE)</f>
        <v>2.8000000000000001E-2</v>
      </c>
      <c r="M927" s="3">
        <v>4</v>
      </c>
      <c r="N927" s="3">
        <v>2</v>
      </c>
      <c r="O927" s="3">
        <v>1</v>
      </c>
      <c r="P927" s="3">
        <v>1</v>
      </c>
      <c r="Q927" s="3">
        <v>1</v>
      </c>
    </row>
    <row r="928" spans="1:17">
      <c r="A928" t="s">
        <v>1429</v>
      </c>
      <c r="B928" s="3" t="s">
        <v>771</v>
      </c>
      <c r="C928" s="3" t="s">
        <v>772</v>
      </c>
      <c r="D928" s="3" t="s">
        <v>14</v>
      </c>
      <c r="E928" s="3" t="s">
        <v>12</v>
      </c>
      <c r="F928" s="3">
        <v>0</v>
      </c>
      <c r="G928" s="74">
        <f>F928*VLOOKUP(D928,GWPs!$B$3:$C$6,2,FALSE)</f>
        <v>0</v>
      </c>
      <c r="H928" s="3">
        <v>0</v>
      </c>
      <c r="I928" s="74">
        <f>H928*VLOOKUP(D928,GWPs!$B$3:$C$6,2,FALSE)</f>
        <v>0</v>
      </c>
      <c r="J928" s="3">
        <v>0</v>
      </c>
      <c r="K928" s="74">
        <f>J928*VLOOKUP(D928,GWPs!$B$3:$C$6,2,FALSE)</f>
        <v>0</v>
      </c>
      <c r="M928" s="3">
        <v>4</v>
      </c>
      <c r="N928" s="3">
        <v>2</v>
      </c>
      <c r="O928" s="3">
        <v>1</v>
      </c>
      <c r="P928" s="3">
        <v>2</v>
      </c>
      <c r="Q928" s="3">
        <v>1</v>
      </c>
    </row>
    <row r="929" spans="1:17">
      <c r="A929" t="s">
        <v>1429</v>
      </c>
      <c r="B929" s="3" t="s">
        <v>771</v>
      </c>
      <c r="C929" s="3" t="s">
        <v>772</v>
      </c>
      <c r="D929" s="3" t="s">
        <v>15</v>
      </c>
      <c r="E929" s="3" t="s">
        <v>16</v>
      </c>
      <c r="F929" s="3">
        <v>3.4000000000000002E-2</v>
      </c>
      <c r="G929" s="74">
        <f>F929*VLOOKUP(D929,GWPs!$B$3:$C$6,2,FALSE)</f>
        <v>3.4000000000000002E-2</v>
      </c>
      <c r="H929" s="3">
        <v>0</v>
      </c>
      <c r="I929" s="74">
        <f>H929*VLOOKUP(D929,GWPs!$B$3:$C$6,2,FALSE)</f>
        <v>0</v>
      </c>
      <c r="J929" s="3">
        <v>3.4000000000000002E-2</v>
      </c>
      <c r="K929" s="74">
        <f>J929*VLOOKUP(D929,GWPs!$B$3:$C$6,2,FALSE)</f>
        <v>3.4000000000000002E-2</v>
      </c>
      <c r="M929" s="3">
        <v>4</v>
      </c>
      <c r="N929" s="3">
        <v>2</v>
      </c>
      <c r="O929" s="3">
        <v>1</v>
      </c>
      <c r="P929" s="3">
        <v>4</v>
      </c>
      <c r="Q929" s="3">
        <v>1</v>
      </c>
    </row>
    <row r="930" spans="1:17">
      <c r="A930" t="s">
        <v>1429</v>
      </c>
      <c r="B930" s="3" t="s">
        <v>773</v>
      </c>
      <c r="C930" s="3" t="s">
        <v>774</v>
      </c>
      <c r="D930" s="3" t="s">
        <v>11</v>
      </c>
      <c r="E930" s="3" t="s">
        <v>12</v>
      </c>
      <c r="F930" s="3">
        <v>0.35</v>
      </c>
      <c r="G930" s="74">
        <f>F930*VLOOKUP(D930,GWPs!$B$3:$C$6,2,FALSE)</f>
        <v>0.35</v>
      </c>
      <c r="H930" s="3">
        <v>6.3E-2</v>
      </c>
      <c r="I930" s="74">
        <f>H930*VLOOKUP(D930,GWPs!$B$3:$C$6,2,FALSE)</f>
        <v>6.3E-2</v>
      </c>
      <c r="J930" s="3">
        <v>0.41299999999999998</v>
      </c>
      <c r="K930" s="74">
        <f>J930*VLOOKUP(D930,GWPs!$B$3:$C$6,2,FALSE)</f>
        <v>0.41299999999999998</v>
      </c>
      <c r="M930" s="3">
        <v>3</v>
      </c>
      <c r="N930" s="3">
        <v>2</v>
      </c>
      <c r="O930" s="3">
        <v>1</v>
      </c>
      <c r="P930" s="3">
        <v>3</v>
      </c>
      <c r="Q930" s="3">
        <v>1</v>
      </c>
    </row>
    <row r="931" spans="1:17">
      <c r="A931" t="s">
        <v>1429</v>
      </c>
      <c r="B931" s="3" t="s">
        <v>773</v>
      </c>
      <c r="C931" s="3" t="s">
        <v>774</v>
      </c>
      <c r="D931" s="3" t="s">
        <v>13</v>
      </c>
      <c r="E931" s="3" t="s">
        <v>12</v>
      </c>
      <c r="F931" s="3">
        <v>2E-3</v>
      </c>
      <c r="G931" s="74">
        <f>F931*VLOOKUP(D931,GWPs!$B$3:$C$6,2,FALSE)</f>
        <v>5.6000000000000001E-2</v>
      </c>
      <c r="H931" s="3">
        <v>0</v>
      </c>
      <c r="I931" s="74">
        <f>H931*VLOOKUP(D931,GWPs!$B$3:$C$6,2,FALSE)</f>
        <v>0</v>
      </c>
      <c r="J931" s="3">
        <v>2E-3</v>
      </c>
      <c r="K931" s="74">
        <f>J931*VLOOKUP(D931,GWPs!$B$3:$C$6,2,FALSE)</f>
        <v>5.6000000000000001E-2</v>
      </c>
      <c r="M931" s="3">
        <v>4</v>
      </c>
      <c r="N931" s="3">
        <v>2</v>
      </c>
      <c r="O931" s="3">
        <v>1</v>
      </c>
      <c r="P931" s="3">
        <v>1</v>
      </c>
      <c r="Q931" s="3">
        <v>1</v>
      </c>
    </row>
    <row r="932" spans="1:17">
      <c r="A932" t="s">
        <v>1429</v>
      </c>
      <c r="B932" s="3" t="s">
        <v>773</v>
      </c>
      <c r="C932" s="3" t="s">
        <v>774</v>
      </c>
      <c r="D932" s="3" t="s">
        <v>14</v>
      </c>
      <c r="E932" s="3" t="s">
        <v>12</v>
      </c>
      <c r="F932" s="3">
        <v>0</v>
      </c>
      <c r="G932" s="74">
        <f>F932*VLOOKUP(D932,GWPs!$B$3:$C$6,2,FALSE)</f>
        <v>0</v>
      </c>
      <c r="H932" s="3">
        <v>0</v>
      </c>
      <c r="I932" s="74">
        <f>H932*VLOOKUP(D932,GWPs!$B$3:$C$6,2,FALSE)</f>
        <v>0</v>
      </c>
      <c r="J932" s="3">
        <v>0</v>
      </c>
      <c r="K932" s="74">
        <f>J932*VLOOKUP(D932,GWPs!$B$3:$C$6,2,FALSE)</f>
        <v>0</v>
      </c>
      <c r="M932" s="3">
        <v>4</v>
      </c>
      <c r="N932" s="3">
        <v>2</v>
      </c>
      <c r="O932" s="3">
        <v>1</v>
      </c>
      <c r="P932" s="3">
        <v>2</v>
      </c>
      <c r="Q932" s="3">
        <v>1</v>
      </c>
    </row>
    <row r="933" spans="1:17">
      <c r="A933" t="s">
        <v>1429</v>
      </c>
      <c r="B933" s="3" t="s">
        <v>773</v>
      </c>
      <c r="C933" s="3" t="s">
        <v>774</v>
      </c>
      <c r="D933" s="3" t="s">
        <v>15</v>
      </c>
      <c r="E933" s="3" t="s">
        <v>16</v>
      </c>
      <c r="F933" s="3">
        <v>3.7999999999999999E-2</v>
      </c>
      <c r="G933" s="74">
        <f>F933*VLOOKUP(D933,GWPs!$B$3:$C$6,2,FALSE)</f>
        <v>3.7999999999999999E-2</v>
      </c>
      <c r="H933" s="3">
        <v>0</v>
      </c>
      <c r="I933" s="74">
        <f>H933*VLOOKUP(D933,GWPs!$B$3:$C$6,2,FALSE)</f>
        <v>0</v>
      </c>
      <c r="J933" s="3">
        <v>3.7999999999999999E-2</v>
      </c>
      <c r="K933" s="74">
        <f>J933*VLOOKUP(D933,GWPs!$B$3:$C$6,2,FALSE)</f>
        <v>3.7999999999999999E-2</v>
      </c>
      <c r="M933" s="3">
        <v>3</v>
      </c>
      <c r="N933" s="3">
        <v>2</v>
      </c>
      <c r="O933" s="3">
        <v>1</v>
      </c>
      <c r="P933" s="3">
        <v>4</v>
      </c>
      <c r="Q933" s="3">
        <v>1</v>
      </c>
    </row>
    <row r="934" spans="1:17">
      <c r="A934" t="s">
        <v>1429</v>
      </c>
      <c r="B934" s="3" t="s">
        <v>775</v>
      </c>
      <c r="C934" s="3" t="s">
        <v>776</v>
      </c>
      <c r="D934" s="3" t="s">
        <v>11</v>
      </c>
      <c r="E934" s="3" t="s">
        <v>12</v>
      </c>
      <c r="F934" s="3">
        <v>0.28199999999999997</v>
      </c>
      <c r="G934" s="74">
        <f>F934*VLOOKUP(D934,GWPs!$B$3:$C$6,2,FALSE)</f>
        <v>0.28199999999999997</v>
      </c>
      <c r="H934" s="3">
        <v>5.2999999999999999E-2</v>
      </c>
      <c r="I934" s="74">
        <f>H934*VLOOKUP(D934,GWPs!$B$3:$C$6,2,FALSE)</f>
        <v>5.2999999999999999E-2</v>
      </c>
      <c r="J934" s="3">
        <v>0.33600000000000002</v>
      </c>
      <c r="K934" s="74">
        <f>J934*VLOOKUP(D934,GWPs!$B$3:$C$6,2,FALSE)</f>
        <v>0.33600000000000002</v>
      </c>
      <c r="M934" s="3">
        <v>3</v>
      </c>
      <c r="N934" s="3">
        <v>2</v>
      </c>
      <c r="O934" s="3">
        <v>1</v>
      </c>
      <c r="P934" s="3">
        <v>3</v>
      </c>
      <c r="Q934" s="3">
        <v>1</v>
      </c>
    </row>
    <row r="935" spans="1:17">
      <c r="A935" t="s">
        <v>1429</v>
      </c>
      <c r="B935" s="3" t="s">
        <v>775</v>
      </c>
      <c r="C935" s="3" t="s">
        <v>776</v>
      </c>
      <c r="D935" s="3" t="s">
        <v>13</v>
      </c>
      <c r="E935" s="3" t="s">
        <v>12</v>
      </c>
      <c r="F935" s="3">
        <v>1E-3</v>
      </c>
      <c r="G935" s="74">
        <f>F935*VLOOKUP(D935,GWPs!$B$3:$C$6,2,FALSE)</f>
        <v>2.8000000000000001E-2</v>
      </c>
      <c r="H935" s="3">
        <v>0</v>
      </c>
      <c r="I935" s="74">
        <f>H935*VLOOKUP(D935,GWPs!$B$3:$C$6,2,FALSE)</f>
        <v>0</v>
      </c>
      <c r="J935" s="3">
        <v>1E-3</v>
      </c>
      <c r="K935" s="74">
        <f>J935*VLOOKUP(D935,GWPs!$B$3:$C$6,2,FALSE)</f>
        <v>2.8000000000000001E-2</v>
      </c>
      <c r="M935" s="3">
        <v>4</v>
      </c>
      <c r="N935" s="3">
        <v>2</v>
      </c>
      <c r="O935" s="3">
        <v>1</v>
      </c>
      <c r="P935" s="3">
        <v>1</v>
      </c>
      <c r="Q935" s="3">
        <v>1</v>
      </c>
    </row>
    <row r="936" spans="1:17">
      <c r="A936" t="s">
        <v>1429</v>
      </c>
      <c r="B936" s="3" t="s">
        <v>775</v>
      </c>
      <c r="C936" s="3" t="s">
        <v>776</v>
      </c>
      <c r="D936" s="3" t="s">
        <v>14</v>
      </c>
      <c r="E936" s="3" t="s">
        <v>12</v>
      </c>
      <c r="F936" s="3">
        <v>0</v>
      </c>
      <c r="G936" s="74">
        <f>F936*VLOOKUP(D936,GWPs!$B$3:$C$6,2,FALSE)</f>
        <v>0</v>
      </c>
      <c r="H936" s="3">
        <v>0</v>
      </c>
      <c r="I936" s="74">
        <f>H936*VLOOKUP(D936,GWPs!$B$3:$C$6,2,FALSE)</f>
        <v>0</v>
      </c>
      <c r="J936" s="3">
        <v>0</v>
      </c>
      <c r="K936" s="74">
        <f>J936*VLOOKUP(D936,GWPs!$B$3:$C$6,2,FALSE)</f>
        <v>0</v>
      </c>
      <c r="M936" s="3">
        <v>3</v>
      </c>
      <c r="N936" s="3">
        <v>2</v>
      </c>
      <c r="O936" s="3">
        <v>1</v>
      </c>
      <c r="P936" s="3">
        <v>3</v>
      </c>
      <c r="Q936" s="3">
        <v>1</v>
      </c>
    </row>
    <row r="937" spans="1:17">
      <c r="A937" t="s">
        <v>1429</v>
      </c>
      <c r="B937" s="3" t="s">
        <v>775</v>
      </c>
      <c r="C937" s="3" t="s">
        <v>776</v>
      </c>
      <c r="D937" s="3" t="s">
        <v>15</v>
      </c>
      <c r="E937" s="3" t="s">
        <v>16</v>
      </c>
      <c r="F937" s="3">
        <v>1.0999999999999999E-2</v>
      </c>
      <c r="G937" s="74">
        <f>F937*VLOOKUP(D937,GWPs!$B$3:$C$6,2,FALSE)</f>
        <v>1.0999999999999999E-2</v>
      </c>
      <c r="H937" s="3">
        <v>0</v>
      </c>
      <c r="I937" s="74">
        <f>H937*VLOOKUP(D937,GWPs!$B$3:$C$6,2,FALSE)</f>
        <v>0</v>
      </c>
      <c r="J937" s="3">
        <v>1.0999999999999999E-2</v>
      </c>
      <c r="K937" s="74">
        <f>J937*VLOOKUP(D937,GWPs!$B$3:$C$6,2,FALSE)</f>
        <v>1.0999999999999999E-2</v>
      </c>
      <c r="M937" s="3">
        <v>3</v>
      </c>
      <c r="N937" s="3">
        <v>2</v>
      </c>
      <c r="O937" s="3">
        <v>1</v>
      </c>
      <c r="P937" s="3">
        <v>2</v>
      </c>
      <c r="Q937" s="3">
        <v>1</v>
      </c>
    </row>
    <row r="938" spans="1:17">
      <c r="A938" t="s">
        <v>1429</v>
      </c>
      <c r="B938" s="3" t="s">
        <v>777</v>
      </c>
      <c r="C938" s="3" t="s">
        <v>778</v>
      </c>
      <c r="D938" s="3" t="s">
        <v>11</v>
      </c>
      <c r="E938" s="3" t="s">
        <v>12</v>
      </c>
      <c r="F938" s="3">
        <v>0.28699999999999998</v>
      </c>
      <c r="G938" s="74">
        <f>F938*VLOOKUP(D938,GWPs!$B$3:$C$6,2,FALSE)</f>
        <v>0.28699999999999998</v>
      </c>
      <c r="H938" s="3">
        <v>8.8999999999999996E-2</v>
      </c>
      <c r="I938" s="74">
        <f>H938*VLOOKUP(D938,GWPs!$B$3:$C$6,2,FALSE)</f>
        <v>8.8999999999999996E-2</v>
      </c>
      <c r="J938" s="3">
        <v>0.376</v>
      </c>
      <c r="K938" s="74">
        <f>J938*VLOOKUP(D938,GWPs!$B$3:$C$6,2,FALSE)</f>
        <v>0.376</v>
      </c>
      <c r="M938" s="3">
        <v>3</v>
      </c>
      <c r="N938" s="3">
        <v>2</v>
      </c>
      <c r="O938" s="3">
        <v>1</v>
      </c>
      <c r="P938" s="3">
        <v>3</v>
      </c>
      <c r="Q938" s="3">
        <v>1</v>
      </c>
    </row>
    <row r="939" spans="1:17">
      <c r="A939" t="s">
        <v>1429</v>
      </c>
      <c r="B939" s="3" t="s">
        <v>777</v>
      </c>
      <c r="C939" s="3" t="s">
        <v>778</v>
      </c>
      <c r="D939" s="3" t="s">
        <v>13</v>
      </c>
      <c r="E939" s="3" t="s">
        <v>12</v>
      </c>
      <c r="F939" s="3">
        <v>1E-3</v>
      </c>
      <c r="G939" s="74">
        <f>F939*VLOOKUP(D939,GWPs!$B$3:$C$6,2,FALSE)</f>
        <v>2.8000000000000001E-2</v>
      </c>
      <c r="H939" s="3">
        <v>0</v>
      </c>
      <c r="I939" s="74">
        <f>H939*VLOOKUP(D939,GWPs!$B$3:$C$6,2,FALSE)</f>
        <v>0</v>
      </c>
      <c r="J939" s="3">
        <v>1E-3</v>
      </c>
      <c r="K939" s="74">
        <f>J939*VLOOKUP(D939,GWPs!$B$3:$C$6,2,FALSE)</f>
        <v>2.8000000000000001E-2</v>
      </c>
      <c r="M939" s="3">
        <v>4</v>
      </c>
      <c r="N939" s="3">
        <v>2</v>
      </c>
      <c r="O939" s="3">
        <v>1</v>
      </c>
      <c r="P939" s="3">
        <v>1</v>
      </c>
      <c r="Q939" s="3">
        <v>1</v>
      </c>
    </row>
    <row r="940" spans="1:17">
      <c r="A940" t="s">
        <v>1429</v>
      </c>
      <c r="B940" s="3" t="s">
        <v>777</v>
      </c>
      <c r="C940" s="3" t="s">
        <v>778</v>
      </c>
      <c r="D940" s="3" t="s">
        <v>14</v>
      </c>
      <c r="E940" s="3" t="s">
        <v>12</v>
      </c>
      <c r="F940" s="3">
        <v>0</v>
      </c>
      <c r="G940" s="74">
        <f>F940*VLOOKUP(D940,GWPs!$B$3:$C$6,2,FALSE)</f>
        <v>0</v>
      </c>
      <c r="H940" s="3">
        <v>0</v>
      </c>
      <c r="I940" s="74">
        <f>H940*VLOOKUP(D940,GWPs!$B$3:$C$6,2,FALSE)</f>
        <v>0</v>
      </c>
      <c r="J940" s="3">
        <v>0</v>
      </c>
      <c r="K940" s="74">
        <f>J940*VLOOKUP(D940,GWPs!$B$3:$C$6,2,FALSE)</f>
        <v>0</v>
      </c>
      <c r="M940" s="3">
        <v>3</v>
      </c>
      <c r="N940" s="3">
        <v>2</v>
      </c>
      <c r="O940" s="3">
        <v>1</v>
      </c>
      <c r="P940" s="3">
        <v>3</v>
      </c>
      <c r="Q940" s="3">
        <v>1</v>
      </c>
    </row>
    <row r="941" spans="1:17">
      <c r="A941" t="s">
        <v>1429</v>
      </c>
      <c r="B941" s="3" t="s">
        <v>777</v>
      </c>
      <c r="C941" s="3" t="s">
        <v>778</v>
      </c>
      <c r="D941" s="3" t="s">
        <v>15</v>
      </c>
      <c r="E941" s="3" t="s">
        <v>16</v>
      </c>
      <c r="F941" s="3">
        <v>1.2999999999999999E-2</v>
      </c>
      <c r="G941" s="74">
        <f>F941*VLOOKUP(D941,GWPs!$B$3:$C$6,2,FALSE)</f>
        <v>1.2999999999999999E-2</v>
      </c>
      <c r="H941" s="3">
        <v>0</v>
      </c>
      <c r="I941" s="74">
        <f>H941*VLOOKUP(D941,GWPs!$B$3:$C$6,2,FALSE)</f>
        <v>0</v>
      </c>
      <c r="J941" s="3">
        <v>1.2999999999999999E-2</v>
      </c>
      <c r="K941" s="74">
        <f>J941*VLOOKUP(D941,GWPs!$B$3:$C$6,2,FALSE)</f>
        <v>1.2999999999999999E-2</v>
      </c>
      <c r="M941" s="3">
        <v>3</v>
      </c>
      <c r="N941" s="3">
        <v>2</v>
      </c>
      <c r="O941" s="3">
        <v>1</v>
      </c>
      <c r="P941" s="3">
        <v>2</v>
      </c>
      <c r="Q941" s="3">
        <v>1</v>
      </c>
    </row>
    <row r="942" spans="1:17">
      <c r="A942" t="s">
        <v>1429</v>
      </c>
      <c r="B942" s="3" t="s">
        <v>779</v>
      </c>
      <c r="C942" s="3" t="s">
        <v>780</v>
      </c>
      <c r="D942" s="3" t="s">
        <v>11</v>
      </c>
      <c r="E942" s="3" t="s">
        <v>12</v>
      </c>
      <c r="F942" s="3">
        <v>0.189</v>
      </c>
      <c r="G942" s="74">
        <f>F942*VLOOKUP(D942,GWPs!$B$3:$C$6,2,FALSE)</f>
        <v>0.189</v>
      </c>
      <c r="H942" s="3">
        <v>2.8000000000000001E-2</v>
      </c>
      <c r="I942" s="74">
        <f>H942*VLOOKUP(D942,GWPs!$B$3:$C$6,2,FALSE)</f>
        <v>2.8000000000000001E-2</v>
      </c>
      <c r="J942" s="3">
        <v>0.217</v>
      </c>
      <c r="K942" s="74">
        <f>J942*VLOOKUP(D942,GWPs!$B$3:$C$6,2,FALSE)</f>
        <v>0.217</v>
      </c>
      <c r="M942" s="3">
        <v>3</v>
      </c>
      <c r="N942" s="3">
        <v>2</v>
      </c>
      <c r="O942" s="3">
        <v>1</v>
      </c>
      <c r="P942" s="3">
        <v>3</v>
      </c>
      <c r="Q942" s="3">
        <v>1</v>
      </c>
    </row>
    <row r="943" spans="1:17">
      <c r="A943" t="s">
        <v>1429</v>
      </c>
      <c r="B943" s="3" t="s">
        <v>779</v>
      </c>
      <c r="C943" s="3" t="s">
        <v>780</v>
      </c>
      <c r="D943" s="3" t="s">
        <v>13</v>
      </c>
      <c r="E943" s="3" t="s">
        <v>12</v>
      </c>
      <c r="F943" s="3">
        <v>1E-3</v>
      </c>
      <c r="G943" s="74">
        <f>F943*VLOOKUP(D943,GWPs!$B$3:$C$6,2,FALSE)</f>
        <v>2.8000000000000001E-2</v>
      </c>
      <c r="H943" s="3">
        <v>0</v>
      </c>
      <c r="I943" s="74">
        <f>H943*VLOOKUP(D943,GWPs!$B$3:$C$6,2,FALSE)</f>
        <v>0</v>
      </c>
      <c r="J943" s="3">
        <v>1E-3</v>
      </c>
      <c r="K943" s="74">
        <f>J943*VLOOKUP(D943,GWPs!$B$3:$C$6,2,FALSE)</f>
        <v>2.8000000000000001E-2</v>
      </c>
      <c r="M943" s="3">
        <v>4</v>
      </c>
      <c r="N943" s="3">
        <v>2</v>
      </c>
      <c r="O943" s="3">
        <v>1</v>
      </c>
      <c r="P943" s="3">
        <v>1</v>
      </c>
      <c r="Q943" s="3">
        <v>1</v>
      </c>
    </row>
    <row r="944" spans="1:17">
      <c r="A944" t="s">
        <v>1429</v>
      </c>
      <c r="B944" s="3" t="s">
        <v>779</v>
      </c>
      <c r="C944" s="3" t="s">
        <v>780</v>
      </c>
      <c r="D944" s="3" t="s">
        <v>14</v>
      </c>
      <c r="E944" s="3" t="s">
        <v>12</v>
      </c>
      <c r="F944" s="3">
        <v>0</v>
      </c>
      <c r="G944" s="74">
        <f>F944*VLOOKUP(D944,GWPs!$B$3:$C$6,2,FALSE)</f>
        <v>0</v>
      </c>
      <c r="H944" s="3">
        <v>0</v>
      </c>
      <c r="I944" s="74">
        <f>H944*VLOOKUP(D944,GWPs!$B$3:$C$6,2,FALSE)</f>
        <v>0</v>
      </c>
      <c r="J944" s="3">
        <v>0</v>
      </c>
      <c r="K944" s="74">
        <f>J944*VLOOKUP(D944,GWPs!$B$3:$C$6,2,FALSE)</f>
        <v>0</v>
      </c>
      <c r="M944" s="3">
        <v>3</v>
      </c>
      <c r="N944" s="3">
        <v>2</v>
      </c>
      <c r="O944" s="3">
        <v>1</v>
      </c>
      <c r="P944" s="3">
        <v>3</v>
      </c>
      <c r="Q944" s="3">
        <v>1</v>
      </c>
    </row>
    <row r="945" spans="1:17">
      <c r="A945" t="s">
        <v>1429</v>
      </c>
      <c r="B945" s="3" t="s">
        <v>779</v>
      </c>
      <c r="C945" s="3" t="s">
        <v>780</v>
      </c>
      <c r="D945" s="3" t="s">
        <v>15</v>
      </c>
      <c r="E945" s="3" t="s">
        <v>16</v>
      </c>
      <c r="F945" s="3">
        <v>1.0999999999999999E-2</v>
      </c>
      <c r="G945" s="74">
        <f>F945*VLOOKUP(D945,GWPs!$B$3:$C$6,2,FALSE)</f>
        <v>1.0999999999999999E-2</v>
      </c>
      <c r="H945" s="3">
        <v>0</v>
      </c>
      <c r="I945" s="74">
        <f>H945*VLOOKUP(D945,GWPs!$B$3:$C$6,2,FALSE)</f>
        <v>0</v>
      </c>
      <c r="J945" s="3">
        <v>1.0999999999999999E-2</v>
      </c>
      <c r="K945" s="74">
        <f>J945*VLOOKUP(D945,GWPs!$B$3:$C$6,2,FALSE)</f>
        <v>1.0999999999999999E-2</v>
      </c>
      <c r="M945" s="3">
        <v>3</v>
      </c>
      <c r="N945" s="3">
        <v>2</v>
      </c>
      <c r="O945" s="3">
        <v>1</v>
      </c>
      <c r="P945" s="3">
        <v>2</v>
      </c>
      <c r="Q945" s="3">
        <v>1</v>
      </c>
    </row>
    <row r="946" spans="1:17">
      <c r="A946" t="s">
        <v>1429</v>
      </c>
      <c r="B946" s="3" t="s">
        <v>781</v>
      </c>
      <c r="C946" s="3" t="s">
        <v>782</v>
      </c>
      <c r="D946" s="3" t="s">
        <v>11</v>
      </c>
      <c r="E946" s="3" t="s">
        <v>12</v>
      </c>
      <c r="F946" s="3">
        <v>0.251</v>
      </c>
      <c r="G946" s="74">
        <f>F946*VLOOKUP(D946,GWPs!$B$3:$C$6,2,FALSE)</f>
        <v>0.251</v>
      </c>
      <c r="H946" s="3">
        <v>0.02</v>
      </c>
      <c r="I946" s="74">
        <f>H946*VLOOKUP(D946,GWPs!$B$3:$C$6,2,FALSE)</f>
        <v>0.02</v>
      </c>
      <c r="J946" s="3">
        <v>0.27100000000000002</v>
      </c>
      <c r="K946" s="74">
        <f>J946*VLOOKUP(D946,GWPs!$B$3:$C$6,2,FALSE)</f>
        <v>0.27100000000000002</v>
      </c>
      <c r="M946" s="3">
        <v>3</v>
      </c>
      <c r="N946" s="3">
        <v>2</v>
      </c>
      <c r="O946" s="3">
        <v>1</v>
      </c>
      <c r="P946" s="3">
        <v>3</v>
      </c>
      <c r="Q946" s="3">
        <v>1</v>
      </c>
    </row>
    <row r="947" spans="1:17">
      <c r="A947" t="s">
        <v>1429</v>
      </c>
      <c r="B947" s="3" t="s">
        <v>781</v>
      </c>
      <c r="C947" s="3" t="s">
        <v>782</v>
      </c>
      <c r="D947" s="3" t="s">
        <v>13</v>
      </c>
      <c r="E947" s="3" t="s">
        <v>12</v>
      </c>
      <c r="F947" s="3">
        <v>1E-3</v>
      </c>
      <c r="G947" s="74">
        <f>F947*VLOOKUP(D947,GWPs!$B$3:$C$6,2,FALSE)</f>
        <v>2.8000000000000001E-2</v>
      </c>
      <c r="H947" s="3">
        <v>0</v>
      </c>
      <c r="I947" s="74">
        <f>H947*VLOOKUP(D947,GWPs!$B$3:$C$6,2,FALSE)</f>
        <v>0</v>
      </c>
      <c r="J947" s="3">
        <v>1E-3</v>
      </c>
      <c r="K947" s="74">
        <f>J947*VLOOKUP(D947,GWPs!$B$3:$C$6,2,FALSE)</f>
        <v>2.8000000000000001E-2</v>
      </c>
      <c r="M947" s="3">
        <v>4</v>
      </c>
      <c r="N947" s="3">
        <v>2</v>
      </c>
      <c r="O947" s="3">
        <v>1</v>
      </c>
      <c r="P947" s="3">
        <v>1</v>
      </c>
      <c r="Q947" s="3">
        <v>1</v>
      </c>
    </row>
    <row r="948" spans="1:17">
      <c r="A948" t="s">
        <v>1429</v>
      </c>
      <c r="B948" s="3" t="s">
        <v>781</v>
      </c>
      <c r="C948" s="3" t="s">
        <v>782</v>
      </c>
      <c r="D948" s="3" t="s">
        <v>14</v>
      </c>
      <c r="E948" s="3" t="s">
        <v>12</v>
      </c>
      <c r="F948" s="3">
        <v>0</v>
      </c>
      <c r="G948" s="74">
        <f>F948*VLOOKUP(D948,GWPs!$B$3:$C$6,2,FALSE)</f>
        <v>0</v>
      </c>
      <c r="H948" s="3">
        <v>0</v>
      </c>
      <c r="I948" s="74">
        <f>H948*VLOOKUP(D948,GWPs!$B$3:$C$6,2,FALSE)</f>
        <v>0</v>
      </c>
      <c r="J948" s="3">
        <v>0</v>
      </c>
      <c r="K948" s="74">
        <f>J948*VLOOKUP(D948,GWPs!$B$3:$C$6,2,FALSE)</f>
        <v>0</v>
      </c>
      <c r="M948" s="3">
        <v>4</v>
      </c>
      <c r="N948" s="3">
        <v>2</v>
      </c>
      <c r="O948" s="3">
        <v>1</v>
      </c>
      <c r="P948" s="3">
        <v>3</v>
      </c>
      <c r="Q948" s="3">
        <v>1</v>
      </c>
    </row>
    <row r="949" spans="1:17">
      <c r="A949" t="s">
        <v>1429</v>
      </c>
      <c r="B949" s="3" t="s">
        <v>781</v>
      </c>
      <c r="C949" s="3" t="s">
        <v>782</v>
      </c>
      <c r="D949" s="3" t="s">
        <v>15</v>
      </c>
      <c r="E949" s="3" t="s">
        <v>16</v>
      </c>
      <c r="F949" s="3">
        <v>2.1000000000000001E-2</v>
      </c>
      <c r="G949" s="74">
        <f>F949*VLOOKUP(D949,GWPs!$B$3:$C$6,2,FALSE)</f>
        <v>2.1000000000000001E-2</v>
      </c>
      <c r="H949" s="3">
        <v>0</v>
      </c>
      <c r="I949" s="74">
        <f>H949*VLOOKUP(D949,GWPs!$B$3:$C$6,2,FALSE)</f>
        <v>0</v>
      </c>
      <c r="J949" s="3">
        <v>2.1000000000000001E-2</v>
      </c>
      <c r="K949" s="74">
        <f>J949*VLOOKUP(D949,GWPs!$B$3:$C$6,2,FALSE)</f>
        <v>2.1000000000000001E-2</v>
      </c>
      <c r="M949" s="3">
        <v>4</v>
      </c>
      <c r="N949" s="3">
        <v>2</v>
      </c>
      <c r="O949" s="3">
        <v>1</v>
      </c>
      <c r="P949" s="3">
        <v>4</v>
      </c>
      <c r="Q949" s="3">
        <v>1</v>
      </c>
    </row>
    <row r="950" spans="1:17">
      <c r="A950" t="s">
        <v>1429</v>
      </c>
      <c r="B950" s="3" t="s">
        <v>783</v>
      </c>
      <c r="C950" s="3" t="s">
        <v>784</v>
      </c>
      <c r="D950" s="3" t="s">
        <v>11</v>
      </c>
      <c r="E950" s="3" t="s">
        <v>12</v>
      </c>
      <c r="F950" s="3">
        <v>0.39100000000000001</v>
      </c>
      <c r="G950" s="74">
        <f>F950*VLOOKUP(D950,GWPs!$B$3:$C$6,2,FALSE)</f>
        <v>0.39100000000000001</v>
      </c>
      <c r="H950" s="3">
        <v>1.7000000000000001E-2</v>
      </c>
      <c r="I950" s="74">
        <f>H950*VLOOKUP(D950,GWPs!$B$3:$C$6,2,FALSE)</f>
        <v>1.7000000000000001E-2</v>
      </c>
      <c r="J950" s="3">
        <v>0.40799999999999997</v>
      </c>
      <c r="K950" s="74">
        <f>J950*VLOOKUP(D950,GWPs!$B$3:$C$6,2,FALSE)</f>
        <v>0.40799999999999997</v>
      </c>
      <c r="M950" s="3">
        <v>3</v>
      </c>
      <c r="N950" s="3">
        <v>2</v>
      </c>
      <c r="O950" s="3">
        <v>1</v>
      </c>
      <c r="P950" s="3">
        <v>2</v>
      </c>
      <c r="Q950" s="3">
        <v>1</v>
      </c>
    </row>
    <row r="951" spans="1:17">
      <c r="A951" t="s">
        <v>1429</v>
      </c>
      <c r="B951" s="3" t="s">
        <v>783</v>
      </c>
      <c r="C951" s="3" t="s">
        <v>784</v>
      </c>
      <c r="D951" s="3" t="s">
        <v>13</v>
      </c>
      <c r="E951" s="3" t="s">
        <v>12</v>
      </c>
      <c r="F951" s="3">
        <v>2E-3</v>
      </c>
      <c r="G951" s="74">
        <f>F951*VLOOKUP(D951,GWPs!$B$3:$C$6,2,FALSE)</f>
        <v>5.6000000000000001E-2</v>
      </c>
      <c r="H951" s="3">
        <v>0</v>
      </c>
      <c r="I951" s="74">
        <f>H951*VLOOKUP(D951,GWPs!$B$3:$C$6,2,FALSE)</f>
        <v>0</v>
      </c>
      <c r="J951" s="3">
        <v>2E-3</v>
      </c>
      <c r="K951" s="74">
        <f>J951*VLOOKUP(D951,GWPs!$B$3:$C$6,2,FALSE)</f>
        <v>5.6000000000000001E-2</v>
      </c>
      <c r="M951" s="3">
        <v>4</v>
      </c>
      <c r="N951" s="3">
        <v>2</v>
      </c>
      <c r="O951" s="3">
        <v>1</v>
      </c>
      <c r="P951" s="3">
        <v>1</v>
      </c>
      <c r="Q951" s="3">
        <v>1</v>
      </c>
    </row>
    <row r="952" spans="1:17">
      <c r="A952" t="s">
        <v>1429</v>
      </c>
      <c r="B952" s="3" t="s">
        <v>783</v>
      </c>
      <c r="C952" s="3" t="s">
        <v>784</v>
      </c>
      <c r="D952" s="3" t="s">
        <v>14</v>
      </c>
      <c r="E952" s="3" t="s">
        <v>12</v>
      </c>
      <c r="F952" s="3">
        <v>0</v>
      </c>
      <c r="G952" s="74">
        <f>F952*VLOOKUP(D952,GWPs!$B$3:$C$6,2,FALSE)</f>
        <v>0</v>
      </c>
      <c r="H952" s="3">
        <v>0</v>
      </c>
      <c r="I952" s="74">
        <f>H952*VLOOKUP(D952,GWPs!$B$3:$C$6,2,FALSE)</f>
        <v>0</v>
      </c>
      <c r="J952" s="3">
        <v>0</v>
      </c>
      <c r="K952" s="74">
        <f>J952*VLOOKUP(D952,GWPs!$B$3:$C$6,2,FALSE)</f>
        <v>0</v>
      </c>
      <c r="M952" s="3">
        <v>3</v>
      </c>
      <c r="N952" s="3">
        <v>2</v>
      </c>
      <c r="O952" s="3">
        <v>1</v>
      </c>
      <c r="P952" s="3">
        <v>3</v>
      </c>
      <c r="Q952" s="3">
        <v>1</v>
      </c>
    </row>
    <row r="953" spans="1:17">
      <c r="A953" t="s">
        <v>1429</v>
      </c>
      <c r="B953" s="3" t="s">
        <v>783</v>
      </c>
      <c r="C953" s="3" t="s">
        <v>784</v>
      </c>
      <c r="D953" s="3" t="s">
        <v>15</v>
      </c>
      <c r="E953" s="3" t="s">
        <v>16</v>
      </c>
      <c r="F953" s="3">
        <v>1.0999999999999999E-2</v>
      </c>
      <c r="G953" s="74">
        <f>F953*VLOOKUP(D953,GWPs!$B$3:$C$6,2,FALSE)</f>
        <v>1.0999999999999999E-2</v>
      </c>
      <c r="H953" s="3">
        <v>0</v>
      </c>
      <c r="I953" s="74">
        <f>H953*VLOOKUP(D953,GWPs!$B$3:$C$6,2,FALSE)</f>
        <v>0</v>
      </c>
      <c r="J953" s="3">
        <v>1.0999999999999999E-2</v>
      </c>
      <c r="K953" s="74">
        <f>J953*VLOOKUP(D953,GWPs!$B$3:$C$6,2,FALSE)</f>
        <v>1.0999999999999999E-2</v>
      </c>
      <c r="M953" s="3">
        <v>3</v>
      </c>
      <c r="N953" s="3">
        <v>2</v>
      </c>
      <c r="O953" s="3">
        <v>1</v>
      </c>
      <c r="P953" s="3">
        <v>3</v>
      </c>
      <c r="Q953" s="3">
        <v>1</v>
      </c>
    </row>
    <row r="954" spans="1:17">
      <c r="A954" t="s">
        <v>1429</v>
      </c>
      <c r="B954" s="3" t="s">
        <v>785</v>
      </c>
      <c r="C954" s="3" t="s">
        <v>786</v>
      </c>
      <c r="D954" s="3" t="s">
        <v>11</v>
      </c>
      <c r="E954" s="3" t="s">
        <v>12</v>
      </c>
      <c r="F954" s="3">
        <v>0.31900000000000001</v>
      </c>
      <c r="G954" s="74">
        <f>F954*VLOOKUP(D954,GWPs!$B$3:$C$6,2,FALSE)</f>
        <v>0.31900000000000001</v>
      </c>
      <c r="H954" s="3">
        <v>5.3999999999999999E-2</v>
      </c>
      <c r="I954" s="74">
        <f>H954*VLOOKUP(D954,GWPs!$B$3:$C$6,2,FALSE)</f>
        <v>5.3999999999999999E-2</v>
      </c>
      <c r="J954" s="3">
        <v>0.373</v>
      </c>
      <c r="K954" s="74">
        <f>J954*VLOOKUP(D954,GWPs!$B$3:$C$6,2,FALSE)</f>
        <v>0.373</v>
      </c>
      <c r="M954" s="3">
        <v>3</v>
      </c>
      <c r="N954" s="3">
        <v>2</v>
      </c>
      <c r="O954" s="3">
        <v>1</v>
      </c>
      <c r="P954" s="3">
        <v>3</v>
      </c>
      <c r="Q954" s="3">
        <v>1</v>
      </c>
    </row>
    <row r="955" spans="1:17">
      <c r="A955" t="s">
        <v>1429</v>
      </c>
      <c r="B955" s="3" t="s">
        <v>785</v>
      </c>
      <c r="C955" s="3" t="s">
        <v>786</v>
      </c>
      <c r="D955" s="3" t="s">
        <v>13</v>
      </c>
      <c r="E955" s="3" t="s">
        <v>12</v>
      </c>
      <c r="F955" s="3">
        <v>1E-3</v>
      </c>
      <c r="G955" s="74">
        <f>F955*VLOOKUP(D955,GWPs!$B$3:$C$6,2,FALSE)</f>
        <v>2.8000000000000001E-2</v>
      </c>
      <c r="H955" s="3">
        <v>0</v>
      </c>
      <c r="I955" s="74">
        <f>H955*VLOOKUP(D955,GWPs!$B$3:$C$6,2,FALSE)</f>
        <v>0</v>
      </c>
      <c r="J955" s="3">
        <v>2E-3</v>
      </c>
      <c r="K955" s="74">
        <f>J955*VLOOKUP(D955,GWPs!$B$3:$C$6,2,FALSE)</f>
        <v>5.6000000000000001E-2</v>
      </c>
      <c r="M955" s="3">
        <v>4</v>
      </c>
      <c r="N955" s="3">
        <v>2</v>
      </c>
      <c r="O955" s="3">
        <v>1</v>
      </c>
      <c r="P955" s="3">
        <v>1</v>
      </c>
      <c r="Q955" s="3">
        <v>1</v>
      </c>
    </row>
    <row r="956" spans="1:17">
      <c r="A956" t="s">
        <v>1429</v>
      </c>
      <c r="B956" s="3" t="s">
        <v>785</v>
      </c>
      <c r="C956" s="3" t="s">
        <v>786</v>
      </c>
      <c r="D956" s="3" t="s">
        <v>14</v>
      </c>
      <c r="E956" s="3" t="s">
        <v>12</v>
      </c>
      <c r="F956" s="3">
        <v>0</v>
      </c>
      <c r="G956" s="74">
        <f>F956*VLOOKUP(D956,GWPs!$B$3:$C$6,2,FALSE)</f>
        <v>0</v>
      </c>
      <c r="H956" s="3">
        <v>0</v>
      </c>
      <c r="I956" s="74">
        <f>H956*VLOOKUP(D956,GWPs!$B$3:$C$6,2,FALSE)</f>
        <v>0</v>
      </c>
      <c r="J956" s="3">
        <v>0</v>
      </c>
      <c r="K956" s="74">
        <f>J956*VLOOKUP(D956,GWPs!$B$3:$C$6,2,FALSE)</f>
        <v>0</v>
      </c>
      <c r="M956" s="3">
        <v>3</v>
      </c>
      <c r="N956" s="3">
        <v>2</v>
      </c>
      <c r="O956" s="3">
        <v>1</v>
      </c>
      <c r="P956" s="3">
        <v>3</v>
      </c>
      <c r="Q956" s="3">
        <v>1</v>
      </c>
    </row>
    <row r="957" spans="1:17">
      <c r="A957" t="s">
        <v>1429</v>
      </c>
      <c r="B957" s="3" t="s">
        <v>785</v>
      </c>
      <c r="C957" s="3" t="s">
        <v>786</v>
      </c>
      <c r="D957" s="3" t="s">
        <v>15</v>
      </c>
      <c r="E957" s="3" t="s">
        <v>16</v>
      </c>
      <c r="F957" s="3">
        <v>1.4999999999999999E-2</v>
      </c>
      <c r="G957" s="74">
        <f>F957*VLOOKUP(D957,GWPs!$B$3:$C$6,2,FALSE)</f>
        <v>1.4999999999999999E-2</v>
      </c>
      <c r="H957" s="3">
        <v>0</v>
      </c>
      <c r="I957" s="74">
        <f>H957*VLOOKUP(D957,GWPs!$B$3:$C$6,2,FALSE)</f>
        <v>0</v>
      </c>
      <c r="J957" s="3">
        <v>1.4999999999999999E-2</v>
      </c>
      <c r="K957" s="74">
        <f>J957*VLOOKUP(D957,GWPs!$B$3:$C$6,2,FALSE)</f>
        <v>1.4999999999999999E-2</v>
      </c>
      <c r="M957" s="3">
        <v>3</v>
      </c>
      <c r="N957" s="3">
        <v>2</v>
      </c>
      <c r="O957" s="3">
        <v>1</v>
      </c>
      <c r="P957" s="3">
        <v>4</v>
      </c>
      <c r="Q957" s="3">
        <v>1</v>
      </c>
    </row>
    <row r="958" spans="1:17">
      <c r="A958" t="s">
        <v>1429</v>
      </c>
      <c r="B958" s="3" t="s">
        <v>787</v>
      </c>
      <c r="C958" s="3" t="s">
        <v>788</v>
      </c>
      <c r="D958" s="3" t="s">
        <v>11</v>
      </c>
      <c r="E958" s="3" t="s">
        <v>12</v>
      </c>
      <c r="F958" s="3">
        <v>0.26200000000000001</v>
      </c>
      <c r="G958" s="74">
        <f>F958*VLOOKUP(D958,GWPs!$B$3:$C$6,2,FALSE)</f>
        <v>0.26200000000000001</v>
      </c>
      <c r="H958" s="3">
        <v>4.9000000000000002E-2</v>
      </c>
      <c r="I958" s="74">
        <f>H958*VLOOKUP(D958,GWPs!$B$3:$C$6,2,FALSE)</f>
        <v>4.9000000000000002E-2</v>
      </c>
      <c r="J958" s="3">
        <v>0.311</v>
      </c>
      <c r="K958" s="74">
        <f>J958*VLOOKUP(D958,GWPs!$B$3:$C$6,2,FALSE)</f>
        <v>0.311</v>
      </c>
      <c r="M958" s="3">
        <v>3</v>
      </c>
      <c r="N958" s="3">
        <v>2</v>
      </c>
      <c r="O958" s="3">
        <v>1</v>
      </c>
      <c r="P958" s="3">
        <v>3</v>
      </c>
      <c r="Q958" s="3">
        <v>1</v>
      </c>
    </row>
    <row r="959" spans="1:17">
      <c r="A959" t="s">
        <v>1429</v>
      </c>
      <c r="B959" s="3" t="s">
        <v>787</v>
      </c>
      <c r="C959" s="3" t="s">
        <v>788</v>
      </c>
      <c r="D959" s="3" t="s">
        <v>13</v>
      </c>
      <c r="E959" s="3" t="s">
        <v>12</v>
      </c>
      <c r="F959" s="3">
        <v>1E-3</v>
      </c>
      <c r="G959" s="74">
        <f>F959*VLOOKUP(D959,GWPs!$B$3:$C$6,2,FALSE)</f>
        <v>2.8000000000000001E-2</v>
      </c>
      <c r="H959" s="3">
        <v>0</v>
      </c>
      <c r="I959" s="74">
        <f>H959*VLOOKUP(D959,GWPs!$B$3:$C$6,2,FALSE)</f>
        <v>0</v>
      </c>
      <c r="J959" s="3">
        <v>1E-3</v>
      </c>
      <c r="K959" s="74">
        <f>J959*VLOOKUP(D959,GWPs!$B$3:$C$6,2,FALSE)</f>
        <v>2.8000000000000001E-2</v>
      </c>
      <c r="M959" s="3">
        <v>4</v>
      </c>
      <c r="N959" s="3">
        <v>2</v>
      </c>
      <c r="O959" s="3">
        <v>1</v>
      </c>
      <c r="P959" s="3">
        <v>1</v>
      </c>
      <c r="Q959" s="3">
        <v>1</v>
      </c>
    </row>
    <row r="960" spans="1:17">
      <c r="A960" t="s">
        <v>1429</v>
      </c>
      <c r="B960" s="3" t="s">
        <v>787</v>
      </c>
      <c r="C960" s="3" t="s">
        <v>788</v>
      </c>
      <c r="D960" s="3" t="s">
        <v>14</v>
      </c>
      <c r="E960" s="3" t="s">
        <v>12</v>
      </c>
      <c r="F960" s="3">
        <v>0</v>
      </c>
      <c r="G960" s="74">
        <f>F960*VLOOKUP(D960,GWPs!$B$3:$C$6,2,FALSE)</f>
        <v>0</v>
      </c>
      <c r="H960" s="3">
        <v>0</v>
      </c>
      <c r="I960" s="74">
        <f>H960*VLOOKUP(D960,GWPs!$B$3:$C$6,2,FALSE)</f>
        <v>0</v>
      </c>
      <c r="J960" s="3">
        <v>0</v>
      </c>
      <c r="K960" s="74">
        <f>J960*VLOOKUP(D960,GWPs!$B$3:$C$6,2,FALSE)</f>
        <v>0</v>
      </c>
      <c r="M960" s="3">
        <v>3</v>
      </c>
      <c r="N960" s="3">
        <v>2</v>
      </c>
      <c r="O960" s="3">
        <v>1</v>
      </c>
      <c r="P960" s="3">
        <v>3</v>
      </c>
      <c r="Q960" s="3">
        <v>1</v>
      </c>
    </row>
    <row r="961" spans="1:17">
      <c r="A961" t="s">
        <v>1429</v>
      </c>
      <c r="B961" s="3" t="s">
        <v>787</v>
      </c>
      <c r="C961" s="3" t="s">
        <v>788</v>
      </c>
      <c r="D961" s="3" t="s">
        <v>15</v>
      </c>
      <c r="E961" s="3" t="s">
        <v>16</v>
      </c>
      <c r="F961" s="3">
        <v>8.9999999999999993E-3</v>
      </c>
      <c r="G961" s="74">
        <f>F961*VLOOKUP(D961,GWPs!$B$3:$C$6,2,FALSE)</f>
        <v>8.9999999999999993E-3</v>
      </c>
      <c r="H961" s="3">
        <v>0</v>
      </c>
      <c r="I961" s="74">
        <f>H961*VLOOKUP(D961,GWPs!$B$3:$C$6,2,FALSE)</f>
        <v>0</v>
      </c>
      <c r="J961" s="3">
        <v>8.9999999999999993E-3</v>
      </c>
      <c r="K961" s="74">
        <f>J961*VLOOKUP(D961,GWPs!$B$3:$C$6,2,FALSE)</f>
        <v>8.9999999999999993E-3</v>
      </c>
      <c r="M961" s="3">
        <v>3</v>
      </c>
      <c r="N961" s="3">
        <v>2</v>
      </c>
      <c r="O961" s="3">
        <v>1</v>
      </c>
      <c r="P961" s="3">
        <v>2</v>
      </c>
      <c r="Q961" s="3">
        <v>1</v>
      </c>
    </row>
    <row r="962" spans="1:17">
      <c r="A962" t="s">
        <v>1429</v>
      </c>
      <c r="B962" s="3" t="s">
        <v>789</v>
      </c>
      <c r="C962" s="3" t="s">
        <v>17</v>
      </c>
      <c r="D962" s="3" t="s">
        <v>11</v>
      </c>
      <c r="E962" s="3" t="s">
        <v>12</v>
      </c>
      <c r="F962" s="3">
        <v>7.8E-2</v>
      </c>
      <c r="G962" s="74">
        <f>F962*VLOOKUP(D962,GWPs!$B$3:$C$6,2,FALSE)</f>
        <v>7.8E-2</v>
      </c>
      <c r="H962" s="3">
        <v>7.0000000000000001E-3</v>
      </c>
      <c r="I962" s="74">
        <f>H962*VLOOKUP(D962,GWPs!$B$3:$C$6,2,FALSE)</f>
        <v>7.0000000000000001E-3</v>
      </c>
      <c r="J962" s="3">
        <v>8.5000000000000006E-2</v>
      </c>
      <c r="K962" s="74">
        <f>J962*VLOOKUP(D962,GWPs!$B$3:$C$6,2,FALSE)</f>
        <v>8.5000000000000006E-2</v>
      </c>
      <c r="M962" s="3">
        <v>3</v>
      </c>
      <c r="N962" s="3">
        <v>2</v>
      </c>
      <c r="O962" s="3">
        <v>1</v>
      </c>
      <c r="P962" s="3">
        <v>3</v>
      </c>
      <c r="Q962" s="3">
        <v>1</v>
      </c>
    </row>
    <row r="963" spans="1:17">
      <c r="A963" t="s">
        <v>1429</v>
      </c>
      <c r="B963" s="3" t="s">
        <v>789</v>
      </c>
      <c r="C963" s="3" t="s">
        <v>17</v>
      </c>
      <c r="D963" s="3" t="s">
        <v>13</v>
      </c>
      <c r="E963" s="3" t="s">
        <v>12</v>
      </c>
      <c r="F963" s="3">
        <v>0</v>
      </c>
      <c r="G963" s="74">
        <f>F963*VLOOKUP(D963,GWPs!$B$3:$C$6,2,FALSE)</f>
        <v>0</v>
      </c>
      <c r="H963" s="3">
        <v>0</v>
      </c>
      <c r="I963" s="74">
        <f>H963*VLOOKUP(D963,GWPs!$B$3:$C$6,2,FALSE)</f>
        <v>0</v>
      </c>
      <c r="J963" s="3">
        <v>0</v>
      </c>
      <c r="K963" s="74">
        <f>J963*VLOOKUP(D963,GWPs!$B$3:$C$6,2,FALSE)</f>
        <v>0</v>
      </c>
      <c r="M963" s="3">
        <v>4</v>
      </c>
      <c r="N963" s="3">
        <v>2</v>
      </c>
      <c r="O963" s="3">
        <v>1</v>
      </c>
      <c r="P963" s="3">
        <v>1</v>
      </c>
      <c r="Q963" s="3">
        <v>1</v>
      </c>
    </row>
    <row r="964" spans="1:17">
      <c r="A964" t="s">
        <v>1429</v>
      </c>
      <c r="B964" s="3" t="s">
        <v>789</v>
      </c>
      <c r="C964" s="3" t="s">
        <v>17</v>
      </c>
      <c r="D964" s="3" t="s">
        <v>14</v>
      </c>
      <c r="E964" s="3" t="s">
        <v>12</v>
      </c>
      <c r="F964" s="3">
        <v>0</v>
      </c>
      <c r="G964" s="74">
        <f>F964*VLOOKUP(D964,GWPs!$B$3:$C$6,2,FALSE)</f>
        <v>0</v>
      </c>
      <c r="H964" s="3">
        <v>0</v>
      </c>
      <c r="I964" s="74">
        <f>H964*VLOOKUP(D964,GWPs!$B$3:$C$6,2,FALSE)</f>
        <v>0</v>
      </c>
      <c r="J964" s="3">
        <v>0</v>
      </c>
      <c r="K964" s="74">
        <f>J964*VLOOKUP(D964,GWPs!$B$3:$C$6,2,FALSE)</f>
        <v>0</v>
      </c>
      <c r="M964" s="3">
        <v>3</v>
      </c>
      <c r="N964" s="3">
        <v>2</v>
      </c>
      <c r="O964" s="3">
        <v>1</v>
      </c>
      <c r="P964" s="3">
        <v>3</v>
      </c>
      <c r="Q964" s="3">
        <v>1</v>
      </c>
    </row>
    <row r="965" spans="1:17">
      <c r="A965" t="s">
        <v>1429</v>
      </c>
      <c r="B965" s="3" t="s">
        <v>789</v>
      </c>
      <c r="C965" s="3" t="s">
        <v>17</v>
      </c>
      <c r="D965" s="3" t="s">
        <v>15</v>
      </c>
      <c r="E965" s="3" t="s">
        <v>16</v>
      </c>
      <c r="F965" s="3">
        <v>5.0000000000000001E-3</v>
      </c>
      <c r="G965" s="74">
        <f>F965*VLOOKUP(D965,GWPs!$B$3:$C$6,2,FALSE)</f>
        <v>5.0000000000000001E-3</v>
      </c>
      <c r="H965" s="3">
        <v>0</v>
      </c>
      <c r="I965" s="74">
        <f>H965*VLOOKUP(D965,GWPs!$B$3:$C$6,2,FALSE)</f>
        <v>0</v>
      </c>
      <c r="J965" s="3">
        <v>5.0000000000000001E-3</v>
      </c>
      <c r="K965" s="74">
        <f>J965*VLOOKUP(D965,GWPs!$B$3:$C$6,2,FALSE)</f>
        <v>5.0000000000000001E-3</v>
      </c>
      <c r="M965" s="3">
        <v>3</v>
      </c>
      <c r="N965" s="3">
        <v>2</v>
      </c>
      <c r="O965" s="3">
        <v>1</v>
      </c>
      <c r="P965" s="3">
        <v>2</v>
      </c>
      <c r="Q965" s="3">
        <v>1</v>
      </c>
    </row>
    <row r="966" spans="1:17">
      <c r="A966" t="s">
        <v>1429</v>
      </c>
      <c r="B966" s="3" t="s">
        <v>790</v>
      </c>
      <c r="C966" s="3" t="s">
        <v>791</v>
      </c>
      <c r="D966" s="3" t="s">
        <v>11</v>
      </c>
      <c r="E966" s="3" t="s">
        <v>12</v>
      </c>
      <c r="F966" s="3">
        <v>6.8000000000000005E-2</v>
      </c>
      <c r="G966" s="74">
        <f>F966*VLOOKUP(D966,GWPs!$B$3:$C$6,2,FALSE)</f>
        <v>6.8000000000000005E-2</v>
      </c>
      <c r="H966" s="3">
        <v>0.01</v>
      </c>
      <c r="I966" s="74">
        <f>H966*VLOOKUP(D966,GWPs!$B$3:$C$6,2,FALSE)</f>
        <v>0.01</v>
      </c>
      <c r="J966" s="3">
        <v>7.8E-2</v>
      </c>
      <c r="K966" s="74">
        <f>J966*VLOOKUP(D966,GWPs!$B$3:$C$6,2,FALSE)</f>
        <v>7.8E-2</v>
      </c>
      <c r="M966" s="3">
        <v>3</v>
      </c>
      <c r="N966" s="3">
        <v>2</v>
      </c>
      <c r="O966" s="3">
        <v>1</v>
      </c>
      <c r="P966" s="3">
        <v>3</v>
      </c>
      <c r="Q966" s="3">
        <v>1</v>
      </c>
    </row>
    <row r="967" spans="1:17">
      <c r="A967" t="s">
        <v>1429</v>
      </c>
      <c r="B967" s="3" t="s">
        <v>790</v>
      </c>
      <c r="C967" s="3" t="s">
        <v>791</v>
      </c>
      <c r="D967" s="3" t="s">
        <v>13</v>
      </c>
      <c r="E967" s="3" t="s">
        <v>12</v>
      </c>
      <c r="F967" s="3">
        <v>0</v>
      </c>
      <c r="G967" s="74">
        <f>F967*VLOOKUP(D967,GWPs!$B$3:$C$6,2,FALSE)</f>
        <v>0</v>
      </c>
      <c r="H967" s="3">
        <v>0</v>
      </c>
      <c r="I967" s="74">
        <f>H967*VLOOKUP(D967,GWPs!$B$3:$C$6,2,FALSE)</f>
        <v>0</v>
      </c>
      <c r="J967" s="3">
        <v>0</v>
      </c>
      <c r="K967" s="74">
        <f>J967*VLOOKUP(D967,GWPs!$B$3:$C$6,2,FALSE)</f>
        <v>0</v>
      </c>
      <c r="M967" s="3">
        <v>3</v>
      </c>
      <c r="N967" s="3">
        <v>2</v>
      </c>
      <c r="O967" s="3">
        <v>1</v>
      </c>
      <c r="P967" s="3">
        <v>1</v>
      </c>
      <c r="Q967" s="3">
        <v>1</v>
      </c>
    </row>
    <row r="968" spans="1:17">
      <c r="A968" t="s">
        <v>1429</v>
      </c>
      <c r="B968" s="3" t="s">
        <v>790</v>
      </c>
      <c r="C968" s="3" t="s">
        <v>791</v>
      </c>
      <c r="D968" s="3" t="s">
        <v>14</v>
      </c>
      <c r="E968" s="3" t="s">
        <v>12</v>
      </c>
      <c r="F968" s="3">
        <v>0</v>
      </c>
      <c r="G968" s="74">
        <f>F968*VLOOKUP(D968,GWPs!$B$3:$C$6,2,FALSE)</f>
        <v>0</v>
      </c>
      <c r="H968" s="3">
        <v>0</v>
      </c>
      <c r="I968" s="74">
        <f>H968*VLOOKUP(D968,GWPs!$B$3:$C$6,2,FALSE)</f>
        <v>0</v>
      </c>
      <c r="J968" s="3">
        <v>0</v>
      </c>
      <c r="K968" s="74">
        <f>J968*VLOOKUP(D968,GWPs!$B$3:$C$6,2,FALSE)</f>
        <v>0</v>
      </c>
      <c r="M968" s="3">
        <v>3</v>
      </c>
      <c r="N968" s="3">
        <v>2</v>
      </c>
      <c r="O968" s="3">
        <v>1</v>
      </c>
      <c r="P968" s="3">
        <v>3</v>
      </c>
      <c r="Q968" s="3">
        <v>1</v>
      </c>
    </row>
    <row r="969" spans="1:17">
      <c r="A969" t="s">
        <v>1429</v>
      </c>
      <c r="B969" s="3" t="s">
        <v>790</v>
      </c>
      <c r="C969" s="3" t="s">
        <v>791</v>
      </c>
      <c r="D969" s="3" t="s">
        <v>15</v>
      </c>
      <c r="E969" s="3" t="s">
        <v>16</v>
      </c>
      <c r="F969" s="3">
        <v>2E-3</v>
      </c>
      <c r="G969" s="74">
        <f>F969*VLOOKUP(D969,GWPs!$B$3:$C$6,2,FALSE)</f>
        <v>2E-3</v>
      </c>
      <c r="H969" s="3">
        <v>0</v>
      </c>
      <c r="I969" s="74">
        <f>H969*VLOOKUP(D969,GWPs!$B$3:$C$6,2,FALSE)</f>
        <v>0</v>
      </c>
      <c r="J969" s="3">
        <v>2E-3</v>
      </c>
      <c r="K969" s="74">
        <f>J969*VLOOKUP(D969,GWPs!$B$3:$C$6,2,FALSE)</f>
        <v>2E-3</v>
      </c>
      <c r="M969" s="3">
        <v>3</v>
      </c>
      <c r="N969" s="3">
        <v>2</v>
      </c>
      <c r="O969" s="3">
        <v>1</v>
      </c>
      <c r="P969" s="3">
        <v>3</v>
      </c>
      <c r="Q969" s="3">
        <v>1</v>
      </c>
    </row>
    <row r="970" spans="1:17">
      <c r="A970" t="s">
        <v>1429</v>
      </c>
      <c r="B970" s="3" t="s">
        <v>792</v>
      </c>
      <c r="C970" s="3" t="s">
        <v>793</v>
      </c>
      <c r="D970" s="3" t="s">
        <v>11</v>
      </c>
      <c r="E970" s="3" t="s">
        <v>12</v>
      </c>
      <c r="F970" s="3">
        <v>6.0999999999999999E-2</v>
      </c>
      <c r="G970" s="74">
        <f>F970*VLOOKUP(D970,GWPs!$B$3:$C$6,2,FALSE)</f>
        <v>6.0999999999999999E-2</v>
      </c>
      <c r="H970" s="3">
        <v>5.0000000000000001E-3</v>
      </c>
      <c r="I970" s="74">
        <f>H970*VLOOKUP(D970,GWPs!$B$3:$C$6,2,FALSE)</f>
        <v>5.0000000000000001E-3</v>
      </c>
      <c r="J970" s="3">
        <v>6.6000000000000003E-2</v>
      </c>
      <c r="K970" s="74">
        <f>J970*VLOOKUP(D970,GWPs!$B$3:$C$6,2,FALSE)</f>
        <v>6.6000000000000003E-2</v>
      </c>
      <c r="M970" s="3">
        <v>3</v>
      </c>
      <c r="N970" s="3">
        <v>2</v>
      </c>
      <c r="O970" s="3">
        <v>1</v>
      </c>
      <c r="P970" s="3">
        <v>3</v>
      </c>
      <c r="Q970" s="3">
        <v>1</v>
      </c>
    </row>
    <row r="971" spans="1:17">
      <c r="A971" t="s">
        <v>1429</v>
      </c>
      <c r="B971" s="3" t="s">
        <v>792</v>
      </c>
      <c r="C971" s="3" t="s">
        <v>793</v>
      </c>
      <c r="D971" s="3" t="s">
        <v>13</v>
      </c>
      <c r="E971" s="3" t="s">
        <v>12</v>
      </c>
      <c r="F971" s="3">
        <v>0</v>
      </c>
      <c r="G971" s="74">
        <f>F971*VLOOKUP(D971,GWPs!$B$3:$C$6,2,FALSE)</f>
        <v>0</v>
      </c>
      <c r="H971" s="3">
        <v>0</v>
      </c>
      <c r="I971" s="74">
        <f>H971*VLOOKUP(D971,GWPs!$B$3:$C$6,2,FALSE)</f>
        <v>0</v>
      </c>
      <c r="J971" s="3">
        <v>0</v>
      </c>
      <c r="K971" s="74">
        <f>J971*VLOOKUP(D971,GWPs!$B$3:$C$6,2,FALSE)</f>
        <v>0</v>
      </c>
      <c r="M971" s="3">
        <v>4</v>
      </c>
      <c r="N971" s="3">
        <v>2</v>
      </c>
      <c r="O971" s="3">
        <v>1</v>
      </c>
      <c r="P971" s="3">
        <v>1</v>
      </c>
      <c r="Q971" s="3">
        <v>1</v>
      </c>
    </row>
    <row r="972" spans="1:17">
      <c r="A972" t="s">
        <v>1429</v>
      </c>
      <c r="B972" s="3" t="s">
        <v>792</v>
      </c>
      <c r="C972" s="3" t="s">
        <v>793</v>
      </c>
      <c r="D972" s="3" t="s">
        <v>14</v>
      </c>
      <c r="E972" s="3" t="s">
        <v>12</v>
      </c>
      <c r="F972" s="3">
        <v>0</v>
      </c>
      <c r="G972" s="74">
        <f>F972*VLOOKUP(D972,GWPs!$B$3:$C$6,2,FALSE)</f>
        <v>0</v>
      </c>
      <c r="H972" s="3">
        <v>0</v>
      </c>
      <c r="I972" s="74">
        <f>H972*VLOOKUP(D972,GWPs!$B$3:$C$6,2,FALSE)</f>
        <v>0</v>
      </c>
      <c r="J972" s="3">
        <v>0</v>
      </c>
      <c r="K972" s="74">
        <f>J972*VLOOKUP(D972,GWPs!$B$3:$C$6,2,FALSE)</f>
        <v>0</v>
      </c>
      <c r="M972" s="3">
        <v>3</v>
      </c>
      <c r="N972" s="3">
        <v>2</v>
      </c>
      <c r="O972" s="3">
        <v>1</v>
      </c>
      <c r="P972" s="3">
        <v>3</v>
      </c>
      <c r="Q972" s="3">
        <v>1</v>
      </c>
    </row>
    <row r="973" spans="1:17">
      <c r="A973" t="s">
        <v>1429</v>
      </c>
      <c r="B973" s="3" t="s">
        <v>792</v>
      </c>
      <c r="C973" s="3" t="s">
        <v>793</v>
      </c>
      <c r="D973" s="3" t="s">
        <v>15</v>
      </c>
      <c r="E973" s="3" t="s">
        <v>16</v>
      </c>
      <c r="F973" s="3">
        <v>5.0000000000000001E-3</v>
      </c>
      <c r="G973" s="74">
        <f>F973*VLOOKUP(D973,GWPs!$B$3:$C$6,2,FALSE)</f>
        <v>5.0000000000000001E-3</v>
      </c>
      <c r="H973" s="3">
        <v>0</v>
      </c>
      <c r="I973" s="74">
        <f>H973*VLOOKUP(D973,GWPs!$B$3:$C$6,2,FALSE)</f>
        <v>0</v>
      </c>
      <c r="J973" s="3">
        <v>5.0000000000000001E-3</v>
      </c>
      <c r="K973" s="74">
        <f>J973*VLOOKUP(D973,GWPs!$B$3:$C$6,2,FALSE)</f>
        <v>5.0000000000000001E-3</v>
      </c>
      <c r="M973" s="3">
        <v>3</v>
      </c>
      <c r="N973" s="3">
        <v>2</v>
      </c>
      <c r="O973" s="3">
        <v>1</v>
      </c>
      <c r="P973" s="3">
        <v>2</v>
      </c>
      <c r="Q973" s="3">
        <v>1</v>
      </c>
    </row>
    <row r="974" spans="1:17">
      <c r="A974" t="s">
        <v>1429</v>
      </c>
      <c r="B974" s="3" t="s">
        <v>794</v>
      </c>
      <c r="C974" s="3" t="s">
        <v>795</v>
      </c>
      <c r="D974" s="3" t="s">
        <v>11</v>
      </c>
      <c r="E974" s="3" t="s">
        <v>12</v>
      </c>
      <c r="F974" s="3">
        <v>9.0999999999999998E-2</v>
      </c>
      <c r="G974" s="74">
        <f>F974*VLOOKUP(D974,GWPs!$B$3:$C$6,2,FALSE)</f>
        <v>9.0999999999999998E-2</v>
      </c>
      <c r="H974" s="3">
        <v>7.0000000000000001E-3</v>
      </c>
      <c r="I974" s="74">
        <f>H974*VLOOKUP(D974,GWPs!$B$3:$C$6,2,FALSE)</f>
        <v>7.0000000000000001E-3</v>
      </c>
      <c r="J974" s="3">
        <v>9.8000000000000004E-2</v>
      </c>
      <c r="K974" s="74">
        <f>J974*VLOOKUP(D974,GWPs!$B$3:$C$6,2,FALSE)</f>
        <v>9.8000000000000004E-2</v>
      </c>
      <c r="M974" s="3">
        <v>3</v>
      </c>
      <c r="N974" s="3">
        <v>2</v>
      </c>
      <c r="O974" s="3">
        <v>1</v>
      </c>
      <c r="P974" s="3">
        <v>3</v>
      </c>
      <c r="Q974" s="3">
        <v>1</v>
      </c>
    </row>
    <row r="975" spans="1:17">
      <c r="A975" t="s">
        <v>1429</v>
      </c>
      <c r="B975" s="3" t="s">
        <v>794</v>
      </c>
      <c r="C975" s="3" t="s">
        <v>795</v>
      </c>
      <c r="D975" s="3" t="s">
        <v>13</v>
      </c>
      <c r="E975" s="3" t="s">
        <v>12</v>
      </c>
      <c r="F975" s="3">
        <v>0</v>
      </c>
      <c r="G975" s="74">
        <f>F975*VLOOKUP(D975,GWPs!$B$3:$C$6,2,FALSE)</f>
        <v>0</v>
      </c>
      <c r="H975" s="3">
        <v>0</v>
      </c>
      <c r="I975" s="74">
        <f>H975*VLOOKUP(D975,GWPs!$B$3:$C$6,2,FALSE)</f>
        <v>0</v>
      </c>
      <c r="J975" s="3">
        <v>0</v>
      </c>
      <c r="K975" s="74">
        <f>J975*VLOOKUP(D975,GWPs!$B$3:$C$6,2,FALSE)</f>
        <v>0</v>
      </c>
      <c r="M975" s="3">
        <v>4</v>
      </c>
      <c r="N975" s="3">
        <v>2</v>
      </c>
      <c r="O975" s="3">
        <v>1</v>
      </c>
      <c r="P975" s="3">
        <v>1</v>
      </c>
      <c r="Q975" s="3">
        <v>1</v>
      </c>
    </row>
    <row r="976" spans="1:17">
      <c r="A976" t="s">
        <v>1429</v>
      </c>
      <c r="B976" s="3" t="s">
        <v>794</v>
      </c>
      <c r="C976" s="3" t="s">
        <v>795</v>
      </c>
      <c r="D976" s="3" t="s">
        <v>14</v>
      </c>
      <c r="E976" s="3" t="s">
        <v>12</v>
      </c>
      <c r="F976" s="3">
        <v>0</v>
      </c>
      <c r="G976" s="74">
        <f>F976*VLOOKUP(D976,GWPs!$B$3:$C$6,2,FALSE)</f>
        <v>0</v>
      </c>
      <c r="H976" s="3">
        <v>0</v>
      </c>
      <c r="I976" s="74">
        <f>H976*VLOOKUP(D976,GWPs!$B$3:$C$6,2,FALSE)</f>
        <v>0</v>
      </c>
      <c r="J976" s="3">
        <v>0</v>
      </c>
      <c r="K976" s="74">
        <f>J976*VLOOKUP(D976,GWPs!$B$3:$C$6,2,FALSE)</f>
        <v>0</v>
      </c>
      <c r="M976" s="3">
        <v>3</v>
      </c>
      <c r="N976" s="3">
        <v>2</v>
      </c>
      <c r="O976" s="3">
        <v>1</v>
      </c>
      <c r="P976" s="3">
        <v>3</v>
      </c>
      <c r="Q976" s="3">
        <v>1</v>
      </c>
    </row>
    <row r="977" spans="1:17">
      <c r="A977" t="s">
        <v>1429</v>
      </c>
      <c r="B977" s="3" t="s">
        <v>794</v>
      </c>
      <c r="C977" s="3" t="s">
        <v>795</v>
      </c>
      <c r="D977" s="3" t="s">
        <v>15</v>
      </c>
      <c r="E977" s="3" t="s">
        <v>16</v>
      </c>
      <c r="F977" s="3">
        <v>4.0000000000000001E-3</v>
      </c>
      <c r="G977" s="74">
        <f>F977*VLOOKUP(D977,GWPs!$B$3:$C$6,2,FALSE)</f>
        <v>4.0000000000000001E-3</v>
      </c>
      <c r="H977" s="3">
        <v>0</v>
      </c>
      <c r="I977" s="74">
        <f>H977*VLOOKUP(D977,GWPs!$B$3:$C$6,2,FALSE)</f>
        <v>0</v>
      </c>
      <c r="J977" s="3">
        <v>4.0000000000000001E-3</v>
      </c>
      <c r="K977" s="74">
        <f>J977*VLOOKUP(D977,GWPs!$B$3:$C$6,2,FALSE)</f>
        <v>4.0000000000000001E-3</v>
      </c>
      <c r="M977" s="3">
        <v>3</v>
      </c>
      <c r="N977" s="3">
        <v>2</v>
      </c>
      <c r="O977" s="3">
        <v>1</v>
      </c>
      <c r="P977" s="3">
        <v>2</v>
      </c>
      <c r="Q977" s="3">
        <v>1</v>
      </c>
    </row>
    <row r="978" spans="1:17">
      <c r="A978" t="s">
        <v>1429</v>
      </c>
      <c r="B978" s="3" t="s">
        <v>796</v>
      </c>
      <c r="C978" s="3" t="s">
        <v>797</v>
      </c>
      <c r="D978" s="3" t="s">
        <v>11</v>
      </c>
      <c r="E978" s="3" t="s">
        <v>12</v>
      </c>
      <c r="F978" s="3">
        <v>0.10199999999999999</v>
      </c>
      <c r="G978" s="74">
        <f>F978*VLOOKUP(D978,GWPs!$B$3:$C$6,2,FALSE)</f>
        <v>0.10199999999999999</v>
      </c>
      <c r="H978" s="3">
        <v>8.0000000000000002E-3</v>
      </c>
      <c r="I978" s="74">
        <f>H978*VLOOKUP(D978,GWPs!$B$3:$C$6,2,FALSE)</f>
        <v>8.0000000000000002E-3</v>
      </c>
      <c r="J978" s="3">
        <v>0.11</v>
      </c>
      <c r="K978" s="74">
        <f>J978*VLOOKUP(D978,GWPs!$B$3:$C$6,2,FALSE)</f>
        <v>0.11</v>
      </c>
      <c r="M978" s="3">
        <v>3</v>
      </c>
      <c r="N978" s="3">
        <v>2</v>
      </c>
      <c r="O978" s="3">
        <v>1</v>
      </c>
      <c r="P978" s="3">
        <v>4</v>
      </c>
      <c r="Q978" s="3">
        <v>1</v>
      </c>
    </row>
    <row r="979" spans="1:17">
      <c r="A979" t="s">
        <v>1429</v>
      </c>
      <c r="B979" s="3" t="s">
        <v>796</v>
      </c>
      <c r="C979" s="3" t="s">
        <v>797</v>
      </c>
      <c r="D979" s="3" t="s">
        <v>13</v>
      </c>
      <c r="E979" s="3" t="s">
        <v>12</v>
      </c>
      <c r="F979" s="3">
        <v>0</v>
      </c>
      <c r="G979" s="74">
        <f>F979*VLOOKUP(D979,GWPs!$B$3:$C$6,2,FALSE)</f>
        <v>0</v>
      </c>
      <c r="H979" s="3">
        <v>0</v>
      </c>
      <c r="I979" s="74">
        <f>H979*VLOOKUP(D979,GWPs!$B$3:$C$6,2,FALSE)</f>
        <v>0</v>
      </c>
      <c r="J979" s="3">
        <v>0</v>
      </c>
      <c r="K979" s="74">
        <f>J979*VLOOKUP(D979,GWPs!$B$3:$C$6,2,FALSE)</f>
        <v>0</v>
      </c>
      <c r="M979" s="3">
        <v>3</v>
      </c>
      <c r="N979" s="3">
        <v>2</v>
      </c>
      <c r="O979" s="3">
        <v>1</v>
      </c>
      <c r="P979" s="3">
        <v>1</v>
      </c>
      <c r="Q979" s="3">
        <v>1</v>
      </c>
    </row>
    <row r="980" spans="1:17">
      <c r="A980" t="s">
        <v>1429</v>
      </c>
      <c r="B980" s="3" t="s">
        <v>796</v>
      </c>
      <c r="C980" s="3" t="s">
        <v>797</v>
      </c>
      <c r="D980" s="3" t="s">
        <v>14</v>
      </c>
      <c r="E980" s="3" t="s">
        <v>12</v>
      </c>
      <c r="F980" s="3">
        <v>0</v>
      </c>
      <c r="G980" s="74">
        <f>F980*VLOOKUP(D980,GWPs!$B$3:$C$6,2,FALSE)</f>
        <v>0</v>
      </c>
      <c r="H980" s="3">
        <v>0</v>
      </c>
      <c r="I980" s="74">
        <f>H980*VLOOKUP(D980,GWPs!$B$3:$C$6,2,FALSE)</f>
        <v>0</v>
      </c>
      <c r="J980" s="3">
        <v>0</v>
      </c>
      <c r="K980" s="74">
        <f>J980*VLOOKUP(D980,GWPs!$B$3:$C$6,2,FALSE)</f>
        <v>0</v>
      </c>
      <c r="M980" s="3">
        <v>3</v>
      </c>
      <c r="N980" s="3">
        <v>2</v>
      </c>
      <c r="O980" s="3">
        <v>1</v>
      </c>
      <c r="P980" s="3">
        <v>3</v>
      </c>
      <c r="Q980" s="3">
        <v>1</v>
      </c>
    </row>
    <row r="981" spans="1:17">
      <c r="A981" t="s">
        <v>1429</v>
      </c>
      <c r="B981" s="3" t="s">
        <v>796</v>
      </c>
      <c r="C981" s="3" t="s">
        <v>797</v>
      </c>
      <c r="D981" s="3" t="s">
        <v>15</v>
      </c>
      <c r="E981" s="3" t="s">
        <v>16</v>
      </c>
      <c r="F981" s="3">
        <v>3.0000000000000001E-3</v>
      </c>
      <c r="G981" s="74">
        <f>F981*VLOOKUP(D981,GWPs!$B$3:$C$6,2,FALSE)</f>
        <v>3.0000000000000001E-3</v>
      </c>
      <c r="H981" s="3">
        <v>0</v>
      </c>
      <c r="I981" s="74">
        <f>H981*VLOOKUP(D981,GWPs!$B$3:$C$6,2,FALSE)</f>
        <v>0</v>
      </c>
      <c r="J981" s="3">
        <v>3.0000000000000001E-3</v>
      </c>
      <c r="K981" s="74">
        <f>J981*VLOOKUP(D981,GWPs!$B$3:$C$6,2,FALSE)</f>
        <v>3.0000000000000001E-3</v>
      </c>
      <c r="M981" s="3">
        <v>3</v>
      </c>
      <c r="N981" s="3">
        <v>2</v>
      </c>
      <c r="O981" s="3">
        <v>1</v>
      </c>
      <c r="P981" s="3">
        <v>3</v>
      </c>
      <c r="Q981" s="3">
        <v>1</v>
      </c>
    </row>
    <row r="982" spans="1:17">
      <c r="A982" t="s">
        <v>1429</v>
      </c>
      <c r="B982" s="3" t="s">
        <v>798</v>
      </c>
      <c r="C982" s="3" t="s">
        <v>799</v>
      </c>
      <c r="D982" s="3" t="s">
        <v>11</v>
      </c>
      <c r="E982" s="3" t="s">
        <v>12</v>
      </c>
      <c r="F982" s="3">
        <v>0.255</v>
      </c>
      <c r="G982" s="74">
        <f>F982*VLOOKUP(D982,GWPs!$B$3:$C$6,2,FALSE)</f>
        <v>0.255</v>
      </c>
      <c r="H982" s="3">
        <v>2.4E-2</v>
      </c>
      <c r="I982" s="74">
        <f>H982*VLOOKUP(D982,GWPs!$B$3:$C$6,2,FALSE)</f>
        <v>2.4E-2</v>
      </c>
      <c r="J982" s="3">
        <v>0.27900000000000003</v>
      </c>
      <c r="K982" s="74">
        <f>J982*VLOOKUP(D982,GWPs!$B$3:$C$6,2,FALSE)</f>
        <v>0.27900000000000003</v>
      </c>
      <c r="M982" s="3">
        <v>3</v>
      </c>
      <c r="N982" s="3">
        <v>2</v>
      </c>
      <c r="O982" s="3">
        <v>1</v>
      </c>
      <c r="P982" s="3">
        <v>3</v>
      </c>
      <c r="Q982" s="3">
        <v>1</v>
      </c>
    </row>
    <row r="983" spans="1:17">
      <c r="A983" t="s">
        <v>1429</v>
      </c>
      <c r="B983" s="3" t="s">
        <v>798</v>
      </c>
      <c r="C983" s="3" t="s">
        <v>799</v>
      </c>
      <c r="D983" s="3" t="s">
        <v>13</v>
      </c>
      <c r="E983" s="3" t="s">
        <v>12</v>
      </c>
      <c r="F983" s="3">
        <v>1E-3</v>
      </c>
      <c r="G983" s="74">
        <f>F983*VLOOKUP(D983,GWPs!$B$3:$C$6,2,FALSE)</f>
        <v>2.8000000000000001E-2</v>
      </c>
      <c r="H983" s="3">
        <v>0</v>
      </c>
      <c r="I983" s="74">
        <f>H983*VLOOKUP(D983,GWPs!$B$3:$C$6,2,FALSE)</f>
        <v>0</v>
      </c>
      <c r="J983" s="3">
        <v>1E-3</v>
      </c>
      <c r="K983" s="74">
        <f>J983*VLOOKUP(D983,GWPs!$B$3:$C$6,2,FALSE)</f>
        <v>2.8000000000000001E-2</v>
      </c>
      <c r="M983" s="3">
        <v>4</v>
      </c>
      <c r="N983" s="3">
        <v>2</v>
      </c>
      <c r="O983" s="3">
        <v>1</v>
      </c>
      <c r="P983" s="3">
        <v>1</v>
      </c>
      <c r="Q983" s="3">
        <v>1</v>
      </c>
    </row>
    <row r="984" spans="1:17">
      <c r="A984" t="s">
        <v>1429</v>
      </c>
      <c r="B984" s="3" t="s">
        <v>798</v>
      </c>
      <c r="C984" s="3" t="s">
        <v>799</v>
      </c>
      <c r="D984" s="3" t="s">
        <v>14</v>
      </c>
      <c r="E984" s="3" t="s">
        <v>12</v>
      </c>
      <c r="F984" s="3">
        <v>0</v>
      </c>
      <c r="G984" s="74">
        <f>F984*VLOOKUP(D984,GWPs!$B$3:$C$6,2,FALSE)</f>
        <v>0</v>
      </c>
      <c r="H984" s="3">
        <v>0</v>
      </c>
      <c r="I984" s="74">
        <f>H984*VLOOKUP(D984,GWPs!$B$3:$C$6,2,FALSE)</f>
        <v>0</v>
      </c>
      <c r="J984" s="3">
        <v>0</v>
      </c>
      <c r="K984" s="74">
        <f>J984*VLOOKUP(D984,GWPs!$B$3:$C$6,2,FALSE)</f>
        <v>0</v>
      </c>
      <c r="M984" s="3">
        <v>3</v>
      </c>
      <c r="N984" s="3">
        <v>2</v>
      </c>
      <c r="O984" s="3">
        <v>1</v>
      </c>
      <c r="P984" s="3">
        <v>3</v>
      </c>
      <c r="Q984" s="3">
        <v>1</v>
      </c>
    </row>
    <row r="985" spans="1:17">
      <c r="A985" t="s">
        <v>1429</v>
      </c>
      <c r="B985" s="3" t="s">
        <v>798</v>
      </c>
      <c r="C985" s="3" t="s">
        <v>799</v>
      </c>
      <c r="D985" s="3" t="s">
        <v>15</v>
      </c>
      <c r="E985" s="3" t="s">
        <v>16</v>
      </c>
      <c r="F985" s="3">
        <v>7.0000000000000001E-3</v>
      </c>
      <c r="G985" s="74">
        <f>F985*VLOOKUP(D985,GWPs!$B$3:$C$6,2,FALSE)</f>
        <v>7.0000000000000001E-3</v>
      </c>
      <c r="H985" s="3">
        <v>0</v>
      </c>
      <c r="I985" s="74">
        <f>H985*VLOOKUP(D985,GWPs!$B$3:$C$6,2,FALSE)</f>
        <v>0</v>
      </c>
      <c r="J985" s="3">
        <v>7.0000000000000001E-3</v>
      </c>
      <c r="K985" s="74">
        <f>J985*VLOOKUP(D985,GWPs!$B$3:$C$6,2,FALSE)</f>
        <v>7.0000000000000001E-3</v>
      </c>
      <c r="M985" s="3">
        <v>3</v>
      </c>
      <c r="N985" s="3">
        <v>2</v>
      </c>
      <c r="O985" s="3">
        <v>1</v>
      </c>
      <c r="P985" s="3">
        <v>3</v>
      </c>
      <c r="Q985" s="3">
        <v>1</v>
      </c>
    </row>
    <row r="986" spans="1:17">
      <c r="A986" t="s">
        <v>1429</v>
      </c>
      <c r="B986" s="3" t="s">
        <v>800</v>
      </c>
      <c r="C986" s="3" t="s">
        <v>801</v>
      </c>
      <c r="D986" s="3" t="s">
        <v>11</v>
      </c>
      <c r="E986" s="3" t="s">
        <v>12</v>
      </c>
      <c r="F986" s="3">
        <v>0.13800000000000001</v>
      </c>
      <c r="G986" s="74">
        <f>F986*VLOOKUP(D986,GWPs!$B$3:$C$6,2,FALSE)</f>
        <v>0.13800000000000001</v>
      </c>
      <c r="H986" s="3">
        <v>8.0000000000000002E-3</v>
      </c>
      <c r="I986" s="74">
        <f>H986*VLOOKUP(D986,GWPs!$B$3:$C$6,2,FALSE)</f>
        <v>8.0000000000000002E-3</v>
      </c>
      <c r="J986" s="3">
        <v>0.14599999999999999</v>
      </c>
      <c r="K986" s="74">
        <f>J986*VLOOKUP(D986,GWPs!$B$3:$C$6,2,FALSE)</f>
        <v>0.14599999999999999</v>
      </c>
      <c r="M986" s="3">
        <v>3</v>
      </c>
      <c r="N986" s="3">
        <v>2</v>
      </c>
      <c r="O986" s="3">
        <v>1</v>
      </c>
      <c r="P986" s="3">
        <v>3</v>
      </c>
      <c r="Q986" s="3">
        <v>1</v>
      </c>
    </row>
    <row r="987" spans="1:17">
      <c r="A987" t="s">
        <v>1429</v>
      </c>
      <c r="B987" s="3" t="s">
        <v>800</v>
      </c>
      <c r="C987" s="3" t="s">
        <v>801</v>
      </c>
      <c r="D987" s="3" t="s">
        <v>13</v>
      </c>
      <c r="E987" s="3" t="s">
        <v>12</v>
      </c>
      <c r="F987" s="3">
        <v>1E-3</v>
      </c>
      <c r="G987" s="74">
        <f>F987*VLOOKUP(D987,GWPs!$B$3:$C$6,2,FALSE)</f>
        <v>2.8000000000000001E-2</v>
      </c>
      <c r="H987" s="3">
        <v>0</v>
      </c>
      <c r="I987" s="74">
        <f>H987*VLOOKUP(D987,GWPs!$B$3:$C$6,2,FALSE)</f>
        <v>0</v>
      </c>
      <c r="J987" s="3">
        <v>1E-3</v>
      </c>
      <c r="K987" s="74">
        <f>J987*VLOOKUP(D987,GWPs!$B$3:$C$6,2,FALSE)</f>
        <v>2.8000000000000001E-2</v>
      </c>
      <c r="M987" s="3">
        <v>3</v>
      </c>
      <c r="N987" s="3">
        <v>2</v>
      </c>
      <c r="O987" s="3">
        <v>1</v>
      </c>
      <c r="P987" s="3">
        <v>1</v>
      </c>
      <c r="Q987" s="3">
        <v>1</v>
      </c>
    </row>
    <row r="988" spans="1:17">
      <c r="A988" t="s">
        <v>1429</v>
      </c>
      <c r="B988" s="3" t="s">
        <v>800</v>
      </c>
      <c r="C988" s="3" t="s">
        <v>801</v>
      </c>
      <c r="D988" s="3" t="s">
        <v>14</v>
      </c>
      <c r="E988" s="3" t="s">
        <v>12</v>
      </c>
      <c r="F988" s="3">
        <v>0</v>
      </c>
      <c r="G988" s="74">
        <f>F988*VLOOKUP(D988,GWPs!$B$3:$C$6,2,FALSE)</f>
        <v>0</v>
      </c>
      <c r="H988" s="3">
        <v>0</v>
      </c>
      <c r="I988" s="74">
        <f>H988*VLOOKUP(D988,GWPs!$B$3:$C$6,2,FALSE)</f>
        <v>0</v>
      </c>
      <c r="J988" s="3">
        <v>0</v>
      </c>
      <c r="K988" s="74">
        <f>J988*VLOOKUP(D988,GWPs!$B$3:$C$6,2,FALSE)</f>
        <v>0</v>
      </c>
      <c r="M988" s="3">
        <v>3</v>
      </c>
      <c r="N988" s="3">
        <v>2</v>
      </c>
      <c r="O988" s="3">
        <v>1</v>
      </c>
      <c r="P988" s="3">
        <v>3</v>
      </c>
      <c r="Q988" s="3">
        <v>1</v>
      </c>
    </row>
    <row r="989" spans="1:17">
      <c r="A989" t="s">
        <v>1429</v>
      </c>
      <c r="B989" s="3" t="s">
        <v>800</v>
      </c>
      <c r="C989" s="3" t="s">
        <v>801</v>
      </c>
      <c r="D989" s="3" t="s">
        <v>15</v>
      </c>
      <c r="E989" s="3" t="s">
        <v>16</v>
      </c>
      <c r="F989" s="3">
        <v>6.0000000000000001E-3</v>
      </c>
      <c r="G989" s="74">
        <f>F989*VLOOKUP(D989,GWPs!$B$3:$C$6,2,FALSE)</f>
        <v>6.0000000000000001E-3</v>
      </c>
      <c r="H989" s="3">
        <v>0</v>
      </c>
      <c r="I989" s="74">
        <f>H989*VLOOKUP(D989,GWPs!$B$3:$C$6,2,FALSE)</f>
        <v>0</v>
      </c>
      <c r="J989" s="3">
        <v>6.0000000000000001E-3</v>
      </c>
      <c r="K989" s="74">
        <f>J989*VLOOKUP(D989,GWPs!$B$3:$C$6,2,FALSE)</f>
        <v>6.0000000000000001E-3</v>
      </c>
      <c r="M989" s="3">
        <v>3</v>
      </c>
      <c r="N989" s="3">
        <v>2</v>
      </c>
      <c r="O989" s="3">
        <v>1</v>
      </c>
      <c r="P989" s="3">
        <v>3</v>
      </c>
      <c r="Q989" s="3">
        <v>1</v>
      </c>
    </row>
    <row r="990" spans="1:17">
      <c r="A990" t="s">
        <v>1429</v>
      </c>
      <c r="B990" s="3" t="s">
        <v>802</v>
      </c>
      <c r="C990" s="3" t="s">
        <v>803</v>
      </c>
      <c r="D990" s="3" t="s">
        <v>11</v>
      </c>
      <c r="E990" s="3" t="s">
        <v>12</v>
      </c>
      <c r="F990" s="3">
        <v>0.17399999999999999</v>
      </c>
      <c r="G990" s="74">
        <f>F990*VLOOKUP(D990,GWPs!$B$3:$C$6,2,FALSE)</f>
        <v>0.17399999999999999</v>
      </c>
      <c r="H990" s="3">
        <v>6.5000000000000002E-2</v>
      </c>
      <c r="I990" s="74">
        <f>H990*VLOOKUP(D990,GWPs!$B$3:$C$6,2,FALSE)</f>
        <v>6.5000000000000002E-2</v>
      </c>
      <c r="J990" s="3">
        <v>0.23899999999999999</v>
      </c>
      <c r="K990" s="74">
        <f>J990*VLOOKUP(D990,GWPs!$B$3:$C$6,2,FALSE)</f>
        <v>0.23899999999999999</v>
      </c>
      <c r="M990" s="3">
        <v>3</v>
      </c>
      <c r="N990" s="3">
        <v>2</v>
      </c>
      <c r="O990" s="3">
        <v>1</v>
      </c>
      <c r="P990" s="3">
        <v>3</v>
      </c>
      <c r="Q990" s="3">
        <v>1</v>
      </c>
    </row>
    <row r="991" spans="1:17">
      <c r="A991" t="s">
        <v>1429</v>
      </c>
      <c r="B991" s="3" t="s">
        <v>802</v>
      </c>
      <c r="C991" s="3" t="s">
        <v>803</v>
      </c>
      <c r="D991" s="3" t="s">
        <v>13</v>
      </c>
      <c r="E991" s="3" t="s">
        <v>12</v>
      </c>
      <c r="F991" s="3">
        <v>1E-3</v>
      </c>
      <c r="G991" s="74">
        <f>F991*VLOOKUP(D991,GWPs!$B$3:$C$6,2,FALSE)</f>
        <v>2.8000000000000001E-2</v>
      </c>
      <c r="H991" s="3">
        <v>0</v>
      </c>
      <c r="I991" s="74">
        <f>H991*VLOOKUP(D991,GWPs!$B$3:$C$6,2,FALSE)</f>
        <v>0</v>
      </c>
      <c r="J991" s="3">
        <v>1E-3</v>
      </c>
      <c r="K991" s="74">
        <f>J991*VLOOKUP(D991,GWPs!$B$3:$C$6,2,FALSE)</f>
        <v>2.8000000000000001E-2</v>
      </c>
      <c r="M991" s="3">
        <v>4</v>
      </c>
      <c r="N991" s="3">
        <v>2</v>
      </c>
      <c r="O991" s="3">
        <v>1</v>
      </c>
      <c r="P991" s="3">
        <v>1</v>
      </c>
      <c r="Q991" s="3">
        <v>1</v>
      </c>
    </row>
    <row r="992" spans="1:17">
      <c r="A992" t="s">
        <v>1429</v>
      </c>
      <c r="B992" s="3" t="s">
        <v>802</v>
      </c>
      <c r="C992" s="3" t="s">
        <v>803</v>
      </c>
      <c r="D992" s="3" t="s">
        <v>14</v>
      </c>
      <c r="E992" s="3" t="s">
        <v>12</v>
      </c>
      <c r="F992" s="3">
        <v>0</v>
      </c>
      <c r="G992" s="74">
        <f>F992*VLOOKUP(D992,GWPs!$B$3:$C$6,2,FALSE)</f>
        <v>0</v>
      </c>
      <c r="H992" s="3">
        <v>0</v>
      </c>
      <c r="I992" s="74">
        <f>H992*VLOOKUP(D992,GWPs!$B$3:$C$6,2,FALSE)</f>
        <v>0</v>
      </c>
      <c r="J992" s="3">
        <v>0</v>
      </c>
      <c r="K992" s="74">
        <f>J992*VLOOKUP(D992,GWPs!$B$3:$C$6,2,FALSE)</f>
        <v>0</v>
      </c>
      <c r="M992" s="3">
        <v>3</v>
      </c>
      <c r="N992" s="3">
        <v>2</v>
      </c>
      <c r="O992" s="3">
        <v>1</v>
      </c>
      <c r="P992" s="3">
        <v>3</v>
      </c>
      <c r="Q992" s="3">
        <v>1</v>
      </c>
    </row>
    <row r="993" spans="1:17">
      <c r="A993" t="s">
        <v>1429</v>
      </c>
      <c r="B993" s="3" t="s">
        <v>802</v>
      </c>
      <c r="C993" s="3" t="s">
        <v>803</v>
      </c>
      <c r="D993" s="3" t="s">
        <v>15</v>
      </c>
      <c r="E993" s="3" t="s">
        <v>16</v>
      </c>
      <c r="F993" s="3">
        <v>7.0000000000000001E-3</v>
      </c>
      <c r="G993" s="74">
        <f>F993*VLOOKUP(D993,GWPs!$B$3:$C$6,2,FALSE)</f>
        <v>7.0000000000000001E-3</v>
      </c>
      <c r="H993" s="3">
        <v>0</v>
      </c>
      <c r="I993" s="74">
        <f>H993*VLOOKUP(D993,GWPs!$B$3:$C$6,2,FALSE)</f>
        <v>0</v>
      </c>
      <c r="J993" s="3">
        <v>7.0000000000000001E-3</v>
      </c>
      <c r="K993" s="74">
        <f>J993*VLOOKUP(D993,GWPs!$B$3:$C$6,2,FALSE)</f>
        <v>7.0000000000000001E-3</v>
      </c>
      <c r="M993" s="3">
        <v>3</v>
      </c>
      <c r="N993" s="3">
        <v>2</v>
      </c>
      <c r="O993" s="3">
        <v>1</v>
      </c>
      <c r="P993" s="3">
        <v>2</v>
      </c>
      <c r="Q993" s="3">
        <v>1</v>
      </c>
    </row>
    <row r="994" spans="1:17">
      <c r="A994" t="s">
        <v>1429</v>
      </c>
      <c r="B994" s="3" t="s">
        <v>804</v>
      </c>
      <c r="C994" s="3" t="s">
        <v>805</v>
      </c>
      <c r="D994" s="3" t="s">
        <v>11</v>
      </c>
      <c r="E994" s="3" t="s">
        <v>12</v>
      </c>
      <c r="F994" s="3">
        <v>7.3999999999999996E-2</v>
      </c>
      <c r="G994" s="74">
        <f>F994*VLOOKUP(D994,GWPs!$B$3:$C$6,2,FALSE)</f>
        <v>7.3999999999999996E-2</v>
      </c>
      <c r="H994" s="3">
        <v>5.3999999999999999E-2</v>
      </c>
      <c r="I994" s="74">
        <f>H994*VLOOKUP(D994,GWPs!$B$3:$C$6,2,FALSE)</f>
        <v>5.3999999999999999E-2</v>
      </c>
      <c r="J994" s="3">
        <v>0.128</v>
      </c>
      <c r="K994" s="74">
        <f>J994*VLOOKUP(D994,GWPs!$B$3:$C$6,2,FALSE)</f>
        <v>0.128</v>
      </c>
      <c r="M994" s="3">
        <v>3</v>
      </c>
      <c r="N994" s="3">
        <v>2</v>
      </c>
      <c r="O994" s="3">
        <v>1</v>
      </c>
      <c r="P994" s="3">
        <v>3</v>
      </c>
      <c r="Q994" s="3">
        <v>1</v>
      </c>
    </row>
    <row r="995" spans="1:17">
      <c r="A995" t="s">
        <v>1429</v>
      </c>
      <c r="B995" s="3" t="s">
        <v>804</v>
      </c>
      <c r="C995" s="3" t="s">
        <v>805</v>
      </c>
      <c r="D995" s="3" t="s">
        <v>13</v>
      </c>
      <c r="E995" s="3" t="s">
        <v>12</v>
      </c>
      <c r="F995" s="3">
        <v>0</v>
      </c>
      <c r="G995" s="74">
        <f>F995*VLOOKUP(D995,GWPs!$B$3:$C$6,2,FALSE)</f>
        <v>0</v>
      </c>
      <c r="H995" s="3">
        <v>0</v>
      </c>
      <c r="I995" s="74">
        <f>H995*VLOOKUP(D995,GWPs!$B$3:$C$6,2,FALSE)</f>
        <v>0</v>
      </c>
      <c r="J995" s="3">
        <v>1E-3</v>
      </c>
      <c r="K995" s="74">
        <f>J995*VLOOKUP(D995,GWPs!$B$3:$C$6,2,FALSE)</f>
        <v>2.8000000000000001E-2</v>
      </c>
      <c r="M995" s="3">
        <v>4</v>
      </c>
      <c r="N995" s="3">
        <v>2</v>
      </c>
      <c r="O995" s="3">
        <v>1</v>
      </c>
      <c r="P995" s="3">
        <v>1</v>
      </c>
      <c r="Q995" s="3">
        <v>1</v>
      </c>
    </row>
    <row r="996" spans="1:17">
      <c r="A996" t="s">
        <v>1429</v>
      </c>
      <c r="B996" s="3" t="s">
        <v>804</v>
      </c>
      <c r="C996" s="3" t="s">
        <v>805</v>
      </c>
      <c r="D996" s="3" t="s">
        <v>14</v>
      </c>
      <c r="E996" s="3" t="s">
        <v>12</v>
      </c>
      <c r="F996" s="3">
        <v>0</v>
      </c>
      <c r="G996" s="74">
        <f>F996*VLOOKUP(D996,GWPs!$B$3:$C$6,2,FALSE)</f>
        <v>0</v>
      </c>
      <c r="H996" s="3">
        <v>0</v>
      </c>
      <c r="I996" s="74">
        <f>H996*VLOOKUP(D996,GWPs!$B$3:$C$6,2,FALSE)</f>
        <v>0</v>
      </c>
      <c r="J996" s="3">
        <v>0</v>
      </c>
      <c r="K996" s="74">
        <f>J996*VLOOKUP(D996,GWPs!$B$3:$C$6,2,FALSE)</f>
        <v>0</v>
      </c>
      <c r="M996" s="3">
        <v>3</v>
      </c>
      <c r="N996" s="3">
        <v>2</v>
      </c>
      <c r="O996" s="3">
        <v>1</v>
      </c>
      <c r="P996" s="3">
        <v>3</v>
      </c>
      <c r="Q996" s="3">
        <v>1</v>
      </c>
    </row>
    <row r="997" spans="1:17">
      <c r="A997" t="s">
        <v>1429</v>
      </c>
      <c r="B997" s="3" t="s">
        <v>804</v>
      </c>
      <c r="C997" s="3" t="s">
        <v>805</v>
      </c>
      <c r="D997" s="3" t="s">
        <v>15</v>
      </c>
      <c r="E997" s="3" t="s">
        <v>16</v>
      </c>
      <c r="F997" s="3">
        <v>8.9999999999999993E-3</v>
      </c>
      <c r="G997" s="74">
        <f>F997*VLOOKUP(D997,GWPs!$B$3:$C$6,2,FALSE)</f>
        <v>8.9999999999999993E-3</v>
      </c>
      <c r="H997" s="3">
        <v>0</v>
      </c>
      <c r="I997" s="74">
        <f>H997*VLOOKUP(D997,GWPs!$B$3:$C$6,2,FALSE)</f>
        <v>0</v>
      </c>
      <c r="J997" s="3">
        <v>8.9999999999999993E-3</v>
      </c>
      <c r="K997" s="74">
        <f>J997*VLOOKUP(D997,GWPs!$B$3:$C$6,2,FALSE)</f>
        <v>8.9999999999999993E-3</v>
      </c>
      <c r="M997" s="3">
        <v>2</v>
      </c>
      <c r="N997" s="3">
        <v>2</v>
      </c>
      <c r="O997" s="3">
        <v>1</v>
      </c>
      <c r="P997" s="3">
        <v>1</v>
      </c>
      <c r="Q997" s="3">
        <v>1</v>
      </c>
    </row>
    <row r="998" spans="1:17">
      <c r="A998" t="s">
        <v>1429</v>
      </c>
      <c r="B998" s="3" t="s">
        <v>806</v>
      </c>
      <c r="C998" s="3" t="s">
        <v>807</v>
      </c>
      <c r="D998" s="3" t="s">
        <v>11</v>
      </c>
      <c r="E998" s="3" t="s">
        <v>12</v>
      </c>
      <c r="F998" s="3">
        <v>0.17</v>
      </c>
      <c r="G998" s="74">
        <f>F998*VLOOKUP(D998,GWPs!$B$3:$C$6,2,FALSE)</f>
        <v>0.17</v>
      </c>
      <c r="H998" s="3">
        <v>8.0000000000000002E-3</v>
      </c>
      <c r="I998" s="74">
        <f>H998*VLOOKUP(D998,GWPs!$B$3:$C$6,2,FALSE)</f>
        <v>8.0000000000000002E-3</v>
      </c>
      <c r="J998" s="3">
        <v>0.17699999999999999</v>
      </c>
      <c r="K998" s="74">
        <f>J998*VLOOKUP(D998,GWPs!$B$3:$C$6,2,FALSE)</f>
        <v>0.17699999999999999</v>
      </c>
      <c r="M998" s="3">
        <v>3</v>
      </c>
      <c r="N998" s="3">
        <v>2</v>
      </c>
      <c r="O998" s="3">
        <v>1</v>
      </c>
      <c r="P998" s="3">
        <v>3</v>
      </c>
      <c r="Q998" s="3">
        <v>1</v>
      </c>
    </row>
    <row r="999" spans="1:17">
      <c r="A999" t="s">
        <v>1429</v>
      </c>
      <c r="B999" s="3" t="s">
        <v>806</v>
      </c>
      <c r="C999" s="3" t="s">
        <v>807</v>
      </c>
      <c r="D999" s="3" t="s">
        <v>13</v>
      </c>
      <c r="E999" s="3" t="s">
        <v>12</v>
      </c>
      <c r="F999" s="3">
        <v>1E-3</v>
      </c>
      <c r="G999" s="74">
        <f>F999*VLOOKUP(D999,GWPs!$B$3:$C$6,2,FALSE)</f>
        <v>2.8000000000000001E-2</v>
      </c>
      <c r="H999" s="3">
        <v>0</v>
      </c>
      <c r="I999" s="74">
        <f>H999*VLOOKUP(D999,GWPs!$B$3:$C$6,2,FALSE)</f>
        <v>0</v>
      </c>
      <c r="J999" s="3">
        <v>1E-3</v>
      </c>
      <c r="K999" s="74">
        <f>J999*VLOOKUP(D999,GWPs!$B$3:$C$6,2,FALSE)</f>
        <v>2.8000000000000001E-2</v>
      </c>
      <c r="M999" s="3">
        <v>4</v>
      </c>
      <c r="N999" s="3">
        <v>2</v>
      </c>
      <c r="O999" s="3">
        <v>1</v>
      </c>
      <c r="P999" s="3">
        <v>1</v>
      </c>
      <c r="Q999" s="3">
        <v>1</v>
      </c>
    </row>
    <row r="1000" spans="1:17">
      <c r="A1000" t="s">
        <v>1429</v>
      </c>
      <c r="B1000" s="3" t="s">
        <v>806</v>
      </c>
      <c r="C1000" s="3" t="s">
        <v>807</v>
      </c>
      <c r="D1000" s="3" t="s">
        <v>14</v>
      </c>
      <c r="E1000" s="3" t="s">
        <v>12</v>
      </c>
      <c r="F1000" s="3">
        <v>0</v>
      </c>
      <c r="G1000" s="74">
        <f>F1000*VLOOKUP(D1000,GWPs!$B$3:$C$6,2,FALSE)</f>
        <v>0</v>
      </c>
      <c r="H1000" s="3">
        <v>0</v>
      </c>
      <c r="I1000" s="74">
        <f>H1000*VLOOKUP(D1000,GWPs!$B$3:$C$6,2,FALSE)</f>
        <v>0</v>
      </c>
      <c r="J1000" s="3">
        <v>0</v>
      </c>
      <c r="K1000" s="74">
        <f>J1000*VLOOKUP(D1000,GWPs!$B$3:$C$6,2,FALSE)</f>
        <v>0</v>
      </c>
      <c r="M1000" s="3">
        <v>3</v>
      </c>
      <c r="N1000" s="3">
        <v>2</v>
      </c>
      <c r="O1000" s="3">
        <v>1</v>
      </c>
      <c r="P1000" s="3">
        <v>3</v>
      </c>
      <c r="Q1000" s="3">
        <v>1</v>
      </c>
    </row>
    <row r="1001" spans="1:17">
      <c r="A1001" t="s">
        <v>1429</v>
      </c>
      <c r="B1001" s="3" t="s">
        <v>806</v>
      </c>
      <c r="C1001" s="3" t="s">
        <v>807</v>
      </c>
      <c r="D1001" s="3" t="s">
        <v>15</v>
      </c>
      <c r="E1001" s="3" t="s">
        <v>16</v>
      </c>
      <c r="F1001" s="3">
        <v>0.01</v>
      </c>
      <c r="G1001" s="74">
        <f>F1001*VLOOKUP(D1001,GWPs!$B$3:$C$6,2,FALSE)</f>
        <v>0.01</v>
      </c>
      <c r="H1001" s="3">
        <v>0</v>
      </c>
      <c r="I1001" s="74">
        <f>H1001*VLOOKUP(D1001,GWPs!$B$3:$C$6,2,FALSE)</f>
        <v>0</v>
      </c>
      <c r="J1001" s="3">
        <v>0.01</v>
      </c>
      <c r="K1001" s="74">
        <f>J1001*VLOOKUP(D1001,GWPs!$B$3:$C$6,2,FALSE)</f>
        <v>0.01</v>
      </c>
      <c r="M1001" s="3">
        <v>3</v>
      </c>
      <c r="N1001" s="3">
        <v>2</v>
      </c>
      <c r="O1001" s="3">
        <v>1</v>
      </c>
      <c r="P1001" s="3">
        <v>2</v>
      </c>
      <c r="Q1001" s="3">
        <v>1</v>
      </c>
    </row>
    <row r="1002" spans="1:17">
      <c r="A1002" t="s">
        <v>1429</v>
      </c>
      <c r="B1002" s="3" t="s">
        <v>808</v>
      </c>
      <c r="C1002" s="3" t="s">
        <v>18</v>
      </c>
      <c r="D1002" s="3" t="s">
        <v>11</v>
      </c>
      <c r="E1002" s="3" t="s">
        <v>12</v>
      </c>
      <c r="F1002" s="3">
        <v>0.23300000000000001</v>
      </c>
      <c r="G1002" s="74">
        <f>F1002*VLOOKUP(D1002,GWPs!$B$3:$C$6,2,FALSE)</f>
        <v>0.23300000000000001</v>
      </c>
      <c r="H1002" s="3">
        <v>5.7000000000000002E-2</v>
      </c>
      <c r="I1002" s="74">
        <f>H1002*VLOOKUP(D1002,GWPs!$B$3:$C$6,2,FALSE)</f>
        <v>5.7000000000000002E-2</v>
      </c>
      <c r="J1002" s="3">
        <v>0.28999999999999998</v>
      </c>
      <c r="K1002" s="74">
        <f>J1002*VLOOKUP(D1002,GWPs!$B$3:$C$6,2,FALSE)</f>
        <v>0.28999999999999998</v>
      </c>
      <c r="M1002" s="3">
        <v>3</v>
      </c>
      <c r="N1002" s="3">
        <v>2</v>
      </c>
      <c r="O1002" s="3">
        <v>1</v>
      </c>
      <c r="P1002" s="3">
        <v>3</v>
      </c>
      <c r="Q1002" s="3">
        <v>1</v>
      </c>
    </row>
    <row r="1003" spans="1:17">
      <c r="A1003" t="s">
        <v>1429</v>
      </c>
      <c r="B1003" s="3" t="s">
        <v>808</v>
      </c>
      <c r="C1003" s="3" t="s">
        <v>18</v>
      </c>
      <c r="D1003" s="3" t="s">
        <v>13</v>
      </c>
      <c r="E1003" s="3" t="s">
        <v>12</v>
      </c>
      <c r="F1003" s="3">
        <v>1E-3</v>
      </c>
      <c r="G1003" s="74">
        <f>F1003*VLOOKUP(D1003,GWPs!$B$3:$C$6,2,FALSE)</f>
        <v>2.8000000000000001E-2</v>
      </c>
      <c r="H1003" s="3">
        <v>0</v>
      </c>
      <c r="I1003" s="74">
        <f>H1003*VLOOKUP(D1003,GWPs!$B$3:$C$6,2,FALSE)</f>
        <v>0</v>
      </c>
      <c r="J1003" s="3">
        <v>1E-3</v>
      </c>
      <c r="K1003" s="74">
        <f>J1003*VLOOKUP(D1003,GWPs!$B$3:$C$6,2,FALSE)</f>
        <v>2.8000000000000001E-2</v>
      </c>
      <c r="M1003" s="3">
        <v>4</v>
      </c>
      <c r="N1003" s="3">
        <v>2</v>
      </c>
      <c r="O1003" s="3">
        <v>1</v>
      </c>
      <c r="P1003" s="3">
        <v>1</v>
      </c>
      <c r="Q1003" s="3">
        <v>1</v>
      </c>
    </row>
    <row r="1004" spans="1:17">
      <c r="A1004" t="s">
        <v>1429</v>
      </c>
      <c r="B1004" s="3" t="s">
        <v>808</v>
      </c>
      <c r="C1004" s="3" t="s">
        <v>18</v>
      </c>
      <c r="D1004" s="3" t="s">
        <v>14</v>
      </c>
      <c r="E1004" s="3" t="s">
        <v>12</v>
      </c>
      <c r="F1004" s="3">
        <v>0</v>
      </c>
      <c r="G1004" s="74">
        <f>F1004*VLOOKUP(D1004,GWPs!$B$3:$C$6,2,FALSE)</f>
        <v>0</v>
      </c>
      <c r="H1004" s="3">
        <v>0</v>
      </c>
      <c r="I1004" s="74">
        <f>H1004*VLOOKUP(D1004,GWPs!$B$3:$C$6,2,FALSE)</f>
        <v>0</v>
      </c>
      <c r="J1004" s="3">
        <v>0</v>
      </c>
      <c r="K1004" s="74">
        <f>J1004*VLOOKUP(D1004,GWPs!$B$3:$C$6,2,FALSE)</f>
        <v>0</v>
      </c>
      <c r="M1004" s="3">
        <v>3</v>
      </c>
      <c r="N1004" s="3">
        <v>2</v>
      </c>
      <c r="O1004" s="3">
        <v>1</v>
      </c>
      <c r="P1004" s="3">
        <v>3</v>
      </c>
      <c r="Q1004" s="3">
        <v>1</v>
      </c>
    </row>
    <row r="1005" spans="1:17">
      <c r="A1005" t="s">
        <v>1429</v>
      </c>
      <c r="B1005" s="3" t="s">
        <v>808</v>
      </c>
      <c r="C1005" s="3" t="s">
        <v>18</v>
      </c>
      <c r="D1005" s="3" t="s">
        <v>15</v>
      </c>
      <c r="E1005" s="3" t="s">
        <v>16</v>
      </c>
      <c r="F1005" s="3">
        <v>8.9999999999999993E-3</v>
      </c>
      <c r="G1005" s="74">
        <f>F1005*VLOOKUP(D1005,GWPs!$B$3:$C$6,2,FALSE)</f>
        <v>8.9999999999999993E-3</v>
      </c>
      <c r="H1005" s="3">
        <v>0</v>
      </c>
      <c r="I1005" s="74">
        <f>H1005*VLOOKUP(D1005,GWPs!$B$3:$C$6,2,FALSE)</f>
        <v>0</v>
      </c>
      <c r="J1005" s="3">
        <v>8.9999999999999993E-3</v>
      </c>
      <c r="K1005" s="74">
        <f>J1005*VLOOKUP(D1005,GWPs!$B$3:$C$6,2,FALSE)</f>
        <v>8.9999999999999993E-3</v>
      </c>
      <c r="M1005" s="3">
        <v>3</v>
      </c>
      <c r="N1005" s="3">
        <v>2</v>
      </c>
      <c r="O1005" s="3">
        <v>1</v>
      </c>
      <c r="P1005" s="3">
        <v>3</v>
      </c>
      <c r="Q1005" s="3">
        <v>1</v>
      </c>
    </row>
    <row r="1006" spans="1:17">
      <c r="A1006" t="s">
        <v>1429</v>
      </c>
      <c r="B1006" s="3" t="s">
        <v>809</v>
      </c>
      <c r="C1006" s="3" t="s">
        <v>810</v>
      </c>
      <c r="D1006" s="3" t="s">
        <v>11</v>
      </c>
      <c r="E1006" s="3" t="s">
        <v>12</v>
      </c>
      <c r="F1006" s="3">
        <v>0.14799999999999999</v>
      </c>
      <c r="G1006" s="74">
        <f>F1006*VLOOKUP(D1006,GWPs!$B$3:$C$6,2,FALSE)</f>
        <v>0.14799999999999999</v>
      </c>
      <c r="H1006" s="3">
        <v>9.2999999999999999E-2</v>
      </c>
      <c r="I1006" s="74">
        <f>H1006*VLOOKUP(D1006,GWPs!$B$3:$C$6,2,FALSE)</f>
        <v>9.2999999999999999E-2</v>
      </c>
      <c r="J1006" s="3">
        <v>0.24099999999999999</v>
      </c>
      <c r="K1006" s="74">
        <f>J1006*VLOOKUP(D1006,GWPs!$B$3:$C$6,2,FALSE)</f>
        <v>0.24099999999999999</v>
      </c>
      <c r="M1006" s="3">
        <v>3</v>
      </c>
      <c r="N1006" s="3">
        <v>2</v>
      </c>
      <c r="O1006" s="3">
        <v>1</v>
      </c>
      <c r="P1006" s="3">
        <v>3</v>
      </c>
      <c r="Q1006" s="3">
        <v>1</v>
      </c>
    </row>
    <row r="1007" spans="1:17">
      <c r="A1007" t="s">
        <v>1429</v>
      </c>
      <c r="B1007" s="3" t="s">
        <v>809</v>
      </c>
      <c r="C1007" s="3" t="s">
        <v>810</v>
      </c>
      <c r="D1007" s="3" t="s">
        <v>13</v>
      </c>
      <c r="E1007" s="3" t="s">
        <v>12</v>
      </c>
      <c r="F1007" s="3">
        <v>1E-3</v>
      </c>
      <c r="G1007" s="74">
        <f>F1007*VLOOKUP(D1007,GWPs!$B$3:$C$6,2,FALSE)</f>
        <v>2.8000000000000001E-2</v>
      </c>
      <c r="H1007" s="3">
        <v>1E-3</v>
      </c>
      <c r="I1007" s="74">
        <f>H1007*VLOOKUP(D1007,GWPs!$B$3:$C$6,2,FALSE)</f>
        <v>2.8000000000000001E-2</v>
      </c>
      <c r="J1007" s="3">
        <v>1E-3</v>
      </c>
      <c r="K1007" s="74">
        <f>J1007*VLOOKUP(D1007,GWPs!$B$3:$C$6,2,FALSE)</f>
        <v>2.8000000000000001E-2</v>
      </c>
      <c r="M1007" s="3">
        <v>3</v>
      </c>
      <c r="N1007" s="3">
        <v>2</v>
      </c>
      <c r="O1007" s="3">
        <v>1</v>
      </c>
      <c r="P1007" s="3">
        <v>1</v>
      </c>
      <c r="Q1007" s="3">
        <v>1</v>
      </c>
    </row>
    <row r="1008" spans="1:17">
      <c r="A1008" t="s">
        <v>1429</v>
      </c>
      <c r="B1008" s="3" t="s">
        <v>809</v>
      </c>
      <c r="C1008" s="3" t="s">
        <v>810</v>
      </c>
      <c r="D1008" s="3" t="s">
        <v>14</v>
      </c>
      <c r="E1008" s="3" t="s">
        <v>12</v>
      </c>
      <c r="F1008" s="3">
        <v>0</v>
      </c>
      <c r="G1008" s="74">
        <f>F1008*VLOOKUP(D1008,GWPs!$B$3:$C$6,2,FALSE)</f>
        <v>0</v>
      </c>
      <c r="H1008" s="3">
        <v>0</v>
      </c>
      <c r="I1008" s="74">
        <f>H1008*VLOOKUP(D1008,GWPs!$B$3:$C$6,2,FALSE)</f>
        <v>0</v>
      </c>
      <c r="J1008" s="3">
        <v>0</v>
      </c>
      <c r="K1008" s="74">
        <f>J1008*VLOOKUP(D1008,GWPs!$B$3:$C$6,2,FALSE)</f>
        <v>0</v>
      </c>
      <c r="M1008" s="3">
        <v>3</v>
      </c>
      <c r="N1008" s="3">
        <v>2</v>
      </c>
      <c r="O1008" s="3">
        <v>1</v>
      </c>
      <c r="P1008" s="3">
        <v>3</v>
      </c>
      <c r="Q1008" s="3">
        <v>1</v>
      </c>
    </row>
    <row r="1009" spans="1:17">
      <c r="A1009" t="s">
        <v>1429</v>
      </c>
      <c r="B1009" s="3" t="s">
        <v>809</v>
      </c>
      <c r="C1009" s="3" t="s">
        <v>810</v>
      </c>
      <c r="D1009" s="3" t="s">
        <v>15</v>
      </c>
      <c r="E1009" s="3" t="s">
        <v>16</v>
      </c>
      <c r="F1009" s="3">
        <v>6.0000000000000001E-3</v>
      </c>
      <c r="G1009" s="74">
        <f>F1009*VLOOKUP(D1009,GWPs!$B$3:$C$6,2,FALSE)</f>
        <v>6.0000000000000001E-3</v>
      </c>
      <c r="H1009" s="3">
        <v>0</v>
      </c>
      <c r="I1009" s="74">
        <f>H1009*VLOOKUP(D1009,GWPs!$B$3:$C$6,2,FALSE)</f>
        <v>0</v>
      </c>
      <c r="J1009" s="3">
        <v>6.0000000000000001E-3</v>
      </c>
      <c r="K1009" s="74">
        <f>J1009*VLOOKUP(D1009,GWPs!$B$3:$C$6,2,FALSE)</f>
        <v>6.0000000000000001E-3</v>
      </c>
      <c r="M1009" s="3">
        <v>3</v>
      </c>
      <c r="N1009" s="3">
        <v>2</v>
      </c>
      <c r="O1009" s="3">
        <v>1</v>
      </c>
      <c r="P1009" s="3">
        <v>3</v>
      </c>
      <c r="Q1009" s="3">
        <v>1</v>
      </c>
    </row>
    <row r="1010" spans="1:17">
      <c r="A1010" t="s">
        <v>1429</v>
      </c>
      <c r="B1010" s="3" t="s">
        <v>811</v>
      </c>
      <c r="C1010" s="3" t="s">
        <v>812</v>
      </c>
      <c r="D1010" s="3" t="s">
        <v>11</v>
      </c>
      <c r="E1010" s="3" t="s">
        <v>12</v>
      </c>
      <c r="F1010" s="3">
        <v>0.23499999999999999</v>
      </c>
      <c r="G1010" s="74">
        <f>F1010*VLOOKUP(D1010,GWPs!$B$3:$C$6,2,FALSE)</f>
        <v>0.23499999999999999</v>
      </c>
      <c r="H1010" s="3">
        <v>0.22900000000000001</v>
      </c>
      <c r="I1010" s="74">
        <f>H1010*VLOOKUP(D1010,GWPs!$B$3:$C$6,2,FALSE)</f>
        <v>0.22900000000000001</v>
      </c>
      <c r="J1010" s="3">
        <v>0.46400000000000002</v>
      </c>
      <c r="K1010" s="74">
        <f>J1010*VLOOKUP(D1010,GWPs!$B$3:$C$6,2,FALSE)</f>
        <v>0.46400000000000002</v>
      </c>
      <c r="M1010" s="3">
        <v>3</v>
      </c>
      <c r="N1010" s="3">
        <v>2</v>
      </c>
      <c r="O1010" s="3">
        <v>1</v>
      </c>
      <c r="P1010" s="3">
        <v>3</v>
      </c>
      <c r="Q1010" s="3">
        <v>1</v>
      </c>
    </row>
    <row r="1011" spans="1:17">
      <c r="A1011" t="s">
        <v>1429</v>
      </c>
      <c r="B1011" s="3" t="s">
        <v>811</v>
      </c>
      <c r="C1011" s="3" t="s">
        <v>812</v>
      </c>
      <c r="D1011" s="3" t="s">
        <v>13</v>
      </c>
      <c r="E1011" s="3" t="s">
        <v>12</v>
      </c>
      <c r="F1011" s="3">
        <v>1E-3</v>
      </c>
      <c r="G1011" s="74">
        <f>F1011*VLOOKUP(D1011,GWPs!$B$3:$C$6,2,FALSE)</f>
        <v>2.8000000000000001E-2</v>
      </c>
      <c r="H1011" s="3">
        <v>2E-3</v>
      </c>
      <c r="I1011" s="74">
        <f>H1011*VLOOKUP(D1011,GWPs!$B$3:$C$6,2,FALSE)</f>
        <v>5.6000000000000001E-2</v>
      </c>
      <c r="J1011" s="3">
        <v>3.0000000000000001E-3</v>
      </c>
      <c r="K1011" s="74">
        <f>J1011*VLOOKUP(D1011,GWPs!$B$3:$C$6,2,FALSE)</f>
        <v>8.4000000000000005E-2</v>
      </c>
      <c r="M1011" s="3">
        <v>3</v>
      </c>
      <c r="N1011" s="3">
        <v>2</v>
      </c>
      <c r="O1011" s="3">
        <v>1</v>
      </c>
      <c r="P1011" s="3">
        <v>1</v>
      </c>
      <c r="Q1011" s="3">
        <v>1</v>
      </c>
    </row>
    <row r="1012" spans="1:17">
      <c r="A1012" t="s">
        <v>1429</v>
      </c>
      <c r="B1012" s="3" t="s">
        <v>811</v>
      </c>
      <c r="C1012" s="3" t="s">
        <v>812</v>
      </c>
      <c r="D1012" s="3" t="s">
        <v>14</v>
      </c>
      <c r="E1012" s="3" t="s">
        <v>12</v>
      </c>
      <c r="F1012" s="3">
        <v>0</v>
      </c>
      <c r="G1012" s="74">
        <f>F1012*VLOOKUP(D1012,GWPs!$B$3:$C$6,2,FALSE)</f>
        <v>0</v>
      </c>
      <c r="H1012" s="3">
        <v>0</v>
      </c>
      <c r="I1012" s="74">
        <f>H1012*VLOOKUP(D1012,GWPs!$B$3:$C$6,2,FALSE)</f>
        <v>0</v>
      </c>
      <c r="J1012" s="3">
        <v>0</v>
      </c>
      <c r="K1012" s="74">
        <f>J1012*VLOOKUP(D1012,GWPs!$B$3:$C$6,2,FALSE)</f>
        <v>0</v>
      </c>
      <c r="M1012" s="3">
        <v>4</v>
      </c>
      <c r="N1012" s="3">
        <v>2</v>
      </c>
      <c r="O1012" s="3">
        <v>1</v>
      </c>
      <c r="P1012" s="3">
        <v>3</v>
      </c>
      <c r="Q1012" s="3">
        <v>1</v>
      </c>
    </row>
    <row r="1013" spans="1:17">
      <c r="A1013" t="s">
        <v>1429</v>
      </c>
      <c r="B1013" s="3" t="s">
        <v>811</v>
      </c>
      <c r="C1013" s="3" t="s">
        <v>812</v>
      </c>
      <c r="D1013" s="3" t="s">
        <v>15</v>
      </c>
      <c r="E1013" s="3" t="s">
        <v>16</v>
      </c>
      <c r="F1013" s="3">
        <v>4.3999999999999997E-2</v>
      </c>
      <c r="G1013" s="74">
        <f>F1013*VLOOKUP(D1013,GWPs!$B$3:$C$6,2,FALSE)</f>
        <v>4.3999999999999997E-2</v>
      </c>
      <c r="H1013" s="3">
        <v>0</v>
      </c>
      <c r="I1013" s="74">
        <f>H1013*VLOOKUP(D1013,GWPs!$B$3:$C$6,2,FALSE)</f>
        <v>0</v>
      </c>
      <c r="J1013" s="3">
        <v>4.3999999999999997E-2</v>
      </c>
      <c r="K1013" s="74">
        <f>J1013*VLOOKUP(D1013,GWPs!$B$3:$C$6,2,FALSE)</f>
        <v>4.3999999999999997E-2</v>
      </c>
      <c r="M1013" s="3">
        <v>4</v>
      </c>
      <c r="N1013" s="3">
        <v>2</v>
      </c>
      <c r="O1013" s="3">
        <v>1</v>
      </c>
      <c r="P1013" s="3">
        <v>5</v>
      </c>
      <c r="Q1013" s="3">
        <v>1</v>
      </c>
    </row>
    <row r="1014" spans="1:17">
      <c r="A1014" t="s">
        <v>1429</v>
      </c>
      <c r="B1014" s="3" t="s">
        <v>813</v>
      </c>
      <c r="C1014" s="3" t="s">
        <v>814</v>
      </c>
      <c r="D1014" s="3" t="s">
        <v>11</v>
      </c>
      <c r="E1014" s="3" t="s">
        <v>12</v>
      </c>
      <c r="F1014" s="3">
        <v>0.26900000000000002</v>
      </c>
      <c r="G1014" s="74">
        <f>F1014*VLOOKUP(D1014,GWPs!$B$3:$C$6,2,FALSE)</f>
        <v>0.26900000000000002</v>
      </c>
      <c r="H1014" s="3">
        <v>0.748</v>
      </c>
      <c r="I1014" s="74">
        <f>H1014*VLOOKUP(D1014,GWPs!$B$3:$C$6,2,FALSE)</f>
        <v>0.748</v>
      </c>
      <c r="J1014" s="3">
        <v>1.0169999999999999</v>
      </c>
      <c r="K1014" s="74">
        <f>J1014*VLOOKUP(D1014,GWPs!$B$3:$C$6,2,FALSE)</f>
        <v>1.0169999999999999</v>
      </c>
      <c r="M1014" s="3">
        <v>3</v>
      </c>
      <c r="N1014" s="3">
        <v>2</v>
      </c>
      <c r="O1014" s="3">
        <v>1</v>
      </c>
      <c r="P1014" s="3">
        <v>3</v>
      </c>
      <c r="Q1014" s="3">
        <v>1</v>
      </c>
    </row>
    <row r="1015" spans="1:17">
      <c r="A1015" t="s">
        <v>1429</v>
      </c>
      <c r="B1015" s="3" t="s">
        <v>813</v>
      </c>
      <c r="C1015" s="3" t="s">
        <v>814</v>
      </c>
      <c r="D1015" s="3" t="s">
        <v>13</v>
      </c>
      <c r="E1015" s="3" t="s">
        <v>12</v>
      </c>
      <c r="F1015" s="3">
        <v>1E-3</v>
      </c>
      <c r="G1015" s="74">
        <f>F1015*VLOOKUP(D1015,GWPs!$B$3:$C$6,2,FALSE)</f>
        <v>2.8000000000000001E-2</v>
      </c>
      <c r="H1015" s="3">
        <v>5.0000000000000001E-3</v>
      </c>
      <c r="I1015" s="74">
        <f>H1015*VLOOKUP(D1015,GWPs!$B$3:$C$6,2,FALSE)</f>
        <v>0.14000000000000001</v>
      </c>
      <c r="J1015" s="3">
        <v>6.0000000000000001E-3</v>
      </c>
      <c r="K1015" s="74">
        <f>J1015*VLOOKUP(D1015,GWPs!$B$3:$C$6,2,FALSE)</f>
        <v>0.16800000000000001</v>
      </c>
      <c r="M1015" s="3">
        <v>4</v>
      </c>
      <c r="N1015" s="3">
        <v>2</v>
      </c>
      <c r="O1015" s="3">
        <v>1</v>
      </c>
      <c r="P1015" s="3">
        <v>1</v>
      </c>
      <c r="Q1015" s="3">
        <v>1</v>
      </c>
    </row>
    <row r="1016" spans="1:17">
      <c r="A1016" t="s">
        <v>1429</v>
      </c>
      <c r="B1016" s="3" t="s">
        <v>813</v>
      </c>
      <c r="C1016" s="3" t="s">
        <v>814</v>
      </c>
      <c r="D1016" s="3" t="s">
        <v>14</v>
      </c>
      <c r="E1016" s="3" t="s">
        <v>12</v>
      </c>
      <c r="F1016" s="3">
        <v>0</v>
      </c>
      <c r="G1016" s="74">
        <f>F1016*VLOOKUP(D1016,GWPs!$B$3:$C$6,2,FALSE)</f>
        <v>0</v>
      </c>
      <c r="H1016" s="3">
        <v>0</v>
      </c>
      <c r="I1016" s="74">
        <f>H1016*VLOOKUP(D1016,GWPs!$B$3:$C$6,2,FALSE)</f>
        <v>0</v>
      </c>
      <c r="J1016" s="3">
        <v>0</v>
      </c>
      <c r="K1016" s="74">
        <f>J1016*VLOOKUP(D1016,GWPs!$B$3:$C$6,2,FALSE)</f>
        <v>0</v>
      </c>
      <c r="M1016" s="3">
        <v>3</v>
      </c>
      <c r="N1016" s="3">
        <v>2</v>
      </c>
      <c r="O1016" s="3">
        <v>1</v>
      </c>
      <c r="P1016" s="3">
        <v>3</v>
      </c>
      <c r="Q1016" s="3">
        <v>1</v>
      </c>
    </row>
    <row r="1017" spans="1:17">
      <c r="A1017" t="s">
        <v>1429</v>
      </c>
      <c r="B1017" s="3" t="s">
        <v>813</v>
      </c>
      <c r="C1017" s="3" t="s">
        <v>814</v>
      </c>
      <c r="D1017" s="3" t="s">
        <v>15</v>
      </c>
      <c r="E1017" s="3" t="s">
        <v>16</v>
      </c>
      <c r="F1017" s="3">
        <v>1.4E-2</v>
      </c>
      <c r="G1017" s="74">
        <f>F1017*VLOOKUP(D1017,GWPs!$B$3:$C$6,2,FALSE)</f>
        <v>1.4E-2</v>
      </c>
      <c r="H1017" s="3">
        <v>0</v>
      </c>
      <c r="I1017" s="74">
        <f>H1017*VLOOKUP(D1017,GWPs!$B$3:$C$6,2,FALSE)</f>
        <v>0</v>
      </c>
      <c r="J1017" s="3">
        <v>1.4E-2</v>
      </c>
      <c r="K1017" s="74">
        <f>J1017*VLOOKUP(D1017,GWPs!$B$3:$C$6,2,FALSE)</f>
        <v>1.4E-2</v>
      </c>
      <c r="M1017" s="3">
        <v>4</v>
      </c>
      <c r="N1017" s="3">
        <v>2</v>
      </c>
      <c r="O1017" s="3">
        <v>1</v>
      </c>
      <c r="P1017" s="3">
        <v>4</v>
      </c>
      <c r="Q1017" s="3">
        <v>1</v>
      </c>
    </row>
    <row r="1018" spans="1:17">
      <c r="A1018" t="s">
        <v>1430</v>
      </c>
      <c r="B1018" s="3" t="s">
        <v>815</v>
      </c>
      <c r="C1018" s="3" t="s">
        <v>816</v>
      </c>
      <c r="D1018" s="3" t="s">
        <v>11</v>
      </c>
      <c r="E1018" s="3" t="s">
        <v>12</v>
      </c>
      <c r="F1018" s="3">
        <v>0.28000000000000003</v>
      </c>
      <c r="G1018" s="74">
        <f>F1018*VLOOKUP(D1018,GWPs!$B$3:$C$6,2,FALSE)</f>
        <v>0.28000000000000003</v>
      </c>
      <c r="H1018" s="3">
        <v>0.22900000000000001</v>
      </c>
      <c r="I1018" s="74">
        <f>H1018*VLOOKUP(D1018,GWPs!$B$3:$C$6,2,FALSE)</f>
        <v>0.22900000000000001</v>
      </c>
      <c r="J1018" s="3">
        <v>0.50900000000000001</v>
      </c>
      <c r="K1018" s="74">
        <f>J1018*VLOOKUP(D1018,GWPs!$B$3:$C$6,2,FALSE)</f>
        <v>0.50900000000000001</v>
      </c>
      <c r="M1018" s="3">
        <v>3</v>
      </c>
      <c r="N1018" s="3">
        <v>2</v>
      </c>
      <c r="O1018" s="3">
        <v>1</v>
      </c>
      <c r="P1018" s="3">
        <v>3</v>
      </c>
      <c r="Q1018" s="3">
        <v>1</v>
      </c>
    </row>
    <row r="1019" spans="1:17">
      <c r="A1019" t="s">
        <v>1430</v>
      </c>
      <c r="B1019" s="3" t="s">
        <v>815</v>
      </c>
      <c r="C1019" s="3" t="s">
        <v>816</v>
      </c>
      <c r="D1019" s="3" t="s">
        <v>13</v>
      </c>
      <c r="E1019" s="3" t="s">
        <v>12</v>
      </c>
      <c r="F1019" s="3">
        <v>1E-3</v>
      </c>
      <c r="G1019" s="74">
        <f>F1019*VLOOKUP(D1019,GWPs!$B$3:$C$6,2,FALSE)</f>
        <v>2.8000000000000001E-2</v>
      </c>
      <c r="H1019" s="3">
        <v>2E-3</v>
      </c>
      <c r="I1019" s="74">
        <f>H1019*VLOOKUP(D1019,GWPs!$B$3:$C$6,2,FALSE)</f>
        <v>5.6000000000000001E-2</v>
      </c>
      <c r="J1019" s="3">
        <v>3.0000000000000001E-3</v>
      </c>
      <c r="K1019" s="74">
        <f>J1019*VLOOKUP(D1019,GWPs!$B$3:$C$6,2,FALSE)</f>
        <v>8.4000000000000005E-2</v>
      </c>
      <c r="M1019" s="3">
        <v>4</v>
      </c>
      <c r="N1019" s="3">
        <v>2</v>
      </c>
      <c r="O1019" s="3">
        <v>1</v>
      </c>
      <c r="P1019" s="3">
        <v>1</v>
      </c>
      <c r="Q1019" s="3">
        <v>1</v>
      </c>
    </row>
    <row r="1020" spans="1:17">
      <c r="A1020" t="s">
        <v>1430</v>
      </c>
      <c r="B1020" s="3" t="s">
        <v>815</v>
      </c>
      <c r="C1020" s="3" t="s">
        <v>816</v>
      </c>
      <c r="D1020" s="3" t="s">
        <v>14</v>
      </c>
      <c r="E1020" s="3" t="s">
        <v>12</v>
      </c>
      <c r="F1020" s="3">
        <v>0</v>
      </c>
      <c r="G1020" s="74">
        <f>F1020*VLOOKUP(D1020,GWPs!$B$3:$C$6,2,FALSE)</f>
        <v>0</v>
      </c>
      <c r="H1020" s="3">
        <v>0</v>
      </c>
      <c r="I1020" s="74">
        <f>H1020*VLOOKUP(D1020,GWPs!$B$3:$C$6,2,FALSE)</f>
        <v>0</v>
      </c>
      <c r="J1020" s="3">
        <v>0</v>
      </c>
      <c r="K1020" s="74">
        <f>J1020*VLOOKUP(D1020,GWPs!$B$3:$C$6,2,FALSE)</f>
        <v>0</v>
      </c>
      <c r="M1020" s="3">
        <v>3</v>
      </c>
      <c r="N1020" s="3">
        <v>2</v>
      </c>
      <c r="O1020" s="3">
        <v>1</v>
      </c>
      <c r="P1020" s="3">
        <v>3</v>
      </c>
      <c r="Q1020" s="3">
        <v>1</v>
      </c>
    </row>
    <row r="1021" spans="1:17">
      <c r="A1021" t="s">
        <v>1430</v>
      </c>
      <c r="B1021" s="3" t="s">
        <v>815</v>
      </c>
      <c r="C1021" s="3" t="s">
        <v>816</v>
      </c>
      <c r="D1021" s="3" t="s">
        <v>15</v>
      </c>
      <c r="E1021" s="3" t="s">
        <v>16</v>
      </c>
      <c r="F1021" s="3">
        <v>1.4999999999999999E-2</v>
      </c>
      <c r="G1021" s="74">
        <f>F1021*VLOOKUP(D1021,GWPs!$B$3:$C$6,2,FALSE)</f>
        <v>1.4999999999999999E-2</v>
      </c>
      <c r="H1021" s="3">
        <v>0</v>
      </c>
      <c r="I1021" s="74">
        <f>H1021*VLOOKUP(D1021,GWPs!$B$3:$C$6,2,FALSE)</f>
        <v>0</v>
      </c>
      <c r="J1021" s="3">
        <v>1.4999999999999999E-2</v>
      </c>
      <c r="K1021" s="74">
        <f>J1021*VLOOKUP(D1021,GWPs!$B$3:$C$6,2,FALSE)</f>
        <v>1.4999999999999999E-2</v>
      </c>
      <c r="M1021" s="3">
        <v>3</v>
      </c>
      <c r="N1021" s="3">
        <v>2</v>
      </c>
      <c r="O1021" s="3">
        <v>1</v>
      </c>
      <c r="P1021" s="3">
        <v>3</v>
      </c>
      <c r="Q1021" s="3">
        <v>1</v>
      </c>
    </row>
    <row r="1022" spans="1:17">
      <c r="A1022" t="s">
        <v>1429</v>
      </c>
      <c r="B1022" s="3" t="s">
        <v>817</v>
      </c>
      <c r="C1022" s="3" t="s">
        <v>818</v>
      </c>
      <c r="D1022" s="3" t="s">
        <v>11</v>
      </c>
      <c r="E1022" s="3" t="s">
        <v>12</v>
      </c>
      <c r="F1022" s="3">
        <v>0.30599999999999999</v>
      </c>
      <c r="G1022" s="74">
        <f>F1022*VLOOKUP(D1022,GWPs!$B$3:$C$6,2,FALSE)</f>
        <v>0.30599999999999999</v>
      </c>
      <c r="H1022" s="3">
        <v>0.46200000000000002</v>
      </c>
      <c r="I1022" s="74">
        <f>H1022*VLOOKUP(D1022,GWPs!$B$3:$C$6,2,FALSE)</f>
        <v>0.46200000000000002</v>
      </c>
      <c r="J1022" s="3">
        <v>0.76900000000000002</v>
      </c>
      <c r="K1022" s="74">
        <f>J1022*VLOOKUP(D1022,GWPs!$B$3:$C$6,2,FALSE)</f>
        <v>0.76900000000000002</v>
      </c>
      <c r="M1022" s="3">
        <v>3</v>
      </c>
      <c r="N1022" s="3">
        <v>2</v>
      </c>
      <c r="O1022" s="3">
        <v>1</v>
      </c>
      <c r="P1022" s="3">
        <v>3</v>
      </c>
      <c r="Q1022" s="3">
        <v>1</v>
      </c>
    </row>
    <row r="1023" spans="1:17">
      <c r="A1023" t="s">
        <v>1429</v>
      </c>
      <c r="B1023" s="3" t="s">
        <v>817</v>
      </c>
      <c r="C1023" s="3" t="s">
        <v>818</v>
      </c>
      <c r="D1023" s="3" t="s">
        <v>13</v>
      </c>
      <c r="E1023" s="3" t="s">
        <v>12</v>
      </c>
      <c r="F1023" s="3">
        <v>1E-3</v>
      </c>
      <c r="G1023" s="74">
        <f>F1023*VLOOKUP(D1023,GWPs!$B$3:$C$6,2,FALSE)</f>
        <v>2.8000000000000001E-2</v>
      </c>
      <c r="H1023" s="3">
        <v>3.0000000000000001E-3</v>
      </c>
      <c r="I1023" s="74">
        <f>H1023*VLOOKUP(D1023,GWPs!$B$3:$C$6,2,FALSE)</f>
        <v>8.4000000000000005E-2</v>
      </c>
      <c r="J1023" s="3">
        <v>4.0000000000000001E-3</v>
      </c>
      <c r="K1023" s="74">
        <f>J1023*VLOOKUP(D1023,GWPs!$B$3:$C$6,2,FALSE)</f>
        <v>0.112</v>
      </c>
      <c r="M1023" s="3">
        <v>4</v>
      </c>
      <c r="N1023" s="3">
        <v>2</v>
      </c>
      <c r="O1023" s="3">
        <v>1</v>
      </c>
      <c r="P1023" s="3">
        <v>1</v>
      </c>
      <c r="Q1023" s="3">
        <v>1</v>
      </c>
    </row>
    <row r="1024" spans="1:17">
      <c r="A1024" t="s">
        <v>1429</v>
      </c>
      <c r="B1024" s="3" t="s">
        <v>817</v>
      </c>
      <c r="C1024" s="3" t="s">
        <v>818</v>
      </c>
      <c r="D1024" s="3" t="s">
        <v>14</v>
      </c>
      <c r="E1024" s="3" t="s">
        <v>12</v>
      </c>
      <c r="F1024" s="3">
        <v>0</v>
      </c>
      <c r="G1024" s="74">
        <f>F1024*VLOOKUP(D1024,GWPs!$B$3:$C$6,2,FALSE)</f>
        <v>0</v>
      </c>
      <c r="H1024" s="3">
        <v>0</v>
      </c>
      <c r="I1024" s="74">
        <f>H1024*VLOOKUP(D1024,GWPs!$B$3:$C$6,2,FALSE)</f>
        <v>0</v>
      </c>
      <c r="J1024" s="3">
        <v>0</v>
      </c>
      <c r="K1024" s="74">
        <f>J1024*VLOOKUP(D1024,GWPs!$B$3:$C$6,2,FALSE)</f>
        <v>0</v>
      </c>
      <c r="M1024" s="3">
        <v>3</v>
      </c>
      <c r="N1024" s="3">
        <v>2</v>
      </c>
      <c r="O1024" s="3">
        <v>1</v>
      </c>
      <c r="P1024" s="3">
        <v>3</v>
      </c>
      <c r="Q1024" s="3">
        <v>1</v>
      </c>
    </row>
    <row r="1025" spans="1:17">
      <c r="A1025" t="s">
        <v>1429</v>
      </c>
      <c r="B1025" s="3" t="s">
        <v>817</v>
      </c>
      <c r="C1025" s="3" t="s">
        <v>818</v>
      </c>
      <c r="D1025" s="3" t="s">
        <v>15</v>
      </c>
      <c r="E1025" s="3" t="s">
        <v>16</v>
      </c>
      <c r="F1025" s="3">
        <v>2.7E-2</v>
      </c>
      <c r="G1025" s="74">
        <f>F1025*VLOOKUP(D1025,GWPs!$B$3:$C$6,2,FALSE)</f>
        <v>2.7E-2</v>
      </c>
      <c r="H1025" s="3">
        <v>0</v>
      </c>
      <c r="I1025" s="74">
        <f>H1025*VLOOKUP(D1025,GWPs!$B$3:$C$6,2,FALSE)</f>
        <v>0</v>
      </c>
      <c r="J1025" s="3">
        <v>2.7E-2</v>
      </c>
      <c r="K1025" s="74">
        <f>J1025*VLOOKUP(D1025,GWPs!$B$3:$C$6,2,FALSE)</f>
        <v>2.7E-2</v>
      </c>
      <c r="M1025" s="3">
        <v>3</v>
      </c>
      <c r="N1025" s="3">
        <v>2</v>
      </c>
      <c r="O1025" s="3">
        <v>1</v>
      </c>
      <c r="P1025" s="3">
        <v>3</v>
      </c>
      <c r="Q1025" s="3">
        <v>1</v>
      </c>
    </row>
    <row r="1026" spans="1:17">
      <c r="A1026" t="s">
        <v>1429</v>
      </c>
      <c r="B1026" s="3" t="s">
        <v>819</v>
      </c>
      <c r="C1026" s="3" t="s">
        <v>820</v>
      </c>
      <c r="D1026" s="3" t="s">
        <v>11</v>
      </c>
      <c r="E1026" s="3" t="s">
        <v>12</v>
      </c>
      <c r="F1026" s="3">
        <v>0.32800000000000001</v>
      </c>
      <c r="G1026" s="74">
        <f>F1026*VLOOKUP(D1026,GWPs!$B$3:$C$6,2,FALSE)</f>
        <v>0.32800000000000001</v>
      </c>
      <c r="H1026" s="3">
        <v>0.182</v>
      </c>
      <c r="I1026" s="74">
        <f>H1026*VLOOKUP(D1026,GWPs!$B$3:$C$6,2,FALSE)</f>
        <v>0.182</v>
      </c>
      <c r="J1026" s="3">
        <v>0.51</v>
      </c>
      <c r="K1026" s="74">
        <f>J1026*VLOOKUP(D1026,GWPs!$B$3:$C$6,2,FALSE)</f>
        <v>0.51</v>
      </c>
      <c r="M1026" s="3">
        <v>3</v>
      </c>
      <c r="N1026" s="3">
        <v>2</v>
      </c>
      <c r="O1026" s="3">
        <v>1</v>
      </c>
      <c r="P1026" s="3">
        <v>3</v>
      </c>
      <c r="Q1026" s="3">
        <v>1</v>
      </c>
    </row>
    <row r="1027" spans="1:17">
      <c r="A1027" t="s">
        <v>1429</v>
      </c>
      <c r="B1027" s="3" t="s">
        <v>819</v>
      </c>
      <c r="C1027" s="3" t="s">
        <v>820</v>
      </c>
      <c r="D1027" s="3" t="s">
        <v>13</v>
      </c>
      <c r="E1027" s="3" t="s">
        <v>12</v>
      </c>
      <c r="F1027" s="3">
        <v>1E-3</v>
      </c>
      <c r="G1027" s="74">
        <f>F1027*VLOOKUP(D1027,GWPs!$B$3:$C$6,2,FALSE)</f>
        <v>2.8000000000000001E-2</v>
      </c>
      <c r="H1027" s="3">
        <v>2E-3</v>
      </c>
      <c r="I1027" s="74">
        <f>H1027*VLOOKUP(D1027,GWPs!$B$3:$C$6,2,FALSE)</f>
        <v>5.6000000000000001E-2</v>
      </c>
      <c r="J1027" s="3">
        <v>3.0000000000000001E-3</v>
      </c>
      <c r="K1027" s="74">
        <f>J1027*VLOOKUP(D1027,GWPs!$B$3:$C$6,2,FALSE)</f>
        <v>8.4000000000000005E-2</v>
      </c>
      <c r="M1027" s="3">
        <v>4</v>
      </c>
      <c r="N1027" s="3">
        <v>2</v>
      </c>
      <c r="O1027" s="3">
        <v>1</v>
      </c>
      <c r="P1027" s="3">
        <v>1</v>
      </c>
      <c r="Q1027" s="3">
        <v>1</v>
      </c>
    </row>
    <row r="1028" spans="1:17">
      <c r="A1028" t="s">
        <v>1429</v>
      </c>
      <c r="B1028" s="3" t="s">
        <v>819</v>
      </c>
      <c r="C1028" s="3" t="s">
        <v>820</v>
      </c>
      <c r="D1028" s="3" t="s">
        <v>14</v>
      </c>
      <c r="E1028" s="3" t="s">
        <v>12</v>
      </c>
      <c r="F1028" s="3">
        <v>0</v>
      </c>
      <c r="G1028" s="74">
        <f>F1028*VLOOKUP(D1028,GWPs!$B$3:$C$6,2,FALSE)</f>
        <v>0</v>
      </c>
      <c r="H1028" s="3">
        <v>0</v>
      </c>
      <c r="I1028" s="74">
        <f>H1028*VLOOKUP(D1028,GWPs!$B$3:$C$6,2,FALSE)</f>
        <v>0</v>
      </c>
      <c r="J1028" s="3">
        <v>0</v>
      </c>
      <c r="K1028" s="74">
        <f>J1028*VLOOKUP(D1028,GWPs!$B$3:$C$6,2,FALSE)</f>
        <v>0</v>
      </c>
      <c r="M1028" s="3">
        <v>3</v>
      </c>
      <c r="N1028" s="3">
        <v>2</v>
      </c>
      <c r="O1028" s="3">
        <v>1</v>
      </c>
      <c r="P1028" s="3">
        <v>3</v>
      </c>
      <c r="Q1028" s="3">
        <v>1</v>
      </c>
    </row>
    <row r="1029" spans="1:17">
      <c r="A1029" t="s">
        <v>1429</v>
      </c>
      <c r="B1029" s="3" t="s">
        <v>819</v>
      </c>
      <c r="C1029" s="3" t="s">
        <v>820</v>
      </c>
      <c r="D1029" s="3" t="s">
        <v>15</v>
      </c>
      <c r="E1029" s="3" t="s">
        <v>16</v>
      </c>
      <c r="F1029" s="3">
        <v>1.2E-2</v>
      </c>
      <c r="G1029" s="74">
        <f>F1029*VLOOKUP(D1029,GWPs!$B$3:$C$6,2,FALSE)</f>
        <v>1.2E-2</v>
      </c>
      <c r="H1029" s="3">
        <v>0</v>
      </c>
      <c r="I1029" s="74">
        <f>H1029*VLOOKUP(D1029,GWPs!$B$3:$C$6,2,FALSE)</f>
        <v>0</v>
      </c>
      <c r="J1029" s="3">
        <v>1.2E-2</v>
      </c>
      <c r="K1029" s="74">
        <f>J1029*VLOOKUP(D1029,GWPs!$B$3:$C$6,2,FALSE)</f>
        <v>1.2E-2</v>
      </c>
      <c r="M1029" s="3">
        <v>3</v>
      </c>
      <c r="N1029" s="3">
        <v>2</v>
      </c>
      <c r="O1029" s="3">
        <v>1</v>
      </c>
      <c r="P1029" s="3">
        <v>3</v>
      </c>
      <c r="Q1029" s="3">
        <v>1</v>
      </c>
    </row>
    <row r="1030" spans="1:17">
      <c r="A1030" t="s">
        <v>1430</v>
      </c>
      <c r="B1030" s="3" t="s">
        <v>821</v>
      </c>
      <c r="C1030" s="3" t="s">
        <v>822</v>
      </c>
      <c r="D1030" s="3" t="s">
        <v>11</v>
      </c>
      <c r="E1030" s="3" t="s">
        <v>12</v>
      </c>
      <c r="F1030" s="3">
        <v>0.24399999999999999</v>
      </c>
      <c r="G1030" s="74">
        <f>F1030*VLOOKUP(D1030,GWPs!$B$3:$C$6,2,FALSE)</f>
        <v>0.24399999999999999</v>
      </c>
      <c r="H1030" s="3">
        <v>9.1999999999999998E-2</v>
      </c>
      <c r="I1030" s="74">
        <f>H1030*VLOOKUP(D1030,GWPs!$B$3:$C$6,2,FALSE)</f>
        <v>9.1999999999999998E-2</v>
      </c>
      <c r="J1030" s="3">
        <v>0.33600000000000002</v>
      </c>
      <c r="K1030" s="74">
        <f>J1030*VLOOKUP(D1030,GWPs!$B$3:$C$6,2,FALSE)</f>
        <v>0.33600000000000002</v>
      </c>
      <c r="M1030" s="3">
        <v>3</v>
      </c>
      <c r="N1030" s="3">
        <v>2</v>
      </c>
      <c r="O1030" s="3">
        <v>1</v>
      </c>
      <c r="P1030" s="3">
        <v>3</v>
      </c>
      <c r="Q1030" s="3">
        <v>1</v>
      </c>
    </row>
    <row r="1031" spans="1:17">
      <c r="A1031" t="s">
        <v>1430</v>
      </c>
      <c r="B1031" s="3" t="s">
        <v>821</v>
      </c>
      <c r="C1031" s="3" t="s">
        <v>822</v>
      </c>
      <c r="D1031" s="3" t="s">
        <v>13</v>
      </c>
      <c r="E1031" s="3" t="s">
        <v>12</v>
      </c>
      <c r="F1031" s="3">
        <v>1E-3</v>
      </c>
      <c r="G1031" s="74">
        <f>F1031*VLOOKUP(D1031,GWPs!$B$3:$C$6,2,FALSE)</f>
        <v>2.8000000000000001E-2</v>
      </c>
      <c r="H1031" s="3">
        <v>1E-3</v>
      </c>
      <c r="I1031" s="74">
        <f>H1031*VLOOKUP(D1031,GWPs!$B$3:$C$6,2,FALSE)</f>
        <v>2.8000000000000001E-2</v>
      </c>
      <c r="J1031" s="3">
        <v>2E-3</v>
      </c>
      <c r="K1031" s="74">
        <f>J1031*VLOOKUP(D1031,GWPs!$B$3:$C$6,2,FALSE)</f>
        <v>5.6000000000000001E-2</v>
      </c>
      <c r="M1031" s="3">
        <v>4</v>
      </c>
      <c r="N1031" s="3">
        <v>2</v>
      </c>
      <c r="O1031" s="3">
        <v>1</v>
      </c>
      <c r="P1031" s="3">
        <v>1</v>
      </c>
      <c r="Q1031" s="3">
        <v>1</v>
      </c>
    </row>
    <row r="1032" spans="1:17">
      <c r="A1032" t="s">
        <v>1430</v>
      </c>
      <c r="B1032" s="3" t="s">
        <v>821</v>
      </c>
      <c r="C1032" s="3" t="s">
        <v>822</v>
      </c>
      <c r="D1032" s="3" t="s">
        <v>14</v>
      </c>
      <c r="E1032" s="3" t="s">
        <v>12</v>
      </c>
      <c r="F1032" s="3">
        <v>0</v>
      </c>
      <c r="G1032" s="74">
        <f>F1032*VLOOKUP(D1032,GWPs!$B$3:$C$6,2,FALSE)</f>
        <v>0</v>
      </c>
      <c r="H1032" s="3">
        <v>0</v>
      </c>
      <c r="I1032" s="74">
        <f>H1032*VLOOKUP(D1032,GWPs!$B$3:$C$6,2,FALSE)</f>
        <v>0</v>
      </c>
      <c r="J1032" s="3">
        <v>0</v>
      </c>
      <c r="K1032" s="74">
        <f>J1032*VLOOKUP(D1032,GWPs!$B$3:$C$6,2,FALSE)</f>
        <v>0</v>
      </c>
      <c r="M1032" s="3">
        <v>3</v>
      </c>
      <c r="N1032" s="3">
        <v>2</v>
      </c>
      <c r="O1032" s="3">
        <v>1</v>
      </c>
      <c r="P1032" s="3">
        <v>3</v>
      </c>
      <c r="Q1032" s="3">
        <v>1</v>
      </c>
    </row>
    <row r="1033" spans="1:17">
      <c r="A1033" t="s">
        <v>1430</v>
      </c>
      <c r="B1033" s="3" t="s">
        <v>821</v>
      </c>
      <c r="C1033" s="3" t="s">
        <v>822</v>
      </c>
      <c r="D1033" s="3" t="s">
        <v>15</v>
      </c>
      <c r="E1033" s="3" t="s">
        <v>16</v>
      </c>
      <c r="F1033" s="3">
        <v>1.2E-2</v>
      </c>
      <c r="G1033" s="74">
        <f>F1033*VLOOKUP(D1033,GWPs!$B$3:$C$6,2,FALSE)</f>
        <v>1.2E-2</v>
      </c>
      <c r="H1033" s="3">
        <v>0</v>
      </c>
      <c r="I1033" s="74">
        <f>H1033*VLOOKUP(D1033,GWPs!$B$3:$C$6,2,FALSE)</f>
        <v>0</v>
      </c>
      <c r="J1033" s="3">
        <v>1.2E-2</v>
      </c>
      <c r="K1033" s="74">
        <f>J1033*VLOOKUP(D1033,GWPs!$B$3:$C$6,2,FALSE)</f>
        <v>1.2E-2</v>
      </c>
      <c r="M1033" s="3">
        <v>3</v>
      </c>
      <c r="N1033" s="3">
        <v>2</v>
      </c>
      <c r="O1033" s="3">
        <v>1</v>
      </c>
      <c r="P1033" s="3">
        <v>4</v>
      </c>
      <c r="Q1033" s="3">
        <v>1</v>
      </c>
    </row>
    <row r="1034" spans="1:17">
      <c r="A1034" t="s">
        <v>1429</v>
      </c>
      <c r="B1034" s="3" t="s">
        <v>823</v>
      </c>
      <c r="C1034" s="3" t="s">
        <v>824</v>
      </c>
      <c r="D1034" s="3" t="s">
        <v>11</v>
      </c>
      <c r="E1034" s="3" t="s">
        <v>12</v>
      </c>
      <c r="F1034" s="3">
        <v>0.22600000000000001</v>
      </c>
      <c r="G1034" s="74">
        <f>F1034*VLOOKUP(D1034,GWPs!$B$3:$C$6,2,FALSE)</f>
        <v>0.22600000000000001</v>
      </c>
      <c r="H1034" s="3">
        <v>0.27400000000000002</v>
      </c>
      <c r="I1034" s="74">
        <f>H1034*VLOOKUP(D1034,GWPs!$B$3:$C$6,2,FALSE)</f>
        <v>0.27400000000000002</v>
      </c>
      <c r="J1034" s="3">
        <v>0.5</v>
      </c>
      <c r="K1034" s="74">
        <f>J1034*VLOOKUP(D1034,GWPs!$B$3:$C$6,2,FALSE)</f>
        <v>0.5</v>
      </c>
      <c r="M1034" s="3">
        <v>3</v>
      </c>
      <c r="N1034" s="3">
        <v>2</v>
      </c>
      <c r="O1034" s="3">
        <v>1</v>
      </c>
      <c r="P1034" s="3">
        <v>3</v>
      </c>
      <c r="Q1034" s="3">
        <v>1</v>
      </c>
    </row>
    <row r="1035" spans="1:17">
      <c r="A1035" t="s">
        <v>1429</v>
      </c>
      <c r="B1035" s="3" t="s">
        <v>823</v>
      </c>
      <c r="C1035" s="3" t="s">
        <v>824</v>
      </c>
      <c r="D1035" s="3" t="s">
        <v>13</v>
      </c>
      <c r="E1035" s="3" t="s">
        <v>12</v>
      </c>
      <c r="F1035" s="3">
        <v>1E-3</v>
      </c>
      <c r="G1035" s="74">
        <f>F1035*VLOOKUP(D1035,GWPs!$B$3:$C$6,2,FALSE)</f>
        <v>2.8000000000000001E-2</v>
      </c>
      <c r="H1035" s="3">
        <v>2E-3</v>
      </c>
      <c r="I1035" s="74">
        <f>H1035*VLOOKUP(D1035,GWPs!$B$3:$C$6,2,FALSE)</f>
        <v>5.6000000000000001E-2</v>
      </c>
      <c r="J1035" s="3">
        <v>3.0000000000000001E-3</v>
      </c>
      <c r="K1035" s="74">
        <f>J1035*VLOOKUP(D1035,GWPs!$B$3:$C$6,2,FALSE)</f>
        <v>8.4000000000000005E-2</v>
      </c>
      <c r="M1035" s="3">
        <v>3</v>
      </c>
      <c r="N1035" s="3">
        <v>2</v>
      </c>
      <c r="O1035" s="3">
        <v>1</v>
      </c>
      <c r="P1035" s="3">
        <v>1</v>
      </c>
      <c r="Q1035" s="3">
        <v>1</v>
      </c>
    </row>
    <row r="1036" spans="1:17">
      <c r="A1036" t="s">
        <v>1429</v>
      </c>
      <c r="B1036" s="3" t="s">
        <v>823</v>
      </c>
      <c r="C1036" s="3" t="s">
        <v>824</v>
      </c>
      <c r="D1036" s="3" t="s">
        <v>14</v>
      </c>
      <c r="E1036" s="3" t="s">
        <v>12</v>
      </c>
      <c r="F1036" s="3">
        <v>0</v>
      </c>
      <c r="G1036" s="74">
        <f>F1036*VLOOKUP(D1036,GWPs!$B$3:$C$6,2,FALSE)</f>
        <v>0</v>
      </c>
      <c r="H1036" s="3">
        <v>0</v>
      </c>
      <c r="I1036" s="74">
        <f>H1036*VLOOKUP(D1036,GWPs!$B$3:$C$6,2,FALSE)</f>
        <v>0</v>
      </c>
      <c r="J1036" s="3">
        <v>0</v>
      </c>
      <c r="K1036" s="74">
        <f>J1036*VLOOKUP(D1036,GWPs!$B$3:$C$6,2,FALSE)</f>
        <v>0</v>
      </c>
      <c r="M1036" s="3">
        <v>4</v>
      </c>
      <c r="N1036" s="3">
        <v>2</v>
      </c>
      <c r="O1036" s="3">
        <v>1</v>
      </c>
      <c r="P1036" s="3">
        <v>3</v>
      </c>
      <c r="Q1036" s="3">
        <v>1</v>
      </c>
    </row>
    <row r="1037" spans="1:17">
      <c r="A1037" t="s">
        <v>1429</v>
      </c>
      <c r="B1037" s="3" t="s">
        <v>823</v>
      </c>
      <c r="C1037" s="3" t="s">
        <v>824</v>
      </c>
      <c r="D1037" s="3" t="s">
        <v>15</v>
      </c>
      <c r="E1037" s="3" t="s">
        <v>16</v>
      </c>
      <c r="F1037" s="3">
        <v>7.4999999999999997E-2</v>
      </c>
      <c r="G1037" s="74">
        <f>F1037*VLOOKUP(D1037,GWPs!$B$3:$C$6,2,FALSE)</f>
        <v>7.4999999999999997E-2</v>
      </c>
      <c r="H1037" s="3">
        <v>0</v>
      </c>
      <c r="I1037" s="74">
        <f>H1037*VLOOKUP(D1037,GWPs!$B$3:$C$6,2,FALSE)</f>
        <v>0</v>
      </c>
      <c r="J1037" s="3">
        <v>7.4999999999999997E-2</v>
      </c>
      <c r="K1037" s="74">
        <f>J1037*VLOOKUP(D1037,GWPs!$B$3:$C$6,2,FALSE)</f>
        <v>7.4999999999999997E-2</v>
      </c>
      <c r="M1037" s="3">
        <v>4</v>
      </c>
      <c r="N1037" s="3">
        <v>2</v>
      </c>
      <c r="O1037" s="3">
        <v>1</v>
      </c>
      <c r="P1037" s="3">
        <v>5</v>
      </c>
      <c r="Q1037" s="3">
        <v>1</v>
      </c>
    </row>
    <row r="1038" spans="1:17">
      <c r="A1038" t="s">
        <v>1430</v>
      </c>
      <c r="B1038" s="3" t="s">
        <v>825</v>
      </c>
      <c r="C1038" s="3" t="s">
        <v>826</v>
      </c>
      <c r="D1038" s="3" t="s">
        <v>11</v>
      </c>
      <c r="E1038" s="3" t="s">
        <v>12</v>
      </c>
      <c r="F1038" s="3">
        <v>0.13800000000000001</v>
      </c>
      <c r="G1038" s="74">
        <f>F1038*VLOOKUP(D1038,GWPs!$B$3:$C$6,2,FALSE)</f>
        <v>0.13800000000000001</v>
      </c>
      <c r="H1038" s="3">
        <v>4.3999999999999997E-2</v>
      </c>
      <c r="I1038" s="74">
        <f>H1038*VLOOKUP(D1038,GWPs!$B$3:$C$6,2,FALSE)</f>
        <v>4.3999999999999997E-2</v>
      </c>
      <c r="J1038" s="3">
        <v>0.182</v>
      </c>
      <c r="K1038" s="74">
        <f>J1038*VLOOKUP(D1038,GWPs!$B$3:$C$6,2,FALSE)</f>
        <v>0.182</v>
      </c>
      <c r="M1038" s="3">
        <v>3</v>
      </c>
      <c r="N1038" s="3">
        <v>2</v>
      </c>
      <c r="O1038" s="3">
        <v>1</v>
      </c>
      <c r="P1038" s="3">
        <v>3</v>
      </c>
      <c r="Q1038" s="3">
        <v>1</v>
      </c>
    </row>
    <row r="1039" spans="1:17">
      <c r="A1039" t="s">
        <v>1430</v>
      </c>
      <c r="B1039" s="3" t="s">
        <v>825</v>
      </c>
      <c r="C1039" s="3" t="s">
        <v>826</v>
      </c>
      <c r="D1039" s="3" t="s">
        <v>13</v>
      </c>
      <c r="E1039" s="3" t="s">
        <v>12</v>
      </c>
      <c r="F1039" s="3">
        <v>1E-3</v>
      </c>
      <c r="G1039" s="74">
        <f>F1039*VLOOKUP(D1039,GWPs!$B$3:$C$6,2,FALSE)</f>
        <v>2.8000000000000001E-2</v>
      </c>
      <c r="H1039" s="3">
        <v>0</v>
      </c>
      <c r="I1039" s="74">
        <f>H1039*VLOOKUP(D1039,GWPs!$B$3:$C$6,2,FALSE)</f>
        <v>0</v>
      </c>
      <c r="J1039" s="3">
        <v>1E-3</v>
      </c>
      <c r="K1039" s="74">
        <f>J1039*VLOOKUP(D1039,GWPs!$B$3:$C$6,2,FALSE)</f>
        <v>2.8000000000000001E-2</v>
      </c>
      <c r="M1039" s="3">
        <v>3</v>
      </c>
      <c r="N1039" s="3">
        <v>2</v>
      </c>
      <c r="O1039" s="3">
        <v>1</v>
      </c>
      <c r="P1039" s="3">
        <v>1</v>
      </c>
      <c r="Q1039" s="3">
        <v>1</v>
      </c>
    </row>
    <row r="1040" spans="1:17">
      <c r="A1040" t="s">
        <v>1430</v>
      </c>
      <c r="B1040" s="3" t="s">
        <v>825</v>
      </c>
      <c r="C1040" s="3" t="s">
        <v>826</v>
      </c>
      <c r="D1040" s="3" t="s">
        <v>14</v>
      </c>
      <c r="E1040" s="3" t="s">
        <v>12</v>
      </c>
      <c r="F1040" s="3">
        <v>0</v>
      </c>
      <c r="G1040" s="74">
        <f>F1040*VLOOKUP(D1040,GWPs!$B$3:$C$6,2,FALSE)</f>
        <v>0</v>
      </c>
      <c r="H1040" s="3">
        <v>0</v>
      </c>
      <c r="I1040" s="74">
        <f>H1040*VLOOKUP(D1040,GWPs!$B$3:$C$6,2,FALSE)</f>
        <v>0</v>
      </c>
      <c r="J1040" s="3">
        <v>0</v>
      </c>
      <c r="K1040" s="74">
        <f>J1040*VLOOKUP(D1040,GWPs!$B$3:$C$6,2,FALSE)</f>
        <v>0</v>
      </c>
      <c r="M1040" s="3">
        <v>4</v>
      </c>
      <c r="N1040" s="3">
        <v>2</v>
      </c>
      <c r="O1040" s="3">
        <v>1</v>
      </c>
      <c r="P1040" s="3">
        <v>3</v>
      </c>
      <c r="Q1040" s="3">
        <v>1</v>
      </c>
    </row>
    <row r="1041" spans="1:17">
      <c r="A1041" t="s">
        <v>1430</v>
      </c>
      <c r="B1041" s="3" t="s">
        <v>825</v>
      </c>
      <c r="C1041" s="3" t="s">
        <v>826</v>
      </c>
      <c r="D1041" s="3" t="s">
        <v>15</v>
      </c>
      <c r="E1041" s="3" t="s">
        <v>16</v>
      </c>
      <c r="F1041" s="3">
        <v>4.0000000000000001E-3</v>
      </c>
      <c r="G1041" s="74">
        <f>F1041*VLOOKUP(D1041,GWPs!$B$3:$C$6,2,FALSE)</f>
        <v>4.0000000000000001E-3</v>
      </c>
      <c r="H1041" s="3">
        <v>0</v>
      </c>
      <c r="I1041" s="74">
        <f>H1041*VLOOKUP(D1041,GWPs!$B$3:$C$6,2,FALSE)</f>
        <v>0</v>
      </c>
      <c r="J1041" s="3">
        <v>4.0000000000000001E-3</v>
      </c>
      <c r="K1041" s="74">
        <f>J1041*VLOOKUP(D1041,GWPs!$B$3:$C$6,2,FALSE)</f>
        <v>4.0000000000000001E-3</v>
      </c>
      <c r="M1041" s="3">
        <v>3</v>
      </c>
      <c r="N1041" s="3">
        <v>2</v>
      </c>
      <c r="O1041" s="3">
        <v>1</v>
      </c>
      <c r="P1041" s="3">
        <v>4</v>
      </c>
      <c r="Q1041" s="3">
        <v>1</v>
      </c>
    </row>
    <row r="1042" spans="1:17">
      <c r="A1042" t="s">
        <v>1430</v>
      </c>
      <c r="B1042" s="3" t="s">
        <v>827</v>
      </c>
      <c r="C1042" s="3" t="s">
        <v>828</v>
      </c>
      <c r="D1042" s="3" t="s">
        <v>11</v>
      </c>
      <c r="E1042" s="3" t="s">
        <v>12</v>
      </c>
      <c r="F1042" s="3">
        <v>0.151</v>
      </c>
      <c r="G1042" s="74">
        <f>F1042*VLOOKUP(D1042,GWPs!$B$3:$C$6,2,FALSE)</f>
        <v>0.151</v>
      </c>
      <c r="H1042" s="3">
        <v>0.1</v>
      </c>
      <c r="I1042" s="74">
        <f>H1042*VLOOKUP(D1042,GWPs!$B$3:$C$6,2,FALSE)</f>
        <v>0.1</v>
      </c>
      <c r="J1042" s="3">
        <v>0.251</v>
      </c>
      <c r="K1042" s="74">
        <f>J1042*VLOOKUP(D1042,GWPs!$B$3:$C$6,2,FALSE)</f>
        <v>0.251</v>
      </c>
      <c r="M1042" s="3">
        <v>3</v>
      </c>
      <c r="N1042" s="3">
        <v>2</v>
      </c>
      <c r="O1042" s="3">
        <v>1</v>
      </c>
      <c r="P1042" s="3">
        <v>3</v>
      </c>
      <c r="Q1042" s="3">
        <v>1</v>
      </c>
    </row>
    <row r="1043" spans="1:17">
      <c r="A1043" t="s">
        <v>1430</v>
      </c>
      <c r="B1043" s="3" t="s">
        <v>827</v>
      </c>
      <c r="C1043" s="3" t="s">
        <v>828</v>
      </c>
      <c r="D1043" s="3" t="s">
        <v>13</v>
      </c>
      <c r="E1043" s="3" t="s">
        <v>12</v>
      </c>
      <c r="F1043" s="3">
        <v>1E-3</v>
      </c>
      <c r="G1043" s="74">
        <f>F1043*VLOOKUP(D1043,GWPs!$B$3:$C$6,2,FALSE)</f>
        <v>2.8000000000000001E-2</v>
      </c>
      <c r="H1043" s="3">
        <v>1E-3</v>
      </c>
      <c r="I1043" s="74">
        <f>H1043*VLOOKUP(D1043,GWPs!$B$3:$C$6,2,FALSE)</f>
        <v>2.8000000000000001E-2</v>
      </c>
      <c r="J1043" s="3">
        <v>1E-3</v>
      </c>
      <c r="K1043" s="74">
        <f>J1043*VLOOKUP(D1043,GWPs!$B$3:$C$6,2,FALSE)</f>
        <v>2.8000000000000001E-2</v>
      </c>
      <c r="M1043" s="3">
        <v>4</v>
      </c>
      <c r="N1043" s="3">
        <v>2</v>
      </c>
      <c r="O1043" s="3">
        <v>1</v>
      </c>
      <c r="P1043" s="3">
        <v>1</v>
      </c>
      <c r="Q1043" s="3">
        <v>1</v>
      </c>
    </row>
    <row r="1044" spans="1:17">
      <c r="A1044" t="s">
        <v>1430</v>
      </c>
      <c r="B1044" s="3" t="s">
        <v>827</v>
      </c>
      <c r="C1044" s="3" t="s">
        <v>828</v>
      </c>
      <c r="D1044" s="3" t="s">
        <v>14</v>
      </c>
      <c r="E1044" s="3" t="s">
        <v>12</v>
      </c>
      <c r="F1044" s="3">
        <v>0</v>
      </c>
      <c r="G1044" s="74">
        <f>F1044*VLOOKUP(D1044,GWPs!$B$3:$C$6,2,FALSE)</f>
        <v>0</v>
      </c>
      <c r="H1044" s="3">
        <v>0</v>
      </c>
      <c r="I1044" s="74">
        <f>H1044*VLOOKUP(D1044,GWPs!$B$3:$C$6,2,FALSE)</f>
        <v>0</v>
      </c>
      <c r="J1044" s="3">
        <v>0</v>
      </c>
      <c r="K1044" s="74">
        <f>J1044*VLOOKUP(D1044,GWPs!$B$3:$C$6,2,FALSE)</f>
        <v>0</v>
      </c>
      <c r="M1044" s="3">
        <v>3</v>
      </c>
      <c r="N1044" s="3">
        <v>2</v>
      </c>
      <c r="O1044" s="3">
        <v>1</v>
      </c>
      <c r="P1044" s="3">
        <v>3</v>
      </c>
      <c r="Q1044" s="3">
        <v>1</v>
      </c>
    </row>
    <row r="1045" spans="1:17">
      <c r="A1045" t="s">
        <v>1430</v>
      </c>
      <c r="B1045" s="3" t="s">
        <v>827</v>
      </c>
      <c r="C1045" s="3" t="s">
        <v>828</v>
      </c>
      <c r="D1045" s="3" t="s">
        <v>15</v>
      </c>
      <c r="E1045" s="3" t="s">
        <v>16</v>
      </c>
      <c r="F1045" s="3">
        <v>5.0000000000000001E-3</v>
      </c>
      <c r="G1045" s="74">
        <f>F1045*VLOOKUP(D1045,GWPs!$B$3:$C$6,2,FALSE)</f>
        <v>5.0000000000000001E-3</v>
      </c>
      <c r="H1045" s="3">
        <v>0</v>
      </c>
      <c r="I1045" s="74">
        <f>H1045*VLOOKUP(D1045,GWPs!$B$3:$C$6,2,FALSE)</f>
        <v>0</v>
      </c>
      <c r="J1045" s="3">
        <v>5.0000000000000001E-3</v>
      </c>
      <c r="K1045" s="74">
        <f>J1045*VLOOKUP(D1045,GWPs!$B$3:$C$6,2,FALSE)</f>
        <v>5.0000000000000001E-3</v>
      </c>
      <c r="M1045" s="3">
        <v>3</v>
      </c>
      <c r="N1045" s="3">
        <v>2</v>
      </c>
      <c r="O1045" s="3">
        <v>1</v>
      </c>
      <c r="P1045" s="3">
        <v>4</v>
      </c>
      <c r="Q1045" s="3">
        <v>1</v>
      </c>
    </row>
    <row r="1046" spans="1:17">
      <c r="A1046" t="s">
        <v>1429</v>
      </c>
      <c r="B1046" s="3" t="s">
        <v>829</v>
      </c>
      <c r="C1046" s="3" t="s">
        <v>830</v>
      </c>
      <c r="D1046" s="3" t="s">
        <v>11</v>
      </c>
      <c r="E1046" s="3" t="s">
        <v>12</v>
      </c>
      <c r="F1046" s="3">
        <v>0.193</v>
      </c>
      <c r="G1046" s="74">
        <f>F1046*VLOOKUP(D1046,GWPs!$B$3:$C$6,2,FALSE)</f>
        <v>0.193</v>
      </c>
      <c r="H1046" s="3">
        <v>0.05</v>
      </c>
      <c r="I1046" s="74">
        <f>H1046*VLOOKUP(D1046,GWPs!$B$3:$C$6,2,FALSE)</f>
        <v>0.05</v>
      </c>
      <c r="J1046" s="3">
        <v>0.24299999999999999</v>
      </c>
      <c r="K1046" s="74">
        <f>J1046*VLOOKUP(D1046,GWPs!$B$3:$C$6,2,FALSE)</f>
        <v>0.24299999999999999</v>
      </c>
      <c r="M1046" s="3">
        <v>3</v>
      </c>
      <c r="N1046" s="3">
        <v>2</v>
      </c>
      <c r="O1046" s="3">
        <v>1</v>
      </c>
      <c r="P1046" s="3">
        <v>3</v>
      </c>
      <c r="Q1046" s="3">
        <v>1</v>
      </c>
    </row>
    <row r="1047" spans="1:17">
      <c r="A1047" t="s">
        <v>1429</v>
      </c>
      <c r="B1047" s="3" t="s">
        <v>829</v>
      </c>
      <c r="C1047" s="3" t="s">
        <v>830</v>
      </c>
      <c r="D1047" s="3" t="s">
        <v>13</v>
      </c>
      <c r="E1047" s="3" t="s">
        <v>12</v>
      </c>
      <c r="F1047" s="3">
        <v>1E-3</v>
      </c>
      <c r="G1047" s="74">
        <f>F1047*VLOOKUP(D1047,GWPs!$B$3:$C$6,2,FALSE)</f>
        <v>2.8000000000000001E-2</v>
      </c>
      <c r="H1047" s="3">
        <v>0</v>
      </c>
      <c r="I1047" s="74">
        <f>H1047*VLOOKUP(D1047,GWPs!$B$3:$C$6,2,FALSE)</f>
        <v>0</v>
      </c>
      <c r="J1047" s="3">
        <v>1E-3</v>
      </c>
      <c r="K1047" s="74">
        <f>J1047*VLOOKUP(D1047,GWPs!$B$3:$C$6,2,FALSE)</f>
        <v>2.8000000000000001E-2</v>
      </c>
      <c r="M1047" s="3">
        <v>4</v>
      </c>
      <c r="N1047" s="3">
        <v>2</v>
      </c>
      <c r="O1047" s="3">
        <v>1</v>
      </c>
      <c r="P1047" s="3">
        <v>1</v>
      </c>
      <c r="Q1047" s="3">
        <v>1</v>
      </c>
    </row>
    <row r="1048" spans="1:17">
      <c r="A1048" t="s">
        <v>1429</v>
      </c>
      <c r="B1048" s="3" t="s">
        <v>829</v>
      </c>
      <c r="C1048" s="3" t="s">
        <v>830</v>
      </c>
      <c r="D1048" s="3" t="s">
        <v>14</v>
      </c>
      <c r="E1048" s="3" t="s">
        <v>12</v>
      </c>
      <c r="F1048" s="3">
        <v>0</v>
      </c>
      <c r="G1048" s="74">
        <f>F1048*VLOOKUP(D1048,GWPs!$B$3:$C$6,2,FALSE)</f>
        <v>0</v>
      </c>
      <c r="H1048" s="3">
        <v>0</v>
      </c>
      <c r="I1048" s="74">
        <f>H1048*VLOOKUP(D1048,GWPs!$B$3:$C$6,2,FALSE)</f>
        <v>0</v>
      </c>
      <c r="J1048" s="3">
        <v>0</v>
      </c>
      <c r="K1048" s="74">
        <f>J1048*VLOOKUP(D1048,GWPs!$B$3:$C$6,2,FALSE)</f>
        <v>0</v>
      </c>
      <c r="M1048" s="3">
        <v>3</v>
      </c>
      <c r="N1048" s="3">
        <v>2</v>
      </c>
      <c r="O1048" s="3">
        <v>1</v>
      </c>
      <c r="P1048" s="3">
        <v>3</v>
      </c>
      <c r="Q1048" s="3">
        <v>1</v>
      </c>
    </row>
    <row r="1049" spans="1:17">
      <c r="A1049" t="s">
        <v>1429</v>
      </c>
      <c r="B1049" s="3" t="s">
        <v>829</v>
      </c>
      <c r="C1049" s="3" t="s">
        <v>830</v>
      </c>
      <c r="D1049" s="3" t="s">
        <v>15</v>
      </c>
      <c r="E1049" s="3" t="s">
        <v>16</v>
      </c>
      <c r="F1049" s="3">
        <v>8.9999999999999993E-3</v>
      </c>
      <c r="G1049" s="74">
        <f>F1049*VLOOKUP(D1049,GWPs!$B$3:$C$6,2,FALSE)</f>
        <v>8.9999999999999993E-3</v>
      </c>
      <c r="H1049" s="3">
        <v>0</v>
      </c>
      <c r="I1049" s="74">
        <f>H1049*VLOOKUP(D1049,GWPs!$B$3:$C$6,2,FALSE)</f>
        <v>0</v>
      </c>
      <c r="J1049" s="3">
        <v>8.9999999999999993E-3</v>
      </c>
      <c r="K1049" s="74">
        <f>J1049*VLOOKUP(D1049,GWPs!$B$3:$C$6,2,FALSE)</f>
        <v>8.9999999999999993E-3</v>
      </c>
      <c r="M1049" s="3">
        <v>4</v>
      </c>
      <c r="N1049" s="3">
        <v>2</v>
      </c>
      <c r="O1049" s="3">
        <v>1</v>
      </c>
      <c r="P1049" s="3">
        <v>2</v>
      </c>
      <c r="Q1049" s="3">
        <v>1</v>
      </c>
    </row>
    <row r="1050" spans="1:17">
      <c r="A1050" t="s">
        <v>1429</v>
      </c>
      <c r="B1050" s="3" t="s">
        <v>831</v>
      </c>
      <c r="C1050" s="3" t="s">
        <v>832</v>
      </c>
      <c r="D1050" s="3" t="s">
        <v>11</v>
      </c>
      <c r="E1050" s="3" t="s">
        <v>12</v>
      </c>
      <c r="F1050" s="3">
        <v>0.11799999999999999</v>
      </c>
      <c r="G1050" s="74">
        <f>F1050*VLOOKUP(D1050,GWPs!$B$3:$C$6,2,FALSE)</f>
        <v>0.11799999999999999</v>
      </c>
      <c r="H1050" s="3">
        <v>0.23300000000000001</v>
      </c>
      <c r="I1050" s="74">
        <f>H1050*VLOOKUP(D1050,GWPs!$B$3:$C$6,2,FALSE)</f>
        <v>0.23300000000000001</v>
      </c>
      <c r="J1050" s="3">
        <v>0.35099999999999998</v>
      </c>
      <c r="K1050" s="74">
        <f>J1050*VLOOKUP(D1050,GWPs!$B$3:$C$6,2,FALSE)</f>
        <v>0.35099999999999998</v>
      </c>
      <c r="M1050" s="3">
        <v>3</v>
      </c>
      <c r="N1050" s="3">
        <v>2</v>
      </c>
      <c r="O1050" s="3">
        <v>1</v>
      </c>
      <c r="P1050" s="3">
        <v>3</v>
      </c>
      <c r="Q1050" s="3">
        <v>1</v>
      </c>
    </row>
    <row r="1051" spans="1:17">
      <c r="A1051" t="s">
        <v>1429</v>
      </c>
      <c r="B1051" s="3" t="s">
        <v>831</v>
      </c>
      <c r="C1051" s="3" t="s">
        <v>832</v>
      </c>
      <c r="D1051" s="3" t="s">
        <v>13</v>
      </c>
      <c r="E1051" s="3" t="s">
        <v>12</v>
      </c>
      <c r="F1051" s="3">
        <v>0</v>
      </c>
      <c r="G1051" s="74">
        <f>F1051*VLOOKUP(D1051,GWPs!$B$3:$C$6,2,FALSE)</f>
        <v>0</v>
      </c>
      <c r="H1051" s="3">
        <v>1E-3</v>
      </c>
      <c r="I1051" s="74">
        <f>H1051*VLOOKUP(D1051,GWPs!$B$3:$C$6,2,FALSE)</f>
        <v>2.8000000000000001E-2</v>
      </c>
      <c r="J1051" s="3">
        <v>1E-3</v>
      </c>
      <c r="K1051" s="74">
        <f>J1051*VLOOKUP(D1051,GWPs!$B$3:$C$6,2,FALSE)</f>
        <v>2.8000000000000001E-2</v>
      </c>
      <c r="M1051" s="3">
        <v>3</v>
      </c>
      <c r="N1051" s="3">
        <v>2</v>
      </c>
      <c r="O1051" s="3">
        <v>1</v>
      </c>
      <c r="P1051" s="3">
        <v>1</v>
      </c>
      <c r="Q1051" s="3">
        <v>1</v>
      </c>
    </row>
    <row r="1052" spans="1:17">
      <c r="A1052" t="s">
        <v>1429</v>
      </c>
      <c r="B1052" s="3" t="s">
        <v>831</v>
      </c>
      <c r="C1052" s="3" t="s">
        <v>832</v>
      </c>
      <c r="D1052" s="3" t="s">
        <v>14</v>
      </c>
      <c r="E1052" s="3" t="s">
        <v>12</v>
      </c>
      <c r="F1052" s="3">
        <v>0</v>
      </c>
      <c r="G1052" s="74">
        <f>F1052*VLOOKUP(D1052,GWPs!$B$3:$C$6,2,FALSE)</f>
        <v>0</v>
      </c>
      <c r="H1052" s="3">
        <v>0</v>
      </c>
      <c r="I1052" s="74">
        <f>H1052*VLOOKUP(D1052,GWPs!$B$3:$C$6,2,FALSE)</f>
        <v>0</v>
      </c>
      <c r="J1052" s="3">
        <v>0</v>
      </c>
      <c r="K1052" s="74">
        <f>J1052*VLOOKUP(D1052,GWPs!$B$3:$C$6,2,FALSE)</f>
        <v>0</v>
      </c>
      <c r="M1052" s="3">
        <v>3</v>
      </c>
      <c r="N1052" s="3">
        <v>2</v>
      </c>
      <c r="O1052" s="3">
        <v>1</v>
      </c>
      <c r="P1052" s="3">
        <v>3</v>
      </c>
      <c r="Q1052" s="3">
        <v>1</v>
      </c>
    </row>
    <row r="1053" spans="1:17">
      <c r="A1053" t="s">
        <v>1429</v>
      </c>
      <c r="B1053" s="3" t="s">
        <v>831</v>
      </c>
      <c r="C1053" s="3" t="s">
        <v>832</v>
      </c>
      <c r="D1053" s="3" t="s">
        <v>15</v>
      </c>
      <c r="E1053" s="3" t="s">
        <v>16</v>
      </c>
      <c r="F1053" s="3">
        <v>2E-3</v>
      </c>
      <c r="G1053" s="74">
        <f>F1053*VLOOKUP(D1053,GWPs!$B$3:$C$6,2,FALSE)</f>
        <v>2E-3</v>
      </c>
      <c r="H1053" s="3">
        <v>0</v>
      </c>
      <c r="I1053" s="74">
        <f>H1053*VLOOKUP(D1053,GWPs!$B$3:$C$6,2,FALSE)</f>
        <v>0</v>
      </c>
      <c r="J1053" s="3">
        <v>2E-3</v>
      </c>
      <c r="K1053" s="74">
        <f>J1053*VLOOKUP(D1053,GWPs!$B$3:$C$6,2,FALSE)</f>
        <v>2E-3</v>
      </c>
      <c r="M1053" s="3">
        <v>3</v>
      </c>
      <c r="N1053" s="3">
        <v>2</v>
      </c>
      <c r="O1053" s="3">
        <v>1</v>
      </c>
      <c r="P1053" s="3">
        <v>3</v>
      </c>
      <c r="Q1053" s="3">
        <v>1</v>
      </c>
    </row>
    <row r="1054" spans="1:17">
      <c r="A1054" t="s">
        <v>1429</v>
      </c>
      <c r="B1054" s="3" t="s">
        <v>833</v>
      </c>
      <c r="C1054" s="3" t="s">
        <v>834</v>
      </c>
      <c r="D1054" s="3" t="s">
        <v>11</v>
      </c>
      <c r="E1054" s="3" t="s">
        <v>12</v>
      </c>
      <c r="F1054" s="3">
        <v>0.12</v>
      </c>
      <c r="G1054" s="74">
        <f>F1054*VLOOKUP(D1054,GWPs!$B$3:$C$6,2,FALSE)</f>
        <v>0.12</v>
      </c>
      <c r="H1054" s="3">
        <v>3.7999999999999999E-2</v>
      </c>
      <c r="I1054" s="74">
        <f>H1054*VLOOKUP(D1054,GWPs!$B$3:$C$6,2,FALSE)</f>
        <v>3.7999999999999999E-2</v>
      </c>
      <c r="J1054" s="3">
        <v>0.157</v>
      </c>
      <c r="K1054" s="74">
        <f>J1054*VLOOKUP(D1054,GWPs!$B$3:$C$6,2,FALSE)</f>
        <v>0.157</v>
      </c>
      <c r="M1054" s="3">
        <v>3</v>
      </c>
      <c r="N1054" s="3">
        <v>2</v>
      </c>
      <c r="O1054" s="3">
        <v>1</v>
      </c>
      <c r="P1054" s="3">
        <v>3</v>
      </c>
      <c r="Q1054" s="3">
        <v>1</v>
      </c>
    </row>
    <row r="1055" spans="1:17">
      <c r="A1055" t="s">
        <v>1429</v>
      </c>
      <c r="B1055" s="3" t="s">
        <v>833</v>
      </c>
      <c r="C1055" s="3" t="s">
        <v>834</v>
      </c>
      <c r="D1055" s="3" t="s">
        <v>13</v>
      </c>
      <c r="E1055" s="3" t="s">
        <v>12</v>
      </c>
      <c r="F1055" s="3">
        <v>0</v>
      </c>
      <c r="G1055" s="74">
        <f>F1055*VLOOKUP(D1055,GWPs!$B$3:$C$6,2,FALSE)</f>
        <v>0</v>
      </c>
      <c r="H1055" s="3">
        <v>0</v>
      </c>
      <c r="I1055" s="74">
        <f>H1055*VLOOKUP(D1055,GWPs!$B$3:$C$6,2,FALSE)</f>
        <v>0</v>
      </c>
      <c r="J1055" s="3">
        <v>1E-3</v>
      </c>
      <c r="K1055" s="74">
        <f>J1055*VLOOKUP(D1055,GWPs!$B$3:$C$6,2,FALSE)</f>
        <v>2.8000000000000001E-2</v>
      </c>
      <c r="M1055" s="3">
        <v>3</v>
      </c>
      <c r="N1055" s="3">
        <v>2</v>
      </c>
      <c r="O1055" s="3">
        <v>1</v>
      </c>
      <c r="P1055" s="3">
        <v>1</v>
      </c>
      <c r="Q1055" s="3">
        <v>1</v>
      </c>
    </row>
    <row r="1056" spans="1:17">
      <c r="A1056" t="s">
        <v>1429</v>
      </c>
      <c r="B1056" s="3" t="s">
        <v>833</v>
      </c>
      <c r="C1056" s="3" t="s">
        <v>834</v>
      </c>
      <c r="D1056" s="3" t="s">
        <v>14</v>
      </c>
      <c r="E1056" s="3" t="s">
        <v>12</v>
      </c>
      <c r="F1056" s="3">
        <v>0</v>
      </c>
      <c r="G1056" s="74">
        <f>F1056*VLOOKUP(D1056,GWPs!$B$3:$C$6,2,FALSE)</f>
        <v>0</v>
      </c>
      <c r="H1056" s="3">
        <v>0</v>
      </c>
      <c r="I1056" s="74">
        <f>H1056*VLOOKUP(D1056,GWPs!$B$3:$C$6,2,FALSE)</f>
        <v>0</v>
      </c>
      <c r="J1056" s="3">
        <v>0</v>
      </c>
      <c r="K1056" s="74">
        <f>J1056*VLOOKUP(D1056,GWPs!$B$3:$C$6,2,FALSE)</f>
        <v>0</v>
      </c>
      <c r="M1056" s="3">
        <v>3</v>
      </c>
      <c r="N1056" s="3">
        <v>2</v>
      </c>
      <c r="O1056" s="3">
        <v>1</v>
      </c>
      <c r="P1056" s="3">
        <v>3</v>
      </c>
      <c r="Q1056" s="3">
        <v>1</v>
      </c>
    </row>
    <row r="1057" spans="1:17">
      <c r="A1057" t="s">
        <v>1429</v>
      </c>
      <c r="B1057" s="3" t="s">
        <v>833</v>
      </c>
      <c r="C1057" s="3" t="s">
        <v>834</v>
      </c>
      <c r="D1057" s="3" t="s">
        <v>15</v>
      </c>
      <c r="E1057" s="3" t="s">
        <v>16</v>
      </c>
      <c r="F1057" s="3">
        <v>5.0000000000000001E-3</v>
      </c>
      <c r="G1057" s="74">
        <f>F1057*VLOOKUP(D1057,GWPs!$B$3:$C$6,2,FALSE)</f>
        <v>5.0000000000000001E-3</v>
      </c>
      <c r="H1057" s="3">
        <v>0</v>
      </c>
      <c r="I1057" s="74">
        <f>H1057*VLOOKUP(D1057,GWPs!$B$3:$C$6,2,FALSE)</f>
        <v>0</v>
      </c>
      <c r="J1057" s="3">
        <v>5.0000000000000001E-3</v>
      </c>
      <c r="K1057" s="74">
        <f>J1057*VLOOKUP(D1057,GWPs!$B$3:$C$6,2,FALSE)</f>
        <v>5.0000000000000001E-3</v>
      </c>
      <c r="M1057" s="3">
        <v>4</v>
      </c>
      <c r="N1057" s="3">
        <v>2</v>
      </c>
      <c r="O1057" s="3">
        <v>1</v>
      </c>
      <c r="P1057" s="3">
        <v>2</v>
      </c>
      <c r="Q1057" s="3">
        <v>1</v>
      </c>
    </row>
    <row r="1058" spans="1:17">
      <c r="A1058" t="s">
        <v>1429</v>
      </c>
      <c r="B1058" s="3" t="s">
        <v>835</v>
      </c>
      <c r="C1058" s="3" t="s">
        <v>836</v>
      </c>
      <c r="D1058" s="3" t="s">
        <v>11</v>
      </c>
      <c r="E1058" s="3" t="s">
        <v>12</v>
      </c>
      <c r="F1058" s="3">
        <v>7.5999999999999998E-2</v>
      </c>
      <c r="G1058" s="74">
        <f>F1058*VLOOKUP(D1058,GWPs!$B$3:$C$6,2,FALSE)</f>
        <v>7.5999999999999998E-2</v>
      </c>
      <c r="H1058" s="3">
        <v>0.158</v>
      </c>
      <c r="I1058" s="74">
        <f>H1058*VLOOKUP(D1058,GWPs!$B$3:$C$6,2,FALSE)</f>
        <v>0.158</v>
      </c>
      <c r="J1058" s="3">
        <v>0.23400000000000001</v>
      </c>
      <c r="K1058" s="74">
        <f>J1058*VLOOKUP(D1058,GWPs!$B$3:$C$6,2,FALSE)</f>
        <v>0.23400000000000001</v>
      </c>
      <c r="M1058" s="3">
        <v>3</v>
      </c>
      <c r="N1058" s="3">
        <v>2</v>
      </c>
      <c r="O1058" s="3">
        <v>1</v>
      </c>
      <c r="P1058" s="3">
        <v>3</v>
      </c>
      <c r="Q1058" s="3">
        <v>1</v>
      </c>
    </row>
    <row r="1059" spans="1:17">
      <c r="A1059" t="s">
        <v>1429</v>
      </c>
      <c r="B1059" s="3" t="s">
        <v>835</v>
      </c>
      <c r="C1059" s="3" t="s">
        <v>836</v>
      </c>
      <c r="D1059" s="3" t="s">
        <v>13</v>
      </c>
      <c r="E1059" s="3" t="s">
        <v>12</v>
      </c>
      <c r="F1059" s="3">
        <v>0</v>
      </c>
      <c r="G1059" s="74">
        <f>F1059*VLOOKUP(D1059,GWPs!$B$3:$C$6,2,FALSE)</f>
        <v>0</v>
      </c>
      <c r="H1059" s="3">
        <v>1E-3</v>
      </c>
      <c r="I1059" s="74">
        <f>H1059*VLOOKUP(D1059,GWPs!$B$3:$C$6,2,FALSE)</f>
        <v>2.8000000000000001E-2</v>
      </c>
      <c r="J1059" s="3">
        <v>1E-3</v>
      </c>
      <c r="K1059" s="74">
        <f>J1059*VLOOKUP(D1059,GWPs!$B$3:$C$6,2,FALSE)</f>
        <v>2.8000000000000001E-2</v>
      </c>
      <c r="M1059" s="3">
        <v>3</v>
      </c>
      <c r="N1059" s="3">
        <v>2</v>
      </c>
      <c r="O1059" s="3">
        <v>1</v>
      </c>
      <c r="P1059" s="3">
        <v>1</v>
      </c>
      <c r="Q1059" s="3">
        <v>1</v>
      </c>
    </row>
    <row r="1060" spans="1:17">
      <c r="A1060" t="s">
        <v>1429</v>
      </c>
      <c r="B1060" s="3" t="s">
        <v>835</v>
      </c>
      <c r="C1060" s="3" t="s">
        <v>836</v>
      </c>
      <c r="D1060" s="3" t="s">
        <v>14</v>
      </c>
      <c r="E1060" s="3" t="s">
        <v>12</v>
      </c>
      <c r="F1060" s="3">
        <v>0</v>
      </c>
      <c r="G1060" s="74">
        <f>F1060*VLOOKUP(D1060,GWPs!$B$3:$C$6,2,FALSE)</f>
        <v>0</v>
      </c>
      <c r="H1060" s="3">
        <v>0</v>
      </c>
      <c r="I1060" s="74">
        <f>H1060*VLOOKUP(D1060,GWPs!$B$3:$C$6,2,FALSE)</f>
        <v>0</v>
      </c>
      <c r="J1060" s="3">
        <v>0</v>
      </c>
      <c r="K1060" s="74">
        <f>J1060*VLOOKUP(D1060,GWPs!$B$3:$C$6,2,FALSE)</f>
        <v>0</v>
      </c>
      <c r="M1060" s="3">
        <v>3</v>
      </c>
      <c r="N1060" s="3">
        <v>2</v>
      </c>
      <c r="O1060" s="3">
        <v>1</v>
      </c>
      <c r="P1060" s="3">
        <v>3</v>
      </c>
      <c r="Q1060" s="3">
        <v>1</v>
      </c>
    </row>
    <row r="1061" spans="1:17">
      <c r="A1061" t="s">
        <v>1429</v>
      </c>
      <c r="B1061" s="3" t="s">
        <v>835</v>
      </c>
      <c r="C1061" s="3" t="s">
        <v>836</v>
      </c>
      <c r="D1061" s="3" t="s">
        <v>15</v>
      </c>
      <c r="E1061" s="3" t="s">
        <v>16</v>
      </c>
      <c r="F1061" s="3">
        <v>8.9999999999999993E-3</v>
      </c>
      <c r="G1061" s="74">
        <f>F1061*VLOOKUP(D1061,GWPs!$B$3:$C$6,2,FALSE)</f>
        <v>8.9999999999999993E-3</v>
      </c>
      <c r="H1061" s="3">
        <v>0</v>
      </c>
      <c r="I1061" s="74">
        <f>H1061*VLOOKUP(D1061,GWPs!$B$3:$C$6,2,FALSE)</f>
        <v>0</v>
      </c>
      <c r="J1061" s="3">
        <v>8.9999999999999993E-3</v>
      </c>
      <c r="K1061" s="74">
        <f>J1061*VLOOKUP(D1061,GWPs!$B$3:$C$6,2,FALSE)</f>
        <v>8.9999999999999993E-3</v>
      </c>
      <c r="M1061" s="3">
        <v>4</v>
      </c>
      <c r="N1061" s="3">
        <v>2</v>
      </c>
      <c r="O1061" s="3">
        <v>1</v>
      </c>
      <c r="P1061" s="3">
        <v>2</v>
      </c>
      <c r="Q1061" s="3">
        <v>1</v>
      </c>
    </row>
    <row r="1062" spans="1:17">
      <c r="A1062" t="s">
        <v>1429</v>
      </c>
      <c r="B1062" s="3" t="s">
        <v>837</v>
      </c>
      <c r="C1062" s="3" t="s">
        <v>838</v>
      </c>
      <c r="D1062" s="3" t="s">
        <v>11</v>
      </c>
      <c r="E1062" s="3" t="s">
        <v>12</v>
      </c>
      <c r="F1062" s="3">
        <v>0.245</v>
      </c>
      <c r="G1062" s="74">
        <f>F1062*VLOOKUP(D1062,GWPs!$B$3:$C$6,2,FALSE)</f>
        <v>0.245</v>
      </c>
      <c r="H1062" s="3">
        <v>0.35699999999999998</v>
      </c>
      <c r="I1062" s="74">
        <f>H1062*VLOOKUP(D1062,GWPs!$B$3:$C$6,2,FALSE)</f>
        <v>0.35699999999999998</v>
      </c>
      <c r="J1062" s="3">
        <v>0.60199999999999998</v>
      </c>
      <c r="K1062" s="74">
        <f>J1062*VLOOKUP(D1062,GWPs!$B$3:$C$6,2,FALSE)</f>
        <v>0.60199999999999998</v>
      </c>
      <c r="M1062" s="3">
        <v>3</v>
      </c>
      <c r="N1062" s="3">
        <v>2</v>
      </c>
      <c r="O1062" s="3">
        <v>1</v>
      </c>
      <c r="P1062" s="3">
        <v>3</v>
      </c>
      <c r="Q1062" s="3">
        <v>1</v>
      </c>
    </row>
    <row r="1063" spans="1:17">
      <c r="A1063" t="s">
        <v>1429</v>
      </c>
      <c r="B1063" s="3" t="s">
        <v>837</v>
      </c>
      <c r="C1063" s="3" t="s">
        <v>838</v>
      </c>
      <c r="D1063" s="3" t="s">
        <v>13</v>
      </c>
      <c r="E1063" s="3" t="s">
        <v>12</v>
      </c>
      <c r="F1063" s="3">
        <v>1E-3</v>
      </c>
      <c r="G1063" s="74">
        <f>F1063*VLOOKUP(D1063,GWPs!$B$3:$C$6,2,FALSE)</f>
        <v>2.8000000000000001E-2</v>
      </c>
      <c r="H1063" s="3">
        <v>3.0000000000000001E-3</v>
      </c>
      <c r="I1063" s="74">
        <f>H1063*VLOOKUP(D1063,GWPs!$B$3:$C$6,2,FALSE)</f>
        <v>8.4000000000000005E-2</v>
      </c>
      <c r="J1063" s="3">
        <v>4.0000000000000001E-3</v>
      </c>
      <c r="K1063" s="74">
        <f>J1063*VLOOKUP(D1063,GWPs!$B$3:$C$6,2,FALSE)</f>
        <v>0.112</v>
      </c>
      <c r="M1063" s="3">
        <v>4</v>
      </c>
      <c r="N1063" s="3">
        <v>2</v>
      </c>
      <c r="O1063" s="3">
        <v>1</v>
      </c>
      <c r="P1063" s="3">
        <v>1</v>
      </c>
      <c r="Q1063" s="3">
        <v>1</v>
      </c>
    </row>
    <row r="1064" spans="1:17">
      <c r="A1064" t="s">
        <v>1429</v>
      </c>
      <c r="B1064" s="3" t="s">
        <v>837</v>
      </c>
      <c r="C1064" s="3" t="s">
        <v>838</v>
      </c>
      <c r="D1064" s="3" t="s">
        <v>14</v>
      </c>
      <c r="E1064" s="3" t="s">
        <v>12</v>
      </c>
      <c r="F1064" s="3">
        <v>0</v>
      </c>
      <c r="G1064" s="74">
        <f>F1064*VLOOKUP(D1064,GWPs!$B$3:$C$6,2,FALSE)</f>
        <v>0</v>
      </c>
      <c r="H1064" s="3">
        <v>0</v>
      </c>
      <c r="I1064" s="74">
        <f>H1064*VLOOKUP(D1064,GWPs!$B$3:$C$6,2,FALSE)</f>
        <v>0</v>
      </c>
      <c r="J1064" s="3">
        <v>0</v>
      </c>
      <c r="K1064" s="74">
        <f>J1064*VLOOKUP(D1064,GWPs!$B$3:$C$6,2,FALSE)</f>
        <v>0</v>
      </c>
      <c r="M1064" s="3">
        <v>3</v>
      </c>
      <c r="N1064" s="3">
        <v>2</v>
      </c>
      <c r="O1064" s="3">
        <v>1</v>
      </c>
      <c r="P1064" s="3">
        <v>3</v>
      </c>
      <c r="Q1064" s="3">
        <v>1</v>
      </c>
    </row>
    <row r="1065" spans="1:17">
      <c r="A1065" t="s">
        <v>1429</v>
      </c>
      <c r="B1065" s="3" t="s">
        <v>837</v>
      </c>
      <c r="C1065" s="3" t="s">
        <v>838</v>
      </c>
      <c r="D1065" s="3" t="s">
        <v>15</v>
      </c>
      <c r="E1065" s="3" t="s">
        <v>16</v>
      </c>
      <c r="F1065" s="3">
        <v>7.0000000000000001E-3</v>
      </c>
      <c r="G1065" s="74">
        <f>F1065*VLOOKUP(D1065,GWPs!$B$3:$C$6,2,FALSE)</f>
        <v>7.0000000000000001E-3</v>
      </c>
      <c r="H1065" s="3">
        <v>0</v>
      </c>
      <c r="I1065" s="74">
        <f>H1065*VLOOKUP(D1065,GWPs!$B$3:$C$6,2,FALSE)</f>
        <v>0</v>
      </c>
      <c r="J1065" s="3">
        <v>7.0000000000000001E-3</v>
      </c>
      <c r="K1065" s="74">
        <f>J1065*VLOOKUP(D1065,GWPs!$B$3:$C$6,2,FALSE)</f>
        <v>7.0000000000000001E-3</v>
      </c>
      <c r="M1065" s="3">
        <v>3</v>
      </c>
      <c r="N1065" s="3">
        <v>2</v>
      </c>
      <c r="O1065" s="3">
        <v>1</v>
      </c>
      <c r="P1065" s="3">
        <v>3</v>
      </c>
      <c r="Q1065" s="3">
        <v>1</v>
      </c>
    </row>
    <row r="1066" spans="1:17">
      <c r="A1066" t="s">
        <v>1429</v>
      </c>
      <c r="B1066" s="3" t="s">
        <v>839</v>
      </c>
      <c r="C1066" s="3" t="s">
        <v>840</v>
      </c>
      <c r="D1066" s="3" t="s">
        <v>11</v>
      </c>
      <c r="E1066" s="3" t="s">
        <v>12</v>
      </c>
      <c r="F1066" s="3">
        <v>0.222</v>
      </c>
      <c r="G1066" s="74">
        <f>F1066*VLOOKUP(D1066,GWPs!$B$3:$C$6,2,FALSE)</f>
        <v>0.222</v>
      </c>
      <c r="H1066" s="3">
        <v>2.8650000000000002</v>
      </c>
      <c r="I1066" s="74">
        <f>H1066*VLOOKUP(D1066,GWPs!$B$3:$C$6,2,FALSE)</f>
        <v>2.8650000000000002</v>
      </c>
      <c r="J1066" s="3">
        <v>3.0870000000000002</v>
      </c>
      <c r="K1066" s="74">
        <f>J1066*VLOOKUP(D1066,GWPs!$B$3:$C$6,2,FALSE)</f>
        <v>3.0870000000000002</v>
      </c>
      <c r="M1066" s="3">
        <v>3</v>
      </c>
      <c r="N1066" s="3">
        <v>2</v>
      </c>
      <c r="O1066" s="3">
        <v>1</v>
      </c>
      <c r="P1066" s="3">
        <v>3</v>
      </c>
      <c r="Q1066" s="3">
        <v>1</v>
      </c>
    </row>
    <row r="1067" spans="1:17">
      <c r="A1067" t="s">
        <v>1429</v>
      </c>
      <c r="B1067" s="3" t="s">
        <v>839</v>
      </c>
      <c r="C1067" s="3" t="s">
        <v>840</v>
      </c>
      <c r="D1067" s="3" t="s">
        <v>13</v>
      </c>
      <c r="E1067" s="3" t="s">
        <v>12</v>
      </c>
      <c r="F1067" s="3">
        <v>1E-3</v>
      </c>
      <c r="G1067" s="74">
        <f>F1067*VLOOKUP(D1067,GWPs!$B$3:$C$6,2,FALSE)</f>
        <v>2.8000000000000001E-2</v>
      </c>
      <c r="H1067" s="3">
        <v>1.7999999999999999E-2</v>
      </c>
      <c r="I1067" s="74">
        <f>H1067*VLOOKUP(D1067,GWPs!$B$3:$C$6,2,FALSE)</f>
        <v>0.504</v>
      </c>
      <c r="J1067" s="3">
        <v>1.9E-2</v>
      </c>
      <c r="K1067" s="74">
        <f>J1067*VLOOKUP(D1067,GWPs!$B$3:$C$6,2,FALSE)</f>
        <v>0.53200000000000003</v>
      </c>
      <c r="M1067" s="3">
        <v>4</v>
      </c>
      <c r="N1067" s="3">
        <v>2</v>
      </c>
      <c r="O1067" s="3">
        <v>1</v>
      </c>
      <c r="P1067" s="3">
        <v>1</v>
      </c>
      <c r="Q1067" s="3">
        <v>1</v>
      </c>
    </row>
    <row r="1068" spans="1:17">
      <c r="A1068" t="s">
        <v>1429</v>
      </c>
      <c r="B1068" s="3" t="s">
        <v>839</v>
      </c>
      <c r="C1068" s="3" t="s">
        <v>840</v>
      </c>
      <c r="D1068" s="3" t="s">
        <v>14</v>
      </c>
      <c r="E1068" s="3" t="s">
        <v>12</v>
      </c>
      <c r="F1068" s="3">
        <v>0</v>
      </c>
      <c r="G1068" s="74">
        <f>F1068*VLOOKUP(D1068,GWPs!$B$3:$C$6,2,FALSE)</f>
        <v>0</v>
      </c>
      <c r="H1068" s="3">
        <v>0</v>
      </c>
      <c r="I1068" s="74">
        <f>H1068*VLOOKUP(D1068,GWPs!$B$3:$C$6,2,FALSE)</f>
        <v>0</v>
      </c>
      <c r="J1068" s="3">
        <v>0</v>
      </c>
      <c r="K1068" s="74">
        <f>J1068*VLOOKUP(D1068,GWPs!$B$3:$C$6,2,FALSE)</f>
        <v>0</v>
      </c>
      <c r="M1068" s="3">
        <v>3</v>
      </c>
      <c r="N1068" s="3">
        <v>2</v>
      </c>
      <c r="O1068" s="3">
        <v>1</v>
      </c>
      <c r="P1068" s="3">
        <v>3</v>
      </c>
      <c r="Q1068" s="3">
        <v>1</v>
      </c>
    </row>
    <row r="1069" spans="1:17">
      <c r="A1069" t="s">
        <v>1429</v>
      </c>
      <c r="B1069" s="3" t="s">
        <v>839</v>
      </c>
      <c r="C1069" s="3" t="s">
        <v>840</v>
      </c>
      <c r="D1069" s="3" t="s">
        <v>15</v>
      </c>
      <c r="E1069" s="3" t="s">
        <v>16</v>
      </c>
      <c r="F1069" s="3">
        <v>8.9999999999999993E-3</v>
      </c>
      <c r="G1069" s="74">
        <f>F1069*VLOOKUP(D1069,GWPs!$B$3:$C$6,2,FALSE)</f>
        <v>8.9999999999999993E-3</v>
      </c>
      <c r="H1069" s="3">
        <v>0</v>
      </c>
      <c r="I1069" s="74">
        <f>H1069*VLOOKUP(D1069,GWPs!$B$3:$C$6,2,FALSE)</f>
        <v>0</v>
      </c>
      <c r="J1069" s="3">
        <v>8.9999999999999993E-3</v>
      </c>
      <c r="K1069" s="74">
        <f>J1069*VLOOKUP(D1069,GWPs!$B$3:$C$6,2,FALSE)</f>
        <v>8.9999999999999993E-3</v>
      </c>
      <c r="M1069" s="3">
        <v>4</v>
      </c>
      <c r="N1069" s="3">
        <v>2</v>
      </c>
      <c r="O1069" s="3">
        <v>1</v>
      </c>
      <c r="P1069" s="3">
        <v>4</v>
      </c>
      <c r="Q1069" s="3">
        <v>1</v>
      </c>
    </row>
    <row r="1070" spans="1:17">
      <c r="A1070" t="s">
        <v>1430</v>
      </c>
      <c r="B1070" s="3" t="s">
        <v>841</v>
      </c>
      <c r="C1070" s="3" t="s">
        <v>842</v>
      </c>
      <c r="D1070" s="3" t="s">
        <v>11</v>
      </c>
      <c r="E1070" s="3" t="s">
        <v>12</v>
      </c>
      <c r="F1070" s="3">
        <v>0.251</v>
      </c>
      <c r="G1070" s="74">
        <f>F1070*VLOOKUP(D1070,GWPs!$B$3:$C$6,2,FALSE)</f>
        <v>0.251</v>
      </c>
      <c r="H1070" s="3">
        <v>0.184</v>
      </c>
      <c r="I1070" s="74">
        <f>H1070*VLOOKUP(D1070,GWPs!$B$3:$C$6,2,FALSE)</f>
        <v>0.184</v>
      </c>
      <c r="J1070" s="3">
        <v>0.435</v>
      </c>
      <c r="K1070" s="74">
        <f>J1070*VLOOKUP(D1070,GWPs!$B$3:$C$6,2,FALSE)</f>
        <v>0.435</v>
      </c>
      <c r="M1070" s="3">
        <v>3</v>
      </c>
      <c r="N1070" s="3">
        <v>2</v>
      </c>
      <c r="O1070" s="3">
        <v>1</v>
      </c>
      <c r="P1070" s="3">
        <v>4</v>
      </c>
      <c r="Q1070" s="3">
        <v>1</v>
      </c>
    </row>
    <row r="1071" spans="1:17">
      <c r="A1071" t="s">
        <v>1430</v>
      </c>
      <c r="B1071" s="3" t="s">
        <v>841</v>
      </c>
      <c r="C1071" s="3" t="s">
        <v>842</v>
      </c>
      <c r="D1071" s="3" t="s">
        <v>13</v>
      </c>
      <c r="E1071" s="3" t="s">
        <v>12</v>
      </c>
      <c r="F1071" s="3">
        <v>1E-3</v>
      </c>
      <c r="G1071" s="74">
        <f>F1071*VLOOKUP(D1071,GWPs!$B$3:$C$6,2,FALSE)</f>
        <v>2.8000000000000001E-2</v>
      </c>
      <c r="H1071" s="3">
        <v>2E-3</v>
      </c>
      <c r="I1071" s="74">
        <f>H1071*VLOOKUP(D1071,GWPs!$B$3:$C$6,2,FALSE)</f>
        <v>5.6000000000000001E-2</v>
      </c>
      <c r="J1071" s="3">
        <v>3.0000000000000001E-3</v>
      </c>
      <c r="K1071" s="74">
        <f>J1071*VLOOKUP(D1071,GWPs!$B$3:$C$6,2,FALSE)</f>
        <v>8.4000000000000005E-2</v>
      </c>
      <c r="M1071" s="3">
        <v>4</v>
      </c>
      <c r="N1071" s="3">
        <v>2</v>
      </c>
      <c r="O1071" s="3">
        <v>1</v>
      </c>
      <c r="P1071" s="3">
        <v>1</v>
      </c>
      <c r="Q1071" s="3">
        <v>1</v>
      </c>
    </row>
    <row r="1072" spans="1:17">
      <c r="A1072" t="s">
        <v>1430</v>
      </c>
      <c r="B1072" s="3" t="s">
        <v>841</v>
      </c>
      <c r="C1072" s="3" t="s">
        <v>842</v>
      </c>
      <c r="D1072" s="3" t="s">
        <v>14</v>
      </c>
      <c r="E1072" s="3" t="s">
        <v>12</v>
      </c>
      <c r="F1072" s="3">
        <v>0</v>
      </c>
      <c r="G1072" s="74">
        <f>F1072*VLOOKUP(D1072,GWPs!$B$3:$C$6,2,FALSE)</f>
        <v>0</v>
      </c>
      <c r="H1072" s="3">
        <v>0</v>
      </c>
      <c r="I1072" s="74">
        <f>H1072*VLOOKUP(D1072,GWPs!$B$3:$C$6,2,FALSE)</f>
        <v>0</v>
      </c>
      <c r="J1072" s="3">
        <v>0</v>
      </c>
      <c r="K1072" s="74">
        <f>J1072*VLOOKUP(D1072,GWPs!$B$3:$C$6,2,FALSE)</f>
        <v>0</v>
      </c>
      <c r="M1072" s="3">
        <v>3</v>
      </c>
      <c r="N1072" s="3">
        <v>2</v>
      </c>
      <c r="O1072" s="3">
        <v>1</v>
      </c>
      <c r="P1072" s="3">
        <v>3</v>
      </c>
      <c r="Q1072" s="3">
        <v>1</v>
      </c>
    </row>
    <row r="1073" spans="1:17">
      <c r="A1073" t="s">
        <v>1430</v>
      </c>
      <c r="B1073" s="3" t="s">
        <v>841</v>
      </c>
      <c r="C1073" s="3" t="s">
        <v>842</v>
      </c>
      <c r="D1073" s="3" t="s">
        <v>15</v>
      </c>
      <c r="E1073" s="3" t="s">
        <v>16</v>
      </c>
      <c r="F1073" s="3">
        <v>5.0000000000000001E-3</v>
      </c>
      <c r="G1073" s="74">
        <f>F1073*VLOOKUP(D1073,GWPs!$B$3:$C$6,2,FALSE)</f>
        <v>5.0000000000000001E-3</v>
      </c>
      <c r="H1073" s="3">
        <v>0</v>
      </c>
      <c r="I1073" s="74">
        <f>H1073*VLOOKUP(D1073,GWPs!$B$3:$C$6,2,FALSE)</f>
        <v>0</v>
      </c>
      <c r="J1073" s="3">
        <v>5.0000000000000001E-3</v>
      </c>
      <c r="K1073" s="74">
        <f>J1073*VLOOKUP(D1073,GWPs!$B$3:$C$6,2,FALSE)</f>
        <v>5.0000000000000001E-3</v>
      </c>
      <c r="M1073" s="3">
        <v>3</v>
      </c>
      <c r="N1073" s="3">
        <v>2</v>
      </c>
      <c r="O1073" s="3">
        <v>1</v>
      </c>
      <c r="P1073" s="3">
        <v>3</v>
      </c>
      <c r="Q1073" s="3">
        <v>1</v>
      </c>
    </row>
    <row r="1074" spans="1:17">
      <c r="A1074" t="s">
        <v>1429</v>
      </c>
      <c r="B1074" s="3" t="s">
        <v>843</v>
      </c>
      <c r="C1074" s="3" t="s">
        <v>844</v>
      </c>
      <c r="D1074" s="3" t="s">
        <v>11</v>
      </c>
      <c r="E1074" s="3" t="s">
        <v>12</v>
      </c>
      <c r="F1074" s="3">
        <v>0.252</v>
      </c>
      <c r="G1074" s="74">
        <f>F1074*VLOOKUP(D1074,GWPs!$B$3:$C$6,2,FALSE)</f>
        <v>0.252</v>
      </c>
      <c r="H1074" s="3">
        <v>9.5000000000000001E-2</v>
      </c>
      <c r="I1074" s="74">
        <f>H1074*VLOOKUP(D1074,GWPs!$B$3:$C$6,2,FALSE)</f>
        <v>9.5000000000000001E-2</v>
      </c>
      <c r="J1074" s="3">
        <v>0.34799999999999998</v>
      </c>
      <c r="K1074" s="74">
        <f>J1074*VLOOKUP(D1074,GWPs!$B$3:$C$6,2,FALSE)</f>
        <v>0.34799999999999998</v>
      </c>
      <c r="M1074" s="3">
        <v>3</v>
      </c>
      <c r="N1074" s="3">
        <v>2</v>
      </c>
      <c r="O1074" s="3">
        <v>1</v>
      </c>
      <c r="P1074" s="3">
        <v>3</v>
      </c>
      <c r="Q1074" s="3">
        <v>1</v>
      </c>
    </row>
    <row r="1075" spans="1:17">
      <c r="A1075" t="s">
        <v>1429</v>
      </c>
      <c r="B1075" s="3" t="s">
        <v>843</v>
      </c>
      <c r="C1075" s="3" t="s">
        <v>844</v>
      </c>
      <c r="D1075" s="3" t="s">
        <v>13</v>
      </c>
      <c r="E1075" s="3" t="s">
        <v>12</v>
      </c>
      <c r="F1075" s="3">
        <v>1E-3</v>
      </c>
      <c r="G1075" s="74">
        <f>F1075*VLOOKUP(D1075,GWPs!$B$3:$C$6,2,FALSE)</f>
        <v>2.8000000000000001E-2</v>
      </c>
      <c r="H1075" s="3">
        <v>1E-3</v>
      </c>
      <c r="I1075" s="74">
        <f>H1075*VLOOKUP(D1075,GWPs!$B$3:$C$6,2,FALSE)</f>
        <v>2.8000000000000001E-2</v>
      </c>
      <c r="J1075" s="3">
        <v>2E-3</v>
      </c>
      <c r="K1075" s="74">
        <f>J1075*VLOOKUP(D1075,GWPs!$B$3:$C$6,2,FALSE)</f>
        <v>5.6000000000000001E-2</v>
      </c>
      <c r="M1075" s="3">
        <v>4</v>
      </c>
      <c r="N1075" s="3">
        <v>2</v>
      </c>
      <c r="O1075" s="3">
        <v>1</v>
      </c>
      <c r="P1075" s="3">
        <v>1</v>
      </c>
      <c r="Q1075" s="3">
        <v>1</v>
      </c>
    </row>
    <row r="1076" spans="1:17">
      <c r="A1076" t="s">
        <v>1429</v>
      </c>
      <c r="B1076" s="3" t="s">
        <v>843</v>
      </c>
      <c r="C1076" s="3" t="s">
        <v>844</v>
      </c>
      <c r="D1076" s="3" t="s">
        <v>14</v>
      </c>
      <c r="E1076" s="3" t="s">
        <v>12</v>
      </c>
      <c r="F1076" s="3">
        <v>0</v>
      </c>
      <c r="G1076" s="74">
        <f>F1076*VLOOKUP(D1076,GWPs!$B$3:$C$6,2,FALSE)</f>
        <v>0</v>
      </c>
      <c r="H1076" s="3">
        <v>0</v>
      </c>
      <c r="I1076" s="74">
        <f>H1076*VLOOKUP(D1076,GWPs!$B$3:$C$6,2,FALSE)</f>
        <v>0</v>
      </c>
      <c r="J1076" s="3">
        <v>0</v>
      </c>
      <c r="K1076" s="74">
        <f>J1076*VLOOKUP(D1076,GWPs!$B$3:$C$6,2,FALSE)</f>
        <v>0</v>
      </c>
      <c r="M1076" s="3">
        <v>3</v>
      </c>
      <c r="N1076" s="3">
        <v>2</v>
      </c>
      <c r="O1076" s="3">
        <v>1</v>
      </c>
      <c r="P1076" s="3">
        <v>3</v>
      </c>
      <c r="Q1076" s="3">
        <v>1</v>
      </c>
    </row>
    <row r="1077" spans="1:17">
      <c r="A1077" t="s">
        <v>1429</v>
      </c>
      <c r="B1077" s="3" t="s">
        <v>843</v>
      </c>
      <c r="C1077" s="3" t="s">
        <v>844</v>
      </c>
      <c r="D1077" s="3" t="s">
        <v>15</v>
      </c>
      <c r="E1077" s="3" t="s">
        <v>16</v>
      </c>
      <c r="F1077" s="3">
        <v>1.0999999999999999E-2</v>
      </c>
      <c r="G1077" s="74">
        <f>F1077*VLOOKUP(D1077,GWPs!$B$3:$C$6,2,FALSE)</f>
        <v>1.0999999999999999E-2</v>
      </c>
      <c r="H1077" s="3">
        <v>0</v>
      </c>
      <c r="I1077" s="74">
        <f>H1077*VLOOKUP(D1077,GWPs!$B$3:$C$6,2,FALSE)</f>
        <v>0</v>
      </c>
      <c r="J1077" s="3">
        <v>1.0999999999999999E-2</v>
      </c>
      <c r="K1077" s="74">
        <f>J1077*VLOOKUP(D1077,GWPs!$B$3:$C$6,2,FALSE)</f>
        <v>1.0999999999999999E-2</v>
      </c>
      <c r="M1077" s="3">
        <v>3</v>
      </c>
      <c r="N1077" s="3">
        <v>2</v>
      </c>
      <c r="O1077" s="3">
        <v>1</v>
      </c>
      <c r="P1077" s="3">
        <v>4</v>
      </c>
      <c r="Q1077" s="3">
        <v>1</v>
      </c>
    </row>
    <row r="1078" spans="1:17">
      <c r="A1078" t="s">
        <v>1429</v>
      </c>
      <c r="B1078" s="3" t="s">
        <v>845</v>
      </c>
      <c r="C1078" s="3" t="s">
        <v>846</v>
      </c>
      <c r="D1078" s="3" t="s">
        <v>11</v>
      </c>
      <c r="E1078" s="3" t="s">
        <v>12</v>
      </c>
      <c r="F1078" s="3">
        <v>6.2E-2</v>
      </c>
      <c r="G1078" s="74">
        <f>F1078*VLOOKUP(D1078,GWPs!$B$3:$C$6,2,FALSE)</f>
        <v>6.2E-2</v>
      </c>
      <c r="H1078" s="3">
        <v>7.0999999999999994E-2</v>
      </c>
      <c r="I1078" s="74">
        <f>H1078*VLOOKUP(D1078,GWPs!$B$3:$C$6,2,FALSE)</f>
        <v>7.0999999999999994E-2</v>
      </c>
      <c r="J1078" s="3">
        <v>0.13300000000000001</v>
      </c>
      <c r="K1078" s="74">
        <f>J1078*VLOOKUP(D1078,GWPs!$B$3:$C$6,2,FALSE)</f>
        <v>0.13300000000000001</v>
      </c>
      <c r="M1078" s="3">
        <v>3</v>
      </c>
      <c r="N1078" s="3">
        <v>2</v>
      </c>
      <c r="O1078" s="3">
        <v>1</v>
      </c>
      <c r="P1078" s="3">
        <v>3</v>
      </c>
      <c r="Q1078" s="3">
        <v>1</v>
      </c>
    </row>
    <row r="1079" spans="1:17">
      <c r="A1079" t="s">
        <v>1429</v>
      </c>
      <c r="B1079" s="3" t="s">
        <v>845</v>
      </c>
      <c r="C1079" s="3" t="s">
        <v>846</v>
      </c>
      <c r="D1079" s="3" t="s">
        <v>13</v>
      </c>
      <c r="E1079" s="3" t="s">
        <v>12</v>
      </c>
      <c r="F1079" s="3">
        <v>0</v>
      </c>
      <c r="G1079" s="74">
        <f>F1079*VLOOKUP(D1079,GWPs!$B$3:$C$6,2,FALSE)</f>
        <v>0</v>
      </c>
      <c r="H1079" s="3">
        <v>1E-3</v>
      </c>
      <c r="I1079" s="74">
        <f>H1079*VLOOKUP(D1079,GWPs!$B$3:$C$6,2,FALSE)</f>
        <v>2.8000000000000001E-2</v>
      </c>
      <c r="J1079" s="3">
        <v>1E-3</v>
      </c>
      <c r="K1079" s="74">
        <f>J1079*VLOOKUP(D1079,GWPs!$B$3:$C$6,2,FALSE)</f>
        <v>2.8000000000000001E-2</v>
      </c>
      <c r="M1079" s="3">
        <v>4</v>
      </c>
      <c r="N1079" s="3">
        <v>2</v>
      </c>
      <c r="O1079" s="3">
        <v>1</v>
      </c>
      <c r="P1079" s="3">
        <v>1</v>
      </c>
      <c r="Q1079" s="3">
        <v>1</v>
      </c>
    </row>
    <row r="1080" spans="1:17">
      <c r="A1080" t="s">
        <v>1429</v>
      </c>
      <c r="B1080" s="3" t="s">
        <v>845</v>
      </c>
      <c r="C1080" s="3" t="s">
        <v>846</v>
      </c>
      <c r="D1080" s="3" t="s">
        <v>14</v>
      </c>
      <c r="E1080" s="3" t="s">
        <v>12</v>
      </c>
      <c r="F1080" s="3">
        <v>0</v>
      </c>
      <c r="G1080" s="74">
        <f>F1080*VLOOKUP(D1080,GWPs!$B$3:$C$6,2,FALSE)</f>
        <v>0</v>
      </c>
      <c r="H1080" s="3">
        <v>0</v>
      </c>
      <c r="I1080" s="74">
        <f>H1080*VLOOKUP(D1080,GWPs!$B$3:$C$6,2,FALSE)</f>
        <v>0</v>
      </c>
      <c r="J1080" s="3">
        <v>0</v>
      </c>
      <c r="K1080" s="74">
        <f>J1080*VLOOKUP(D1080,GWPs!$B$3:$C$6,2,FALSE)</f>
        <v>0</v>
      </c>
      <c r="M1080" s="3">
        <v>4</v>
      </c>
      <c r="N1080" s="3">
        <v>2</v>
      </c>
      <c r="O1080" s="3">
        <v>1</v>
      </c>
      <c r="P1080" s="3">
        <v>3</v>
      </c>
      <c r="Q1080" s="3">
        <v>1</v>
      </c>
    </row>
    <row r="1081" spans="1:17">
      <c r="A1081" t="s">
        <v>1429</v>
      </c>
      <c r="B1081" s="3" t="s">
        <v>845</v>
      </c>
      <c r="C1081" s="3" t="s">
        <v>846</v>
      </c>
      <c r="D1081" s="3" t="s">
        <v>15</v>
      </c>
      <c r="E1081" s="3" t="s">
        <v>16</v>
      </c>
      <c r="F1081" s="3">
        <v>6.0000000000000001E-3</v>
      </c>
      <c r="G1081" s="74">
        <f>F1081*VLOOKUP(D1081,GWPs!$B$3:$C$6,2,FALSE)</f>
        <v>6.0000000000000001E-3</v>
      </c>
      <c r="H1081" s="3">
        <v>0</v>
      </c>
      <c r="I1081" s="74">
        <f>H1081*VLOOKUP(D1081,GWPs!$B$3:$C$6,2,FALSE)</f>
        <v>0</v>
      </c>
      <c r="J1081" s="3">
        <v>6.0000000000000001E-3</v>
      </c>
      <c r="K1081" s="74">
        <f>J1081*VLOOKUP(D1081,GWPs!$B$3:$C$6,2,FALSE)</f>
        <v>6.0000000000000001E-3</v>
      </c>
      <c r="M1081" s="3">
        <v>3</v>
      </c>
      <c r="N1081" s="3">
        <v>2</v>
      </c>
      <c r="O1081" s="3">
        <v>1</v>
      </c>
      <c r="P1081" s="3">
        <v>3</v>
      </c>
      <c r="Q1081" s="3">
        <v>1</v>
      </c>
    </row>
    <row r="1082" spans="1:17">
      <c r="A1082" t="s">
        <v>1429</v>
      </c>
      <c r="B1082" s="3" t="s">
        <v>847</v>
      </c>
      <c r="C1082" s="3" t="s">
        <v>848</v>
      </c>
      <c r="D1082" s="3" t="s">
        <v>11</v>
      </c>
      <c r="E1082" s="3" t="s">
        <v>12</v>
      </c>
      <c r="F1082" s="3">
        <v>0</v>
      </c>
      <c r="G1082" s="74">
        <f>F1082*VLOOKUP(D1082,GWPs!$B$3:$C$6,2,FALSE)</f>
        <v>0</v>
      </c>
      <c r="H1082" s="3">
        <v>0</v>
      </c>
      <c r="I1082" s="74">
        <f>H1082*VLOOKUP(D1082,GWPs!$B$3:$C$6,2,FALSE)</f>
        <v>0</v>
      </c>
      <c r="J1082" s="3">
        <v>0</v>
      </c>
      <c r="K1082" s="74">
        <f>J1082*VLOOKUP(D1082,GWPs!$B$3:$C$6,2,FALSE)</f>
        <v>0</v>
      </c>
      <c r="M1082" s="3">
        <v>4</v>
      </c>
      <c r="N1082" s="3">
        <v>2</v>
      </c>
      <c r="O1082" s="3">
        <v>1</v>
      </c>
      <c r="P1082" s="3">
        <v>5</v>
      </c>
      <c r="Q1082" s="3">
        <v>1</v>
      </c>
    </row>
    <row r="1083" spans="1:17">
      <c r="A1083" t="s">
        <v>1429</v>
      </c>
      <c r="B1083" s="3" t="s">
        <v>847</v>
      </c>
      <c r="C1083" s="3" t="s">
        <v>848</v>
      </c>
      <c r="D1083" s="3" t="s">
        <v>13</v>
      </c>
      <c r="E1083" s="3" t="s">
        <v>12</v>
      </c>
      <c r="F1083" s="3">
        <v>0</v>
      </c>
      <c r="G1083" s="74">
        <f>F1083*VLOOKUP(D1083,GWPs!$B$3:$C$6,2,FALSE)</f>
        <v>0</v>
      </c>
      <c r="H1083" s="3">
        <v>0</v>
      </c>
      <c r="I1083" s="74">
        <f>H1083*VLOOKUP(D1083,GWPs!$B$3:$C$6,2,FALSE)</f>
        <v>0</v>
      </c>
      <c r="J1083" s="3">
        <v>0</v>
      </c>
      <c r="K1083" s="74">
        <f>J1083*VLOOKUP(D1083,GWPs!$B$3:$C$6,2,FALSE)</f>
        <v>0</v>
      </c>
      <c r="M1083" s="3">
        <v>4</v>
      </c>
      <c r="N1083" s="3">
        <v>2</v>
      </c>
      <c r="O1083" s="3">
        <v>1</v>
      </c>
      <c r="P1083" s="3">
        <v>5</v>
      </c>
      <c r="Q1083" s="3">
        <v>1</v>
      </c>
    </row>
    <row r="1084" spans="1:17">
      <c r="A1084" t="s">
        <v>1429</v>
      </c>
      <c r="B1084" s="3" t="s">
        <v>847</v>
      </c>
      <c r="C1084" s="3" t="s">
        <v>848</v>
      </c>
      <c r="D1084" s="3" t="s">
        <v>14</v>
      </c>
      <c r="E1084" s="3" t="s">
        <v>12</v>
      </c>
      <c r="F1084" s="3">
        <v>0</v>
      </c>
      <c r="G1084" s="74">
        <f>F1084*VLOOKUP(D1084,GWPs!$B$3:$C$6,2,FALSE)</f>
        <v>0</v>
      </c>
      <c r="H1084" s="3">
        <v>0</v>
      </c>
      <c r="I1084" s="74">
        <f>H1084*VLOOKUP(D1084,GWPs!$B$3:$C$6,2,FALSE)</f>
        <v>0</v>
      </c>
      <c r="J1084" s="3">
        <v>0</v>
      </c>
      <c r="K1084" s="74">
        <f>J1084*VLOOKUP(D1084,GWPs!$B$3:$C$6,2,FALSE)</f>
        <v>0</v>
      </c>
      <c r="M1084" s="3">
        <v>4</v>
      </c>
      <c r="N1084" s="3">
        <v>2</v>
      </c>
      <c r="O1084" s="3">
        <v>1</v>
      </c>
      <c r="P1084" s="3">
        <v>5</v>
      </c>
      <c r="Q1084" s="3">
        <v>1</v>
      </c>
    </row>
    <row r="1085" spans="1:17">
      <c r="A1085" t="s">
        <v>1429</v>
      </c>
      <c r="B1085" s="3" t="s">
        <v>847</v>
      </c>
      <c r="C1085" s="3" t="s">
        <v>848</v>
      </c>
      <c r="D1085" s="3" t="s">
        <v>15</v>
      </c>
      <c r="E1085" s="3" t="s">
        <v>16</v>
      </c>
      <c r="F1085" s="3">
        <v>0</v>
      </c>
      <c r="G1085" s="74">
        <f>F1085*VLOOKUP(D1085,GWPs!$B$3:$C$6,2,FALSE)</f>
        <v>0</v>
      </c>
      <c r="H1085" s="3">
        <v>0</v>
      </c>
      <c r="I1085" s="74">
        <f>H1085*VLOOKUP(D1085,GWPs!$B$3:$C$6,2,FALSE)</f>
        <v>0</v>
      </c>
      <c r="J1085" s="3">
        <v>0</v>
      </c>
      <c r="K1085" s="74">
        <f>J1085*VLOOKUP(D1085,GWPs!$B$3:$C$6,2,FALSE)</f>
        <v>0</v>
      </c>
      <c r="M1085" s="3">
        <v>4</v>
      </c>
      <c r="N1085" s="3">
        <v>2</v>
      </c>
      <c r="O1085" s="3">
        <v>1</v>
      </c>
      <c r="P1085" s="3">
        <v>5</v>
      </c>
      <c r="Q1085" s="3">
        <v>1</v>
      </c>
    </row>
    <row r="1086" spans="1:17">
      <c r="A1086" t="s">
        <v>1429</v>
      </c>
      <c r="B1086" s="3" t="s">
        <v>849</v>
      </c>
      <c r="C1086" s="3" t="s">
        <v>850</v>
      </c>
      <c r="D1086" s="3" t="s">
        <v>11</v>
      </c>
      <c r="E1086" s="3" t="s">
        <v>12</v>
      </c>
      <c r="F1086" s="3">
        <v>0.14799999999999999</v>
      </c>
      <c r="G1086" s="74">
        <f>F1086*VLOOKUP(D1086,GWPs!$B$3:$C$6,2,FALSE)</f>
        <v>0.14799999999999999</v>
      </c>
      <c r="H1086" s="3">
        <v>0</v>
      </c>
      <c r="I1086" s="74">
        <f>H1086*VLOOKUP(D1086,GWPs!$B$3:$C$6,2,FALSE)</f>
        <v>0</v>
      </c>
      <c r="J1086" s="3">
        <v>0.14799999999999999</v>
      </c>
      <c r="K1086" s="74">
        <f>J1086*VLOOKUP(D1086,GWPs!$B$3:$C$6,2,FALSE)</f>
        <v>0.14799999999999999</v>
      </c>
      <c r="M1086" s="3">
        <v>3</v>
      </c>
      <c r="N1086" s="3">
        <v>2</v>
      </c>
      <c r="O1086" s="3">
        <v>1</v>
      </c>
      <c r="P1086" s="3">
        <v>3</v>
      </c>
      <c r="Q1086" s="3">
        <v>1</v>
      </c>
    </row>
    <row r="1087" spans="1:17">
      <c r="A1087" t="s">
        <v>1429</v>
      </c>
      <c r="B1087" s="3" t="s">
        <v>849</v>
      </c>
      <c r="C1087" s="3" t="s">
        <v>850</v>
      </c>
      <c r="D1087" s="3" t="s">
        <v>13</v>
      </c>
      <c r="E1087" s="3" t="s">
        <v>12</v>
      </c>
      <c r="F1087" s="3">
        <v>1E-3</v>
      </c>
      <c r="G1087" s="74">
        <f>F1087*VLOOKUP(D1087,GWPs!$B$3:$C$6,2,FALSE)</f>
        <v>2.8000000000000001E-2</v>
      </c>
      <c r="H1087" s="3">
        <v>0</v>
      </c>
      <c r="I1087" s="74">
        <f>H1087*VLOOKUP(D1087,GWPs!$B$3:$C$6,2,FALSE)</f>
        <v>0</v>
      </c>
      <c r="J1087" s="3">
        <v>1E-3</v>
      </c>
      <c r="K1087" s="74">
        <f>J1087*VLOOKUP(D1087,GWPs!$B$3:$C$6,2,FALSE)</f>
        <v>2.8000000000000001E-2</v>
      </c>
      <c r="M1087" s="3">
        <v>3</v>
      </c>
      <c r="N1087" s="3">
        <v>2</v>
      </c>
      <c r="O1087" s="3">
        <v>1</v>
      </c>
      <c r="P1087" s="3">
        <v>1</v>
      </c>
      <c r="Q1087" s="3">
        <v>1</v>
      </c>
    </row>
    <row r="1088" spans="1:17">
      <c r="A1088" t="s">
        <v>1429</v>
      </c>
      <c r="B1088" s="3" t="s">
        <v>849</v>
      </c>
      <c r="C1088" s="3" t="s">
        <v>850</v>
      </c>
      <c r="D1088" s="3" t="s">
        <v>14</v>
      </c>
      <c r="E1088" s="3" t="s">
        <v>12</v>
      </c>
      <c r="F1088" s="3">
        <v>0</v>
      </c>
      <c r="G1088" s="74">
        <f>F1088*VLOOKUP(D1088,GWPs!$B$3:$C$6,2,FALSE)</f>
        <v>0</v>
      </c>
      <c r="H1088" s="3">
        <v>0</v>
      </c>
      <c r="I1088" s="74">
        <f>H1088*VLOOKUP(D1088,GWPs!$B$3:$C$6,2,FALSE)</f>
        <v>0</v>
      </c>
      <c r="J1088" s="3">
        <v>0</v>
      </c>
      <c r="K1088" s="74">
        <f>J1088*VLOOKUP(D1088,GWPs!$B$3:$C$6,2,FALSE)</f>
        <v>0</v>
      </c>
      <c r="M1088" s="3">
        <v>3</v>
      </c>
      <c r="N1088" s="3">
        <v>2</v>
      </c>
      <c r="O1088" s="3">
        <v>1</v>
      </c>
      <c r="P1088" s="3">
        <v>3</v>
      </c>
      <c r="Q1088" s="3">
        <v>1</v>
      </c>
    </row>
    <row r="1089" spans="1:17">
      <c r="A1089" t="s">
        <v>1429</v>
      </c>
      <c r="B1089" s="3" t="s">
        <v>849</v>
      </c>
      <c r="C1089" s="3" t="s">
        <v>850</v>
      </c>
      <c r="D1089" s="3" t="s">
        <v>15</v>
      </c>
      <c r="E1089" s="3" t="s">
        <v>16</v>
      </c>
      <c r="F1089" s="3">
        <v>5.0000000000000001E-3</v>
      </c>
      <c r="G1089" s="74">
        <f>F1089*VLOOKUP(D1089,GWPs!$B$3:$C$6,2,FALSE)</f>
        <v>5.0000000000000001E-3</v>
      </c>
      <c r="H1089" s="3">
        <v>0</v>
      </c>
      <c r="I1089" s="74">
        <f>H1089*VLOOKUP(D1089,GWPs!$B$3:$C$6,2,FALSE)</f>
        <v>0</v>
      </c>
      <c r="J1089" s="3">
        <v>5.0000000000000001E-3</v>
      </c>
      <c r="K1089" s="74">
        <f>J1089*VLOOKUP(D1089,GWPs!$B$3:$C$6,2,FALSE)</f>
        <v>5.0000000000000001E-3</v>
      </c>
      <c r="M1089" s="3">
        <v>3</v>
      </c>
      <c r="N1089" s="3">
        <v>2</v>
      </c>
      <c r="O1089" s="3">
        <v>1</v>
      </c>
      <c r="P1089" s="3">
        <v>4</v>
      </c>
      <c r="Q1089" s="3">
        <v>1</v>
      </c>
    </row>
    <row r="1090" spans="1:17">
      <c r="A1090" t="s">
        <v>1429</v>
      </c>
      <c r="B1090" s="3" t="s">
        <v>851</v>
      </c>
      <c r="C1090" s="3" t="s">
        <v>852</v>
      </c>
      <c r="D1090" s="3" t="s">
        <v>11</v>
      </c>
      <c r="E1090" s="3" t="s">
        <v>12</v>
      </c>
      <c r="F1090" s="3">
        <v>9.2999999999999999E-2</v>
      </c>
      <c r="G1090" s="74">
        <f>F1090*VLOOKUP(D1090,GWPs!$B$3:$C$6,2,FALSE)</f>
        <v>9.2999999999999999E-2</v>
      </c>
      <c r="H1090" s="3">
        <v>0</v>
      </c>
      <c r="I1090" s="74">
        <f>H1090*VLOOKUP(D1090,GWPs!$B$3:$C$6,2,FALSE)</f>
        <v>0</v>
      </c>
      <c r="J1090" s="3">
        <v>9.2999999999999999E-2</v>
      </c>
      <c r="K1090" s="74">
        <f>J1090*VLOOKUP(D1090,GWPs!$B$3:$C$6,2,FALSE)</f>
        <v>9.2999999999999999E-2</v>
      </c>
      <c r="M1090" s="3">
        <v>3</v>
      </c>
      <c r="N1090" s="3">
        <v>2</v>
      </c>
      <c r="O1090" s="3">
        <v>1</v>
      </c>
      <c r="P1090" s="3">
        <v>3</v>
      </c>
      <c r="Q1090" s="3">
        <v>1</v>
      </c>
    </row>
    <row r="1091" spans="1:17">
      <c r="A1091" t="s">
        <v>1429</v>
      </c>
      <c r="B1091" s="3" t="s">
        <v>851</v>
      </c>
      <c r="C1091" s="3" t="s">
        <v>852</v>
      </c>
      <c r="D1091" s="3" t="s">
        <v>13</v>
      </c>
      <c r="E1091" s="3" t="s">
        <v>12</v>
      </c>
      <c r="F1091" s="3">
        <v>0</v>
      </c>
      <c r="G1091" s="74">
        <f>F1091*VLOOKUP(D1091,GWPs!$B$3:$C$6,2,FALSE)</f>
        <v>0</v>
      </c>
      <c r="H1091" s="3">
        <v>0</v>
      </c>
      <c r="I1091" s="74">
        <f>H1091*VLOOKUP(D1091,GWPs!$B$3:$C$6,2,FALSE)</f>
        <v>0</v>
      </c>
      <c r="J1091" s="3">
        <v>0</v>
      </c>
      <c r="K1091" s="74">
        <f>J1091*VLOOKUP(D1091,GWPs!$B$3:$C$6,2,FALSE)</f>
        <v>0</v>
      </c>
      <c r="M1091" s="3">
        <v>3</v>
      </c>
      <c r="N1091" s="3">
        <v>2</v>
      </c>
      <c r="O1091" s="3">
        <v>1</v>
      </c>
      <c r="P1091" s="3">
        <v>1</v>
      </c>
      <c r="Q1091" s="3">
        <v>1</v>
      </c>
    </row>
    <row r="1092" spans="1:17">
      <c r="A1092" t="s">
        <v>1429</v>
      </c>
      <c r="B1092" s="3" t="s">
        <v>851</v>
      </c>
      <c r="C1092" s="3" t="s">
        <v>852</v>
      </c>
      <c r="D1092" s="3" t="s">
        <v>14</v>
      </c>
      <c r="E1092" s="3" t="s">
        <v>12</v>
      </c>
      <c r="F1092" s="3">
        <v>0</v>
      </c>
      <c r="G1092" s="74">
        <f>F1092*VLOOKUP(D1092,GWPs!$B$3:$C$6,2,FALSE)</f>
        <v>0</v>
      </c>
      <c r="H1092" s="3">
        <v>0</v>
      </c>
      <c r="I1092" s="74">
        <f>H1092*VLOOKUP(D1092,GWPs!$B$3:$C$6,2,FALSE)</f>
        <v>0</v>
      </c>
      <c r="J1092" s="3">
        <v>0</v>
      </c>
      <c r="K1092" s="74">
        <f>J1092*VLOOKUP(D1092,GWPs!$B$3:$C$6,2,FALSE)</f>
        <v>0</v>
      </c>
      <c r="M1092" s="3">
        <v>3</v>
      </c>
      <c r="N1092" s="3">
        <v>2</v>
      </c>
      <c r="O1092" s="3">
        <v>1</v>
      </c>
      <c r="P1092" s="3">
        <v>3</v>
      </c>
      <c r="Q1092" s="3">
        <v>1</v>
      </c>
    </row>
    <row r="1093" spans="1:17">
      <c r="A1093" t="s">
        <v>1429</v>
      </c>
      <c r="B1093" s="3" t="s">
        <v>851</v>
      </c>
      <c r="C1093" s="3" t="s">
        <v>852</v>
      </c>
      <c r="D1093" s="3" t="s">
        <v>15</v>
      </c>
      <c r="E1093" s="3" t="s">
        <v>16</v>
      </c>
      <c r="F1093" s="3">
        <v>3.0000000000000001E-3</v>
      </c>
      <c r="G1093" s="74">
        <f>F1093*VLOOKUP(D1093,GWPs!$B$3:$C$6,2,FALSE)</f>
        <v>3.0000000000000001E-3</v>
      </c>
      <c r="H1093" s="3">
        <v>0</v>
      </c>
      <c r="I1093" s="74">
        <f>H1093*VLOOKUP(D1093,GWPs!$B$3:$C$6,2,FALSE)</f>
        <v>0</v>
      </c>
      <c r="J1093" s="3">
        <v>3.0000000000000001E-3</v>
      </c>
      <c r="K1093" s="74">
        <f>J1093*VLOOKUP(D1093,GWPs!$B$3:$C$6,2,FALSE)</f>
        <v>3.0000000000000001E-3</v>
      </c>
      <c r="M1093" s="3">
        <v>3</v>
      </c>
      <c r="N1093" s="3">
        <v>2</v>
      </c>
      <c r="O1093" s="3">
        <v>1</v>
      </c>
      <c r="P1093" s="3">
        <v>4</v>
      </c>
      <c r="Q1093" s="3">
        <v>1</v>
      </c>
    </row>
    <row r="1094" spans="1:17">
      <c r="A1094" t="s">
        <v>1429</v>
      </c>
      <c r="B1094" s="3" t="s">
        <v>853</v>
      </c>
      <c r="C1094" s="3" t="s">
        <v>854</v>
      </c>
      <c r="D1094" s="3" t="s">
        <v>11</v>
      </c>
      <c r="E1094" s="3" t="s">
        <v>12</v>
      </c>
      <c r="F1094" s="3">
        <v>0.11899999999999999</v>
      </c>
      <c r="G1094" s="74">
        <f>F1094*VLOOKUP(D1094,GWPs!$B$3:$C$6,2,FALSE)</f>
        <v>0.11899999999999999</v>
      </c>
      <c r="H1094" s="3">
        <v>0</v>
      </c>
      <c r="I1094" s="74">
        <f>H1094*VLOOKUP(D1094,GWPs!$B$3:$C$6,2,FALSE)</f>
        <v>0</v>
      </c>
      <c r="J1094" s="3">
        <v>0.11899999999999999</v>
      </c>
      <c r="K1094" s="74">
        <f>J1094*VLOOKUP(D1094,GWPs!$B$3:$C$6,2,FALSE)</f>
        <v>0.11899999999999999</v>
      </c>
      <c r="M1094" s="3">
        <v>3</v>
      </c>
      <c r="N1094" s="3">
        <v>2</v>
      </c>
      <c r="O1094" s="3">
        <v>1</v>
      </c>
      <c r="P1094" s="3">
        <v>3</v>
      </c>
      <c r="Q1094" s="3">
        <v>1</v>
      </c>
    </row>
    <row r="1095" spans="1:17">
      <c r="A1095" t="s">
        <v>1429</v>
      </c>
      <c r="B1095" s="3" t="s">
        <v>853</v>
      </c>
      <c r="C1095" s="3" t="s">
        <v>854</v>
      </c>
      <c r="D1095" s="3" t="s">
        <v>13</v>
      </c>
      <c r="E1095" s="3" t="s">
        <v>12</v>
      </c>
      <c r="F1095" s="3">
        <v>0</v>
      </c>
      <c r="G1095" s="74">
        <f>F1095*VLOOKUP(D1095,GWPs!$B$3:$C$6,2,FALSE)</f>
        <v>0</v>
      </c>
      <c r="H1095" s="3">
        <v>0</v>
      </c>
      <c r="I1095" s="74">
        <f>H1095*VLOOKUP(D1095,GWPs!$B$3:$C$6,2,FALSE)</f>
        <v>0</v>
      </c>
      <c r="J1095" s="3">
        <v>0</v>
      </c>
      <c r="K1095" s="74">
        <f>J1095*VLOOKUP(D1095,GWPs!$B$3:$C$6,2,FALSE)</f>
        <v>0</v>
      </c>
      <c r="M1095" s="3">
        <v>3</v>
      </c>
      <c r="N1095" s="3">
        <v>2</v>
      </c>
      <c r="O1095" s="3">
        <v>1</v>
      </c>
      <c r="P1095" s="3">
        <v>1</v>
      </c>
      <c r="Q1095" s="3">
        <v>1</v>
      </c>
    </row>
    <row r="1096" spans="1:17">
      <c r="A1096" t="s">
        <v>1429</v>
      </c>
      <c r="B1096" s="3" t="s">
        <v>853</v>
      </c>
      <c r="C1096" s="3" t="s">
        <v>854</v>
      </c>
      <c r="D1096" s="3" t="s">
        <v>14</v>
      </c>
      <c r="E1096" s="3" t="s">
        <v>12</v>
      </c>
      <c r="F1096" s="3">
        <v>0</v>
      </c>
      <c r="G1096" s="74">
        <f>F1096*VLOOKUP(D1096,GWPs!$B$3:$C$6,2,FALSE)</f>
        <v>0</v>
      </c>
      <c r="H1096" s="3">
        <v>0</v>
      </c>
      <c r="I1096" s="74">
        <f>H1096*VLOOKUP(D1096,GWPs!$B$3:$C$6,2,FALSE)</f>
        <v>0</v>
      </c>
      <c r="J1096" s="3">
        <v>0</v>
      </c>
      <c r="K1096" s="74">
        <f>J1096*VLOOKUP(D1096,GWPs!$B$3:$C$6,2,FALSE)</f>
        <v>0</v>
      </c>
      <c r="M1096" s="3">
        <v>3</v>
      </c>
      <c r="N1096" s="3">
        <v>2</v>
      </c>
      <c r="O1096" s="3">
        <v>1</v>
      </c>
      <c r="P1096" s="3">
        <v>3</v>
      </c>
      <c r="Q1096" s="3">
        <v>1</v>
      </c>
    </row>
    <row r="1097" spans="1:17">
      <c r="A1097" t="s">
        <v>1429</v>
      </c>
      <c r="B1097" s="3" t="s">
        <v>853</v>
      </c>
      <c r="C1097" s="3" t="s">
        <v>854</v>
      </c>
      <c r="D1097" s="3" t="s">
        <v>15</v>
      </c>
      <c r="E1097" s="3" t="s">
        <v>16</v>
      </c>
      <c r="F1097" s="3">
        <v>4.0000000000000001E-3</v>
      </c>
      <c r="G1097" s="74">
        <f>F1097*VLOOKUP(D1097,GWPs!$B$3:$C$6,2,FALSE)</f>
        <v>4.0000000000000001E-3</v>
      </c>
      <c r="H1097" s="3">
        <v>0</v>
      </c>
      <c r="I1097" s="74">
        <f>H1097*VLOOKUP(D1097,GWPs!$B$3:$C$6,2,FALSE)</f>
        <v>0</v>
      </c>
      <c r="J1097" s="3">
        <v>4.0000000000000001E-3</v>
      </c>
      <c r="K1097" s="74">
        <f>J1097*VLOOKUP(D1097,GWPs!$B$3:$C$6,2,FALSE)</f>
        <v>4.0000000000000001E-3</v>
      </c>
      <c r="M1097" s="3">
        <v>4</v>
      </c>
      <c r="N1097" s="3">
        <v>2</v>
      </c>
      <c r="O1097" s="3">
        <v>1</v>
      </c>
      <c r="P1097" s="3">
        <v>4</v>
      </c>
      <c r="Q1097" s="3">
        <v>1</v>
      </c>
    </row>
    <row r="1098" spans="1:17">
      <c r="A1098" t="s">
        <v>1429</v>
      </c>
      <c r="B1098" s="3" t="s">
        <v>855</v>
      </c>
      <c r="C1098" s="3" t="s">
        <v>856</v>
      </c>
      <c r="D1098" s="3" t="s">
        <v>11</v>
      </c>
      <c r="E1098" s="3" t="s">
        <v>12</v>
      </c>
      <c r="F1098" s="3">
        <v>0.13200000000000001</v>
      </c>
      <c r="G1098" s="74">
        <f>F1098*VLOOKUP(D1098,GWPs!$B$3:$C$6,2,FALSE)</f>
        <v>0.13200000000000001</v>
      </c>
      <c r="H1098" s="3">
        <v>0</v>
      </c>
      <c r="I1098" s="74">
        <f>H1098*VLOOKUP(D1098,GWPs!$B$3:$C$6,2,FALSE)</f>
        <v>0</v>
      </c>
      <c r="J1098" s="3">
        <v>0.13200000000000001</v>
      </c>
      <c r="K1098" s="74">
        <f>J1098*VLOOKUP(D1098,GWPs!$B$3:$C$6,2,FALSE)</f>
        <v>0.13200000000000001</v>
      </c>
      <c r="M1098" s="3">
        <v>3</v>
      </c>
      <c r="N1098" s="3">
        <v>2</v>
      </c>
      <c r="O1098" s="3">
        <v>1</v>
      </c>
      <c r="P1098" s="3">
        <v>3</v>
      </c>
      <c r="Q1098" s="3">
        <v>1</v>
      </c>
    </row>
    <row r="1099" spans="1:17">
      <c r="A1099" t="s">
        <v>1429</v>
      </c>
      <c r="B1099" s="3" t="s">
        <v>855</v>
      </c>
      <c r="C1099" s="3" t="s">
        <v>856</v>
      </c>
      <c r="D1099" s="3" t="s">
        <v>13</v>
      </c>
      <c r="E1099" s="3" t="s">
        <v>12</v>
      </c>
      <c r="F1099" s="3">
        <v>1E-3</v>
      </c>
      <c r="G1099" s="74">
        <f>F1099*VLOOKUP(D1099,GWPs!$B$3:$C$6,2,FALSE)</f>
        <v>2.8000000000000001E-2</v>
      </c>
      <c r="H1099" s="3">
        <v>0</v>
      </c>
      <c r="I1099" s="74">
        <f>H1099*VLOOKUP(D1099,GWPs!$B$3:$C$6,2,FALSE)</f>
        <v>0</v>
      </c>
      <c r="J1099" s="3">
        <v>1E-3</v>
      </c>
      <c r="K1099" s="74">
        <f>J1099*VLOOKUP(D1099,GWPs!$B$3:$C$6,2,FALSE)</f>
        <v>2.8000000000000001E-2</v>
      </c>
      <c r="M1099" s="3">
        <v>3</v>
      </c>
      <c r="N1099" s="3">
        <v>2</v>
      </c>
      <c r="O1099" s="3">
        <v>1</v>
      </c>
      <c r="P1099" s="3">
        <v>1</v>
      </c>
      <c r="Q1099" s="3">
        <v>1</v>
      </c>
    </row>
    <row r="1100" spans="1:17">
      <c r="A1100" t="s">
        <v>1429</v>
      </c>
      <c r="B1100" s="3" t="s">
        <v>855</v>
      </c>
      <c r="C1100" s="3" t="s">
        <v>856</v>
      </c>
      <c r="D1100" s="3" t="s">
        <v>14</v>
      </c>
      <c r="E1100" s="3" t="s">
        <v>12</v>
      </c>
      <c r="F1100" s="3">
        <v>0</v>
      </c>
      <c r="G1100" s="74">
        <f>F1100*VLOOKUP(D1100,GWPs!$B$3:$C$6,2,FALSE)</f>
        <v>0</v>
      </c>
      <c r="H1100" s="3">
        <v>0</v>
      </c>
      <c r="I1100" s="74">
        <f>H1100*VLOOKUP(D1100,GWPs!$B$3:$C$6,2,FALSE)</f>
        <v>0</v>
      </c>
      <c r="J1100" s="3">
        <v>0</v>
      </c>
      <c r="K1100" s="74">
        <f>J1100*VLOOKUP(D1100,GWPs!$B$3:$C$6,2,FALSE)</f>
        <v>0</v>
      </c>
      <c r="M1100" s="3">
        <v>3</v>
      </c>
      <c r="N1100" s="3">
        <v>2</v>
      </c>
      <c r="O1100" s="3">
        <v>1</v>
      </c>
      <c r="P1100" s="3">
        <v>3</v>
      </c>
      <c r="Q1100" s="3">
        <v>1</v>
      </c>
    </row>
    <row r="1101" spans="1:17">
      <c r="A1101" t="s">
        <v>1429</v>
      </c>
      <c r="B1101" s="3" t="s">
        <v>855</v>
      </c>
      <c r="C1101" s="3" t="s">
        <v>856</v>
      </c>
      <c r="D1101" s="3" t="s">
        <v>15</v>
      </c>
      <c r="E1101" s="3" t="s">
        <v>16</v>
      </c>
      <c r="F1101" s="3">
        <v>6.0000000000000001E-3</v>
      </c>
      <c r="G1101" s="74">
        <f>F1101*VLOOKUP(D1101,GWPs!$B$3:$C$6,2,FALSE)</f>
        <v>6.0000000000000001E-3</v>
      </c>
      <c r="H1101" s="3">
        <v>0</v>
      </c>
      <c r="I1101" s="74">
        <f>H1101*VLOOKUP(D1101,GWPs!$B$3:$C$6,2,FALSE)</f>
        <v>0</v>
      </c>
      <c r="J1101" s="3">
        <v>6.0000000000000001E-3</v>
      </c>
      <c r="K1101" s="74">
        <f>J1101*VLOOKUP(D1101,GWPs!$B$3:$C$6,2,FALSE)</f>
        <v>6.0000000000000001E-3</v>
      </c>
      <c r="M1101" s="3">
        <v>4</v>
      </c>
      <c r="N1101" s="3">
        <v>2</v>
      </c>
      <c r="O1101" s="3">
        <v>1</v>
      </c>
      <c r="P1101" s="3">
        <v>4</v>
      </c>
      <c r="Q1101" s="3">
        <v>1</v>
      </c>
    </row>
    <row r="1102" spans="1:17">
      <c r="A1102" t="s">
        <v>1430</v>
      </c>
      <c r="B1102" s="3" t="s">
        <v>857</v>
      </c>
      <c r="C1102" s="3" t="s">
        <v>858</v>
      </c>
      <c r="D1102" s="3" t="s">
        <v>11</v>
      </c>
      <c r="E1102" s="3" t="s">
        <v>12</v>
      </c>
      <c r="F1102" s="3">
        <v>0.17199999999999999</v>
      </c>
      <c r="G1102" s="74">
        <f>F1102*VLOOKUP(D1102,GWPs!$B$3:$C$6,2,FALSE)</f>
        <v>0.17199999999999999</v>
      </c>
      <c r="H1102" s="3">
        <v>0</v>
      </c>
      <c r="I1102" s="74">
        <f>H1102*VLOOKUP(D1102,GWPs!$B$3:$C$6,2,FALSE)</f>
        <v>0</v>
      </c>
      <c r="J1102" s="3">
        <v>0.17199999999999999</v>
      </c>
      <c r="K1102" s="74">
        <f>J1102*VLOOKUP(D1102,GWPs!$B$3:$C$6,2,FALSE)</f>
        <v>0.17199999999999999</v>
      </c>
      <c r="M1102" s="3">
        <v>3</v>
      </c>
      <c r="N1102" s="3">
        <v>2</v>
      </c>
      <c r="O1102" s="3">
        <v>1</v>
      </c>
      <c r="P1102" s="3">
        <v>3</v>
      </c>
      <c r="Q1102" s="3">
        <v>1</v>
      </c>
    </row>
    <row r="1103" spans="1:17">
      <c r="A1103" t="s">
        <v>1430</v>
      </c>
      <c r="B1103" s="3" t="s">
        <v>857</v>
      </c>
      <c r="C1103" s="3" t="s">
        <v>858</v>
      </c>
      <c r="D1103" s="3" t="s">
        <v>13</v>
      </c>
      <c r="E1103" s="3" t="s">
        <v>12</v>
      </c>
      <c r="F1103" s="3">
        <v>1E-3</v>
      </c>
      <c r="G1103" s="74">
        <f>F1103*VLOOKUP(D1103,GWPs!$B$3:$C$6,2,FALSE)</f>
        <v>2.8000000000000001E-2</v>
      </c>
      <c r="H1103" s="3">
        <v>0</v>
      </c>
      <c r="I1103" s="74">
        <f>H1103*VLOOKUP(D1103,GWPs!$B$3:$C$6,2,FALSE)</f>
        <v>0</v>
      </c>
      <c r="J1103" s="3">
        <v>1E-3</v>
      </c>
      <c r="K1103" s="74">
        <f>J1103*VLOOKUP(D1103,GWPs!$B$3:$C$6,2,FALSE)</f>
        <v>2.8000000000000001E-2</v>
      </c>
      <c r="M1103" s="3">
        <v>3</v>
      </c>
      <c r="N1103" s="3">
        <v>2</v>
      </c>
      <c r="O1103" s="3">
        <v>1</v>
      </c>
      <c r="P1103" s="3">
        <v>1</v>
      </c>
      <c r="Q1103" s="3">
        <v>1</v>
      </c>
    </row>
    <row r="1104" spans="1:17">
      <c r="A1104" t="s">
        <v>1430</v>
      </c>
      <c r="B1104" s="3" t="s">
        <v>857</v>
      </c>
      <c r="C1104" s="3" t="s">
        <v>858</v>
      </c>
      <c r="D1104" s="3" t="s">
        <v>14</v>
      </c>
      <c r="E1104" s="3" t="s">
        <v>12</v>
      </c>
      <c r="F1104" s="3">
        <v>0</v>
      </c>
      <c r="G1104" s="74">
        <f>F1104*VLOOKUP(D1104,GWPs!$B$3:$C$6,2,FALSE)</f>
        <v>0</v>
      </c>
      <c r="H1104" s="3">
        <v>0</v>
      </c>
      <c r="I1104" s="74">
        <f>H1104*VLOOKUP(D1104,GWPs!$B$3:$C$6,2,FALSE)</f>
        <v>0</v>
      </c>
      <c r="J1104" s="3">
        <v>0</v>
      </c>
      <c r="K1104" s="74">
        <f>J1104*VLOOKUP(D1104,GWPs!$B$3:$C$6,2,FALSE)</f>
        <v>0</v>
      </c>
      <c r="M1104" s="3">
        <v>3</v>
      </c>
      <c r="N1104" s="3">
        <v>2</v>
      </c>
      <c r="O1104" s="3">
        <v>1</v>
      </c>
      <c r="P1104" s="3">
        <v>3</v>
      </c>
      <c r="Q1104" s="3">
        <v>1</v>
      </c>
    </row>
    <row r="1105" spans="1:17">
      <c r="A1105" t="s">
        <v>1430</v>
      </c>
      <c r="B1105" s="3" t="s">
        <v>857</v>
      </c>
      <c r="C1105" s="3" t="s">
        <v>858</v>
      </c>
      <c r="D1105" s="3" t="s">
        <v>15</v>
      </c>
      <c r="E1105" s="3" t="s">
        <v>16</v>
      </c>
      <c r="F1105" s="3">
        <v>6.0000000000000001E-3</v>
      </c>
      <c r="G1105" s="74">
        <f>F1105*VLOOKUP(D1105,GWPs!$B$3:$C$6,2,FALSE)</f>
        <v>6.0000000000000001E-3</v>
      </c>
      <c r="H1105" s="3">
        <v>0</v>
      </c>
      <c r="I1105" s="74">
        <f>H1105*VLOOKUP(D1105,GWPs!$B$3:$C$6,2,FALSE)</f>
        <v>0</v>
      </c>
      <c r="J1105" s="3">
        <v>6.0000000000000001E-3</v>
      </c>
      <c r="K1105" s="74">
        <f>J1105*VLOOKUP(D1105,GWPs!$B$3:$C$6,2,FALSE)</f>
        <v>6.0000000000000001E-3</v>
      </c>
      <c r="M1105" s="3">
        <v>4</v>
      </c>
      <c r="N1105" s="3">
        <v>2</v>
      </c>
      <c r="O1105" s="3">
        <v>1</v>
      </c>
      <c r="P1105" s="3">
        <v>4</v>
      </c>
      <c r="Q1105" s="3">
        <v>1</v>
      </c>
    </row>
    <row r="1106" spans="1:17">
      <c r="A1106" t="s">
        <v>1430</v>
      </c>
      <c r="B1106" s="3" t="s">
        <v>859</v>
      </c>
      <c r="C1106" s="3" t="s">
        <v>860</v>
      </c>
      <c r="D1106" s="3" t="s">
        <v>11</v>
      </c>
      <c r="E1106" s="3" t="s">
        <v>12</v>
      </c>
      <c r="F1106" s="3">
        <v>0.13100000000000001</v>
      </c>
      <c r="G1106" s="74">
        <f>F1106*VLOOKUP(D1106,GWPs!$B$3:$C$6,2,FALSE)</f>
        <v>0.13100000000000001</v>
      </c>
      <c r="H1106" s="3">
        <v>0</v>
      </c>
      <c r="I1106" s="74">
        <f>H1106*VLOOKUP(D1106,GWPs!$B$3:$C$6,2,FALSE)</f>
        <v>0</v>
      </c>
      <c r="J1106" s="3">
        <v>0.13100000000000001</v>
      </c>
      <c r="K1106" s="74">
        <f>J1106*VLOOKUP(D1106,GWPs!$B$3:$C$6,2,FALSE)</f>
        <v>0.13100000000000001</v>
      </c>
      <c r="M1106" s="3">
        <v>3</v>
      </c>
      <c r="N1106" s="3">
        <v>2</v>
      </c>
      <c r="O1106" s="3">
        <v>1</v>
      </c>
      <c r="P1106" s="3">
        <v>3</v>
      </c>
      <c r="Q1106" s="3">
        <v>1</v>
      </c>
    </row>
    <row r="1107" spans="1:17">
      <c r="A1107" t="s">
        <v>1430</v>
      </c>
      <c r="B1107" s="3" t="s">
        <v>859</v>
      </c>
      <c r="C1107" s="3" t="s">
        <v>860</v>
      </c>
      <c r="D1107" s="3" t="s">
        <v>13</v>
      </c>
      <c r="E1107" s="3" t="s">
        <v>12</v>
      </c>
      <c r="F1107" s="3">
        <v>1E-3</v>
      </c>
      <c r="G1107" s="74">
        <f>F1107*VLOOKUP(D1107,GWPs!$B$3:$C$6,2,FALSE)</f>
        <v>2.8000000000000001E-2</v>
      </c>
      <c r="H1107" s="3">
        <v>0</v>
      </c>
      <c r="I1107" s="74">
        <f>H1107*VLOOKUP(D1107,GWPs!$B$3:$C$6,2,FALSE)</f>
        <v>0</v>
      </c>
      <c r="J1107" s="3">
        <v>1E-3</v>
      </c>
      <c r="K1107" s="74">
        <f>J1107*VLOOKUP(D1107,GWPs!$B$3:$C$6,2,FALSE)</f>
        <v>2.8000000000000001E-2</v>
      </c>
      <c r="M1107" s="3">
        <v>3</v>
      </c>
      <c r="N1107" s="3">
        <v>2</v>
      </c>
      <c r="O1107" s="3">
        <v>1</v>
      </c>
      <c r="P1107" s="3">
        <v>1</v>
      </c>
      <c r="Q1107" s="3">
        <v>1</v>
      </c>
    </row>
    <row r="1108" spans="1:17">
      <c r="A1108" t="s">
        <v>1430</v>
      </c>
      <c r="B1108" s="3" t="s">
        <v>859</v>
      </c>
      <c r="C1108" s="3" t="s">
        <v>860</v>
      </c>
      <c r="D1108" s="3" t="s">
        <v>14</v>
      </c>
      <c r="E1108" s="3" t="s">
        <v>12</v>
      </c>
      <c r="F1108" s="3">
        <v>0</v>
      </c>
      <c r="G1108" s="74">
        <f>F1108*VLOOKUP(D1108,GWPs!$B$3:$C$6,2,FALSE)</f>
        <v>0</v>
      </c>
      <c r="H1108" s="3">
        <v>0</v>
      </c>
      <c r="I1108" s="74">
        <f>H1108*VLOOKUP(D1108,GWPs!$B$3:$C$6,2,FALSE)</f>
        <v>0</v>
      </c>
      <c r="J1108" s="3">
        <v>0</v>
      </c>
      <c r="K1108" s="74">
        <f>J1108*VLOOKUP(D1108,GWPs!$B$3:$C$6,2,FALSE)</f>
        <v>0</v>
      </c>
      <c r="M1108" s="3">
        <v>3</v>
      </c>
      <c r="N1108" s="3">
        <v>2</v>
      </c>
      <c r="O1108" s="3">
        <v>1</v>
      </c>
      <c r="P1108" s="3">
        <v>3</v>
      </c>
      <c r="Q1108" s="3">
        <v>1</v>
      </c>
    </row>
    <row r="1109" spans="1:17">
      <c r="A1109" t="s">
        <v>1430</v>
      </c>
      <c r="B1109" s="3" t="s">
        <v>859</v>
      </c>
      <c r="C1109" s="3" t="s">
        <v>860</v>
      </c>
      <c r="D1109" s="3" t="s">
        <v>15</v>
      </c>
      <c r="E1109" s="3" t="s">
        <v>16</v>
      </c>
      <c r="F1109" s="3">
        <v>3.0000000000000001E-3</v>
      </c>
      <c r="G1109" s="74">
        <f>F1109*VLOOKUP(D1109,GWPs!$B$3:$C$6,2,FALSE)</f>
        <v>3.0000000000000001E-3</v>
      </c>
      <c r="H1109" s="3">
        <v>0</v>
      </c>
      <c r="I1109" s="74">
        <f>H1109*VLOOKUP(D1109,GWPs!$B$3:$C$6,2,FALSE)</f>
        <v>0</v>
      </c>
      <c r="J1109" s="3">
        <v>3.0000000000000001E-3</v>
      </c>
      <c r="K1109" s="74">
        <f>J1109*VLOOKUP(D1109,GWPs!$B$3:$C$6,2,FALSE)</f>
        <v>3.0000000000000001E-3</v>
      </c>
      <c r="M1109" s="3">
        <v>4</v>
      </c>
      <c r="N1109" s="3">
        <v>2</v>
      </c>
      <c r="O1109" s="3">
        <v>1</v>
      </c>
      <c r="P1109" s="3">
        <v>4</v>
      </c>
      <c r="Q1109" s="3">
        <v>1</v>
      </c>
    </row>
    <row r="1110" spans="1:17">
      <c r="A1110" t="s">
        <v>1429</v>
      </c>
      <c r="B1110" s="3" t="s">
        <v>861</v>
      </c>
      <c r="C1110" s="3" t="s">
        <v>862</v>
      </c>
      <c r="D1110" s="3" t="s">
        <v>11</v>
      </c>
      <c r="E1110" s="3" t="s">
        <v>12</v>
      </c>
      <c r="F1110" s="3">
        <v>0.185</v>
      </c>
      <c r="G1110" s="74">
        <f>F1110*VLOOKUP(D1110,GWPs!$B$3:$C$6,2,FALSE)</f>
        <v>0.185</v>
      </c>
      <c r="H1110" s="3">
        <v>0</v>
      </c>
      <c r="I1110" s="74">
        <f>H1110*VLOOKUP(D1110,GWPs!$B$3:$C$6,2,FALSE)</f>
        <v>0</v>
      </c>
      <c r="J1110" s="3">
        <v>0.185</v>
      </c>
      <c r="K1110" s="74">
        <f>J1110*VLOOKUP(D1110,GWPs!$B$3:$C$6,2,FALSE)</f>
        <v>0.185</v>
      </c>
      <c r="M1110" s="3">
        <v>3</v>
      </c>
      <c r="N1110" s="3">
        <v>2</v>
      </c>
      <c r="O1110" s="3">
        <v>1</v>
      </c>
      <c r="P1110" s="3">
        <v>3</v>
      </c>
      <c r="Q1110" s="3">
        <v>1</v>
      </c>
    </row>
    <row r="1111" spans="1:17">
      <c r="A1111" t="s">
        <v>1429</v>
      </c>
      <c r="B1111" s="3" t="s">
        <v>861</v>
      </c>
      <c r="C1111" s="3" t="s">
        <v>862</v>
      </c>
      <c r="D1111" s="3" t="s">
        <v>13</v>
      </c>
      <c r="E1111" s="3" t="s">
        <v>12</v>
      </c>
      <c r="F1111" s="3">
        <v>2E-3</v>
      </c>
      <c r="G1111" s="74">
        <f>F1111*VLOOKUP(D1111,GWPs!$B$3:$C$6,2,FALSE)</f>
        <v>5.6000000000000001E-2</v>
      </c>
      <c r="H1111" s="3">
        <v>0</v>
      </c>
      <c r="I1111" s="74">
        <f>H1111*VLOOKUP(D1111,GWPs!$B$3:$C$6,2,FALSE)</f>
        <v>0</v>
      </c>
      <c r="J1111" s="3">
        <v>2E-3</v>
      </c>
      <c r="K1111" s="74">
        <f>J1111*VLOOKUP(D1111,GWPs!$B$3:$C$6,2,FALSE)</f>
        <v>5.6000000000000001E-2</v>
      </c>
      <c r="M1111" s="3">
        <v>3</v>
      </c>
      <c r="N1111" s="3">
        <v>2</v>
      </c>
      <c r="O1111" s="3">
        <v>1</v>
      </c>
      <c r="P1111" s="3">
        <v>1</v>
      </c>
      <c r="Q1111" s="3">
        <v>1</v>
      </c>
    </row>
    <row r="1112" spans="1:17">
      <c r="A1112" t="s">
        <v>1429</v>
      </c>
      <c r="B1112" s="3" t="s">
        <v>861</v>
      </c>
      <c r="C1112" s="3" t="s">
        <v>862</v>
      </c>
      <c r="D1112" s="3" t="s">
        <v>14</v>
      </c>
      <c r="E1112" s="3" t="s">
        <v>12</v>
      </c>
      <c r="F1112" s="3">
        <v>0</v>
      </c>
      <c r="G1112" s="74">
        <f>F1112*VLOOKUP(D1112,GWPs!$B$3:$C$6,2,FALSE)</f>
        <v>0</v>
      </c>
      <c r="H1112" s="3">
        <v>0</v>
      </c>
      <c r="I1112" s="74">
        <f>H1112*VLOOKUP(D1112,GWPs!$B$3:$C$6,2,FALSE)</f>
        <v>0</v>
      </c>
      <c r="J1112" s="3">
        <v>0</v>
      </c>
      <c r="K1112" s="74">
        <f>J1112*VLOOKUP(D1112,GWPs!$B$3:$C$6,2,FALSE)</f>
        <v>0</v>
      </c>
      <c r="M1112" s="3">
        <v>4</v>
      </c>
      <c r="N1112" s="3">
        <v>2</v>
      </c>
      <c r="O1112" s="3">
        <v>1</v>
      </c>
      <c r="P1112" s="3">
        <v>4</v>
      </c>
      <c r="Q1112" s="3">
        <v>1</v>
      </c>
    </row>
    <row r="1113" spans="1:17">
      <c r="A1113" t="s">
        <v>1429</v>
      </c>
      <c r="B1113" s="3" t="s">
        <v>861</v>
      </c>
      <c r="C1113" s="3" t="s">
        <v>862</v>
      </c>
      <c r="D1113" s="3" t="s">
        <v>15</v>
      </c>
      <c r="E1113" s="3" t="s">
        <v>16</v>
      </c>
      <c r="F1113" s="3">
        <v>6.0000000000000001E-3</v>
      </c>
      <c r="G1113" s="74">
        <f>F1113*VLOOKUP(D1113,GWPs!$B$3:$C$6,2,FALSE)</f>
        <v>6.0000000000000001E-3</v>
      </c>
      <c r="H1113" s="3">
        <v>0</v>
      </c>
      <c r="I1113" s="74">
        <f>H1113*VLOOKUP(D1113,GWPs!$B$3:$C$6,2,FALSE)</f>
        <v>0</v>
      </c>
      <c r="J1113" s="3">
        <v>6.0000000000000001E-3</v>
      </c>
      <c r="K1113" s="74">
        <f>J1113*VLOOKUP(D1113,GWPs!$B$3:$C$6,2,FALSE)</f>
        <v>6.0000000000000001E-3</v>
      </c>
      <c r="M1113" s="3">
        <v>4</v>
      </c>
      <c r="N1113" s="3">
        <v>2</v>
      </c>
      <c r="O1113" s="3">
        <v>1</v>
      </c>
      <c r="P1113" s="3">
        <v>4</v>
      </c>
      <c r="Q1113" s="3">
        <v>1</v>
      </c>
    </row>
    <row r="1114" spans="1:17">
      <c r="A1114" t="s">
        <v>1429</v>
      </c>
      <c r="B1114" s="3" t="s">
        <v>863</v>
      </c>
      <c r="C1114" s="3" t="s">
        <v>864</v>
      </c>
      <c r="D1114" s="3" t="s">
        <v>11</v>
      </c>
      <c r="E1114" s="3" t="s">
        <v>12</v>
      </c>
      <c r="F1114" s="3">
        <v>7.6999999999999999E-2</v>
      </c>
      <c r="G1114" s="74">
        <f>F1114*VLOOKUP(D1114,GWPs!$B$3:$C$6,2,FALSE)</f>
        <v>7.6999999999999999E-2</v>
      </c>
      <c r="H1114" s="3">
        <v>0</v>
      </c>
      <c r="I1114" s="74">
        <f>H1114*VLOOKUP(D1114,GWPs!$B$3:$C$6,2,FALSE)</f>
        <v>0</v>
      </c>
      <c r="J1114" s="3">
        <v>7.6999999999999999E-2</v>
      </c>
      <c r="K1114" s="74">
        <f>J1114*VLOOKUP(D1114,GWPs!$B$3:$C$6,2,FALSE)</f>
        <v>7.6999999999999999E-2</v>
      </c>
      <c r="M1114" s="3">
        <v>3</v>
      </c>
      <c r="N1114" s="3">
        <v>2</v>
      </c>
      <c r="O1114" s="3">
        <v>1</v>
      </c>
      <c r="P1114" s="3">
        <v>3</v>
      </c>
      <c r="Q1114" s="3">
        <v>1</v>
      </c>
    </row>
    <row r="1115" spans="1:17">
      <c r="A1115" t="s">
        <v>1429</v>
      </c>
      <c r="B1115" s="3" t="s">
        <v>863</v>
      </c>
      <c r="C1115" s="3" t="s">
        <v>864</v>
      </c>
      <c r="D1115" s="3" t="s">
        <v>13</v>
      </c>
      <c r="E1115" s="3" t="s">
        <v>12</v>
      </c>
      <c r="F1115" s="3">
        <v>1E-3</v>
      </c>
      <c r="G1115" s="74">
        <f>F1115*VLOOKUP(D1115,GWPs!$B$3:$C$6,2,FALSE)</f>
        <v>2.8000000000000001E-2</v>
      </c>
      <c r="H1115" s="3">
        <v>0</v>
      </c>
      <c r="I1115" s="74">
        <f>H1115*VLOOKUP(D1115,GWPs!$B$3:$C$6,2,FALSE)</f>
        <v>0</v>
      </c>
      <c r="J1115" s="3">
        <v>1E-3</v>
      </c>
      <c r="K1115" s="74">
        <f>J1115*VLOOKUP(D1115,GWPs!$B$3:$C$6,2,FALSE)</f>
        <v>2.8000000000000001E-2</v>
      </c>
      <c r="M1115" s="3">
        <v>4</v>
      </c>
      <c r="N1115" s="3">
        <v>2</v>
      </c>
      <c r="O1115" s="3">
        <v>1</v>
      </c>
      <c r="P1115" s="3">
        <v>1</v>
      </c>
      <c r="Q1115" s="3">
        <v>1</v>
      </c>
    </row>
    <row r="1116" spans="1:17">
      <c r="A1116" t="s">
        <v>1429</v>
      </c>
      <c r="B1116" s="3" t="s">
        <v>863</v>
      </c>
      <c r="C1116" s="3" t="s">
        <v>864</v>
      </c>
      <c r="D1116" s="3" t="s">
        <v>14</v>
      </c>
      <c r="E1116" s="3" t="s">
        <v>12</v>
      </c>
      <c r="F1116" s="3">
        <v>0</v>
      </c>
      <c r="G1116" s="74">
        <f>F1116*VLOOKUP(D1116,GWPs!$B$3:$C$6,2,FALSE)</f>
        <v>0</v>
      </c>
      <c r="H1116" s="3">
        <v>0</v>
      </c>
      <c r="I1116" s="74">
        <f>H1116*VLOOKUP(D1116,GWPs!$B$3:$C$6,2,FALSE)</f>
        <v>0</v>
      </c>
      <c r="J1116" s="3">
        <v>0</v>
      </c>
      <c r="K1116" s="74">
        <f>J1116*VLOOKUP(D1116,GWPs!$B$3:$C$6,2,FALSE)</f>
        <v>0</v>
      </c>
      <c r="M1116" s="3">
        <v>3</v>
      </c>
      <c r="N1116" s="3">
        <v>2</v>
      </c>
      <c r="O1116" s="3">
        <v>1</v>
      </c>
      <c r="P1116" s="3">
        <v>3</v>
      </c>
      <c r="Q1116" s="3">
        <v>1</v>
      </c>
    </row>
    <row r="1117" spans="1:17">
      <c r="A1117" t="s">
        <v>1429</v>
      </c>
      <c r="B1117" s="3" t="s">
        <v>863</v>
      </c>
      <c r="C1117" s="3" t="s">
        <v>864</v>
      </c>
      <c r="D1117" s="3" t="s">
        <v>15</v>
      </c>
      <c r="E1117" s="3" t="s">
        <v>16</v>
      </c>
      <c r="F1117" s="3">
        <v>2E-3</v>
      </c>
      <c r="G1117" s="74">
        <f>F1117*VLOOKUP(D1117,GWPs!$B$3:$C$6,2,FALSE)</f>
        <v>2E-3</v>
      </c>
      <c r="H1117" s="3">
        <v>0</v>
      </c>
      <c r="I1117" s="74">
        <f>H1117*VLOOKUP(D1117,GWPs!$B$3:$C$6,2,FALSE)</f>
        <v>0</v>
      </c>
      <c r="J1117" s="3">
        <v>2E-3</v>
      </c>
      <c r="K1117" s="74">
        <f>J1117*VLOOKUP(D1117,GWPs!$B$3:$C$6,2,FALSE)</f>
        <v>2E-3</v>
      </c>
      <c r="M1117" s="3">
        <v>4</v>
      </c>
      <c r="N1117" s="3">
        <v>2</v>
      </c>
      <c r="O1117" s="3">
        <v>1</v>
      </c>
      <c r="P1117" s="3">
        <v>4</v>
      </c>
      <c r="Q1117" s="3">
        <v>1</v>
      </c>
    </row>
    <row r="1118" spans="1:17">
      <c r="A1118" t="s">
        <v>1429</v>
      </c>
      <c r="B1118" s="3" t="s">
        <v>865</v>
      </c>
      <c r="C1118" s="3" t="s">
        <v>866</v>
      </c>
      <c r="D1118" s="3" t="s">
        <v>11</v>
      </c>
      <c r="E1118" s="3" t="s">
        <v>12</v>
      </c>
      <c r="F1118" s="3">
        <v>0.16800000000000001</v>
      </c>
      <c r="G1118" s="74">
        <f>F1118*VLOOKUP(D1118,GWPs!$B$3:$C$6,2,FALSE)</f>
        <v>0.16800000000000001</v>
      </c>
      <c r="H1118" s="3">
        <v>0</v>
      </c>
      <c r="I1118" s="74">
        <f>H1118*VLOOKUP(D1118,GWPs!$B$3:$C$6,2,FALSE)</f>
        <v>0</v>
      </c>
      <c r="J1118" s="3">
        <v>0.16800000000000001</v>
      </c>
      <c r="K1118" s="74">
        <f>J1118*VLOOKUP(D1118,GWPs!$B$3:$C$6,2,FALSE)</f>
        <v>0.16800000000000001</v>
      </c>
      <c r="M1118" s="3">
        <v>3</v>
      </c>
      <c r="N1118" s="3">
        <v>2</v>
      </c>
      <c r="O1118" s="3">
        <v>1</v>
      </c>
      <c r="P1118" s="3">
        <v>3</v>
      </c>
      <c r="Q1118" s="3">
        <v>1</v>
      </c>
    </row>
    <row r="1119" spans="1:17">
      <c r="A1119" t="s">
        <v>1429</v>
      </c>
      <c r="B1119" s="3" t="s">
        <v>865</v>
      </c>
      <c r="C1119" s="3" t="s">
        <v>866</v>
      </c>
      <c r="D1119" s="3" t="s">
        <v>13</v>
      </c>
      <c r="E1119" s="3" t="s">
        <v>12</v>
      </c>
      <c r="F1119" s="3">
        <v>1E-3</v>
      </c>
      <c r="G1119" s="74">
        <f>F1119*VLOOKUP(D1119,GWPs!$B$3:$C$6,2,FALSE)</f>
        <v>2.8000000000000001E-2</v>
      </c>
      <c r="H1119" s="3">
        <v>0</v>
      </c>
      <c r="I1119" s="74">
        <f>H1119*VLOOKUP(D1119,GWPs!$B$3:$C$6,2,FALSE)</f>
        <v>0</v>
      </c>
      <c r="J1119" s="3">
        <v>1E-3</v>
      </c>
      <c r="K1119" s="74">
        <f>J1119*VLOOKUP(D1119,GWPs!$B$3:$C$6,2,FALSE)</f>
        <v>2.8000000000000001E-2</v>
      </c>
      <c r="M1119" s="3">
        <v>3</v>
      </c>
      <c r="N1119" s="3">
        <v>2</v>
      </c>
      <c r="O1119" s="3">
        <v>1</v>
      </c>
      <c r="P1119" s="3">
        <v>1</v>
      </c>
      <c r="Q1119" s="3">
        <v>1</v>
      </c>
    </row>
    <row r="1120" spans="1:17">
      <c r="A1120" t="s">
        <v>1429</v>
      </c>
      <c r="B1120" s="3" t="s">
        <v>865</v>
      </c>
      <c r="C1120" s="3" t="s">
        <v>866</v>
      </c>
      <c r="D1120" s="3" t="s">
        <v>14</v>
      </c>
      <c r="E1120" s="3" t="s">
        <v>12</v>
      </c>
      <c r="F1120" s="3">
        <v>0</v>
      </c>
      <c r="G1120" s="74">
        <f>F1120*VLOOKUP(D1120,GWPs!$B$3:$C$6,2,FALSE)</f>
        <v>0</v>
      </c>
      <c r="H1120" s="3">
        <v>0</v>
      </c>
      <c r="I1120" s="74">
        <f>H1120*VLOOKUP(D1120,GWPs!$B$3:$C$6,2,FALSE)</f>
        <v>0</v>
      </c>
      <c r="J1120" s="3">
        <v>0</v>
      </c>
      <c r="K1120" s="74">
        <f>J1120*VLOOKUP(D1120,GWPs!$B$3:$C$6,2,FALSE)</f>
        <v>0</v>
      </c>
      <c r="M1120" s="3">
        <v>4</v>
      </c>
      <c r="N1120" s="3">
        <v>2</v>
      </c>
      <c r="O1120" s="3">
        <v>1</v>
      </c>
      <c r="P1120" s="3">
        <v>3</v>
      </c>
      <c r="Q1120" s="3">
        <v>1</v>
      </c>
    </row>
    <row r="1121" spans="1:17">
      <c r="A1121" t="s">
        <v>1429</v>
      </c>
      <c r="B1121" s="3" t="s">
        <v>865</v>
      </c>
      <c r="C1121" s="3" t="s">
        <v>866</v>
      </c>
      <c r="D1121" s="3" t="s">
        <v>15</v>
      </c>
      <c r="E1121" s="3" t="s">
        <v>16</v>
      </c>
      <c r="F1121" s="3">
        <v>5.0000000000000001E-3</v>
      </c>
      <c r="G1121" s="74">
        <f>F1121*VLOOKUP(D1121,GWPs!$B$3:$C$6,2,FALSE)</f>
        <v>5.0000000000000001E-3</v>
      </c>
      <c r="H1121" s="3">
        <v>0</v>
      </c>
      <c r="I1121" s="74">
        <f>H1121*VLOOKUP(D1121,GWPs!$B$3:$C$6,2,FALSE)</f>
        <v>0</v>
      </c>
      <c r="J1121" s="3">
        <v>5.0000000000000001E-3</v>
      </c>
      <c r="K1121" s="74">
        <f>J1121*VLOOKUP(D1121,GWPs!$B$3:$C$6,2,FALSE)</f>
        <v>5.0000000000000001E-3</v>
      </c>
      <c r="M1121" s="3">
        <v>4</v>
      </c>
      <c r="N1121" s="3">
        <v>2</v>
      </c>
      <c r="O1121" s="3">
        <v>1</v>
      </c>
      <c r="P1121" s="3">
        <v>4</v>
      </c>
      <c r="Q1121" s="3">
        <v>1</v>
      </c>
    </row>
    <row r="1122" spans="1:17">
      <c r="A1122" t="s">
        <v>1429</v>
      </c>
      <c r="B1122" s="3" t="s">
        <v>867</v>
      </c>
      <c r="C1122" s="3" t="s">
        <v>868</v>
      </c>
      <c r="D1122" s="3" t="s">
        <v>11</v>
      </c>
      <c r="E1122" s="3" t="s">
        <v>12</v>
      </c>
      <c r="F1122" s="3">
        <v>5.1999999999999998E-2</v>
      </c>
      <c r="G1122" s="74">
        <f>F1122*VLOOKUP(D1122,GWPs!$B$3:$C$6,2,FALSE)</f>
        <v>5.1999999999999998E-2</v>
      </c>
      <c r="H1122" s="3">
        <v>0</v>
      </c>
      <c r="I1122" s="74">
        <f>H1122*VLOOKUP(D1122,GWPs!$B$3:$C$6,2,FALSE)</f>
        <v>0</v>
      </c>
      <c r="J1122" s="3">
        <v>5.1999999999999998E-2</v>
      </c>
      <c r="K1122" s="74">
        <f>J1122*VLOOKUP(D1122,GWPs!$B$3:$C$6,2,FALSE)</f>
        <v>5.1999999999999998E-2</v>
      </c>
      <c r="M1122" s="3">
        <v>3</v>
      </c>
      <c r="N1122" s="3">
        <v>2</v>
      </c>
      <c r="O1122" s="3">
        <v>1</v>
      </c>
      <c r="P1122" s="3">
        <v>3</v>
      </c>
      <c r="Q1122" s="3">
        <v>1</v>
      </c>
    </row>
    <row r="1123" spans="1:17">
      <c r="A1123" t="s">
        <v>1429</v>
      </c>
      <c r="B1123" s="3" t="s">
        <v>867</v>
      </c>
      <c r="C1123" s="3" t="s">
        <v>868</v>
      </c>
      <c r="D1123" s="3" t="s">
        <v>13</v>
      </c>
      <c r="E1123" s="3" t="s">
        <v>12</v>
      </c>
      <c r="F1123" s="3">
        <v>0</v>
      </c>
      <c r="G1123" s="74">
        <f>F1123*VLOOKUP(D1123,GWPs!$B$3:$C$6,2,FALSE)</f>
        <v>0</v>
      </c>
      <c r="H1123" s="3">
        <v>0</v>
      </c>
      <c r="I1123" s="74">
        <f>H1123*VLOOKUP(D1123,GWPs!$B$3:$C$6,2,FALSE)</f>
        <v>0</v>
      </c>
      <c r="J1123" s="3">
        <v>0</v>
      </c>
      <c r="K1123" s="74">
        <f>J1123*VLOOKUP(D1123,GWPs!$B$3:$C$6,2,FALSE)</f>
        <v>0</v>
      </c>
      <c r="M1123" s="3">
        <v>3</v>
      </c>
      <c r="N1123" s="3">
        <v>2</v>
      </c>
      <c r="O1123" s="3">
        <v>1</v>
      </c>
      <c r="P1123" s="3">
        <v>1</v>
      </c>
      <c r="Q1123" s="3">
        <v>1</v>
      </c>
    </row>
    <row r="1124" spans="1:17">
      <c r="A1124" t="s">
        <v>1429</v>
      </c>
      <c r="B1124" s="3" t="s">
        <v>867</v>
      </c>
      <c r="C1124" s="3" t="s">
        <v>868</v>
      </c>
      <c r="D1124" s="3" t="s">
        <v>14</v>
      </c>
      <c r="E1124" s="3" t="s">
        <v>12</v>
      </c>
      <c r="F1124" s="3">
        <v>0</v>
      </c>
      <c r="G1124" s="74">
        <f>F1124*VLOOKUP(D1124,GWPs!$B$3:$C$6,2,FALSE)</f>
        <v>0</v>
      </c>
      <c r="H1124" s="3">
        <v>0</v>
      </c>
      <c r="I1124" s="74">
        <f>H1124*VLOOKUP(D1124,GWPs!$B$3:$C$6,2,FALSE)</f>
        <v>0</v>
      </c>
      <c r="J1124" s="3">
        <v>0</v>
      </c>
      <c r="K1124" s="74">
        <f>J1124*VLOOKUP(D1124,GWPs!$B$3:$C$6,2,FALSE)</f>
        <v>0</v>
      </c>
      <c r="M1124" s="3">
        <v>4</v>
      </c>
      <c r="N1124" s="3">
        <v>2</v>
      </c>
      <c r="O1124" s="3">
        <v>1</v>
      </c>
      <c r="P1124" s="3">
        <v>3</v>
      </c>
      <c r="Q1124" s="3">
        <v>1</v>
      </c>
    </row>
    <row r="1125" spans="1:17">
      <c r="A1125" t="s">
        <v>1429</v>
      </c>
      <c r="B1125" s="3" t="s">
        <v>867</v>
      </c>
      <c r="C1125" s="3" t="s">
        <v>868</v>
      </c>
      <c r="D1125" s="3" t="s">
        <v>15</v>
      </c>
      <c r="E1125" s="3" t="s">
        <v>16</v>
      </c>
      <c r="F1125" s="3">
        <v>2E-3</v>
      </c>
      <c r="G1125" s="74">
        <f>F1125*VLOOKUP(D1125,GWPs!$B$3:$C$6,2,FALSE)</f>
        <v>2E-3</v>
      </c>
      <c r="H1125" s="3">
        <v>0</v>
      </c>
      <c r="I1125" s="74">
        <f>H1125*VLOOKUP(D1125,GWPs!$B$3:$C$6,2,FALSE)</f>
        <v>0</v>
      </c>
      <c r="J1125" s="3">
        <v>2E-3</v>
      </c>
      <c r="K1125" s="74">
        <f>J1125*VLOOKUP(D1125,GWPs!$B$3:$C$6,2,FALSE)</f>
        <v>2E-3</v>
      </c>
      <c r="M1125" s="3">
        <v>4</v>
      </c>
      <c r="N1125" s="3">
        <v>2</v>
      </c>
      <c r="O1125" s="3">
        <v>1</v>
      </c>
      <c r="P1125" s="3">
        <v>4</v>
      </c>
      <c r="Q1125" s="3">
        <v>1</v>
      </c>
    </row>
    <row r="1126" spans="1:17">
      <c r="A1126" t="s">
        <v>1429</v>
      </c>
      <c r="B1126" s="3" t="s">
        <v>869</v>
      </c>
      <c r="C1126" s="3" t="s">
        <v>870</v>
      </c>
      <c r="D1126" s="3" t="s">
        <v>11</v>
      </c>
      <c r="E1126" s="3" t="s">
        <v>12</v>
      </c>
      <c r="F1126" s="3">
        <v>0.11700000000000001</v>
      </c>
      <c r="G1126" s="74">
        <f>F1126*VLOOKUP(D1126,GWPs!$B$3:$C$6,2,FALSE)</f>
        <v>0.11700000000000001</v>
      </c>
      <c r="H1126" s="3">
        <v>0</v>
      </c>
      <c r="I1126" s="74">
        <f>H1126*VLOOKUP(D1126,GWPs!$B$3:$C$6,2,FALSE)</f>
        <v>0</v>
      </c>
      <c r="J1126" s="3">
        <v>0.11700000000000001</v>
      </c>
      <c r="K1126" s="74">
        <f>J1126*VLOOKUP(D1126,GWPs!$B$3:$C$6,2,FALSE)</f>
        <v>0.11700000000000001</v>
      </c>
      <c r="M1126" s="3">
        <v>3</v>
      </c>
      <c r="N1126" s="3">
        <v>2</v>
      </c>
      <c r="O1126" s="3">
        <v>1</v>
      </c>
      <c r="P1126" s="3">
        <v>3</v>
      </c>
      <c r="Q1126" s="3">
        <v>1</v>
      </c>
    </row>
    <row r="1127" spans="1:17">
      <c r="A1127" t="s">
        <v>1429</v>
      </c>
      <c r="B1127" s="3" t="s">
        <v>869</v>
      </c>
      <c r="C1127" s="3" t="s">
        <v>870</v>
      </c>
      <c r="D1127" s="3" t="s">
        <v>13</v>
      </c>
      <c r="E1127" s="3" t="s">
        <v>12</v>
      </c>
      <c r="F1127" s="3">
        <v>1E-3</v>
      </c>
      <c r="G1127" s="74">
        <f>F1127*VLOOKUP(D1127,GWPs!$B$3:$C$6,2,FALSE)</f>
        <v>2.8000000000000001E-2</v>
      </c>
      <c r="H1127" s="3">
        <v>0</v>
      </c>
      <c r="I1127" s="74">
        <f>H1127*VLOOKUP(D1127,GWPs!$B$3:$C$6,2,FALSE)</f>
        <v>0</v>
      </c>
      <c r="J1127" s="3">
        <v>1E-3</v>
      </c>
      <c r="K1127" s="74">
        <f>J1127*VLOOKUP(D1127,GWPs!$B$3:$C$6,2,FALSE)</f>
        <v>2.8000000000000001E-2</v>
      </c>
      <c r="M1127" s="3">
        <v>3</v>
      </c>
      <c r="N1127" s="3">
        <v>2</v>
      </c>
      <c r="O1127" s="3">
        <v>1</v>
      </c>
      <c r="P1127" s="3">
        <v>1</v>
      </c>
      <c r="Q1127" s="3">
        <v>1</v>
      </c>
    </row>
    <row r="1128" spans="1:17">
      <c r="A1128" t="s">
        <v>1429</v>
      </c>
      <c r="B1128" s="3" t="s">
        <v>869</v>
      </c>
      <c r="C1128" s="3" t="s">
        <v>870</v>
      </c>
      <c r="D1128" s="3" t="s">
        <v>14</v>
      </c>
      <c r="E1128" s="3" t="s">
        <v>12</v>
      </c>
      <c r="F1128" s="3">
        <v>0</v>
      </c>
      <c r="G1128" s="74">
        <f>F1128*VLOOKUP(D1128,GWPs!$B$3:$C$6,2,FALSE)</f>
        <v>0</v>
      </c>
      <c r="H1128" s="3">
        <v>0</v>
      </c>
      <c r="I1128" s="74">
        <f>H1128*VLOOKUP(D1128,GWPs!$B$3:$C$6,2,FALSE)</f>
        <v>0</v>
      </c>
      <c r="J1128" s="3">
        <v>0</v>
      </c>
      <c r="K1128" s="74">
        <f>J1128*VLOOKUP(D1128,GWPs!$B$3:$C$6,2,FALSE)</f>
        <v>0</v>
      </c>
      <c r="M1128" s="3">
        <v>3</v>
      </c>
      <c r="N1128" s="3">
        <v>2</v>
      </c>
      <c r="O1128" s="3">
        <v>1</v>
      </c>
      <c r="P1128" s="3">
        <v>3</v>
      </c>
      <c r="Q1128" s="3">
        <v>1</v>
      </c>
    </row>
    <row r="1129" spans="1:17">
      <c r="A1129" t="s">
        <v>1429</v>
      </c>
      <c r="B1129" s="3" t="s">
        <v>869</v>
      </c>
      <c r="C1129" s="3" t="s">
        <v>870</v>
      </c>
      <c r="D1129" s="3" t="s">
        <v>15</v>
      </c>
      <c r="E1129" s="3" t="s">
        <v>16</v>
      </c>
      <c r="F1129" s="3">
        <v>2E-3</v>
      </c>
      <c r="G1129" s="74">
        <f>F1129*VLOOKUP(D1129,GWPs!$B$3:$C$6,2,FALSE)</f>
        <v>2E-3</v>
      </c>
      <c r="H1129" s="3">
        <v>0</v>
      </c>
      <c r="I1129" s="74">
        <f>H1129*VLOOKUP(D1129,GWPs!$B$3:$C$6,2,FALSE)</f>
        <v>0</v>
      </c>
      <c r="J1129" s="3">
        <v>2E-3</v>
      </c>
      <c r="K1129" s="74">
        <f>J1129*VLOOKUP(D1129,GWPs!$B$3:$C$6,2,FALSE)</f>
        <v>2E-3</v>
      </c>
      <c r="M1129" s="3">
        <v>4</v>
      </c>
      <c r="N1129" s="3">
        <v>2</v>
      </c>
      <c r="O1129" s="3">
        <v>1</v>
      </c>
      <c r="P1129" s="3">
        <v>4</v>
      </c>
      <c r="Q1129" s="3">
        <v>1</v>
      </c>
    </row>
    <row r="1130" spans="1:17">
      <c r="A1130" t="s">
        <v>1429</v>
      </c>
      <c r="B1130" s="3" t="s">
        <v>871</v>
      </c>
      <c r="C1130" s="3" t="s">
        <v>872</v>
      </c>
      <c r="D1130" s="3" t="s">
        <v>11</v>
      </c>
      <c r="E1130" s="3" t="s">
        <v>12</v>
      </c>
      <c r="F1130" s="3">
        <v>0.13600000000000001</v>
      </c>
      <c r="G1130" s="74">
        <f>F1130*VLOOKUP(D1130,GWPs!$B$3:$C$6,2,FALSE)</f>
        <v>0.13600000000000001</v>
      </c>
      <c r="H1130" s="3">
        <v>0</v>
      </c>
      <c r="I1130" s="74">
        <f>H1130*VLOOKUP(D1130,GWPs!$B$3:$C$6,2,FALSE)</f>
        <v>0</v>
      </c>
      <c r="J1130" s="3">
        <v>0.13600000000000001</v>
      </c>
      <c r="K1130" s="74">
        <f>J1130*VLOOKUP(D1130,GWPs!$B$3:$C$6,2,FALSE)</f>
        <v>0.13600000000000001</v>
      </c>
      <c r="M1130" s="3">
        <v>2</v>
      </c>
      <c r="N1130" s="3">
        <v>2</v>
      </c>
      <c r="O1130" s="3">
        <v>1</v>
      </c>
      <c r="P1130" s="3">
        <v>3</v>
      </c>
      <c r="Q1130" s="3">
        <v>1</v>
      </c>
    </row>
    <row r="1131" spans="1:17">
      <c r="A1131" t="s">
        <v>1429</v>
      </c>
      <c r="B1131" s="3" t="s">
        <v>871</v>
      </c>
      <c r="C1131" s="3" t="s">
        <v>872</v>
      </c>
      <c r="D1131" s="3" t="s">
        <v>13</v>
      </c>
      <c r="E1131" s="3" t="s">
        <v>12</v>
      </c>
      <c r="F1131" s="3">
        <v>1E-3</v>
      </c>
      <c r="G1131" s="74">
        <f>F1131*VLOOKUP(D1131,GWPs!$B$3:$C$6,2,FALSE)</f>
        <v>2.8000000000000001E-2</v>
      </c>
      <c r="H1131" s="3">
        <v>0</v>
      </c>
      <c r="I1131" s="74">
        <f>H1131*VLOOKUP(D1131,GWPs!$B$3:$C$6,2,FALSE)</f>
        <v>0</v>
      </c>
      <c r="J1131" s="3">
        <v>1E-3</v>
      </c>
      <c r="K1131" s="74">
        <f>J1131*VLOOKUP(D1131,GWPs!$B$3:$C$6,2,FALSE)</f>
        <v>2.8000000000000001E-2</v>
      </c>
      <c r="M1131" s="3">
        <v>3</v>
      </c>
      <c r="N1131" s="3">
        <v>2</v>
      </c>
      <c r="O1131" s="3">
        <v>1</v>
      </c>
      <c r="P1131" s="3">
        <v>1</v>
      </c>
      <c r="Q1131" s="3">
        <v>1</v>
      </c>
    </row>
    <row r="1132" spans="1:17">
      <c r="A1132" t="s">
        <v>1429</v>
      </c>
      <c r="B1132" s="3" t="s">
        <v>871</v>
      </c>
      <c r="C1132" s="3" t="s">
        <v>872</v>
      </c>
      <c r="D1132" s="3" t="s">
        <v>14</v>
      </c>
      <c r="E1132" s="3" t="s">
        <v>12</v>
      </c>
      <c r="F1132" s="3">
        <v>0</v>
      </c>
      <c r="G1132" s="74">
        <f>F1132*VLOOKUP(D1132,GWPs!$B$3:$C$6,2,FALSE)</f>
        <v>0</v>
      </c>
      <c r="H1132" s="3">
        <v>0</v>
      </c>
      <c r="I1132" s="74">
        <f>H1132*VLOOKUP(D1132,GWPs!$B$3:$C$6,2,FALSE)</f>
        <v>0</v>
      </c>
      <c r="J1132" s="3">
        <v>0</v>
      </c>
      <c r="K1132" s="74">
        <f>J1132*VLOOKUP(D1132,GWPs!$B$3:$C$6,2,FALSE)</f>
        <v>0</v>
      </c>
      <c r="M1132" s="3">
        <v>3</v>
      </c>
      <c r="N1132" s="3">
        <v>2</v>
      </c>
      <c r="O1132" s="3">
        <v>1</v>
      </c>
      <c r="P1132" s="3">
        <v>2</v>
      </c>
      <c r="Q1132" s="3">
        <v>1</v>
      </c>
    </row>
    <row r="1133" spans="1:17">
      <c r="A1133" t="s">
        <v>1429</v>
      </c>
      <c r="B1133" s="3" t="s">
        <v>871</v>
      </c>
      <c r="C1133" s="3" t="s">
        <v>872</v>
      </c>
      <c r="D1133" s="3" t="s">
        <v>15</v>
      </c>
      <c r="E1133" s="3" t="s">
        <v>16</v>
      </c>
      <c r="F1133" s="3">
        <v>2E-3</v>
      </c>
      <c r="G1133" s="74">
        <f>F1133*VLOOKUP(D1133,GWPs!$B$3:$C$6,2,FALSE)</f>
        <v>2E-3</v>
      </c>
      <c r="H1133" s="3">
        <v>0</v>
      </c>
      <c r="I1133" s="74">
        <f>H1133*VLOOKUP(D1133,GWPs!$B$3:$C$6,2,FALSE)</f>
        <v>0</v>
      </c>
      <c r="J1133" s="3">
        <v>2E-3</v>
      </c>
      <c r="K1133" s="74">
        <f>J1133*VLOOKUP(D1133,GWPs!$B$3:$C$6,2,FALSE)</f>
        <v>2E-3</v>
      </c>
      <c r="M1133" s="3">
        <v>4</v>
      </c>
      <c r="N1133" s="3">
        <v>2</v>
      </c>
      <c r="O1133" s="3">
        <v>1</v>
      </c>
      <c r="P1133" s="3">
        <v>4</v>
      </c>
      <c r="Q1133" s="3">
        <v>1</v>
      </c>
    </row>
    <row r="1134" spans="1:17">
      <c r="A1134" t="s">
        <v>1429</v>
      </c>
      <c r="B1134" s="3" t="s">
        <v>873</v>
      </c>
      <c r="C1134" s="3" t="s">
        <v>19</v>
      </c>
      <c r="D1134" s="3" t="s">
        <v>11</v>
      </c>
      <c r="E1134" s="3" t="s">
        <v>12</v>
      </c>
      <c r="F1134" s="3">
        <v>0.25600000000000001</v>
      </c>
      <c r="G1134" s="74">
        <f>F1134*VLOOKUP(D1134,GWPs!$B$3:$C$6,2,FALSE)</f>
        <v>0.25600000000000001</v>
      </c>
      <c r="H1134" s="3">
        <v>0</v>
      </c>
      <c r="I1134" s="74">
        <f>H1134*VLOOKUP(D1134,GWPs!$B$3:$C$6,2,FALSE)</f>
        <v>0</v>
      </c>
      <c r="J1134" s="3">
        <v>0.25600000000000001</v>
      </c>
      <c r="K1134" s="74">
        <f>J1134*VLOOKUP(D1134,GWPs!$B$3:$C$6,2,FALSE)</f>
        <v>0.25600000000000001</v>
      </c>
      <c r="M1134" s="3">
        <v>2</v>
      </c>
      <c r="N1134" s="3">
        <v>2</v>
      </c>
      <c r="O1134" s="3">
        <v>1</v>
      </c>
      <c r="P1134" s="3">
        <v>2</v>
      </c>
      <c r="Q1134" s="3">
        <v>1</v>
      </c>
    </row>
    <row r="1135" spans="1:17">
      <c r="A1135" t="s">
        <v>1429</v>
      </c>
      <c r="B1135" s="3" t="s">
        <v>873</v>
      </c>
      <c r="C1135" s="3" t="s">
        <v>19</v>
      </c>
      <c r="D1135" s="3" t="s">
        <v>13</v>
      </c>
      <c r="E1135" s="3" t="s">
        <v>12</v>
      </c>
      <c r="F1135" s="3">
        <v>1E-3</v>
      </c>
      <c r="G1135" s="74">
        <f>F1135*VLOOKUP(D1135,GWPs!$B$3:$C$6,2,FALSE)</f>
        <v>2.8000000000000001E-2</v>
      </c>
      <c r="H1135" s="3">
        <v>0</v>
      </c>
      <c r="I1135" s="74">
        <f>H1135*VLOOKUP(D1135,GWPs!$B$3:$C$6,2,FALSE)</f>
        <v>0</v>
      </c>
      <c r="J1135" s="3">
        <v>1E-3</v>
      </c>
      <c r="K1135" s="74">
        <f>J1135*VLOOKUP(D1135,GWPs!$B$3:$C$6,2,FALSE)</f>
        <v>2.8000000000000001E-2</v>
      </c>
      <c r="M1135" s="3">
        <v>3</v>
      </c>
      <c r="N1135" s="3">
        <v>2</v>
      </c>
      <c r="O1135" s="3">
        <v>1</v>
      </c>
      <c r="P1135" s="3">
        <v>1</v>
      </c>
      <c r="Q1135" s="3">
        <v>1</v>
      </c>
    </row>
    <row r="1136" spans="1:17">
      <c r="A1136" t="s">
        <v>1429</v>
      </c>
      <c r="B1136" s="3" t="s">
        <v>873</v>
      </c>
      <c r="C1136" s="3" t="s">
        <v>19</v>
      </c>
      <c r="D1136" s="3" t="s">
        <v>14</v>
      </c>
      <c r="E1136" s="3" t="s">
        <v>12</v>
      </c>
      <c r="F1136" s="3">
        <v>0</v>
      </c>
      <c r="G1136" s="74">
        <f>F1136*VLOOKUP(D1136,GWPs!$B$3:$C$6,2,FALSE)</f>
        <v>0</v>
      </c>
      <c r="H1136" s="3">
        <v>0</v>
      </c>
      <c r="I1136" s="74">
        <f>H1136*VLOOKUP(D1136,GWPs!$B$3:$C$6,2,FALSE)</f>
        <v>0</v>
      </c>
      <c r="J1136" s="3">
        <v>0</v>
      </c>
      <c r="K1136" s="74">
        <f>J1136*VLOOKUP(D1136,GWPs!$B$3:$C$6,2,FALSE)</f>
        <v>0</v>
      </c>
      <c r="M1136" s="3">
        <v>4</v>
      </c>
      <c r="N1136" s="3">
        <v>2</v>
      </c>
      <c r="O1136" s="3">
        <v>1</v>
      </c>
      <c r="P1136" s="3">
        <v>3</v>
      </c>
      <c r="Q1136" s="3">
        <v>1</v>
      </c>
    </row>
    <row r="1137" spans="1:17">
      <c r="A1137" t="s">
        <v>1429</v>
      </c>
      <c r="B1137" s="3" t="s">
        <v>873</v>
      </c>
      <c r="C1137" s="3" t="s">
        <v>19</v>
      </c>
      <c r="D1137" s="3" t="s">
        <v>15</v>
      </c>
      <c r="E1137" s="3" t="s">
        <v>16</v>
      </c>
      <c r="F1137" s="3">
        <v>5.0000000000000001E-3</v>
      </c>
      <c r="G1137" s="74">
        <f>F1137*VLOOKUP(D1137,GWPs!$B$3:$C$6,2,FALSE)</f>
        <v>5.0000000000000001E-3</v>
      </c>
      <c r="H1137" s="3">
        <v>0</v>
      </c>
      <c r="I1137" s="74">
        <f>H1137*VLOOKUP(D1137,GWPs!$B$3:$C$6,2,FALSE)</f>
        <v>0</v>
      </c>
      <c r="J1137" s="3">
        <v>5.0000000000000001E-3</v>
      </c>
      <c r="K1137" s="74">
        <f>J1137*VLOOKUP(D1137,GWPs!$B$3:$C$6,2,FALSE)</f>
        <v>5.0000000000000001E-3</v>
      </c>
      <c r="M1137" s="3">
        <v>4</v>
      </c>
      <c r="N1137" s="3">
        <v>2</v>
      </c>
      <c r="O1137" s="3">
        <v>1</v>
      </c>
      <c r="P1137" s="3">
        <v>4</v>
      </c>
      <c r="Q1137" s="3">
        <v>1</v>
      </c>
    </row>
    <row r="1138" spans="1:17">
      <c r="A1138" t="s">
        <v>1429</v>
      </c>
      <c r="B1138" s="3" t="s">
        <v>874</v>
      </c>
      <c r="C1138" s="3" t="s">
        <v>875</v>
      </c>
      <c r="D1138" s="3" t="s">
        <v>11</v>
      </c>
      <c r="E1138" s="3" t="s">
        <v>12</v>
      </c>
      <c r="F1138" s="3">
        <v>0.13700000000000001</v>
      </c>
      <c r="G1138" s="74">
        <f>F1138*VLOOKUP(D1138,GWPs!$B$3:$C$6,2,FALSE)</f>
        <v>0.13700000000000001</v>
      </c>
      <c r="H1138" s="3">
        <v>0</v>
      </c>
      <c r="I1138" s="74">
        <f>H1138*VLOOKUP(D1138,GWPs!$B$3:$C$6,2,FALSE)</f>
        <v>0</v>
      </c>
      <c r="J1138" s="3">
        <v>0.13700000000000001</v>
      </c>
      <c r="K1138" s="74">
        <f>J1138*VLOOKUP(D1138,GWPs!$B$3:$C$6,2,FALSE)</f>
        <v>0.13700000000000001</v>
      </c>
      <c r="M1138" s="3">
        <v>3</v>
      </c>
      <c r="N1138" s="3">
        <v>2</v>
      </c>
      <c r="O1138" s="3">
        <v>1</v>
      </c>
      <c r="P1138" s="3">
        <v>3</v>
      </c>
      <c r="Q1138" s="3">
        <v>1</v>
      </c>
    </row>
    <row r="1139" spans="1:17">
      <c r="A1139" t="s">
        <v>1429</v>
      </c>
      <c r="B1139" s="3" t="s">
        <v>874</v>
      </c>
      <c r="C1139" s="3" t="s">
        <v>875</v>
      </c>
      <c r="D1139" s="3" t="s">
        <v>13</v>
      </c>
      <c r="E1139" s="3" t="s">
        <v>12</v>
      </c>
      <c r="F1139" s="3">
        <v>1E-3</v>
      </c>
      <c r="G1139" s="74">
        <f>F1139*VLOOKUP(D1139,GWPs!$B$3:$C$6,2,FALSE)</f>
        <v>2.8000000000000001E-2</v>
      </c>
      <c r="H1139" s="3">
        <v>0</v>
      </c>
      <c r="I1139" s="74">
        <f>H1139*VLOOKUP(D1139,GWPs!$B$3:$C$6,2,FALSE)</f>
        <v>0</v>
      </c>
      <c r="J1139" s="3">
        <v>1E-3</v>
      </c>
      <c r="K1139" s="74">
        <f>J1139*VLOOKUP(D1139,GWPs!$B$3:$C$6,2,FALSE)</f>
        <v>2.8000000000000001E-2</v>
      </c>
      <c r="M1139" s="3">
        <v>3</v>
      </c>
      <c r="N1139" s="3">
        <v>2</v>
      </c>
      <c r="O1139" s="3">
        <v>1</v>
      </c>
      <c r="P1139" s="3">
        <v>1</v>
      </c>
      <c r="Q1139" s="3">
        <v>1</v>
      </c>
    </row>
    <row r="1140" spans="1:17">
      <c r="A1140" t="s">
        <v>1429</v>
      </c>
      <c r="B1140" s="3" t="s">
        <v>874</v>
      </c>
      <c r="C1140" s="3" t="s">
        <v>875</v>
      </c>
      <c r="D1140" s="3" t="s">
        <v>14</v>
      </c>
      <c r="E1140" s="3" t="s">
        <v>12</v>
      </c>
      <c r="F1140" s="3">
        <v>0</v>
      </c>
      <c r="G1140" s="74">
        <f>F1140*VLOOKUP(D1140,GWPs!$B$3:$C$6,2,FALSE)</f>
        <v>0</v>
      </c>
      <c r="H1140" s="3">
        <v>0</v>
      </c>
      <c r="I1140" s="74">
        <f>H1140*VLOOKUP(D1140,GWPs!$B$3:$C$6,2,FALSE)</f>
        <v>0</v>
      </c>
      <c r="J1140" s="3">
        <v>0</v>
      </c>
      <c r="K1140" s="74">
        <f>J1140*VLOOKUP(D1140,GWPs!$B$3:$C$6,2,FALSE)</f>
        <v>0</v>
      </c>
      <c r="M1140" s="3">
        <v>3</v>
      </c>
      <c r="N1140" s="3">
        <v>2</v>
      </c>
      <c r="O1140" s="3">
        <v>1</v>
      </c>
      <c r="P1140" s="3">
        <v>2</v>
      </c>
      <c r="Q1140" s="3">
        <v>1</v>
      </c>
    </row>
    <row r="1141" spans="1:17">
      <c r="A1141" t="s">
        <v>1429</v>
      </c>
      <c r="B1141" s="3" t="s">
        <v>874</v>
      </c>
      <c r="C1141" s="3" t="s">
        <v>875</v>
      </c>
      <c r="D1141" s="3" t="s">
        <v>15</v>
      </c>
      <c r="E1141" s="3" t="s">
        <v>16</v>
      </c>
      <c r="F1141" s="3">
        <v>3.0000000000000001E-3</v>
      </c>
      <c r="G1141" s="74">
        <f>F1141*VLOOKUP(D1141,GWPs!$B$3:$C$6,2,FALSE)</f>
        <v>3.0000000000000001E-3</v>
      </c>
      <c r="H1141" s="3">
        <v>0</v>
      </c>
      <c r="I1141" s="74">
        <f>H1141*VLOOKUP(D1141,GWPs!$B$3:$C$6,2,FALSE)</f>
        <v>0</v>
      </c>
      <c r="J1141" s="3">
        <v>3.0000000000000001E-3</v>
      </c>
      <c r="K1141" s="74">
        <f>J1141*VLOOKUP(D1141,GWPs!$B$3:$C$6,2,FALSE)</f>
        <v>3.0000000000000001E-3</v>
      </c>
      <c r="M1141" s="3">
        <v>4</v>
      </c>
      <c r="N1141" s="3">
        <v>2</v>
      </c>
      <c r="O1141" s="3">
        <v>1</v>
      </c>
      <c r="P1141" s="3">
        <v>4</v>
      </c>
      <c r="Q1141" s="3">
        <v>1</v>
      </c>
    </row>
    <row r="1142" spans="1:17">
      <c r="A1142" t="s">
        <v>1429</v>
      </c>
      <c r="B1142" s="3" t="s">
        <v>876</v>
      </c>
      <c r="C1142" s="3" t="s">
        <v>877</v>
      </c>
      <c r="D1142" s="3" t="s">
        <v>11</v>
      </c>
      <c r="E1142" s="3" t="s">
        <v>12</v>
      </c>
      <c r="F1142" s="3">
        <v>0.26700000000000002</v>
      </c>
      <c r="G1142" s="74">
        <f>F1142*VLOOKUP(D1142,GWPs!$B$3:$C$6,2,FALSE)</f>
        <v>0.26700000000000002</v>
      </c>
      <c r="H1142" s="3">
        <v>0</v>
      </c>
      <c r="I1142" s="74">
        <f>H1142*VLOOKUP(D1142,GWPs!$B$3:$C$6,2,FALSE)</f>
        <v>0</v>
      </c>
      <c r="J1142" s="3">
        <v>0.26700000000000002</v>
      </c>
      <c r="K1142" s="74">
        <f>J1142*VLOOKUP(D1142,GWPs!$B$3:$C$6,2,FALSE)</f>
        <v>0.26700000000000002</v>
      </c>
      <c r="M1142" s="3">
        <v>2</v>
      </c>
      <c r="N1142" s="3">
        <v>2</v>
      </c>
      <c r="O1142" s="3">
        <v>1</v>
      </c>
      <c r="P1142" s="3">
        <v>2</v>
      </c>
      <c r="Q1142" s="3">
        <v>1</v>
      </c>
    </row>
    <row r="1143" spans="1:17">
      <c r="A1143" t="s">
        <v>1429</v>
      </c>
      <c r="B1143" s="3" t="s">
        <v>876</v>
      </c>
      <c r="C1143" s="3" t="s">
        <v>877</v>
      </c>
      <c r="D1143" s="3" t="s">
        <v>13</v>
      </c>
      <c r="E1143" s="3" t="s">
        <v>12</v>
      </c>
      <c r="F1143" s="3">
        <v>1E-3</v>
      </c>
      <c r="G1143" s="74">
        <f>F1143*VLOOKUP(D1143,GWPs!$B$3:$C$6,2,FALSE)</f>
        <v>2.8000000000000001E-2</v>
      </c>
      <c r="H1143" s="3">
        <v>0</v>
      </c>
      <c r="I1143" s="74">
        <f>H1143*VLOOKUP(D1143,GWPs!$B$3:$C$6,2,FALSE)</f>
        <v>0</v>
      </c>
      <c r="J1143" s="3">
        <v>1E-3</v>
      </c>
      <c r="K1143" s="74">
        <f>J1143*VLOOKUP(D1143,GWPs!$B$3:$C$6,2,FALSE)</f>
        <v>2.8000000000000001E-2</v>
      </c>
      <c r="M1143" s="3">
        <v>3</v>
      </c>
      <c r="N1143" s="3">
        <v>2</v>
      </c>
      <c r="O1143" s="3">
        <v>1</v>
      </c>
      <c r="P1143" s="3">
        <v>1</v>
      </c>
      <c r="Q1143" s="3">
        <v>1</v>
      </c>
    </row>
    <row r="1144" spans="1:17">
      <c r="A1144" t="s">
        <v>1429</v>
      </c>
      <c r="B1144" s="3" t="s">
        <v>876</v>
      </c>
      <c r="C1144" s="3" t="s">
        <v>877</v>
      </c>
      <c r="D1144" s="3" t="s">
        <v>14</v>
      </c>
      <c r="E1144" s="3" t="s">
        <v>12</v>
      </c>
      <c r="F1144" s="3">
        <v>0</v>
      </c>
      <c r="G1144" s="74">
        <f>F1144*VLOOKUP(D1144,GWPs!$B$3:$C$6,2,FALSE)</f>
        <v>0</v>
      </c>
      <c r="H1144" s="3">
        <v>0</v>
      </c>
      <c r="I1144" s="74">
        <f>H1144*VLOOKUP(D1144,GWPs!$B$3:$C$6,2,FALSE)</f>
        <v>0</v>
      </c>
      <c r="J1144" s="3">
        <v>0</v>
      </c>
      <c r="K1144" s="74">
        <f>J1144*VLOOKUP(D1144,GWPs!$B$3:$C$6,2,FALSE)</f>
        <v>0</v>
      </c>
      <c r="M1144" s="3">
        <v>3</v>
      </c>
      <c r="N1144" s="3">
        <v>2</v>
      </c>
      <c r="O1144" s="3">
        <v>1</v>
      </c>
      <c r="P1144" s="3">
        <v>3</v>
      </c>
      <c r="Q1144" s="3">
        <v>1</v>
      </c>
    </row>
    <row r="1145" spans="1:17">
      <c r="A1145" t="s">
        <v>1429</v>
      </c>
      <c r="B1145" s="3" t="s">
        <v>876</v>
      </c>
      <c r="C1145" s="3" t="s">
        <v>877</v>
      </c>
      <c r="D1145" s="3" t="s">
        <v>15</v>
      </c>
      <c r="E1145" s="3" t="s">
        <v>16</v>
      </c>
      <c r="F1145" s="3">
        <v>6.0000000000000001E-3</v>
      </c>
      <c r="G1145" s="74">
        <f>F1145*VLOOKUP(D1145,GWPs!$B$3:$C$6,2,FALSE)</f>
        <v>6.0000000000000001E-3</v>
      </c>
      <c r="H1145" s="3">
        <v>0</v>
      </c>
      <c r="I1145" s="74">
        <f>H1145*VLOOKUP(D1145,GWPs!$B$3:$C$6,2,FALSE)</f>
        <v>0</v>
      </c>
      <c r="J1145" s="3">
        <v>6.0000000000000001E-3</v>
      </c>
      <c r="K1145" s="74">
        <f>J1145*VLOOKUP(D1145,GWPs!$B$3:$C$6,2,FALSE)</f>
        <v>6.0000000000000001E-3</v>
      </c>
      <c r="M1145" s="3">
        <v>4</v>
      </c>
      <c r="N1145" s="3">
        <v>2</v>
      </c>
      <c r="O1145" s="3">
        <v>1</v>
      </c>
      <c r="P1145" s="3">
        <v>4</v>
      </c>
      <c r="Q1145" s="3">
        <v>1</v>
      </c>
    </row>
    <row r="1146" spans="1:17">
      <c r="A1146" t="s">
        <v>1429</v>
      </c>
      <c r="B1146" s="3" t="s">
        <v>878</v>
      </c>
      <c r="C1146" s="3" t="s">
        <v>879</v>
      </c>
      <c r="D1146" s="3" t="s">
        <v>11</v>
      </c>
      <c r="E1146" s="3" t="s">
        <v>12</v>
      </c>
      <c r="F1146" s="3">
        <v>0.186</v>
      </c>
      <c r="G1146" s="74">
        <f>F1146*VLOOKUP(D1146,GWPs!$B$3:$C$6,2,FALSE)</f>
        <v>0.186</v>
      </c>
      <c r="H1146" s="3">
        <v>0</v>
      </c>
      <c r="I1146" s="74">
        <f>H1146*VLOOKUP(D1146,GWPs!$B$3:$C$6,2,FALSE)</f>
        <v>0</v>
      </c>
      <c r="J1146" s="3">
        <v>0.186</v>
      </c>
      <c r="K1146" s="74">
        <f>J1146*VLOOKUP(D1146,GWPs!$B$3:$C$6,2,FALSE)</f>
        <v>0.186</v>
      </c>
      <c r="M1146" s="3">
        <v>3</v>
      </c>
      <c r="N1146" s="3">
        <v>2</v>
      </c>
      <c r="O1146" s="3">
        <v>1</v>
      </c>
      <c r="P1146" s="3">
        <v>3</v>
      </c>
      <c r="Q1146" s="3">
        <v>1</v>
      </c>
    </row>
    <row r="1147" spans="1:17">
      <c r="A1147" t="s">
        <v>1429</v>
      </c>
      <c r="B1147" s="3" t="s">
        <v>878</v>
      </c>
      <c r="C1147" s="3" t="s">
        <v>879</v>
      </c>
      <c r="D1147" s="3" t="s">
        <v>13</v>
      </c>
      <c r="E1147" s="3" t="s">
        <v>12</v>
      </c>
      <c r="F1147" s="3">
        <v>1E-3</v>
      </c>
      <c r="G1147" s="74">
        <f>F1147*VLOOKUP(D1147,GWPs!$B$3:$C$6,2,FALSE)</f>
        <v>2.8000000000000001E-2</v>
      </c>
      <c r="H1147" s="3">
        <v>0</v>
      </c>
      <c r="I1147" s="74">
        <f>H1147*VLOOKUP(D1147,GWPs!$B$3:$C$6,2,FALSE)</f>
        <v>0</v>
      </c>
      <c r="J1147" s="3">
        <v>1E-3</v>
      </c>
      <c r="K1147" s="74">
        <f>J1147*VLOOKUP(D1147,GWPs!$B$3:$C$6,2,FALSE)</f>
        <v>2.8000000000000001E-2</v>
      </c>
      <c r="M1147" s="3">
        <v>3</v>
      </c>
      <c r="N1147" s="3">
        <v>2</v>
      </c>
      <c r="O1147" s="3">
        <v>1</v>
      </c>
      <c r="P1147" s="3">
        <v>1</v>
      </c>
      <c r="Q1147" s="3">
        <v>1</v>
      </c>
    </row>
    <row r="1148" spans="1:17">
      <c r="A1148" t="s">
        <v>1429</v>
      </c>
      <c r="B1148" s="3" t="s">
        <v>878</v>
      </c>
      <c r="C1148" s="3" t="s">
        <v>879</v>
      </c>
      <c r="D1148" s="3" t="s">
        <v>14</v>
      </c>
      <c r="E1148" s="3" t="s">
        <v>12</v>
      </c>
      <c r="F1148" s="3">
        <v>0</v>
      </c>
      <c r="G1148" s="74">
        <f>F1148*VLOOKUP(D1148,GWPs!$B$3:$C$6,2,FALSE)</f>
        <v>0</v>
      </c>
      <c r="H1148" s="3">
        <v>0</v>
      </c>
      <c r="I1148" s="74">
        <f>H1148*VLOOKUP(D1148,GWPs!$B$3:$C$6,2,FALSE)</f>
        <v>0</v>
      </c>
      <c r="J1148" s="3">
        <v>0</v>
      </c>
      <c r="K1148" s="74">
        <f>J1148*VLOOKUP(D1148,GWPs!$B$3:$C$6,2,FALSE)</f>
        <v>0</v>
      </c>
      <c r="M1148" s="3">
        <v>3</v>
      </c>
      <c r="N1148" s="3">
        <v>2</v>
      </c>
      <c r="O1148" s="3">
        <v>1</v>
      </c>
      <c r="P1148" s="3">
        <v>3</v>
      </c>
      <c r="Q1148" s="3">
        <v>1</v>
      </c>
    </row>
    <row r="1149" spans="1:17">
      <c r="A1149" t="s">
        <v>1429</v>
      </c>
      <c r="B1149" s="3" t="s">
        <v>878</v>
      </c>
      <c r="C1149" s="3" t="s">
        <v>879</v>
      </c>
      <c r="D1149" s="3" t="s">
        <v>15</v>
      </c>
      <c r="E1149" s="3" t="s">
        <v>16</v>
      </c>
      <c r="F1149" s="3">
        <v>4.0000000000000001E-3</v>
      </c>
      <c r="G1149" s="74">
        <f>F1149*VLOOKUP(D1149,GWPs!$B$3:$C$6,2,FALSE)</f>
        <v>4.0000000000000001E-3</v>
      </c>
      <c r="H1149" s="3">
        <v>0</v>
      </c>
      <c r="I1149" s="74">
        <f>H1149*VLOOKUP(D1149,GWPs!$B$3:$C$6,2,FALSE)</f>
        <v>0</v>
      </c>
      <c r="J1149" s="3">
        <v>4.0000000000000001E-3</v>
      </c>
      <c r="K1149" s="74">
        <f>J1149*VLOOKUP(D1149,GWPs!$B$3:$C$6,2,FALSE)</f>
        <v>4.0000000000000001E-3</v>
      </c>
      <c r="M1149" s="3">
        <v>4</v>
      </c>
      <c r="N1149" s="3">
        <v>2</v>
      </c>
      <c r="O1149" s="3">
        <v>1</v>
      </c>
      <c r="P1149" s="3">
        <v>4</v>
      </c>
      <c r="Q1149" s="3">
        <v>1</v>
      </c>
    </row>
    <row r="1150" spans="1:17">
      <c r="A1150" t="s">
        <v>1429</v>
      </c>
      <c r="B1150" s="3" t="s">
        <v>880</v>
      </c>
      <c r="C1150" s="3" t="s">
        <v>20</v>
      </c>
      <c r="D1150" s="3" t="s">
        <v>11</v>
      </c>
      <c r="E1150" s="3" t="s">
        <v>12</v>
      </c>
      <c r="F1150" s="3">
        <v>0.17699999999999999</v>
      </c>
      <c r="G1150" s="74">
        <f>F1150*VLOOKUP(D1150,GWPs!$B$3:$C$6,2,FALSE)</f>
        <v>0.17699999999999999</v>
      </c>
      <c r="H1150" s="3">
        <v>0</v>
      </c>
      <c r="I1150" s="74">
        <f>H1150*VLOOKUP(D1150,GWPs!$B$3:$C$6,2,FALSE)</f>
        <v>0</v>
      </c>
      <c r="J1150" s="3">
        <v>0.17699999999999999</v>
      </c>
      <c r="K1150" s="74">
        <f>J1150*VLOOKUP(D1150,GWPs!$B$3:$C$6,2,FALSE)</f>
        <v>0.17699999999999999</v>
      </c>
      <c r="M1150" s="3">
        <v>2</v>
      </c>
      <c r="N1150" s="3">
        <v>2</v>
      </c>
      <c r="O1150" s="3">
        <v>1</v>
      </c>
      <c r="P1150" s="3">
        <v>2</v>
      </c>
      <c r="Q1150" s="3">
        <v>1</v>
      </c>
    </row>
    <row r="1151" spans="1:17">
      <c r="A1151" t="s">
        <v>1429</v>
      </c>
      <c r="B1151" s="3" t="s">
        <v>880</v>
      </c>
      <c r="C1151" s="3" t="s">
        <v>20</v>
      </c>
      <c r="D1151" s="3" t="s">
        <v>13</v>
      </c>
      <c r="E1151" s="3" t="s">
        <v>12</v>
      </c>
      <c r="F1151" s="3">
        <v>1E-3</v>
      </c>
      <c r="G1151" s="74">
        <f>F1151*VLOOKUP(D1151,GWPs!$B$3:$C$6,2,FALSE)</f>
        <v>2.8000000000000001E-2</v>
      </c>
      <c r="H1151" s="3">
        <v>0</v>
      </c>
      <c r="I1151" s="74">
        <f>H1151*VLOOKUP(D1151,GWPs!$B$3:$C$6,2,FALSE)</f>
        <v>0</v>
      </c>
      <c r="J1151" s="3">
        <v>1E-3</v>
      </c>
      <c r="K1151" s="74">
        <f>J1151*VLOOKUP(D1151,GWPs!$B$3:$C$6,2,FALSE)</f>
        <v>2.8000000000000001E-2</v>
      </c>
      <c r="M1151" s="3">
        <v>3</v>
      </c>
      <c r="N1151" s="3">
        <v>2</v>
      </c>
      <c r="O1151" s="3">
        <v>1</v>
      </c>
      <c r="P1151" s="3">
        <v>1</v>
      </c>
      <c r="Q1151" s="3">
        <v>1</v>
      </c>
    </row>
    <row r="1152" spans="1:17">
      <c r="A1152" t="s">
        <v>1429</v>
      </c>
      <c r="B1152" s="3" t="s">
        <v>880</v>
      </c>
      <c r="C1152" s="3" t="s">
        <v>20</v>
      </c>
      <c r="D1152" s="3" t="s">
        <v>14</v>
      </c>
      <c r="E1152" s="3" t="s">
        <v>12</v>
      </c>
      <c r="F1152" s="3">
        <v>0</v>
      </c>
      <c r="G1152" s="74">
        <f>F1152*VLOOKUP(D1152,GWPs!$B$3:$C$6,2,FALSE)</f>
        <v>0</v>
      </c>
      <c r="H1152" s="3">
        <v>0</v>
      </c>
      <c r="I1152" s="74">
        <f>H1152*VLOOKUP(D1152,GWPs!$B$3:$C$6,2,FALSE)</f>
        <v>0</v>
      </c>
      <c r="J1152" s="3">
        <v>0</v>
      </c>
      <c r="K1152" s="74">
        <f>J1152*VLOOKUP(D1152,GWPs!$B$3:$C$6,2,FALSE)</f>
        <v>0</v>
      </c>
      <c r="M1152" s="3">
        <v>3</v>
      </c>
      <c r="N1152" s="3">
        <v>2</v>
      </c>
      <c r="O1152" s="3">
        <v>1</v>
      </c>
      <c r="P1152" s="3">
        <v>3</v>
      </c>
      <c r="Q1152" s="3">
        <v>1</v>
      </c>
    </row>
    <row r="1153" spans="1:17">
      <c r="A1153" t="s">
        <v>1429</v>
      </c>
      <c r="B1153" s="3" t="s">
        <v>880</v>
      </c>
      <c r="C1153" s="3" t="s">
        <v>20</v>
      </c>
      <c r="D1153" s="3" t="s">
        <v>15</v>
      </c>
      <c r="E1153" s="3" t="s">
        <v>16</v>
      </c>
      <c r="F1153" s="3">
        <v>3.0000000000000001E-3</v>
      </c>
      <c r="G1153" s="74">
        <f>F1153*VLOOKUP(D1153,GWPs!$B$3:$C$6,2,FALSE)</f>
        <v>3.0000000000000001E-3</v>
      </c>
      <c r="H1153" s="3">
        <v>0</v>
      </c>
      <c r="I1153" s="74">
        <f>H1153*VLOOKUP(D1153,GWPs!$B$3:$C$6,2,FALSE)</f>
        <v>0</v>
      </c>
      <c r="J1153" s="3">
        <v>3.0000000000000001E-3</v>
      </c>
      <c r="K1153" s="74">
        <f>J1153*VLOOKUP(D1153,GWPs!$B$3:$C$6,2,FALSE)</f>
        <v>3.0000000000000001E-3</v>
      </c>
      <c r="M1153" s="3">
        <v>4</v>
      </c>
      <c r="N1153" s="3">
        <v>2</v>
      </c>
      <c r="O1153" s="3">
        <v>1</v>
      </c>
      <c r="P1153" s="3">
        <v>4</v>
      </c>
      <c r="Q1153" s="3">
        <v>1</v>
      </c>
    </row>
    <row r="1154" spans="1:17">
      <c r="A1154" t="s">
        <v>1429</v>
      </c>
      <c r="B1154" s="3" t="s">
        <v>881</v>
      </c>
      <c r="C1154" s="3" t="s">
        <v>882</v>
      </c>
      <c r="D1154" s="3" t="s">
        <v>11</v>
      </c>
      <c r="E1154" s="3" t="s">
        <v>12</v>
      </c>
      <c r="F1154" s="3">
        <v>9.5000000000000001E-2</v>
      </c>
      <c r="G1154" s="74">
        <f>F1154*VLOOKUP(D1154,GWPs!$B$3:$C$6,2,FALSE)</f>
        <v>9.5000000000000001E-2</v>
      </c>
      <c r="H1154" s="3">
        <v>0</v>
      </c>
      <c r="I1154" s="74">
        <f>H1154*VLOOKUP(D1154,GWPs!$B$3:$C$6,2,FALSE)</f>
        <v>0</v>
      </c>
      <c r="J1154" s="3">
        <v>9.5000000000000001E-2</v>
      </c>
      <c r="K1154" s="74">
        <f>J1154*VLOOKUP(D1154,GWPs!$B$3:$C$6,2,FALSE)</f>
        <v>9.5000000000000001E-2</v>
      </c>
      <c r="M1154" s="3">
        <v>3</v>
      </c>
      <c r="N1154" s="3">
        <v>2</v>
      </c>
      <c r="O1154" s="3">
        <v>1</v>
      </c>
      <c r="P1154" s="3">
        <v>3</v>
      </c>
      <c r="Q1154" s="3">
        <v>1</v>
      </c>
    </row>
    <row r="1155" spans="1:17">
      <c r="A1155" t="s">
        <v>1429</v>
      </c>
      <c r="B1155" s="3" t="s">
        <v>881</v>
      </c>
      <c r="C1155" s="3" t="s">
        <v>882</v>
      </c>
      <c r="D1155" s="3" t="s">
        <v>13</v>
      </c>
      <c r="E1155" s="3" t="s">
        <v>12</v>
      </c>
      <c r="F1155" s="3">
        <v>0</v>
      </c>
      <c r="G1155" s="74">
        <f>F1155*VLOOKUP(D1155,GWPs!$B$3:$C$6,2,FALSE)</f>
        <v>0</v>
      </c>
      <c r="H1155" s="3">
        <v>0</v>
      </c>
      <c r="I1155" s="74">
        <f>H1155*VLOOKUP(D1155,GWPs!$B$3:$C$6,2,FALSE)</f>
        <v>0</v>
      </c>
      <c r="J1155" s="3">
        <v>0</v>
      </c>
      <c r="K1155" s="74">
        <f>J1155*VLOOKUP(D1155,GWPs!$B$3:$C$6,2,FALSE)</f>
        <v>0</v>
      </c>
      <c r="M1155" s="3">
        <v>3</v>
      </c>
      <c r="N1155" s="3">
        <v>2</v>
      </c>
      <c r="O1155" s="3">
        <v>1</v>
      </c>
      <c r="P1155" s="3">
        <v>1</v>
      </c>
      <c r="Q1155" s="3">
        <v>1</v>
      </c>
    </row>
    <row r="1156" spans="1:17">
      <c r="A1156" t="s">
        <v>1429</v>
      </c>
      <c r="B1156" s="3" t="s">
        <v>881</v>
      </c>
      <c r="C1156" s="3" t="s">
        <v>882</v>
      </c>
      <c r="D1156" s="3" t="s">
        <v>14</v>
      </c>
      <c r="E1156" s="3" t="s">
        <v>12</v>
      </c>
      <c r="F1156" s="3">
        <v>0</v>
      </c>
      <c r="G1156" s="74">
        <f>F1156*VLOOKUP(D1156,GWPs!$B$3:$C$6,2,FALSE)</f>
        <v>0</v>
      </c>
      <c r="H1156" s="3">
        <v>0</v>
      </c>
      <c r="I1156" s="74">
        <f>H1156*VLOOKUP(D1156,GWPs!$B$3:$C$6,2,FALSE)</f>
        <v>0</v>
      </c>
      <c r="J1156" s="3">
        <v>0</v>
      </c>
      <c r="K1156" s="74">
        <f>J1156*VLOOKUP(D1156,GWPs!$B$3:$C$6,2,FALSE)</f>
        <v>0</v>
      </c>
      <c r="M1156" s="3">
        <v>3</v>
      </c>
      <c r="N1156" s="3">
        <v>2</v>
      </c>
      <c r="O1156" s="3">
        <v>1</v>
      </c>
      <c r="P1156" s="3">
        <v>3</v>
      </c>
      <c r="Q1156" s="3">
        <v>1</v>
      </c>
    </row>
    <row r="1157" spans="1:17">
      <c r="A1157" t="s">
        <v>1429</v>
      </c>
      <c r="B1157" s="3" t="s">
        <v>881</v>
      </c>
      <c r="C1157" s="3" t="s">
        <v>882</v>
      </c>
      <c r="D1157" s="3" t="s">
        <v>15</v>
      </c>
      <c r="E1157" s="3" t="s">
        <v>16</v>
      </c>
      <c r="F1157" s="3">
        <v>3.0000000000000001E-3</v>
      </c>
      <c r="G1157" s="74">
        <f>F1157*VLOOKUP(D1157,GWPs!$B$3:$C$6,2,FALSE)</f>
        <v>3.0000000000000001E-3</v>
      </c>
      <c r="H1157" s="3">
        <v>0</v>
      </c>
      <c r="I1157" s="74">
        <f>H1157*VLOOKUP(D1157,GWPs!$B$3:$C$6,2,FALSE)</f>
        <v>0</v>
      </c>
      <c r="J1157" s="3">
        <v>3.0000000000000001E-3</v>
      </c>
      <c r="K1157" s="74">
        <f>J1157*VLOOKUP(D1157,GWPs!$B$3:$C$6,2,FALSE)</f>
        <v>3.0000000000000001E-3</v>
      </c>
      <c r="M1157" s="3">
        <v>4</v>
      </c>
      <c r="N1157" s="3">
        <v>2</v>
      </c>
      <c r="O1157" s="3">
        <v>1</v>
      </c>
      <c r="P1157" s="3">
        <v>4</v>
      </c>
      <c r="Q1157" s="3">
        <v>1</v>
      </c>
    </row>
    <row r="1158" spans="1:17">
      <c r="A1158" t="s">
        <v>1429</v>
      </c>
      <c r="B1158" s="3" t="s">
        <v>883</v>
      </c>
      <c r="C1158" s="3" t="s">
        <v>884</v>
      </c>
      <c r="D1158" s="3" t="s">
        <v>11</v>
      </c>
      <c r="E1158" s="3" t="s">
        <v>12</v>
      </c>
      <c r="F1158" s="3">
        <v>0.879</v>
      </c>
      <c r="G1158" s="74">
        <f>F1158*VLOOKUP(D1158,GWPs!$B$3:$C$6,2,FALSE)</f>
        <v>0.879</v>
      </c>
      <c r="H1158" s="3">
        <v>0</v>
      </c>
      <c r="I1158" s="74">
        <f>H1158*VLOOKUP(D1158,GWPs!$B$3:$C$6,2,FALSE)</f>
        <v>0</v>
      </c>
      <c r="J1158" s="3">
        <v>0.879</v>
      </c>
      <c r="K1158" s="74">
        <f>J1158*VLOOKUP(D1158,GWPs!$B$3:$C$6,2,FALSE)</f>
        <v>0.879</v>
      </c>
      <c r="M1158" s="3">
        <v>4</v>
      </c>
      <c r="N1158" s="3">
        <v>2</v>
      </c>
      <c r="O1158" s="3">
        <v>1</v>
      </c>
      <c r="P1158" s="3">
        <v>1</v>
      </c>
      <c r="Q1158" s="3">
        <v>1</v>
      </c>
    </row>
    <row r="1159" spans="1:17">
      <c r="A1159" t="s">
        <v>1429</v>
      </c>
      <c r="B1159" s="3" t="s">
        <v>883</v>
      </c>
      <c r="C1159" s="3" t="s">
        <v>884</v>
      </c>
      <c r="D1159" s="3" t="s">
        <v>13</v>
      </c>
      <c r="E1159" s="3" t="s">
        <v>12</v>
      </c>
      <c r="F1159" s="3">
        <v>3.0000000000000001E-3</v>
      </c>
      <c r="G1159" s="74">
        <f>F1159*VLOOKUP(D1159,GWPs!$B$3:$C$6,2,FALSE)</f>
        <v>8.4000000000000005E-2</v>
      </c>
      <c r="H1159" s="3">
        <v>0</v>
      </c>
      <c r="I1159" s="74">
        <f>H1159*VLOOKUP(D1159,GWPs!$B$3:$C$6,2,FALSE)</f>
        <v>0</v>
      </c>
      <c r="J1159" s="3">
        <v>3.0000000000000001E-3</v>
      </c>
      <c r="K1159" s="74">
        <f>J1159*VLOOKUP(D1159,GWPs!$B$3:$C$6,2,FALSE)</f>
        <v>8.4000000000000005E-2</v>
      </c>
      <c r="M1159" s="3">
        <v>4</v>
      </c>
      <c r="N1159" s="3">
        <v>2</v>
      </c>
      <c r="O1159" s="3">
        <v>1</v>
      </c>
      <c r="P1159" s="3">
        <v>1</v>
      </c>
      <c r="Q1159" s="3">
        <v>1</v>
      </c>
    </row>
    <row r="1160" spans="1:17">
      <c r="A1160" t="s">
        <v>1429</v>
      </c>
      <c r="B1160" s="3" t="s">
        <v>883</v>
      </c>
      <c r="C1160" s="3" t="s">
        <v>884</v>
      </c>
      <c r="D1160" s="3" t="s">
        <v>14</v>
      </c>
      <c r="E1160" s="3" t="s">
        <v>12</v>
      </c>
      <c r="F1160" s="3">
        <v>0</v>
      </c>
      <c r="G1160" s="74">
        <f>F1160*VLOOKUP(D1160,GWPs!$B$3:$C$6,2,FALSE)</f>
        <v>0</v>
      </c>
      <c r="H1160" s="3">
        <v>0</v>
      </c>
      <c r="I1160" s="74">
        <f>H1160*VLOOKUP(D1160,GWPs!$B$3:$C$6,2,FALSE)</f>
        <v>0</v>
      </c>
      <c r="J1160" s="3">
        <v>0</v>
      </c>
      <c r="K1160" s="74">
        <f>J1160*VLOOKUP(D1160,GWPs!$B$3:$C$6,2,FALSE)</f>
        <v>0</v>
      </c>
      <c r="M1160" s="3">
        <v>4</v>
      </c>
      <c r="N1160" s="3">
        <v>2</v>
      </c>
      <c r="O1160" s="3">
        <v>1</v>
      </c>
      <c r="P1160" s="3">
        <v>4</v>
      </c>
      <c r="Q1160" s="3">
        <v>1</v>
      </c>
    </row>
    <row r="1161" spans="1:17">
      <c r="A1161" t="s">
        <v>1429</v>
      </c>
      <c r="B1161" s="3" t="s">
        <v>883</v>
      </c>
      <c r="C1161" s="3" t="s">
        <v>884</v>
      </c>
      <c r="D1161" s="3" t="s">
        <v>15</v>
      </c>
      <c r="E1161" s="3" t="s">
        <v>16</v>
      </c>
      <c r="F1161" s="3">
        <v>2E-3</v>
      </c>
      <c r="G1161" s="74">
        <f>F1161*VLOOKUP(D1161,GWPs!$B$3:$C$6,2,FALSE)</f>
        <v>2E-3</v>
      </c>
      <c r="H1161" s="3">
        <v>0</v>
      </c>
      <c r="I1161" s="74">
        <f>H1161*VLOOKUP(D1161,GWPs!$B$3:$C$6,2,FALSE)</f>
        <v>0</v>
      </c>
      <c r="J1161" s="3">
        <v>2E-3</v>
      </c>
      <c r="K1161" s="74">
        <f>J1161*VLOOKUP(D1161,GWPs!$B$3:$C$6,2,FALSE)</f>
        <v>2E-3</v>
      </c>
      <c r="M1161" s="3">
        <v>4</v>
      </c>
      <c r="N1161" s="3">
        <v>2</v>
      </c>
      <c r="O1161" s="3">
        <v>1</v>
      </c>
      <c r="P1161" s="3">
        <v>4</v>
      </c>
      <c r="Q1161" s="3">
        <v>1</v>
      </c>
    </row>
    <row r="1162" spans="1:17">
      <c r="A1162" t="s">
        <v>1429</v>
      </c>
      <c r="B1162" s="3" t="s">
        <v>885</v>
      </c>
      <c r="C1162" s="3" t="s">
        <v>886</v>
      </c>
      <c r="D1162" s="3" t="s">
        <v>11</v>
      </c>
      <c r="E1162" s="3" t="s">
        <v>12</v>
      </c>
      <c r="F1162" s="3">
        <v>0.70199999999999996</v>
      </c>
      <c r="G1162" s="74">
        <f>F1162*VLOOKUP(D1162,GWPs!$B$3:$C$6,2,FALSE)</f>
        <v>0.70199999999999996</v>
      </c>
      <c r="H1162" s="3">
        <v>0</v>
      </c>
      <c r="I1162" s="74">
        <f>H1162*VLOOKUP(D1162,GWPs!$B$3:$C$6,2,FALSE)</f>
        <v>0</v>
      </c>
      <c r="J1162" s="3">
        <v>0.70199999999999996</v>
      </c>
      <c r="K1162" s="74">
        <f>J1162*VLOOKUP(D1162,GWPs!$B$3:$C$6,2,FALSE)</f>
        <v>0.70199999999999996</v>
      </c>
      <c r="M1162" s="3">
        <v>4</v>
      </c>
      <c r="N1162" s="3">
        <v>2</v>
      </c>
      <c r="O1162" s="3">
        <v>1</v>
      </c>
      <c r="P1162" s="3">
        <v>4</v>
      </c>
      <c r="Q1162" s="3">
        <v>1</v>
      </c>
    </row>
    <row r="1163" spans="1:17">
      <c r="A1163" t="s">
        <v>1429</v>
      </c>
      <c r="B1163" s="3" t="s">
        <v>885</v>
      </c>
      <c r="C1163" s="3" t="s">
        <v>886</v>
      </c>
      <c r="D1163" s="3" t="s">
        <v>13</v>
      </c>
      <c r="E1163" s="3" t="s">
        <v>12</v>
      </c>
      <c r="F1163" s="3">
        <v>2E-3</v>
      </c>
      <c r="G1163" s="74">
        <f>F1163*VLOOKUP(D1163,GWPs!$B$3:$C$6,2,FALSE)</f>
        <v>5.6000000000000001E-2</v>
      </c>
      <c r="H1163" s="3">
        <v>0</v>
      </c>
      <c r="I1163" s="74">
        <f>H1163*VLOOKUP(D1163,GWPs!$B$3:$C$6,2,FALSE)</f>
        <v>0</v>
      </c>
      <c r="J1163" s="3">
        <v>2E-3</v>
      </c>
      <c r="K1163" s="74">
        <f>J1163*VLOOKUP(D1163,GWPs!$B$3:$C$6,2,FALSE)</f>
        <v>5.6000000000000001E-2</v>
      </c>
      <c r="M1163" s="3">
        <v>4</v>
      </c>
      <c r="N1163" s="3">
        <v>2</v>
      </c>
      <c r="O1163" s="3">
        <v>1</v>
      </c>
      <c r="P1163" s="3">
        <v>1</v>
      </c>
      <c r="Q1163" s="3">
        <v>1</v>
      </c>
    </row>
    <row r="1164" spans="1:17">
      <c r="A1164" t="s">
        <v>1429</v>
      </c>
      <c r="B1164" s="3" t="s">
        <v>885</v>
      </c>
      <c r="C1164" s="3" t="s">
        <v>886</v>
      </c>
      <c r="D1164" s="3" t="s">
        <v>14</v>
      </c>
      <c r="E1164" s="3" t="s">
        <v>12</v>
      </c>
      <c r="F1164" s="3">
        <v>0</v>
      </c>
      <c r="G1164" s="74">
        <f>F1164*VLOOKUP(D1164,GWPs!$B$3:$C$6,2,FALSE)</f>
        <v>0</v>
      </c>
      <c r="H1164" s="3">
        <v>0</v>
      </c>
      <c r="I1164" s="74">
        <f>H1164*VLOOKUP(D1164,GWPs!$B$3:$C$6,2,FALSE)</f>
        <v>0</v>
      </c>
      <c r="J1164" s="3">
        <v>0</v>
      </c>
      <c r="K1164" s="74">
        <f>J1164*VLOOKUP(D1164,GWPs!$B$3:$C$6,2,FALSE)</f>
        <v>0</v>
      </c>
      <c r="M1164" s="3">
        <v>4</v>
      </c>
      <c r="N1164" s="3">
        <v>2</v>
      </c>
      <c r="O1164" s="3">
        <v>1</v>
      </c>
      <c r="P1164" s="3">
        <v>3</v>
      </c>
      <c r="Q1164" s="3">
        <v>1</v>
      </c>
    </row>
    <row r="1165" spans="1:17">
      <c r="A1165" t="s">
        <v>1429</v>
      </c>
      <c r="B1165" s="3" t="s">
        <v>885</v>
      </c>
      <c r="C1165" s="3" t="s">
        <v>886</v>
      </c>
      <c r="D1165" s="3" t="s">
        <v>15</v>
      </c>
      <c r="E1165" s="3" t="s">
        <v>16</v>
      </c>
      <c r="F1165" s="3">
        <v>4.0000000000000001E-3</v>
      </c>
      <c r="G1165" s="74">
        <f>F1165*VLOOKUP(D1165,GWPs!$B$3:$C$6,2,FALSE)</f>
        <v>4.0000000000000001E-3</v>
      </c>
      <c r="H1165" s="3">
        <v>0</v>
      </c>
      <c r="I1165" s="74">
        <f>H1165*VLOOKUP(D1165,GWPs!$B$3:$C$6,2,FALSE)</f>
        <v>0</v>
      </c>
      <c r="J1165" s="3">
        <v>4.0000000000000001E-3</v>
      </c>
      <c r="K1165" s="74">
        <f>J1165*VLOOKUP(D1165,GWPs!$B$3:$C$6,2,FALSE)</f>
        <v>4.0000000000000001E-3</v>
      </c>
      <c r="M1165" s="3">
        <v>4</v>
      </c>
      <c r="N1165" s="3">
        <v>2</v>
      </c>
      <c r="O1165" s="3">
        <v>1</v>
      </c>
      <c r="P1165" s="3">
        <v>4</v>
      </c>
      <c r="Q1165" s="3">
        <v>1</v>
      </c>
    </row>
    <row r="1166" spans="1:17">
      <c r="A1166" t="s">
        <v>1429</v>
      </c>
      <c r="B1166" s="3" t="s">
        <v>887</v>
      </c>
      <c r="C1166" s="3" t="s">
        <v>888</v>
      </c>
      <c r="D1166" s="3" t="s">
        <v>11</v>
      </c>
      <c r="E1166" s="3" t="s">
        <v>12</v>
      </c>
      <c r="F1166" s="3">
        <v>0.63100000000000001</v>
      </c>
      <c r="G1166" s="74">
        <f>F1166*VLOOKUP(D1166,GWPs!$B$3:$C$6,2,FALSE)</f>
        <v>0.63100000000000001</v>
      </c>
      <c r="H1166" s="3">
        <v>0</v>
      </c>
      <c r="I1166" s="74">
        <f>H1166*VLOOKUP(D1166,GWPs!$B$3:$C$6,2,FALSE)</f>
        <v>0</v>
      </c>
      <c r="J1166" s="3">
        <v>0.63100000000000001</v>
      </c>
      <c r="K1166" s="74">
        <f>J1166*VLOOKUP(D1166,GWPs!$B$3:$C$6,2,FALSE)</f>
        <v>0.63100000000000001</v>
      </c>
      <c r="M1166" s="3">
        <v>4</v>
      </c>
      <c r="N1166" s="3">
        <v>2</v>
      </c>
      <c r="O1166" s="3">
        <v>1</v>
      </c>
      <c r="P1166" s="3">
        <v>2</v>
      </c>
      <c r="Q1166" s="3">
        <v>1</v>
      </c>
    </row>
    <row r="1167" spans="1:17">
      <c r="A1167" t="s">
        <v>1429</v>
      </c>
      <c r="B1167" s="3" t="s">
        <v>887</v>
      </c>
      <c r="C1167" s="3" t="s">
        <v>888</v>
      </c>
      <c r="D1167" s="3" t="s">
        <v>13</v>
      </c>
      <c r="E1167" s="3" t="s">
        <v>12</v>
      </c>
      <c r="F1167" s="3">
        <v>3.0000000000000001E-3</v>
      </c>
      <c r="G1167" s="74">
        <f>F1167*VLOOKUP(D1167,GWPs!$B$3:$C$6,2,FALSE)</f>
        <v>8.4000000000000005E-2</v>
      </c>
      <c r="H1167" s="3">
        <v>0</v>
      </c>
      <c r="I1167" s="74">
        <f>H1167*VLOOKUP(D1167,GWPs!$B$3:$C$6,2,FALSE)</f>
        <v>0</v>
      </c>
      <c r="J1167" s="3">
        <v>3.0000000000000001E-3</v>
      </c>
      <c r="K1167" s="74">
        <f>J1167*VLOOKUP(D1167,GWPs!$B$3:$C$6,2,FALSE)</f>
        <v>8.4000000000000005E-2</v>
      </c>
      <c r="M1167" s="3">
        <v>4</v>
      </c>
      <c r="N1167" s="3">
        <v>2</v>
      </c>
      <c r="O1167" s="3">
        <v>1</v>
      </c>
      <c r="P1167" s="3">
        <v>1</v>
      </c>
      <c r="Q1167" s="3">
        <v>1</v>
      </c>
    </row>
    <row r="1168" spans="1:17">
      <c r="A1168" t="s">
        <v>1429</v>
      </c>
      <c r="B1168" s="3" t="s">
        <v>887</v>
      </c>
      <c r="C1168" s="3" t="s">
        <v>888</v>
      </c>
      <c r="D1168" s="3" t="s">
        <v>14</v>
      </c>
      <c r="E1168" s="3" t="s">
        <v>12</v>
      </c>
      <c r="F1168" s="3">
        <v>0</v>
      </c>
      <c r="G1168" s="74">
        <f>F1168*VLOOKUP(D1168,GWPs!$B$3:$C$6,2,FALSE)</f>
        <v>0</v>
      </c>
      <c r="H1168" s="3">
        <v>0</v>
      </c>
      <c r="I1168" s="74">
        <f>H1168*VLOOKUP(D1168,GWPs!$B$3:$C$6,2,FALSE)</f>
        <v>0</v>
      </c>
      <c r="J1168" s="3">
        <v>0</v>
      </c>
      <c r="K1168" s="74">
        <f>J1168*VLOOKUP(D1168,GWPs!$B$3:$C$6,2,FALSE)</f>
        <v>0</v>
      </c>
      <c r="M1168" s="3">
        <v>4</v>
      </c>
      <c r="N1168" s="3">
        <v>2</v>
      </c>
      <c r="O1168" s="3">
        <v>1</v>
      </c>
      <c r="P1168" s="3">
        <v>4</v>
      </c>
      <c r="Q1168" s="3">
        <v>1</v>
      </c>
    </row>
    <row r="1169" spans="1:17">
      <c r="A1169" t="s">
        <v>1429</v>
      </c>
      <c r="B1169" s="3" t="s">
        <v>887</v>
      </c>
      <c r="C1169" s="3" t="s">
        <v>888</v>
      </c>
      <c r="D1169" s="3" t="s">
        <v>15</v>
      </c>
      <c r="E1169" s="3" t="s">
        <v>16</v>
      </c>
      <c r="F1169" s="3">
        <v>5.8999999999999997E-2</v>
      </c>
      <c r="G1169" s="74">
        <f>F1169*VLOOKUP(D1169,GWPs!$B$3:$C$6,2,FALSE)</f>
        <v>5.8999999999999997E-2</v>
      </c>
      <c r="H1169" s="3">
        <v>0</v>
      </c>
      <c r="I1169" s="74">
        <f>H1169*VLOOKUP(D1169,GWPs!$B$3:$C$6,2,FALSE)</f>
        <v>0</v>
      </c>
      <c r="J1169" s="3">
        <v>5.8999999999999997E-2</v>
      </c>
      <c r="K1169" s="74">
        <f>J1169*VLOOKUP(D1169,GWPs!$B$3:$C$6,2,FALSE)</f>
        <v>5.8999999999999997E-2</v>
      </c>
      <c r="M1169" s="3">
        <v>4</v>
      </c>
      <c r="N1169" s="3">
        <v>2</v>
      </c>
      <c r="O1169" s="3">
        <v>1</v>
      </c>
      <c r="P1169" s="3">
        <v>5</v>
      </c>
      <c r="Q1169" s="3">
        <v>1</v>
      </c>
    </row>
    <row r="1170" spans="1:17">
      <c r="A1170" t="s">
        <v>1429</v>
      </c>
      <c r="B1170" s="3" t="s">
        <v>889</v>
      </c>
      <c r="C1170" s="3" t="s">
        <v>890</v>
      </c>
      <c r="D1170" s="3" t="s">
        <v>11</v>
      </c>
      <c r="E1170" s="3" t="s">
        <v>12</v>
      </c>
      <c r="F1170" s="3">
        <v>1.341</v>
      </c>
      <c r="G1170" s="74">
        <f>F1170*VLOOKUP(D1170,GWPs!$B$3:$C$6,2,FALSE)</f>
        <v>1.341</v>
      </c>
      <c r="H1170" s="3">
        <v>0</v>
      </c>
      <c r="I1170" s="74">
        <f>H1170*VLOOKUP(D1170,GWPs!$B$3:$C$6,2,FALSE)</f>
        <v>0</v>
      </c>
      <c r="J1170" s="3">
        <v>1.341</v>
      </c>
      <c r="K1170" s="74">
        <f>J1170*VLOOKUP(D1170,GWPs!$B$3:$C$6,2,FALSE)</f>
        <v>1.341</v>
      </c>
      <c r="M1170" s="3">
        <v>4</v>
      </c>
      <c r="N1170" s="3">
        <v>2</v>
      </c>
      <c r="O1170" s="3">
        <v>1</v>
      </c>
      <c r="P1170" s="3">
        <v>4</v>
      </c>
      <c r="Q1170" s="3">
        <v>1</v>
      </c>
    </row>
    <row r="1171" spans="1:17">
      <c r="A1171" t="s">
        <v>1429</v>
      </c>
      <c r="B1171" s="3" t="s">
        <v>889</v>
      </c>
      <c r="C1171" s="3" t="s">
        <v>890</v>
      </c>
      <c r="D1171" s="3" t="s">
        <v>13</v>
      </c>
      <c r="E1171" s="3" t="s">
        <v>12</v>
      </c>
      <c r="F1171" s="3">
        <v>3.0000000000000001E-3</v>
      </c>
      <c r="G1171" s="74">
        <f>F1171*VLOOKUP(D1171,GWPs!$B$3:$C$6,2,FALSE)</f>
        <v>8.4000000000000005E-2</v>
      </c>
      <c r="H1171" s="3">
        <v>0</v>
      </c>
      <c r="I1171" s="74">
        <f>H1171*VLOOKUP(D1171,GWPs!$B$3:$C$6,2,FALSE)</f>
        <v>0</v>
      </c>
      <c r="J1171" s="3">
        <v>3.0000000000000001E-3</v>
      </c>
      <c r="K1171" s="74">
        <f>J1171*VLOOKUP(D1171,GWPs!$B$3:$C$6,2,FALSE)</f>
        <v>8.4000000000000005E-2</v>
      </c>
      <c r="M1171" s="3">
        <v>4</v>
      </c>
      <c r="N1171" s="3">
        <v>2</v>
      </c>
      <c r="O1171" s="3">
        <v>1</v>
      </c>
      <c r="P1171" s="3">
        <v>1</v>
      </c>
      <c r="Q1171" s="3">
        <v>1</v>
      </c>
    </row>
    <row r="1172" spans="1:17">
      <c r="A1172" t="s">
        <v>1429</v>
      </c>
      <c r="B1172" s="3" t="s">
        <v>889</v>
      </c>
      <c r="C1172" s="3" t="s">
        <v>890</v>
      </c>
      <c r="D1172" s="3" t="s">
        <v>14</v>
      </c>
      <c r="E1172" s="3" t="s">
        <v>12</v>
      </c>
      <c r="F1172" s="3">
        <v>0</v>
      </c>
      <c r="G1172" s="74">
        <f>F1172*VLOOKUP(D1172,GWPs!$B$3:$C$6,2,FALSE)</f>
        <v>0</v>
      </c>
      <c r="H1172" s="3">
        <v>0</v>
      </c>
      <c r="I1172" s="74">
        <f>H1172*VLOOKUP(D1172,GWPs!$B$3:$C$6,2,FALSE)</f>
        <v>0</v>
      </c>
      <c r="J1172" s="3">
        <v>0</v>
      </c>
      <c r="K1172" s="74">
        <f>J1172*VLOOKUP(D1172,GWPs!$B$3:$C$6,2,FALSE)</f>
        <v>0</v>
      </c>
      <c r="M1172" s="3">
        <v>4</v>
      </c>
      <c r="N1172" s="3">
        <v>2</v>
      </c>
      <c r="O1172" s="3">
        <v>1</v>
      </c>
      <c r="P1172" s="3">
        <v>3</v>
      </c>
      <c r="Q1172" s="3">
        <v>1</v>
      </c>
    </row>
    <row r="1173" spans="1:17">
      <c r="A1173" t="s">
        <v>1429</v>
      </c>
      <c r="B1173" s="3" t="s">
        <v>889</v>
      </c>
      <c r="C1173" s="3" t="s">
        <v>890</v>
      </c>
      <c r="D1173" s="3" t="s">
        <v>15</v>
      </c>
      <c r="E1173" s="3" t="s">
        <v>16</v>
      </c>
      <c r="F1173" s="3">
        <v>2.1000000000000001E-2</v>
      </c>
      <c r="G1173" s="74">
        <f>F1173*VLOOKUP(D1173,GWPs!$B$3:$C$6,2,FALSE)</f>
        <v>2.1000000000000001E-2</v>
      </c>
      <c r="H1173" s="3">
        <v>0</v>
      </c>
      <c r="I1173" s="74">
        <f>H1173*VLOOKUP(D1173,GWPs!$B$3:$C$6,2,FALSE)</f>
        <v>0</v>
      </c>
      <c r="J1173" s="3">
        <v>2.1000000000000001E-2</v>
      </c>
      <c r="K1173" s="74">
        <f>J1173*VLOOKUP(D1173,GWPs!$B$3:$C$6,2,FALSE)</f>
        <v>2.1000000000000001E-2</v>
      </c>
      <c r="M1173" s="3">
        <v>4</v>
      </c>
      <c r="N1173" s="3">
        <v>2</v>
      </c>
      <c r="O1173" s="3">
        <v>1</v>
      </c>
      <c r="P1173" s="3">
        <v>5</v>
      </c>
      <c r="Q1173" s="3">
        <v>1</v>
      </c>
    </row>
    <row r="1174" spans="1:17">
      <c r="A1174" t="s">
        <v>1429</v>
      </c>
      <c r="B1174" s="3" t="s">
        <v>891</v>
      </c>
      <c r="C1174" s="3" t="s">
        <v>892</v>
      </c>
      <c r="D1174" s="3" t="s">
        <v>11</v>
      </c>
      <c r="E1174" s="3" t="s">
        <v>12</v>
      </c>
      <c r="F1174" s="3">
        <v>0.27100000000000002</v>
      </c>
      <c r="G1174" s="74">
        <f>F1174*VLOOKUP(D1174,GWPs!$B$3:$C$6,2,FALSE)</f>
        <v>0.27100000000000002</v>
      </c>
      <c r="H1174" s="3">
        <v>0</v>
      </c>
      <c r="I1174" s="74">
        <f>H1174*VLOOKUP(D1174,GWPs!$B$3:$C$6,2,FALSE)</f>
        <v>0</v>
      </c>
      <c r="J1174" s="3">
        <v>0.27100000000000002</v>
      </c>
      <c r="K1174" s="74">
        <f>J1174*VLOOKUP(D1174,GWPs!$B$3:$C$6,2,FALSE)</f>
        <v>0.27100000000000002</v>
      </c>
      <c r="M1174" s="3">
        <v>4</v>
      </c>
      <c r="N1174" s="3">
        <v>2</v>
      </c>
      <c r="O1174" s="3">
        <v>1</v>
      </c>
      <c r="P1174" s="3">
        <v>3</v>
      </c>
      <c r="Q1174" s="3">
        <v>1</v>
      </c>
    </row>
    <row r="1175" spans="1:17">
      <c r="A1175" t="s">
        <v>1429</v>
      </c>
      <c r="B1175" s="3" t="s">
        <v>891</v>
      </c>
      <c r="C1175" s="3" t="s">
        <v>892</v>
      </c>
      <c r="D1175" s="3" t="s">
        <v>13</v>
      </c>
      <c r="E1175" s="3" t="s">
        <v>12</v>
      </c>
      <c r="F1175" s="3">
        <v>5.0000000000000001E-3</v>
      </c>
      <c r="G1175" s="74">
        <f>F1175*VLOOKUP(D1175,GWPs!$B$3:$C$6,2,FALSE)</f>
        <v>0.14000000000000001</v>
      </c>
      <c r="H1175" s="3">
        <v>0</v>
      </c>
      <c r="I1175" s="74">
        <f>H1175*VLOOKUP(D1175,GWPs!$B$3:$C$6,2,FALSE)</f>
        <v>0</v>
      </c>
      <c r="J1175" s="3">
        <v>5.0000000000000001E-3</v>
      </c>
      <c r="K1175" s="74">
        <f>J1175*VLOOKUP(D1175,GWPs!$B$3:$C$6,2,FALSE)</f>
        <v>0.14000000000000001</v>
      </c>
      <c r="M1175" s="3">
        <v>4</v>
      </c>
      <c r="N1175" s="3">
        <v>2</v>
      </c>
      <c r="O1175" s="3">
        <v>1</v>
      </c>
      <c r="P1175" s="3">
        <v>1</v>
      </c>
      <c r="Q1175" s="3">
        <v>1</v>
      </c>
    </row>
    <row r="1176" spans="1:17">
      <c r="A1176" t="s">
        <v>1429</v>
      </c>
      <c r="B1176" s="3" t="s">
        <v>891</v>
      </c>
      <c r="C1176" s="3" t="s">
        <v>892</v>
      </c>
      <c r="D1176" s="3" t="s">
        <v>14</v>
      </c>
      <c r="E1176" s="3" t="s">
        <v>12</v>
      </c>
      <c r="F1176" s="3">
        <v>0</v>
      </c>
      <c r="G1176" s="74">
        <f>F1176*VLOOKUP(D1176,GWPs!$B$3:$C$6,2,FALSE)</f>
        <v>0</v>
      </c>
      <c r="H1176" s="3">
        <v>0</v>
      </c>
      <c r="I1176" s="74">
        <f>H1176*VLOOKUP(D1176,GWPs!$B$3:$C$6,2,FALSE)</f>
        <v>0</v>
      </c>
      <c r="J1176" s="3">
        <v>0</v>
      </c>
      <c r="K1176" s="74">
        <f>J1176*VLOOKUP(D1176,GWPs!$B$3:$C$6,2,FALSE)</f>
        <v>0</v>
      </c>
      <c r="M1176" s="3">
        <v>4</v>
      </c>
      <c r="N1176" s="3">
        <v>2</v>
      </c>
      <c r="O1176" s="3">
        <v>1</v>
      </c>
      <c r="P1176" s="3">
        <v>3</v>
      </c>
      <c r="Q1176" s="3">
        <v>1</v>
      </c>
    </row>
    <row r="1177" spans="1:17">
      <c r="A1177" t="s">
        <v>1429</v>
      </c>
      <c r="B1177" s="3" t="s">
        <v>891</v>
      </c>
      <c r="C1177" s="3" t="s">
        <v>892</v>
      </c>
      <c r="D1177" s="3" t="s">
        <v>15</v>
      </c>
      <c r="E1177" s="3" t="s">
        <v>16</v>
      </c>
      <c r="F1177" s="3">
        <v>7.0000000000000001E-3</v>
      </c>
      <c r="G1177" s="74">
        <f>F1177*VLOOKUP(D1177,GWPs!$B$3:$C$6,2,FALSE)</f>
        <v>7.0000000000000001E-3</v>
      </c>
      <c r="H1177" s="3">
        <v>0</v>
      </c>
      <c r="I1177" s="74">
        <f>H1177*VLOOKUP(D1177,GWPs!$B$3:$C$6,2,FALSE)</f>
        <v>0</v>
      </c>
      <c r="J1177" s="3">
        <v>7.0000000000000001E-3</v>
      </c>
      <c r="K1177" s="74">
        <f>J1177*VLOOKUP(D1177,GWPs!$B$3:$C$6,2,FALSE)</f>
        <v>7.0000000000000001E-3</v>
      </c>
      <c r="M1177" s="3">
        <v>4</v>
      </c>
      <c r="N1177" s="3">
        <v>2</v>
      </c>
      <c r="O1177" s="3">
        <v>1</v>
      </c>
      <c r="P1177" s="3">
        <v>5</v>
      </c>
      <c r="Q1177" s="3">
        <v>1</v>
      </c>
    </row>
    <row r="1178" spans="1:17">
      <c r="A1178" t="s">
        <v>1429</v>
      </c>
      <c r="B1178" s="3" t="s">
        <v>893</v>
      </c>
      <c r="C1178" s="3" t="s">
        <v>894</v>
      </c>
      <c r="D1178" s="3" t="s">
        <v>11</v>
      </c>
      <c r="E1178" s="3" t="s">
        <v>12</v>
      </c>
      <c r="F1178" s="3">
        <v>1.1319999999999999</v>
      </c>
      <c r="G1178" s="74">
        <f>F1178*VLOOKUP(D1178,GWPs!$B$3:$C$6,2,FALSE)</f>
        <v>1.1319999999999999</v>
      </c>
      <c r="H1178" s="3">
        <v>0</v>
      </c>
      <c r="I1178" s="74">
        <f>H1178*VLOOKUP(D1178,GWPs!$B$3:$C$6,2,FALSE)</f>
        <v>0</v>
      </c>
      <c r="J1178" s="3">
        <v>1.1319999999999999</v>
      </c>
      <c r="K1178" s="74">
        <f>J1178*VLOOKUP(D1178,GWPs!$B$3:$C$6,2,FALSE)</f>
        <v>1.1319999999999999</v>
      </c>
      <c r="M1178" s="3">
        <v>4</v>
      </c>
      <c r="N1178" s="3">
        <v>2</v>
      </c>
      <c r="O1178" s="3">
        <v>1</v>
      </c>
      <c r="P1178" s="3">
        <v>1</v>
      </c>
      <c r="Q1178" s="3">
        <v>1</v>
      </c>
    </row>
    <row r="1179" spans="1:17">
      <c r="A1179" t="s">
        <v>1429</v>
      </c>
      <c r="B1179" s="3" t="s">
        <v>893</v>
      </c>
      <c r="C1179" s="3" t="s">
        <v>894</v>
      </c>
      <c r="D1179" s="3" t="s">
        <v>13</v>
      </c>
      <c r="E1179" s="3" t="s">
        <v>12</v>
      </c>
      <c r="F1179" s="3">
        <v>3.1E-2</v>
      </c>
      <c r="G1179" s="74">
        <f>F1179*VLOOKUP(D1179,GWPs!$B$3:$C$6,2,FALSE)</f>
        <v>0.86799999999999999</v>
      </c>
      <c r="H1179" s="3">
        <v>0</v>
      </c>
      <c r="I1179" s="74">
        <f>H1179*VLOOKUP(D1179,GWPs!$B$3:$C$6,2,FALSE)</f>
        <v>0</v>
      </c>
      <c r="J1179" s="3">
        <v>3.1E-2</v>
      </c>
      <c r="K1179" s="74">
        <f>J1179*VLOOKUP(D1179,GWPs!$B$3:$C$6,2,FALSE)</f>
        <v>0.86799999999999999</v>
      </c>
      <c r="M1179" s="3">
        <v>4</v>
      </c>
      <c r="N1179" s="3">
        <v>2</v>
      </c>
      <c r="O1179" s="3">
        <v>1</v>
      </c>
      <c r="P1179" s="3">
        <v>1</v>
      </c>
      <c r="Q1179" s="3">
        <v>1</v>
      </c>
    </row>
    <row r="1180" spans="1:17">
      <c r="A1180" t="s">
        <v>1429</v>
      </c>
      <c r="B1180" s="3" t="s">
        <v>893</v>
      </c>
      <c r="C1180" s="3" t="s">
        <v>894</v>
      </c>
      <c r="D1180" s="3" t="s">
        <v>14</v>
      </c>
      <c r="E1180" s="3" t="s">
        <v>12</v>
      </c>
      <c r="F1180" s="3">
        <v>0</v>
      </c>
      <c r="G1180" s="74">
        <f>F1180*VLOOKUP(D1180,GWPs!$B$3:$C$6,2,FALSE)</f>
        <v>0</v>
      </c>
      <c r="H1180" s="3">
        <v>0</v>
      </c>
      <c r="I1180" s="74">
        <f>H1180*VLOOKUP(D1180,GWPs!$B$3:$C$6,2,FALSE)</f>
        <v>0</v>
      </c>
      <c r="J1180" s="3">
        <v>0</v>
      </c>
      <c r="K1180" s="74">
        <f>J1180*VLOOKUP(D1180,GWPs!$B$3:$C$6,2,FALSE)</f>
        <v>0</v>
      </c>
      <c r="M1180" s="3">
        <v>3</v>
      </c>
      <c r="N1180" s="3">
        <v>2</v>
      </c>
      <c r="O1180" s="3">
        <v>1</v>
      </c>
      <c r="P1180" s="3">
        <v>2</v>
      </c>
      <c r="Q1180" s="3">
        <v>1</v>
      </c>
    </row>
    <row r="1181" spans="1:17">
      <c r="A1181" t="s">
        <v>1429</v>
      </c>
      <c r="B1181" s="3" t="s">
        <v>893</v>
      </c>
      <c r="C1181" s="3" t="s">
        <v>894</v>
      </c>
      <c r="D1181" s="3" t="s">
        <v>15</v>
      </c>
      <c r="E1181" s="3" t="s">
        <v>16</v>
      </c>
      <c r="F1181" s="3">
        <v>1.4999999999999999E-2</v>
      </c>
      <c r="G1181" s="74">
        <f>F1181*VLOOKUP(D1181,GWPs!$B$3:$C$6,2,FALSE)</f>
        <v>1.4999999999999999E-2</v>
      </c>
      <c r="H1181" s="3">
        <v>0</v>
      </c>
      <c r="I1181" s="74">
        <f>H1181*VLOOKUP(D1181,GWPs!$B$3:$C$6,2,FALSE)</f>
        <v>0</v>
      </c>
      <c r="J1181" s="3">
        <v>1.4999999999999999E-2</v>
      </c>
      <c r="K1181" s="74">
        <f>J1181*VLOOKUP(D1181,GWPs!$B$3:$C$6,2,FALSE)</f>
        <v>1.4999999999999999E-2</v>
      </c>
      <c r="M1181" s="3">
        <v>4</v>
      </c>
      <c r="N1181" s="3">
        <v>2</v>
      </c>
      <c r="O1181" s="3">
        <v>1</v>
      </c>
      <c r="P1181" s="3">
        <v>5</v>
      </c>
      <c r="Q1181" s="3">
        <v>1</v>
      </c>
    </row>
    <row r="1182" spans="1:17">
      <c r="A1182" t="s">
        <v>1429</v>
      </c>
      <c r="B1182" s="3" t="s">
        <v>895</v>
      </c>
      <c r="C1182" s="3" t="s">
        <v>896</v>
      </c>
      <c r="D1182" s="3" t="s">
        <v>11</v>
      </c>
      <c r="E1182" s="3" t="s">
        <v>12</v>
      </c>
      <c r="F1182" s="3">
        <v>0.23899999999999999</v>
      </c>
      <c r="G1182" s="74">
        <f>F1182*VLOOKUP(D1182,GWPs!$B$3:$C$6,2,FALSE)</f>
        <v>0.23899999999999999</v>
      </c>
      <c r="H1182" s="3">
        <v>0</v>
      </c>
      <c r="I1182" s="74">
        <f>H1182*VLOOKUP(D1182,GWPs!$B$3:$C$6,2,FALSE)</f>
        <v>0</v>
      </c>
      <c r="J1182" s="3">
        <v>0.23899999999999999</v>
      </c>
      <c r="K1182" s="74">
        <f>J1182*VLOOKUP(D1182,GWPs!$B$3:$C$6,2,FALSE)</f>
        <v>0.23899999999999999</v>
      </c>
      <c r="M1182" s="3">
        <v>3</v>
      </c>
      <c r="N1182" s="3">
        <v>2</v>
      </c>
      <c r="O1182" s="3">
        <v>1</v>
      </c>
      <c r="P1182" s="3">
        <v>3</v>
      </c>
      <c r="Q1182" s="3">
        <v>1</v>
      </c>
    </row>
    <row r="1183" spans="1:17">
      <c r="A1183" t="s">
        <v>1429</v>
      </c>
      <c r="B1183" s="3" t="s">
        <v>895</v>
      </c>
      <c r="C1183" s="3" t="s">
        <v>896</v>
      </c>
      <c r="D1183" s="3" t="s">
        <v>13</v>
      </c>
      <c r="E1183" s="3" t="s">
        <v>12</v>
      </c>
      <c r="F1183" s="3">
        <v>2E-3</v>
      </c>
      <c r="G1183" s="74">
        <f>F1183*VLOOKUP(D1183,GWPs!$B$3:$C$6,2,FALSE)</f>
        <v>5.6000000000000001E-2</v>
      </c>
      <c r="H1183" s="3">
        <v>0</v>
      </c>
      <c r="I1183" s="74">
        <f>H1183*VLOOKUP(D1183,GWPs!$B$3:$C$6,2,FALSE)</f>
        <v>0</v>
      </c>
      <c r="J1183" s="3">
        <v>2E-3</v>
      </c>
      <c r="K1183" s="74">
        <f>J1183*VLOOKUP(D1183,GWPs!$B$3:$C$6,2,FALSE)</f>
        <v>5.6000000000000001E-2</v>
      </c>
      <c r="M1183" s="3">
        <v>4</v>
      </c>
      <c r="N1183" s="3">
        <v>2</v>
      </c>
      <c r="O1183" s="3">
        <v>1</v>
      </c>
      <c r="P1183" s="3">
        <v>1</v>
      </c>
      <c r="Q1183" s="3">
        <v>1</v>
      </c>
    </row>
    <row r="1184" spans="1:17">
      <c r="A1184" t="s">
        <v>1429</v>
      </c>
      <c r="B1184" s="3" t="s">
        <v>895</v>
      </c>
      <c r="C1184" s="3" t="s">
        <v>896</v>
      </c>
      <c r="D1184" s="3" t="s">
        <v>14</v>
      </c>
      <c r="E1184" s="3" t="s">
        <v>12</v>
      </c>
      <c r="F1184" s="3">
        <v>0</v>
      </c>
      <c r="G1184" s="74">
        <f>F1184*VLOOKUP(D1184,GWPs!$B$3:$C$6,2,FALSE)</f>
        <v>0</v>
      </c>
      <c r="H1184" s="3">
        <v>0</v>
      </c>
      <c r="I1184" s="74">
        <f>H1184*VLOOKUP(D1184,GWPs!$B$3:$C$6,2,FALSE)</f>
        <v>0</v>
      </c>
      <c r="J1184" s="3">
        <v>0</v>
      </c>
      <c r="K1184" s="74">
        <f>J1184*VLOOKUP(D1184,GWPs!$B$3:$C$6,2,FALSE)</f>
        <v>0</v>
      </c>
      <c r="M1184" s="3">
        <v>4</v>
      </c>
      <c r="N1184" s="3">
        <v>2</v>
      </c>
      <c r="O1184" s="3">
        <v>1</v>
      </c>
      <c r="P1184" s="3">
        <v>3</v>
      </c>
      <c r="Q1184" s="3">
        <v>1</v>
      </c>
    </row>
    <row r="1185" spans="1:17">
      <c r="A1185" t="s">
        <v>1429</v>
      </c>
      <c r="B1185" s="3" t="s">
        <v>895</v>
      </c>
      <c r="C1185" s="3" t="s">
        <v>896</v>
      </c>
      <c r="D1185" s="3" t="s">
        <v>15</v>
      </c>
      <c r="E1185" s="3" t="s">
        <v>16</v>
      </c>
      <c r="F1185" s="3">
        <v>6.0000000000000001E-3</v>
      </c>
      <c r="G1185" s="74">
        <f>F1185*VLOOKUP(D1185,GWPs!$B$3:$C$6,2,FALSE)</f>
        <v>6.0000000000000001E-3</v>
      </c>
      <c r="H1185" s="3">
        <v>0</v>
      </c>
      <c r="I1185" s="74">
        <f>H1185*VLOOKUP(D1185,GWPs!$B$3:$C$6,2,FALSE)</f>
        <v>0</v>
      </c>
      <c r="J1185" s="3">
        <v>6.0000000000000001E-3</v>
      </c>
      <c r="K1185" s="74">
        <f>J1185*VLOOKUP(D1185,GWPs!$B$3:$C$6,2,FALSE)</f>
        <v>6.0000000000000001E-3</v>
      </c>
      <c r="M1185" s="3">
        <v>4</v>
      </c>
      <c r="N1185" s="3">
        <v>2</v>
      </c>
      <c r="O1185" s="3">
        <v>1</v>
      </c>
      <c r="P1185" s="3">
        <v>4</v>
      </c>
      <c r="Q1185" s="3">
        <v>1</v>
      </c>
    </row>
    <row r="1186" spans="1:17">
      <c r="A1186" t="s">
        <v>1429</v>
      </c>
      <c r="B1186" s="3" t="s">
        <v>897</v>
      </c>
      <c r="C1186" s="3" t="s">
        <v>898</v>
      </c>
      <c r="D1186" s="3" t="s">
        <v>11</v>
      </c>
      <c r="E1186" s="3" t="s">
        <v>12</v>
      </c>
      <c r="F1186" s="3">
        <v>0.17799999999999999</v>
      </c>
      <c r="G1186" s="74">
        <f>F1186*VLOOKUP(D1186,GWPs!$B$3:$C$6,2,FALSE)</f>
        <v>0.17799999999999999</v>
      </c>
      <c r="H1186" s="3">
        <v>0</v>
      </c>
      <c r="I1186" s="74">
        <f>H1186*VLOOKUP(D1186,GWPs!$B$3:$C$6,2,FALSE)</f>
        <v>0</v>
      </c>
      <c r="J1186" s="3">
        <v>0.17799999999999999</v>
      </c>
      <c r="K1186" s="74">
        <f>J1186*VLOOKUP(D1186,GWPs!$B$3:$C$6,2,FALSE)</f>
        <v>0.17799999999999999</v>
      </c>
      <c r="M1186" s="3">
        <v>4</v>
      </c>
      <c r="N1186" s="3">
        <v>2</v>
      </c>
      <c r="O1186" s="3">
        <v>1</v>
      </c>
      <c r="P1186" s="3">
        <v>3</v>
      </c>
      <c r="Q1186" s="3">
        <v>1</v>
      </c>
    </row>
    <row r="1187" spans="1:17">
      <c r="A1187" t="s">
        <v>1429</v>
      </c>
      <c r="B1187" s="3" t="s">
        <v>897</v>
      </c>
      <c r="C1187" s="3" t="s">
        <v>898</v>
      </c>
      <c r="D1187" s="3" t="s">
        <v>13</v>
      </c>
      <c r="E1187" s="3" t="s">
        <v>12</v>
      </c>
      <c r="F1187" s="3">
        <v>1E-3</v>
      </c>
      <c r="G1187" s="74">
        <f>F1187*VLOOKUP(D1187,GWPs!$B$3:$C$6,2,FALSE)</f>
        <v>2.8000000000000001E-2</v>
      </c>
      <c r="H1187" s="3">
        <v>0</v>
      </c>
      <c r="I1187" s="74">
        <f>H1187*VLOOKUP(D1187,GWPs!$B$3:$C$6,2,FALSE)</f>
        <v>0</v>
      </c>
      <c r="J1187" s="3">
        <v>1E-3</v>
      </c>
      <c r="K1187" s="74">
        <f>J1187*VLOOKUP(D1187,GWPs!$B$3:$C$6,2,FALSE)</f>
        <v>2.8000000000000001E-2</v>
      </c>
      <c r="M1187" s="3">
        <v>4</v>
      </c>
      <c r="N1187" s="3">
        <v>2</v>
      </c>
      <c r="O1187" s="3">
        <v>1</v>
      </c>
      <c r="P1187" s="3">
        <v>1</v>
      </c>
      <c r="Q1187" s="3">
        <v>1</v>
      </c>
    </row>
    <row r="1188" spans="1:17">
      <c r="A1188" t="s">
        <v>1429</v>
      </c>
      <c r="B1188" s="3" t="s">
        <v>897</v>
      </c>
      <c r="C1188" s="3" t="s">
        <v>898</v>
      </c>
      <c r="D1188" s="3" t="s">
        <v>14</v>
      </c>
      <c r="E1188" s="3" t="s">
        <v>12</v>
      </c>
      <c r="F1188" s="3">
        <v>0</v>
      </c>
      <c r="G1188" s="74">
        <f>F1188*VLOOKUP(D1188,GWPs!$B$3:$C$6,2,FALSE)</f>
        <v>0</v>
      </c>
      <c r="H1188" s="3">
        <v>0</v>
      </c>
      <c r="I1188" s="74">
        <f>H1188*VLOOKUP(D1188,GWPs!$B$3:$C$6,2,FALSE)</f>
        <v>0</v>
      </c>
      <c r="J1188" s="3">
        <v>0</v>
      </c>
      <c r="K1188" s="74">
        <f>J1188*VLOOKUP(D1188,GWPs!$B$3:$C$6,2,FALSE)</f>
        <v>0</v>
      </c>
      <c r="M1188" s="3">
        <v>4</v>
      </c>
      <c r="N1188" s="3">
        <v>2</v>
      </c>
      <c r="O1188" s="3">
        <v>1</v>
      </c>
      <c r="P1188" s="3">
        <v>2</v>
      </c>
      <c r="Q1188" s="3">
        <v>1</v>
      </c>
    </row>
    <row r="1189" spans="1:17">
      <c r="A1189" t="s">
        <v>1429</v>
      </c>
      <c r="B1189" s="3" t="s">
        <v>897</v>
      </c>
      <c r="C1189" s="3" t="s">
        <v>898</v>
      </c>
      <c r="D1189" s="3" t="s">
        <v>15</v>
      </c>
      <c r="E1189" s="3" t="s">
        <v>16</v>
      </c>
      <c r="F1189" s="3">
        <v>3.0000000000000001E-3</v>
      </c>
      <c r="G1189" s="74">
        <f>F1189*VLOOKUP(D1189,GWPs!$B$3:$C$6,2,FALSE)</f>
        <v>3.0000000000000001E-3</v>
      </c>
      <c r="H1189" s="3">
        <v>0</v>
      </c>
      <c r="I1189" s="74">
        <f>H1189*VLOOKUP(D1189,GWPs!$B$3:$C$6,2,FALSE)</f>
        <v>0</v>
      </c>
      <c r="J1189" s="3">
        <v>3.0000000000000001E-3</v>
      </c>
      <c r="K1189" s="74">
        <f>J1189*VLOOKUP(D1189,GWPs!$B$3:$C$6,2,FALSE)</f>
        <v>3.0000000000000001E-3</v>
      </c>
      <c r="M1189" s="3">
        <v>4</v>
      </c>
      <c r="N1189" s="3">
        <v>2</v>
      </c>
      <c r="O1189" s="3">
        <v>1</v>
      </c>
      <c r="P1189" s="3">
        <v>4</v>
      </c>
      <c r="Q1189" s="3">
        <v>1</v>
      </c>
    </row>
    <row r="1190" spans="1:17">
      <c r="A1190" t="s">
        <v>1431</v>
      </c>
      <c r="B1190" s="3" t="s">
        <v>899</v>
      </c>
      <c r="C1190" s="3" t="s">
        <v>900</v>
      </c>
      <c r="D1190" s="3" t="s">
        <v>11</v>
      </c>
      <c r="E1190" s="3" t="s">
        <v>12</v>
      </c>
      <c r="F1190" s="3">
        <v>0.52300000000000002</v>
      </c>
      <c r="G1190" s="74">
        <f>F1190*VLOOKUP(D1190,GWPs!$B$3:$C$6,2,FALSE)</f>
        <v>0.52300000000000002</v>
      </c>
      <c r="H1190" s="3">
        <v>0</v>
      </c>
      <c r="I1190" s="74">
        <f>H1190*VLOOKUP(D1190,GWPs!$B$3:$C$6,2,FALSE)</f>
        <v>0</v>
      </c>
      <c r="J1190" s="3">
        <v>0.52300000000000002</v>
      </c>
      <c r="K1190" s="74">
        <f>J1190*VLOOKUP(D1190,GWPs!$B$3:$C$6,2,FALSE)</f>
        <v>0.52300000000000002</v>
      </c>
      <c r="M1190" s="3">
        <v>4</v>
      </c>
      <c r="N1190" s="3">
        <v>2</v>
      </c>
      <c r="O1190" s="3">
        <v>1</v>
      </c>
      <c r="P1190" s="3">
        <v>4</v>
      </c>
      <c r="Q1190" s="3">
        <v>1</v>
      </c>
    </row>
    <row r="1191" spans="1:17">
      <c r="A1191" t="s">
        <v>1431</v>
      </c>
      <c r="B1191" s="3" t="s">
        <v>899</v>
      </c>
      <c r="C1191" s="3" t="s">
        <v>900</v>
      </c>
      <c r="D1191" s="3" t="s">
        <v>13</v>
      </c>
      <c r="E1191" s="3" t="s">
        <v>12</v>
      </c>
      <c r="F1191" s="3">
        <v>2E-3</v>
      </c>
      <c r="G1191" s="74">
        <f>F1191*VLOOKUP(D1191,GWPs!$B$3:$C$6,2,FALSE)</f>
        <v>5.6000000000000001E-2</v>
      </c>
      <c r="H1191" s="3">
        <v>0</v>
      </c>
      <c r="I1191" s="74">
        <f>H1191*VLOOKUP(D1191,GWPs!$B$3:$C$6,2,FALSE)</f>
        <v>0</v>
      </c>
      <c r="J1191" s="3">
        <v>2E-3</v>
      </c>
      <c r="K1191" s="74">
        <f>J1191*VLOOKUP(D1191,GWPs!$B$3:$C$6,2,FALSE)</f>
        <v>5.6000000000000001E-2</v>
      </c>
      <c r="M1191" s="3">
        <v>4</v>
      </c>
      <c r="N1191" s="3">
        <v>2</v>
      </c>
      <c r="O1191" s="3">
        <v>1</v>
      </c>
      <c r="P1191" s="3">
        <v>2</v>
      </c>
      <c r="Q1191" s="3">
        <v>1</v>
      </c>
    </row>
    <row r="1192" spans="1:17">
      <c r="A1192" t="s">
        <v>1431</v>
      </c>
      <c r="B1192" s="3" t="s">
        <v>899</v>
      </c>
      <c r="C1192" s="3" t="s">
        <v>900</v>
      </c>
      <c r="D1192" s="3" t="s">
        <v>14</v>
      </c>
      <c r="E1192" s="3" t="s">
        <v>12</v>
      </c>
      <c r="F1192" s="3">
        <v>0</v>
      </c>
      <c r="G1192" s="74">
        <f>F1192*VLOOKUP(D1192,GWPs!$B$3:$C$6,2,FALSE)</f>
        <v>0</v>
      </c>
      <c r="H1192" s="3">
        <v>0</v>
      </c>
      <c r="I1192" s="74">
        <f>H1192*VLOOKUP(D1192,GWPs!$B$3:$C$6,2,FALSE)</f>
        <v>0</v>
      </c>
      <c r="J1192" s="3">
        <v>0</v>
      </c>
      <c r="K1192" s="74">
        <f>J1192*VLOOKUP(D1192,GWPs!$B$3:$C$6,2,FALSE)</f>
        <v>0</v>
      </c>
      <c r="M1192" s="3">
        <v>4</v>
      </c>
      <c r="N1192" s="3">
        <v>2</v>
      </c>
      <c r="O1192" s="3">
        <v>1</v>
      </c>
      <c r="P1192" s="3">
        <v>3</v>
      </c>
      <c r="Q1192" s="3">
        <v>1</v>
      </c>
    </row>
    <row r="1193" spans="1:17">
      <c r="A1193" t="s">
        <v>1431</v>
      </c>
      <c r="B1193" s="3" t="s">
        <v>899</v>
      </c>
      <c r="C1193" s="3" t="s">
        <v>900</v>
      </c>
      <c r="D1193" s="3" t="s">
        <v>15</v>
      </c>
      <c r="E1193" s="3" t="s">
        <v>16</v>
      </c>
      <c r="F1193" s="3">
        <v>3.0000000000000001E-3</v>
      </c>
      <c r="G1193" s="74">
        <f>F1193*VLOOKUP(D1193,GWPs!$B$3:$C$6,2,FALSE)</f>
        <v>3.0000000000000001E-3</v>
      </c>
      <c r="H1193" s="3">
        <v>0</v>
      </c>
      <c r="I1193" s="74">
        <f>H1193*VLOOKUP(D1193,GWPs!$B$3:$C$6,2,FALSE)</f>
        <v>0</v>
      </c>
      <c r="J1193" s="3">
        <v>3.0000000000000001E-3</v>
      </c>
      <c r="K1193" s="74">
        <f>J1193*VLOOKUP(D1193,GWPs!$B$3:$C$6,2,FALSE)</f>
        <v>3.0000000000000001E-3</v>
      </c>
      <c r="M1193" s="3">
        <v>4</v>
      </c>
      <c r="N1193" s="3">
        <v>2</v>
      </c>
      <c r="O1193" s="3">
        <v>1</v>
      </c>
      <c r="P1193" s="3">
        <v>4</v>
      </c>
      <c r="Q1193" s="3">
        <v>1</v>
      </c>
    </row>
    <row r="1194" spans="1:17">
      <c r="A1194" t="s">
        <v>1429</v>
      </c>
      <c r="B1194" s="3" t="s">
        <v>901</v>
      </c>
      <c r="C1194" s="3" t="s">
        <v>902</v>
      </c>
      <c r="D1194" s="3" t="s">
        <v>11</v>
      </c>
      <c r="E1194" s="3" t="s">
        <v>12</v>
      </c>
      <c r="F1194" s="3">
        <v>0.58199999999999996</v>
      </c>
      <c r="G1194" s="74">
        <f>F1194*VLOOKUP(D1194,GWPs!$B$3:$C$6,2,FALSE)</f>
        <v>0.58199999999999996</v>
      </c>
      <c r="H1194" s="3">
        <v>0</v>
      </c>
      <c r="I1194" s="74">
        <f>H1194*VLOOKUP(D1194,GWPs!$B$3:$C$6,2,FALSE)</f>
        <v>0</v>
      </c>
      <c r="J1194" s="3">
        <v>0.58199999999999996</v>
      </c>
      <c r="K1194" s="74">
        <f>J1194*VLOOKUP(D1194,GWPs!$B$3:$C$6,2,FALSE)</f>
        <v>0.58199999999999996</v>
      </c>
      <c r="M1194" s="3">
        <v>2</v>
      </c>
      <c r="N1194" s="3">
        <v>2</v>
      </c>
      <c r="O1194" s="3">
        <v>1</v>
      </c>
      <c r="P1194" s="3">
        <v>2</v>
      </c>
      <c r="Q1194" s="3">
        <v>1</v>
      </c>
    </row>
    <row r="1195" spans="1:17">
      <c r="A1195" t="s">
        <v>1429</v>
      </c>
      <c r="B1195" s="3" t="s">
        <v>901</v>
      </c>
      <c r="C1195" s="3" t="s">
        <v>902</v>
      </c>
      <c r="D1195" s="3" t="s">
        <v>13</v>
      </c>
      <c r="E1195" s="3" t="s">
        <v>12</v>
      </c>
      <c r="F1195" s="3">
        <v>2E-3</v>
      </c>
      <c r="G1195" s="74">
        <f>F1195*VLOOKUP(D1195,GWPs!$B$3:$C$6,2,FALSE)</f>
        <v>5.6000000000000001E-2</v>
      </c>
      <c r="H1195" s="3">
        <v>0</v>
      </c>
      <c r="I1195" s="74">
        <f>H1195*VLOOKUP(D1195,GWPs!$B$3:$C$6,2,FALSE)</f>
        <v>0</v>
      </c>
      <c r="J1195" s="3">
        <v>2E-3</v>
      </c>
      <c r="K1195" s="74">
        <f>J1195*VLOOKUP(D1195,GWPs!$B$3:$C$6,2,FALSE)</f>
        <v>5.6000000000000001E-2</v>
      </c>
      <c r="M1195" s="3">
        <v>3</v>
      </c>
      <c r="N1195" s="3">
        <v>2</v>
      </c>
      <c r="O1195" s="3">
        <v>1</v>
      </c>
      <c r="P1195" s="3">
        <v>1</v>
      </c>
      <c r="Q1195" s="3">
        <v>1</v>
      </c>
    </row>
    <row r="1196" spans="1:17">
      <c r="A1196" t="s">
        <v>1429</v>
      </c>
      <c r="B1196" s="3" t="s">
        <v>901</v>
      </c>
      <c r="C1196" s="3" t="s">
        <v>902</v>
      </c>
      <c r="D1196" s="3" t="s">
        <v>14</v>
      </c>
      <c r="E1196" s="3" t="s">
        <v>12</v>
      </c>
      <c r="F1196" s="3">
        <v>0</v>
      </c>
      <c r="G1196" s="74">
        <f>F1196*VLOOKUP(D1196,GWPs!$B$3:$C$6,2,FALSE)</f>
        <v>0</v>
      </c>
      <c r="H1196" s="3">
        <v>0</v>
      </c>
      <c r="I1196" s="74">
        <f>H1196*VLOOKUP(D1196,GWPs!$B$3:$C$6,2,FALSE)</f>
        <v>0</v>
      </c>
      <c r="J1196" s="3">
        <v>0</v>
      </c>
      <c r="K1196" s="74">
        <f>J1196*VLOOKUP(D1196,GWPs!$B$3:$C$6,2,FALSE)</f>
        <v>0</v>
      </c>
      <c r="M1196" s="3">
        <v>3</v>
      </c>
      <c r="N1196" s="3">
        <v>2</v>
      </c>
      <c r="O1196" s="3">
        <v>1</v>
      </c>
      <c r="P1196" s="3">
        <v>2</v>
      </c>
      <c r="Q1196" s="3">
        <v>1</v>
      </c>
    </row>
    <row r="1197" spans="1:17">
      <c r="A1197" t="s">
        <v>1429</v>
      </c>
      <c r="B1197" s="3" t="s">
        <v>901</v>
      </c>
      <c r="C1197" s="3" t="s">
        <v>902</v>
      </c>
      <c r="D1197" s="3" t="s">
        <v>15</v>
      </c>
      <c r="E1197" s="3" t="s">
        <v>16</v>
      </c>
      <c r="F1197" s="3">
        <v>5.0000000000000001E-3</v>
      </c>
      <c r="G1197" s="74">
        <f>F1197*VLOOKUP(D1197,GWPs!$B$3:$C$6,2,FALSE)</f>
        <v>5.0000000000000001E-3</v>
      </c>
      <c r="H1197" s="3">
        <v>0</v>
      </c>
      <c r="I1197" s="74">
        <f>H1197*VLOOKUP(D1197,GWPs!$B$3:$C$6,2,FALSE)</f>
        <v>0</v>
      </c>
      <c r="J1197" s="3">
        <v>5.0000000000000001E-3</v>
      </c>
      <c r="K1197" s="74">
        <f>J1197*VLOOKUP(D1197,GWPs!$B$3:$C$6,2,FALSE)</f>
        <v>5.0000000000000001E-3</v>
      </c>
      <c r="M1197" s="3">
        <v>3</v>
      </c>
      <c r="N1197" s="3">
        <v>2</v>
      </c>
      <c r="O1197" s="3">
        <v>1</v>
      </c>
      <c r="P1197" s="3">
        <v>3</v>
      </c>
      <c r="Q1197" s="3">
        <v>1</v>
      </c>
    </row>
    <row r="1198" spans="1:17">
      <c r="A1198" t="s">
        <v>1429</v>
      </c>
      <c r="B1198" s="3" t="s">
        <v>903</v>
      </c>
      <c r="C1198" s="3" t="s">
        <v>904</v>
      </c>
      <c r="D1198" s="3" t="s">
        <v>11</v>
      </c>
      <c r="E1198" s="3" t="s">
        <v>12</v>
      </c>
      <c r="F1198" s="3">
        <v>0.16</v>
      </c>
      <c r="G1198" s="74">
        <f>F1198*VLOOKUP(D1198,GWPs!$B$3:$C$6,2,FALSE)</f>
        <v>0.16</v>
      </c>
      <c r="H1198" s="3">
        <v>0</v>
      </c>
      <c r="I1198" s="74">
        <f>H1198*VLOOKUP(D1198,GWPs!$B$3:$C$6,2,FALSE)</f>
        <v>0</v>
      </c>
      <c r="J1198" s="3">
        <v>0.16</v>
      </c>
      <c r="K1198" s="74">
        <f>J1198*VLOOKUP(D1198,GWPs!$B$3:$C$6,2,FALSE)</f>
        <v>0.16</v>
      </c>
      <c r="M1198" s="3">
        <v>3</v>
      </c>
      <c r="N1198" s="3">
        <v>2</v>
      </c>
      <c r="O1198" s="3">
        <v>1</v>
      </c>
      <c r="P1198" s="3">
        <v>3</v>
      </c>
      <c r="Q1198" s="3">
        <v>1</v>
      </c>
    </row>
    <row r="1199" spans="1:17">
      <c r="A1199" t="s">
        <v>1429</v>
      </c>
      <c r="B1199" s="3" t="s">
        <v>903</v>
      </c>
      <c r="C1199" s="3" t="s">
        <v>904</v>
      </c>
      <c r="D1199" s="3" t="s">
        <v>13</v>
      </c>
      <c r="E1199" s="3" t="s">
        <v>12</v>
      </c>
      <c r="F1199" s="3">
        <v>1E-3</v>
      </c>
      <c r="G1199" s="74">
        <f>F1199*VLOOKUP(D1199,GWPs!$B$3:$C$6,2,FALSE)</f>
        <v>2.8000000000000001E-2</v>
      </c>
      <c r="H1199" s="3">
        <v>0</v>
      </c>
      <c r="I1199" s="74">
        <f>H1199*VLOOKUP(D1199,GWPs!$B$3:$C$6,2,FALSE)</f>
        <v>0</v>
      </c>
      <c r="J1199" s="3">
        <v>1E-3</v>
      </c>
      <c r="K1199" s="74">
        <f>J1199*VLOOKUP(D1199,GWPs!$B$3:$C$6,2,FALSE)</f>
        <v>2.8000000000000001E-2</v>
      </c>
      <c r="M1199" s="3">
        <v>3</v>
      </c>
      <c r="N1199" s="3">
        <v>2</v>
      </c>
      <c r="O1199" s="3">
        <v>1</v>
      </c>
      <c r="P1199" s="3">
        <v>1</v>
      </c>
      <c r="Q1199" s="3">
        <v>1</v>
      </c>
    </row>
    <row r="1200" spans="1:17">
      <c r="A1200" t="s">
        <v>1429</v>
      </c>
      <c r="B1200" s="3" t="s">
        <v>903</v>
      </c>
      <c r="C1200" s="3" t="s">
        <v>904</v>
      </c>
      <c r="D1200" s="3" t="s">
        <v>14</v>
      </c>
      <c r="E1200" s="3" t="s">
        <v>12</v>
      </c>
      <c r="F1200" s="3">
        <v>0</v>
      </c>
      <c r="G1200" s="74">
        <f>F1200*VLOOKUP(D1200,GWPs!$B$3:$C$6,2,FALSE)</f>
        <v>0</v>
      </c>
      <c r="H1200" s="3">
        <v>0</v>
      </c>
      <c r="I1200" s="74">
        <f>H1200*VLOOKUP(D1200,GWPs!$B$3:$C$6,2,FALSE)</f>
        <v>0</v>
      </c>
      <c r="J1200" s="3">
        <v>0</v>
      </c>
      <c r="K1200" s="74">
        <f>J1200*VLOOKUP(D1200,GWPs!$B$3:$C$6,2,FALSE)</f>
        <v>0</v>
      </c>
      <c r="M1200" s="3">
        <v>3</v>
      </c>
      <c r="N1200" s="3">
        <v>2</v>
      </c>
      <c r="O1200" s="3">
        <v>1</v>
      </c>
      <c r="P1200" s="3">
        <v>3</v>
      </c>
      <c r="Q1200" s="3">
        <v>1</v>
      </c>
    </row>
    <row r="1201" spans="1:17">
      <c r="A1201" t="s">
        <v>1429</v>
      </c>
      <c r="B1201" s="3" t="s">
        <v>903</v>
      </c>
      <c r="C1201" s="3" t="s">
        <v>904</v>
      </c>
      <c r="D1201" s="3" t="s">
        <v>15</v>
      </c>
      <c r="E1201" s="3" t="s">
        <v>16</v>
      </c>
      <c r="F1201" s="3">
        <v>4.0000000000000001E-3</v>
      </c>
      <c r="G1201" s="74">
        <f>F1201*VLOOKUP(D1201,GWPs!$B$3:$C$6,2,FALSE)</f>
        <v>4.0000000000000001E-3</v>
      </c>
      <c r="H1201" s="3">
        <v>0</v>
      </c>
      <c r="I1201" s="74">
        <f>H1201*VLOOKUP(D1201,GWPs!$B$3:$C$6,2,FALSE)</f>
        <v>0</v>
      </c>
      <c r="J1201" s="3">
        <v>4.0000000000000001E-3</v>
      </c>
      <c r="K1201" s="74">
        <f>J1201*VLOOKUP(D1201,GWPs!$B$3:$C$6,2,FALSE)</f>
        <v>4.0000000000000001E-3</v>
      </c>
      <c r="M1201" s="3">
        <v>3</v>
      </c>
      <c r="N1201" s="3">
        <v>2</v>
      </c>
      <c r="O1201" s="3">
        <v>1</v>
      </c>
      <c r="P1201" s="3">
        <v>4</v>
      </c>
      <c r="Q1201" s="3">
        <v>1</v>
      </c>
    </row>
    <row r="1202" spans="1:17">
      <c r="A1202" t="s">
        <v>1429</v>
      </c>
      <c r="B1202" s="3" t="s">
        <v>905</v>
      </c>
      <c r="C1202" s="3" t="s">
        <v>906</v>
      </c>
      <c r="D1202" s="3" t="s">
        <v>11</v>
      </c>
      <c r="E1202" s="3" t="s">
        <v>12</v>
      </c>
      <c r="F1202" s="3">
        <v>0.107</v>
      </c>
      <c r="G1202" s="74">
        <f>F1202*VLOOKUP(D1202,GWPs!$B$3:$C$6,2,FALSE)</f>
        <v>0.107</v>
      </c>
      <c r="H1202" s="3">
        <v>6.8000000000000005E-2</v>
      </c>
      <c r="I1202" s="74">
        <f>H1202*VLOOKUP(D1202,GWPs!$B$3:$C$6,2,FALSE)</f>
        <v>6.8000000000000005E-2</v>
      </c>
      <c r="J1202" s="3">
        <v>0.17399999999999999</v>
      </c>
      <c r="K1202" s="74">
        <f>J1202*VLOOKUP(D1202,GWPs!$B$3:$C$6,2,FALSE)</f>
        <v>0.17399999999999999</v>
      </c>
      <c r="M1202" s="3">
        <v>3</v>
      </c>
      <c r="N1202" s="3">
        <v>2</v>
      </c>
      <c r="O1202" s="3">
        <v>1</v>
      </c>
      <c r="P1202" s="3">
        <v>3</v>
      </c>
      <c r="Q1202" s="3">
        <v>1</v>
      </c>
    </row>
    <row r="1203" spans="1:17">
      <c r="A1203" t="s">
        <v>1429</v>
      </c>
      <c r="B1203" s="3" t="s">
        <v>905</v>
      </c>
      <c r="C1203" s="3" t="s">
        <v>906</v>
      </c>
      <c r="D1203" s="3" t="s">
        <v>13</v>
      </c>
      <c r="E1203" s="3" t="s">
        <v>12</v>
      </c>
      <c r="F1203" s="3">
        <v>0</v>
      </c>
      <c r="G1203" s="74">
        <f>F1203*VLOOKUP(D1203,GWPs!$B$3:$C$6,2,FALSE)</f>
        <v>0</v>
      </c>
      <c r="H1203" s="3">
        <v>1E-3</v>
      </c>
      <c r="I1203" s="74">
        <f>H1203*VLOOKUP(D1203,GWPs!$B$3:$C$6,2,FALSE)</f>
        <v>2.8000000000000001E-2</v>
      </c>
      <c r="J1203" s="3">
        <v>1E-3</v>
      </c>
      <c r="K1203" s="74">
        <f>J1203*VLOOKUP(D1203,GWPs!$B$3:$C$6,2,FALSE)</f>
        <v>2.8000000000000001E-2</v>
      </c>
      <c r="M1203" s="3">
        <v>4</v>
      </c>
      <c r="N1203" s="3">
        <v>2</v>
      </c>
      <c r="O1203" s="3">
        <v>1</v>
      </c>
      <c r="P1203" s="3">
        <v>1</v>
      </c>
      <c r="Q1203" s="3">
        <v>1</v>
      </c>
    </row>
    <row r="1204" spans="1:17">
      <c r="A1204" t="s">
        <v>1429</v>
      </c>
      <c r="B1204" s="3" t="s">
        <v>905</v>
      </c>
      <c r="C1204" s="3" t="s">
        <v>906</v>
      </c>
      <c r="D1204" s="3" t="s">
        <v>14</v>
      </c>
      <c r="E1204" s="3" t="s">
        <v>12</v>
      </c>
      <c r="F1204" s="3">
        <v>0</v>
      </c>
      <c r="G1204" s="74">
        <f>F1204*VLOOKUP(D1204,GWPs!$B$3:$C$6,2,FALSE)</f>
        <v>0</v>
      </c>
      <c r="H1204" s="3">
        <v>0</v>
      </c>
      <c r="I1204" s="74">
        <f>H1204*VLOOKUP(D1204,GWPs!$B$3:$C$6,2,FALSE)</f>
        <v>0</v>
      </c>
      <c r="J1204" s="3">
        <v>0</v>
      </c>
      <c r="K1204" s="74">
        <f>J1204*VLOOKUP(D1204,GWPs!$B$3:$C$6,2,FALSE)</f>
        <v>0</v>
      </c>
      <c r="M1204" s="3">
        <v>3</v>
      </c>
      <c r="N1204" s="3">
        <v>2</v>
      </c>
      <c r="O1204" s="3">
        <v>1</v>
      </c>
      <c r="P1204" s="3">
        <v>3</v>
      </c>
      <c r="Q1204" s="3">
        <v>1</v>
      </c>
    </row>
    <row r="1205" spans="1:17">
      <c r="A1205" t="s">
        <v>1429</v>
      </c>
      <c r="B1205" s="3" t="s">
        <v>905</v>
      </c>
      <c r="C1205" s="3" t="s">
        <v>906</v>
      </c>
      <c r="D1205" s="3" t="s">
        <v>15</v>
      </c>
      <c r="E1205" s="3" t="s">
        <v>16</v>
      </c>
      <c r="F1205" s="3">
        <v>2E-3</v>
      </c>
      <c r="G1205" s="74">
        <f>F1205*VLOOKUP(D1205,GWPs!$B$3:$C$6,2,FALSE)</f>
        <v>2E-3</v>
      </c>
      <c r="H1205" s="3">
        <v>0</v>
      </c>
      <c r="I1205" s="74">
        <f>H1205*VLOOKUP(D1205,GWPs!$B$3:$C$6,2,FALSE)</f>
        <v>0</v>
      </c>
      <c r="J1205" s="3">
        <v>2E-3</v>
      </c>
      <c r="K1205" s="74">
        <f>J1205*VLOOKUP(D1205,GWPs!$B$3:$C$6,2,FALSE)</f>
        <v>2E-3</v>
      </c>
      <c r="M1205" s="3">
        <v>3</v>
      </c>
      <c r="N1205" s="3">
        <v>2</v>
      </c>
      <c r="O1205" s="3">
        <v>1</v>
      </c>
      <c r="P1205" s="3">
        <v>4</v>
      </c>
      <c r="Q1205" s="3">
        <v>1</v>
      </c>
    </row>
    <row r="1206" spans="1:17">
      <c r="A1206" t="s">
        <v>1430</v>
      </c>
      <c r="B1206" s="3" t="s">
        <v>907</v>
      </c>
      <c r="C1206" s="3" t="s">
        <v>908</v>
      </c>
      <c r="D1206" s="3" t="s">
        <v>11</v>
      </c>
      <c r="E1206" s="3" t="s">
        <v>12</v>
      </c>
      <c r="F1206" s="3">
        <v>7.9000000000000001E-2</v>
      </c>
      <c r="G1206" s="74">
        <f>F1206*VLOOKUP(D1206,GWPs!$B$3:$C$6,2,FALSE)</f>
        <v>7.9000000000000001E-2</v>
      </c>
      <c r="H1206" s="3">
        <v>4.5999999999999999E-2</v>
      </c>
      <c r="I1206" s="74">
        <f>H1206*VLOOKUP(D1206,GWPs!$B$3:$C$6,2,FALSE)</f>
        <v>4.5999999999999999E-2</v>
      </c>
      <c r="J1206" s="3">
        <v>0.125</v>
      </c>
      <c r="K1206" s="74">
        <f>J1206*VLOOKUP(D1206,GWPs!$B$3:$C$6,2,FALSE)</f>
        <v>0.125</v>
      </c>
      <c r="M1206" s="3">
        <v>3</v>
      </c>
      <c r="N1206" s="3">
        <v>2</v>
      </c>
      <c r="O1206" s="3">
        <v>1</v>
      </c>
      <c r="P1206" s="3">
        <v>3</v>
      </c>
      <c r="Q1206" s="3">
        <v>1</v>
      </c>
    </row>
    <row r="1207" spans="1:17">
      <c r="A1207" t="s">
        <v>1430</v>
      </c>
      <c r="B1207" s="3" t="s">
        <v>907</v>
      </c>
      <c r="C1207" s="3" t="s">
        <v>908</v>
      </c>
      <c r="D1207" s="3" t="s">
        <v>13</v>
      </c>
      <c r="E1207" s="3" t="s">
        <v>12</v>
      </c>
      <c r="F1207" s="3">
        <v>0</v>
      </c>
      <c r="G1207" s="74">
        <f>F1207*VLOOKUP(D1207,GWPs!$B$3:$C$6,2,FALSE)</f>
        <v>0</v>
      </c>
      <c r="H1207" s="3">
        <v>0</v>
      </c>
      <c r="I1207" s="74">
        <f>H1207*VLOOKUP(D1207,GWPs!$B$3:$C$6,2,FALSE)</f>
        <v>0</v>
      </c>
      <c r="J1207" s="3">
        <v>1E-3</v>
      </c>
      <c r="K1207" s="74">
        <f>J1207*VLOOKUP(D1207,GWPs!$B$3:$C$6,2,FALSE)</f>
        <v>2.8000000000000001E-2</v>
      </c>
      <c r="M1207" s="3">
        <v>3</v>
      </c>
      <c r="N1207" s="3">
        <v>2</v>
      </c>
      <c r="O1207" s="3">
        <v>1</v>
      </c>
      <c r="P1207" s="3">
        <v>1</v>
      </c>
      <c r="Q1207" s="3">
        <v>1</v>
      </c>
    </row>
    <row r="1208" spans="1:17">
      <c r="A1208" t="s">
        <v>1430</v>
      </c>
      <c r="B1208" s="3" t="s">
        <v>907</v>
      </c>
      <c r="C1208" s="3" t="s">
        <v>908</v>
      </c>
      <c r="D1208" s="3" t="s">
        <v>14</v>
      </c>
      <c r="E1208" s="3" t="s">
        <v>12</v>
      </c>
      <c r="F1208" s="3">
        <v>0</v>
      </c>
      <c r="G1208" s="74">
        <f>F1208*VLOOKUP(D1208,GWPs!$B$3:$C$6,2,FALSE)</f>
        <v>0</v>
      </c>
      <c r="H1208" s="3">
        <v>0</v>
      </c>
      <c r="I1208" s="74">
        <f>H1208*VLOOKUP(D1208,GWPs!$B$3:$C$6,2,FALSE)</f>
        <v>0</v>
      </c>
      <c r="J1208" s="3">
        <v>0</v>
      </c>
      <c r="K1208" s="74">
        <f>J1208*VLOOKUP(D1208,GWPs!$B$3:$C$6,2,FALSE)</f>
        <v>0</v>
      </c>
      <c r="M1208" s="3">
        <v>4</v>
      </c>
      <c r="N1208" s="3">
        <v>2</v>
      </c>
      <c r="O1208" s="3">
        <v>1</v>
      </c>
      <c r="P1208" s="3">
        <v>3</v>
      </c>
      <c r="Q1208" s="3">
        <v>1</v>
      </c>
    </row>
    <row r="1209" spans="1:17">
      <c r="A1209" t="s">
        <v>1430</v>
      </c>
      <c r="B1209" s="3" t="s">
        <v>907</v>
      </c>
      <c r="C1209" s="3" t="s">
        <v>908</v>
      </c>
      <c r="D1209" s="3" t="s">
        <v>15</v>
      </c>
      <c r="E1209" s="3" t="s">
        <v>16</v>
      </c>
      <c r="F1209" s="3">
        <v>2E-3</v>
      </c>
      <c r="G1209" s="74">
        <f>F1209*VLOOKUP(D1209,GWPs!$B$3:$C$6,2,FALSE)</f>
        <v>2E-3</v>
      </c>
      <c r="H1209" s="3">
        <v>0</v>
      </c>
      <c r="I1209" s="74">
        <f>H1209*VLOOKUP(D1209,GWPs!$B$3:$C$6,2,FALSE)</f>
        <v>0</v>
      </c>
      <c r="J1209" s="3">
        <v>2E-3</v>
      </c>
      <c r="K1209" s="74">
        <f>J1209*VLOOKUP(D1209,GWPs!$B$3:$C$6,2,FALSE)</f>
        <v>2E-3</v>
      </c>
      <c r="M1209" s="3">
        <v>4</v>
      </c>
      <c r="N1209" s="3">
        <v>2</v>
      </c>
      <c r="O1209" s="3">
        <v>1</v>
      </c>
      <c r="P1209" s="3">
        <v>4</v>
      </c>
      <c r="Q1209" s="3">
        <v>1</v>
      </c>
    </row>
    <row r="1210" spans="1:17">
      <c r="A1210" t="s">
        <v>1429</v>
      </c>
      <c r="B1210" s="3" t="s">
        <v>909</v>
      </c>
      <c r="C1210" s="3" t="s">
        <v>910</v>
      </c>
      <c r="D1210" s="3" t="s">
        <v>11</v>
      </c>
      <c r="E1210" s="3" t="s">
        <v>12</v>
      </c>
      <c r="F1210" s="3">
        <v>9.1999999999999998E-2</v>
      </c>
      <c r="G1210" s="74">
        <f>F1210*VLOOKUP(D1210,GWPs!$B$3:$C$6,2,FALSE)</f>
        <v>9.1999999999999998E-2</v>
      </c>
      <c r="H1210" s="3">
        <v>7.0000000000000007E-2</v>
      </c>
      <c r="I1210" s="74">
        <f>H1210*VLOOKUP(D1210,GWPs!$B$3:$C$6,2,FALSE)</f>
        <v>7.0000000000000007E-2</v>
      </c>
      <c r="J1210" s="3">
        <v>0.16200000000000001</v>
      </c>
      <c r="K1210" s="74">
        <f>J1210*VLOOKUP(D1210,GWPs!$B$3:$C$6,2,FALSE)</f>
        <v>0.16200000000000001</v>
      </c>
      <c r="M1210" s="3">
        <v>3</v>
      </c>
      <c r="N1210" s="3">
        <v>2</v>
      </c>
      <c r="O1210" s="3">
        <v>1</v>
      </c>
      <c r="P1210" s="3">
        <v>3</v>
      </c>
      <c r="Q1210" s="3">
        <v>1</v>
      </c>
    </row>
    <row r="1211" spans="1:17">
      <c r="A1211" t="s">
        <v>1429</v>
      </c>
      <c r="B1211" s="3" t="s">
        <v>909</v>
      </c>
      <c r="C1211" s="3" t="s">
        <v>910</v>
      </c>
      <c r="D1211" s="3" t="s">
        <v>13</v>
      </c>
      <c r="E1211" s="3" t="s">
        <v>12</v>
      </c>
      <c r="F1211" s="3">
        <v>0</v>
      </c>
      <c r="G1211" s="74">
        <f>F1211*VLOOKUP(D1211,GWPs!$B$3:$C$6,2,FALSE)</f>
        <v>0</v>
      </c>
      <c r="H1211" s="3">
        <v>0</v>
      </c>
      <c r="I1211" s="74">
        <f>H1211*VLOOKUP(D1211,GWPs!$B$3:$C$6,2,FALSE)</f>
        <v>0</v>
      </c>
      <c r="J1211" s="3">
        <v>1E-3</v>
      </c>
      <c r="K1211" s="74">
        <f>J1211*VLOOKUP(D1211,GWPs!$B$3:$C$6,2,FALSE)</f>
        <v>2.8000000000000001E-2</v>
      </c>
      <c r="M1211" s="3">
        <v>3</v>
      </c>
      <c r="N1211" s="3">
        <v>2</v>
      </c>
      <c r="O1211" s="3">
        <v>1</v>
      </c>
      <c r="P1211" s="3">
        <v>1</v>
      </c>
      <c r="Q1211" s="3">
        <v>1</v>
      </c>
    </row>
    <row r="1212" spans="1:17">
      <c r="A1212" t="s">
        <v>1429</v>
      </c>
      <c r="B1212" s="3" t="s">
        <v>909</v>
      </c>
      <c r="C1212" s="3" t="s">
        <v>910</v>
      </c>
      <c r="D1212" s="3" t="s">
        <v>14</v>
      </c>
      <c r="E1212" s="3" t="s">
        <v>12</v>
      </c>
      <c r="F1212" s="3">
        <v>0</v>
      </c>
      <c r="G1212" s="74">
        <f>F1212*VLOOKUP(D1212,GWPs!$B$3:$C$6,2,FALSE)</f>
        <v>0</v>
      </c>
      <c r="H1212" s="3">
        <v>0</v>
      </c>
      <c r="I1212" s="74">
        <f>H1212*VLOOKUP(D1212,GWPs!$B$3:$C$6,2,FALSE)</f>
        <v>0</v>
      </c>
      <c r="J1212" s="3">
        <v>0</v>
      </c>
      <c r="K1212" s="74">
        <f>J1212*VLOOKUP(D1212,GWPs!$B$3:$C$6,2,FALSE)</f>
        <v>0</v>
      </c>
      <c r="M1212" s="3">
        <v>3</v>
      </c>
      <c r="N1212" s="3">
        <v>2</v>
      </c>
      <c r="O1212" s="3">
        <v>1</v>
      </c>
      <c r="P1212" s="3">
        <v>3</v>
      </c>
      <c r="Q1212" s="3">
        <v>1</v>
      </c>
    </row>
    <row r="1213" spans="1:17">
      <c r="A1213" t="s">
        <v>1429</v>
      </c>
      <c r="B1213" s="3" t="s">
        <v>909</v>
      </c>
      <c r="C1213" s="3" t="s">
        <v>910</v>
      </c>
      <c r="D1213" s="3" t="s">
        <v>15</v>
      </c>
      <c r="E1213" s="3" t="s">
        <v>16</v>
      </c>
      <c r="F1213" s="3">
        <v>2E-3</v>
      </c>
      <c r="G1213" s="74">
        <f>F1213*VLOOKUP(D1213,GWPs!$B$3:$C$6,2,FALSE)</f>
        <v>2E-3</v>
      </c>
      <c r="H1213" s="3">
        <v>0</v>
      </c>
      <c r="I1213" s="74">
        <f>H1213*VLOOKUP(D1213,GWPs!$B$3:$C$6,2,FALSE)</f>
        <v>0</v>
      </c>
      <c r="J1213" s="3">
        <v>2E-3</v>
      </c>
      <c r="K1213" s="74">
        <f>J1213*VLOOKUP(D1213,GWPs!$B$3:$C$6,2,FALSE)</f>
        <v>2E-3</v>
      </c>
      <c r="M1213" s="3">
        <v>4</v>
      </c>
      <c r="N1213" s="3">
        <v>2</v>
      </c>
      <c r="O1213" s="3">
        <v>1</v>
      </c>
      <c r="P1213" s="3">
        <v>4</v>
      </c>
      <c r="Q1213" s="3">
        <v>1</v>
      </c>
    </row>
    <row r="1214" spans="1:17">
      <c r="A1214" t="s">
        <v>1429</v>
      </c>
      <c r="B1214" s="3" t="s">
        <v>911</v>
      </c>
      <c r="C1214" s="3" t="s">
        <v>912</v>
      </c>
      <c r="D1214" s="3" t="s">
        <v>11</v>
      </c>
      <c r="E1214" s="3" t="s">
        <v>12</v>
      </c>
      <c r="F1214" s="3">
        <v>8.5000000000000006E-2</v>
      </c>
      <c r="G1214" s="74">
        <f>F1214*VLOOKUP(D1214,GWPs!$B$3:$C$6,2,FALSE)</f>
        <v>8.5000000000000006E-2</v>
      </c>
      <c r="H1214" s="3">
        <v>6.5000000000000002E-2</v>
      </c>
      <c r="I1214" s="74">
        <f>H1214*VLOOKUP(D1214,GWPs!$B$3:$C$6,2,FALSE)</f>
        <v>6.5000000000000002E-2</v>
      </c>
      <c r="J1214" s="3">
        <v>0.15</v>
      </c>
      <c r="K1214" s="74">
        <f>J1214*VLOOKUP(D1214,GWPs!$B$3:$C$6,2,FALSE)</f>
        <v>0.15</v>
      </c>
      <c r="M1214" s="3">
        <v>3</v>
      </c>
      <c r="N1214" s="3">
        <v>2</v>
      </c>
      <c r="O1214" s="3">
        <v>1</v>
      </c>
      <c r="P1214" s="3">
        <v>3</v>
      </c>
      <c r="Q1214" s="3">
        <v>1</v>
      </c>
    </row>
    <row r="1215" spans="1:17">
      <c r="A1215" t="s">
        <v>1429</v>
      </c>
      <c r="B1215" s="3" t="s">
        <v>911</v>
      </c>
      <c r="C1215" s="3" t="s">
        <v>912</v>
      </c>
      <c r="D1215" s="3" t="s">
        <v>13</v>
      </c>
      <c r="E1215" s="3" t="s">
        <v>12</v>
      </c>
      <c r="F1215" s="3">
        <v>0</v>
      </c>
      <c r="G1215" s="74">
        <f>F1215*VLOOKUP(D1215,GWPs!$B$3:$C$6,2,FALSE)</f>
        <v>0</v>
      </c>
      <c r="H1215" s="3">
        <v>0</v>
      </c>
      <c r="I1215" s="74">
        <f>H1215*VLOOKUP(D1215,GWPs!$B$3:$C$6,2,FALSE)</f>
        <v>0</v>
      </c>
      <c r="J1215" s="3">
        <v>1E-3</v>
      </c>
      <c r="K1215" s="74">
        <f>J1215*VLOOKUP(D1215,GWPs!$B$3:$C$6,2,FALSE)</f>
        <v>2.8000000000000001E-2</v>
      </c>
      <c r="M1215" s="3">
        <v>4</v>
      </c>
      <c r="N1215" s="3">
        <v>2</v>
      </c>
      <c r="O1215" s="3">
        <v>1</v>
      </c>
      <c r="P1215" s="3">
        <v>1</v>
      </c>
      <c r="Q1215" s="3">
        <v>1</v>
      </c>
    </row>
    <row r="1216" spans="1:17">
      <c r="A1216" t="s">
        <v>1429</v>
      </c>
      <c r="B1216" s="3" t="s">
        <v>911</v>
      </c>
      <c r="C1216" s="3" t="s">
        <v>912</v>
      </c>
      <c r="D1216" s="3" t="s">
        <v>14</v>
      </c>
      <c r="E1216" s="3" t="s">
        <v>12</v>
      </c>
      <c r="F1216" s="3">
        <v>0</v>
      </c>
      <c r="G1216" s="74">
        <f>F1216*VLOOKUP(D1216,GWPs!$B$3:$C$6,2,FALSE)</f>
        <v>0</v>
      </c>
      <c r="H1216" s="3">
        <v>0</v>
      </c>
      <c r="I1216" s="74">
        <f>H1216*VLOOKUP(D1216,GWPs!$B$3:$C$6,2,FALSE)</f>
        <v>0</v>
      </c>
      <c r="J1216" s="3">
        <v>0</v>
      </c>
      <c r="K1216" s="74">
        <f>J1216*VLOOKUP(D1216,GWPs!$B$3:$C$6,2,FALSE)</f>
        <v>0</v>
      </c>
      <c r="M1216" s="3">
        <v>3</v>
      </c>
      <c r="N1216" s="3">
        <v>2</v>
      </c>
      <c r="O1216" s="3">
        <v>1</v>
      </c>
      <c r="P1216" s="3">
        <v>3</v>
      </c>
      <c r="Q1216" s="3">
        <v>1</v>
      </c>
    </row>
    <row r="1217" spans="1:17">
      <c r="A1217" t="s">
        <v>1429</v>
      </c>
      <c r="B1217" s="3" t="s">
        <v>911</v>
      </c>
      <c r="C1217" s="3" t="s">
        <v>912</v>
      </c>
      <c r="D1217" s="3" t="s">
        <v>15</v>
      </c>
      <c r="E1217" s="3" t="s">
        <v>16</v>
      </c>
      <c r="F1217" s="3">
        <v>3.0000000000000001E-3</v>
      </c>
      <c r="G1217" s="74">
        <f>F1217*VLOOKUP(D1217,GWPs!$B$3:$C$6,2,FALSE)</f>
        <v>3.0000000000000001E-3</v>
      </c>
      <c r="H1217" s="3">
        <v>0</v>
      </c>
      <c r="I1217" s="74">
        <f>H1217*VLOOKUP(D1217,GWPs!$B$3:$C$6,2,FALSE)</f>
        <v>0</v>
      </c>
      <c r="J1217" s="3">
        <v>3.0000000000000001E-3</v>
      </c>
      <c r="K1217" s="74">
        <f>J1217*VLOOKUP(D1217,GWPs!$B$3:$C$6,2,FALSE)</f>
        <v>3.0000000000000001E-3</v>
      </c>
      <c r="M1217" s="3">
        <v>4</v>
      </c>
      <c r="N1217" s="3">
        <v>2</v>
      </c>
      <c r="O1217" s="3">
        <v>1</v>
      </c>
      <c r="P1217" s="3">
        <v>4</v>
      </c>
      <c r="Q1217" s="3">
        <v>1</v>
      </c>
    </row>
    <row r="1218" spans="1:17">
      <c r="A1218" t="s">
        <v>1429</v>
      </c>
      <c r="B1218" s="3" t="s">
        <v>913</v>
      </c>
      <c r="C1218" s="3" t="s">
        <v>914</v>
      </c>
      <c r="D1218" s="3" t="s">
        <v>11</v>
      </c>
      <c r="E1218" s="3" t="s">
        <v>12</v>
      </c>
      <c r="F1218" s="3">
        <v>3.5000000000000003E-2</v>
      </c>
      <c r="G1218" s="74">
        <f>F1218*VLOOKUP(D1218,GWPs!$B$3:$C$6,2,FALSE)</f>
        <v>3.5000000000000003E-2</v>
      </c>
      <c r="H1218" s="3">
        <v>3.5999999999999997E-2</v>
      </c>
      <c r="I1218" s="74">
        <f>H1218*VLOOKUP(D1218,GWPs!$B$3:$C$6,2,FALSE)</f>
        <v>3.5999999999999997E-2</v>
      </c>
      <c r="J1218" s="3">
        <v>7.0999999999999994E-2</v>
      </c>
      <c r="K1218" s="74">
        <f>J1218*VLOOKUP(D1218,GWPs!$B$3:$C$6,2,FALSE)</f>
        <v>7.0999999999999994E-2</v>
      </c>
      <c r="M1218" s="3">
        <v>3</v>
      </c>
      <c r="N1218" s="3">
        <v>2</v>
      </c>
      <c r="O1218" s="3">
        <v>1</v>
      </c>
      <c r="P1218" s="3">
        <v>3</v>
      </c>
      <c r="Q1218" s="3">
        <v>1</v>
      </c>
    </row>
    <row r="1219" spans="1:17">
      <c r="A1219" t="s">
        <v>1429</v>
      </c>
      <c r="B1219" s="3" t="s">
        <v>913</v>
      </c>
      <c r="C1219" s="3" t="s">
        <v>914</v>
      </c>
      <c r="D1219" s="3" t="s">
        <v>13</v>
      </c>
      <c r="E1219" s="3" t="s">
        <v>12</v>
      </c>
      <c r="F1219" s="3">
        <v>0</v>
      </c>
      <c r="G1219" s="74">
        <f>F1219*VLOOKUP(D1219,GWPs!$B$3:$C$6,2,FALSE)</f>
        <v>0</v>
      </c>
      <c r="H1219" s="3">
        <v>0</v>
      </c>
      <c r="I1219" s="74">
        <f>H1219*VLOOKUP(D1219,GWPs!$B$3:$C$6,2,FALSE)</f>
        <v>0</v>
      </c>
      <c r="J1219" s="3">
        <v>0</v>
      </c>
      <c r="K1219" s="74">
        <f>J1219*VLOOKUP(D1219,GWPs!$B$3:$C$6,2,FALSE)</f>
        <v>0</v>
      </c>
      <c r="M1219" s="3">
        <v>3</v>
      </c>
      <c r="N1219" s="3">
        <v>2</v>
      </c>
      <c r="O1219" s="3">
        <v>1</v>
      </c>
      <c r="P1219" s="3">
        <v>1</v>
      </c>
      <c r="Q1219" s="3">
        <v>1</v>
      </c>
    </row>
    <row r="1220" spans="1:17">
      <c r="A1220" t="s">
        <v>1429</v>
      </c>
      <c r="B1220" s="3" t="s">
        <v>913</v>
      </c>
      <c r="C1220" s="3" t="s">
        <v>914</v>
      </c>
      <c r="D1220" s="3" t="s">
        <v>14</v>
      </c>
      <c r="E1220" s="3" t="s">
        <v>12</v>
      </c>
      <c r="F1220" s="3">
        <v>0</v>
      </c>
      <c r="G1220" s="74">
        <f>F1220*VLOOKUP(D1220,GWPs!$B$3:$C$6,2,FALSE)</f>
        <v>0</v>
      </c>
      <c r="H1220" s="3">
        <v>0</v>
      </c>
      <c r="I1220" s="74">
        <f>H1220*VLOOKUP(D1220,GWPs!$B$3:$C$6,2,FALSE)</f>
        <v>0</v>
      </c>
      <c r="J1220" s="3">
        <v>0</v>
      </c>
      <c r="K1220" s="74">
        <f>J1220*VLOOKUP(D1220,GWPs!$B$3:$C$6,2,FALSE)</f>
        <v>0</v>
      </c>
      <c r="M1220" s="3">
        <v>3</v>
      </c>
      <c r="N1220" s="3">
        <v>2</v>
      </c>
      <c r="O1220" s="3">
        <v>1</v>
      </c>
      <c r="P1220" s="3">
        <v>3</v>
      </c>
      <c r="Q1220" s="3">
        <v>1</v>
      </c>
    </row>
    <row r="1221" spans="1:17">
      <c r="A1221" t="s">
        <v>1429</v>
      </c>
      <c r="B1221" s="3" t="s">
        <v>913</v>
      </c>
      <c r="C1221" s="3" t="s">
        <v>914</v>
      </c>
      <c r="D1221" s="3" t="s">
        <v>15</v>
      </c>
      <c r="E1221" s="3" t="s">
        <v>16</v>
      </c>
      <c r="F1221" s="3">
        <v>2E-3</v>
      </c>
      <c r="G1221" s="74">
        <f>F1221*VLOOKUP(D1221,GWPs!$B$3:$C$6,2,FALSE)</f>
        <v>2E-3</v>
      </c>
      <c r="H1221" s="3">
        <v>0</v>
      </c>
      <c r="I1221" s="74">
        <f>H1221*VLOOKUP(D1221,GWPs!$B$3:$C$6,2,FALSE)</f>
        <v>0</v>
      </c>
      <c r="J1221" s="3">
        <v>2E-3</v>
      </c>
      <c r="K1221" s="74">
        <f>J1221*VLOOKUP(D1221,GWPs!$B$3:$C$6,2,FALSE)</f>
        <v>2E-3</v>
      </c>
      <c r="M1221" s="3">
        <v>4</v>
      </c>
      <c r="N1221" s="3">
        <v>2</v>
      </c>
      <c r="O1221" s="3">
        <v>1</v>
      </c>
      <c r="P1221" s="3">
        <v>4</v>
      </c>
      <c r="Q1221" s="3">
        <v>1</v>
      </c>
    </row>
    <row r="1222" spans="1:17">
      <c r="A1222" t="s">
        <v>1429</v>
      </c>
      <c r="B1222" s="3" t="s">
        <v>915</v>
      </c>
      <c r="C1222" s="3" t="s">
        <v>916</v>
      </c>
      <c r="D1222" s="3" t="s">
        <v>11</v>
      </c>
      <c r="E1222" s="3" t="s">
        <v>12</v>
      </c>
      <c r="F1222" s="3">
        <v>4.2999999999999997E-2</v>
      </c>
      <c r="G1222" s="74">
        <f>F1222*VLOOKUP(D1222,GWPs!$B$3:$C$6,2,FALSE)</f>
        <v>4.2999999999999997E-2</v>
      </c>
      <c r="H1222" s="3">
        <v>6.0000000000000001E-3</v>
      </c>
      <c r="I1222" s="74">
        <f>H1222*VLOOKUP(D1222,GWPs!$B$3:$C$6,2,FALSE)</f>
        <v>6.0000000000000001E-3</v>
      </c>
      <c r="J1222" s="3">
        <v>4.8000000000000001E-2</v>
      </c>
      <c r="K1222" s="74">
        <f>J1222*VLOOKUP(D1222,GWPs!$B$3:$C$6,2,FALSE)</f>
        <v>4.8000000000000001E-2</v>
      </c>
      <c r="M1222" s="3">
        <v>3</v>
      </c>
      <c r="N1222" s="3">
        <v>2</v>
      </c>
      <c r="O1222" s="3">
        <v>1</v>
      </c>
      <c r="P1222" s="3">
        <v>3</v>
      </c>
      <c r="Q1222" s="3">
        <v>1</v>
      </c>
    </row>
    <row r="1223" spans="1:17">
      <c r="A1223" t="s">
        <v>1429</v>
      </c>
      <c r="B1223" s="3" t="s">
        <v>915</v>
      </c>
      <c r="C1223" s="3" t="s">
        <v>916</v>
      </c>
      <c r="D1223" s="3" t="s">
        <v>13</v>
      </c>
      <c r="E1223" s="3" t="s">
        <v>12</v>
      </c>
      <c r="F1223" s="3">
        <v>0</v>
      </c>
      <c r="G1223" s="74">
        <f>F1223*VLOOKUP(D1223,GWPs!$B$3:$C$6,2,FALSE)</f>
        <v>0</v>
      </c>
      <c r="H1223" s="3">
        <v>0</v>
      </c>
      <c r="I1223" s="74">
        <f>H1223*VLOOKUP(D1223,GWPs!$B$3:$C$6,2,FALSE)</f>
        <v>0</v>
      </c>
      <c r="J1223" s="3">
        <v>0</v>
      </c>
      <c r="K1223" s="74">
        <f>J1223*VLOOKUP(D1223,GWPs!$B$3:$C$6,2,FALSE)</f>
        <v>0</v>
      </c>
      <c r="M1223" s="3">
        <v>3</v>
      </c>
      <c r="N1223" s="3">
        <v>2</v>
      </c>
      <c r="O1223" s="3">
        <v>1</v>
      </c>
      <c r="P1223" s="3">
        <v>1</v>
      </c>
      <c r="Q1223" s="3">
        <v>1</v>
      </c>
    </row>
    <row r="1224" spans="1:17">
      <c r="A1224" t="s">
        <v>1429</v>
      </c>
      <c r="B1224" s="3" t="s">
        <v>915</v>
      </c>
      <c r="C1224" s="3" t="s">
        <v>916</v>
      </c>
      <c r="D1224" s="3" t="s">
        <v>14</v>
      </c>
      <c r="E1224" s="3" t="s">
        <v>12</v>
      </c>
      <c r="F1224" s="3">
        <v>0</v>
      </c>
      <c r="G1224" s="74">
        <f>F1224*VLOOKUP(D1224,GWPs!$B$3:$C$6,2,FALSE)</f>
        <v>0</v>
      </c>
      <c r="H1224" s="3">
        <v>0</v>
      </c>
      <c r="I1224" s="74">
        <f>H1224*VLOOKUP(D1224,GWPs!$B$3:$C$6,2,FALSE)</f>
        <v>0</v>
      </c>
      <c r="J1224" s="3">
        <v>0</v>
      </c>
      <c r="K1224" s="74">
        <f>J1224*VLOOKUP(D1224,GWPs!$B$3:$C$6,2,FALSE)</f>
        <v>0</v>
      </c>
      <c r="M1224" s="3">
        <v>3</v>
      </c>
      <c r="N1224" s="3">
        <v>2</v>
      </c>
      <c r="O1224" s="3">
        <v>1</v>
      </c>
      <c r="P1224" s="3">
        <v>3</v>
      </c>
      <c r="Q1224" s="3">
        <v>1</v>
      </c>
    </row>
    <row r="1225" spans="1:17">
      <c r="A1225" t="s">
        <v>1429</v>
      </c>
      <c r="B1225" s="3" t="s">
        <v>915</v>
      </c>
      <c r="C1225" s="3" t="s">
        <v>916</v>
      </c>
      <c r="D1225" s="3" t="s">
        <v>15</v>
      </c>
      <c r="E1225" s="3" t="s">
        <v>16</v>
      </c>
      <c r="F1225" s="3">
        <v>2E-3</v>
      </c>
      <c r="G1225" s="74">
        <f>F1225*VLOOKUP(D1225,GWPs!$B$3:$C$6,2,FALSE)</f>
        <v>2E-3</v>
      </c>
      <c r="H1225" s="3">
        <v>0</v>
      </c>
      <c r="I1225" s="74">
        <f>H1225*VLOOKUP(D1225,GWPs!$B$3:$C$6,2,FALSE)</f>
        <v>0</v>
      </c>
      <c r="J1225" s="3">
        <v>2E-3</v>
      </c>
      <c r="K1225" s="74">
        <f>J1225*VLOOKUP(D1225,GWPs!$B$3:$C$6,2,FALSE)</f>
        <v>2E-3</v>
      </c>
      <c r="M1225" s="3">
        <v>4</v>
      </c>
      <c r="N1225" s="3">
        <v>2</v>
      </c>
      <c r="O1225" s="3">
        <v>1</v>
      </c>
      <c r="P1225" s="3">
        <v>4</v>
      </c>
      <c r="Q1225" s="3">
        <v>1</v>
      </c>
    </row>
    <row r="1226" spans="1:17">
      <c r="A1226" t="s">
        <v>1429</v>
      </c>
      <c r="B1226" s="3" t="s">
        <v>917</v>
      </c>
      <c r="C1226" s="3" t="s">
        <v>918</v>
      </c>
      <c r="D1226" s="3" t="s">
        <v>11</v>
      </c>
      <c r="E1226" s="3" t="s">
        <v>12</v>
      </c>
      <c r="F1226" s="3">
        <v>2.5999999999999999E-2</v>
      </c>
      <c r="G1226" s="74">
        <f>F1226*VLOOKUP(D1226,GWPs!$B$3:$C$6,2,FALSE)</f>
        <v>2.5999999999999999E-2</v>
      </c>
      <c r="H1226" s="3">
        <v>4.1000000000000002E-2</v>
      </c>
      <c r="I1226" s="74">
        <f>H1226*VLOOKUP(D1226,GWPs!$B$3:$C$6,2,FALSE)</f>
        <v>4.1000000000000002E-2</v>
      </c>
      <c r="J1226" s="3">
        <v>6.7000000000000004E-2</v>
      </c>
      <c r="K1226" s="74">
        <f>J1226*VLOOKUP(D1226,GWPs!$B$3:$C$6,2,FALSE)</f>
        <v>6.7000000000000004E-2</v>
      </c>
      <c r="M1226" s="3">
        <v>3</v>
      </c>
      <c r="N1226" s="3">
        <v>2</v>
      </c>
      <c r="O1226" s="3">
        <v>1</v>
      </c>
      <c r="P1226" s="3">
        <v>3</v>
      </c>
      <c r="Q1226" s="3">
        <v>1</v>
      </c>
    </row>
    <row r="1227" spans="1:17">
      <c r="A1227" t="s">
        <v>1429</v>
      </c>
      <c r="B1227" s="3" t="s">
        <v>917</v>
      </c>
      <c r="C1227" s="3" t="s">
        <v>918</v>
      </c>
      <c r="D1227" s="3" t="s">
        <v>13</v>
      </c>
      <c r="E1227" s="3" t="s">
        <v>12</v>
      </c>
      <c r="F1227" s="3">
        <v>0</v>
      </c>
      <c r="G1227" s="74">
        <f>F1227*VLOOKUP(D1227,GWPs!$B$3:$C$6,2,FALSE)</f>
        <v>0</v>
      </c>
      <c r="H1227" s="3">
        <v>0</v>
      </c>
      <c r="I1227" s="74">
        <f>H1227*VLOOKUP(D1227,GWPs!$B$3:$C$6,2,FALSE)</f>
        <v>0</v>
      </c>
      <c r="J1227" s="3">
        <v>0</v>
      </c>
      <c r="K1227" s="74">
        <f>J1227*VLOOKUP(D1227,GWPs!$B$3:$C$6,2,FALSE)</f>
        <v>0</v>
      </c>
      <c r="M1227" s="3">
        <v>3</v>
      </c>
      <c r="N1227" s="3">
        <v>2</v>
      </c>
      <c r="O1227" s="3">
        <v>1</v>
      </c>
      <c r="P1227" s="3">
        <v>1</v>
      </c>
      <c r="Q1227" s="3">
        <v>1</v>
      </c>
    </row>
    <row r="1228" spans="1:17">
      <c r="A1228" t="s">
        <v>1429</v>
      </c>
      <c r="B1228" s="3" t="s">
        <v>917</v>
      </c>
      <c r="C1228" s="3" t="s">
        <v>918</v>
      </c>
      <c r="D1228" s="3" t="s">
        <v>14</v>
      </c>
      <c r="E1228" s="3" t="s">
        <v>12</v>
      </c>
      <c r="F1228" s="3">
        <v>0</v>
      </c>
      <c r="G1228" s="74">
        <f>F1228*VLOOKUP(D1228,GWPs!$B$3:$C$6,2,FALSE)</f>
        <v>0</v>
      </c>
      <c r="H1228" s="3">
        <v>0</v>
      </c>
      <c r="I1228" s="74">
        <f>H1228*VLOOKUP(D1228,GWPs!$B$3:$C$6,2,FALSE)</f>
        <v>0</v>
      </c>
      <c r="J1228" s="3">
        <v>0</v>
      </c>
      <c r="K1228" s="74">
        <f>J1228*VLOOKUP(D1228,GWPs!$B$3:$C$6,2,FALSE)</f>
        <v>0</v>
      </c>
      <c r="M1228" s="3">
        <v>3</v>
      </c>
      <c r="N1228" s="3">
        <v>2</v>
      </c>
      <c r="O1228" s="3">
        <v>1</v>
      </c>
      <c r="P1228" s="3">
        <v>3</v>
      </c>
      <c r="Q1228" s="3">
        <v>1</v>
      </c>
    </row>
    <row r="1229" spans="1:17">
      <c r="A1229" t="s">
        <v>1429</v>
      </c>
      <c r="B1229" s="3" t="s">
        <v>917</v>
      </c>
      <c r="C1229" s="3" t="s">
        <v>918</v>
      </c>
      <c r="D1229" s="3" t="s">
        <v>15</v>
      </c>
      <c r="E1229" s="3" t="s">
        <v>16</v>
      </c>
      <c r="F1229" s="3">
        <v>1E-3</v>
      </c>
      <c r="G1229" s="74">
        <f>F1229*VLOOKUP(D1229,GWPs!$B$3:$C$6,2,FALSE)</f>
        <v>1E-3</v>
      </c>
      <c r="H1229" s="3">
        <v>0</v>
      </c>
      <c r="I1229" s="74">
        <f>H1229*VLOOKUP(D1229,GWPs!$B$3:$C$6,2,FALSE)</f>
        <v>0</v>
      </c>
      <c r="J1229" s="3">
        <v>1E-3</v>
      </c>
      <c r="K1229" s="74">
        <f>J1229*VLOOKUP(D1229,GWPs!$B$3:$C$6,2,FALSE)</f>
        <v>1E-3</v>
      </c>
      <c r="M1229" s="3">
        <v>3</v>
      </c>
      <c r="N1229" s="3">
        <v>2</v>
      </c>
      <c r="O1229" s="3">
        <v>1</v>
      </c>
      <c r="P1229" s="3">
        <v>4</v>
      </c>
      <c r="Q1229" s="3">
        <v>1</v>
      </c>
    </row>
    <row r="1230" spans="1:17">
      <c r="A1230" t="s">
        <v>1429</v>
      </c>
      <c r="B1230" s="3" t="s">
        <v>919</v>
      </c>
      <c r="C1230" s="3" t="s">
        <v>920</v>
      </c>
      <c r="D1230" s="3" t="s">
        <v>11</v>
      </c>
      <c r="E1230" s="3" t="s">
        <v>12</v>
      </c>
      <c r="F1230" s="3">
        <v>4.7E-2</v>
      </c>
      <c r="G1230" s="74">
        <f>F1230*VLOOKUP(D1230,GWPs!$B$3:$C$6,2,FALSE)</f>
        <v>4.7E-2</v>
      </c>
      <c r="H1230" s="3">
        <v>0</v>
      </c>
      <c r="I1230" s="74">
        <f>H1230*VLOOKUP(D1230,GWPs!$B$3:$C$6,2,FALSE)</f>
        <v>0</v>
      </c>
      <c r="J1230" s="3">
        <v>4.7E-2</v>
      </c>
      <c r="K1230" s="74">
        <f>J1230*VLOOKUP(D1230,GWPs!$B$3:$C$6,2,FALSE)</f>
        <v>4.7E-2</v>
      </c>
      <c r="M1230" s="3">
        <v>3</v>
      </c>
      <c r="N1230" s="3">
        <v>2</v>
      </c>
      <c r="O1230" s="3">
        <v>1</v>
      </c>
      <c r="P1230" s="3">
        <v>3</v>
      </c>
      <c r="Q1230" s="3">
        <v>1</v>
      </c>
    </row>
    <row r="1231" spans="1:17">
      <c r="A1231" t="s">
        <v>1429</v>
      </c>
      <c r="B1231" s="3" t="s">
        <v>919</v>
      </c>
      <c r="C1231" s="3" t="s">
        <v>920</v>
      </c>
      <c r="D1231" s="3" t="s">
        <v>13</v>
      </c>
      <c r="E1231" s="3" t="s">
        <v>12</v>
      </c>
      <c r="F1231" s="3">
        <v>0</v>
      </c>
      <c r="G1231" s="74">
        <f>F1231*VLOOKUP(D1231,GWPs!$B$3:$C$6,2,FALSE)</f>
        <v>0</v>
      </c>
      <c r="H1231" s="3">
        <v>0</v>
      </c>
      <c r="I1231" s="74">
        <f>H1231*VLOOKUP(D1231,GWPs!$B$3:$C$6,2,FALSE)</f>
        <v>0</v>
      </c>
      <c r="J1231" s="3">
        <v>0</v>
      </c>
      <c r="K1231" s="74">
        <f>J1231*VLOOKUP(D1231,GWPs!$B$3:$C$6,2,FALSE)</f>
        <v>0</v>
      </c>
      <c r="M1231" s="3">
        <v>3</v>
      </c>
      <c r="N1231" s="3">
        <v>2</v>
      </c>
      <c r="O1231" s="3">
        <v>1</v>
      </c>
      <c r="P1231" s="3">
        <v>1</v>
      </c>
      <c r="Q1231" s="3">
        <v>1</v>
      </c>
    </row>
    <row r="1232" spans="1:17">
      <c r="A1232" t="s">
        <v>1429</v>
      </c>
      <c r="B1232" s="3" t="s">
        <v>919</v>
      </c>
      <c r="C1232" s="3" t="s">
        <v>920</v>
      </c>
      <c r="D1232" s="3" t="s">
        <v>14</v>
      </c>
      <c r="E1232" s="3" t="s">
        <v>12</v>
      </c>
      <c r="F1232" s="3">
        <v>0</v>
      </c>
      <c r="G1232" s="74">
        <f>F1232*VLOOKUP(D1232,GWPs!$B$3:$C$6,2,FALSE)</f>
        <v>0</v>
      </c>
      <c r="H1232" s="3">
        <v>0</v>
      </c>
      <c r="I1232" s="74">
        <f>H1232*VLOOKUP(D1232,GWPs!$B$3:$C$6,2,FALSE)</f>
        <v>0</v>
      </c>
      <c r="J1232" s="3">
        <v>0</v>
      </c>
      <c r="K1232" s="74">
        <f>J1232*VLOOKUP(D1232,GWPs!$B$3:$C$6,2,FALSE)</f>
        <v>0</v>
      </c>
      <c r="M1232" s="3">
        <v>3</v>
      </c>
      <c r="N1232" s="3">
        <v>2</v>
      </c>
      <c r="O1232" s="3">
        <v>1</v>
      </c>
      <c r="P1232" s="3">
        <v>3</v>
      </c>
      <c r="Q1232" s="3">
        <v>1</v>
      </c>
    </row>
    <row r="1233" spans="1:17">
      <c r="A1233" t="s">
        <v>1429</v>
      </c>
      <c r="B1233" s="3" t="s">
        <v>919</v>
      </c>
      <c r="C1233" s="3" t="s">
        <v>920</v>
      </c>
      <c r="D1233" s="3" t="s">
        <v>15</v>
      </c>
      <c r="E1233" s="3" t="s">
        <v>16</v>
      </c>
      <c r="F1233" s="3">
        <v>2.3E-2</v>
      </c>
      <c r="G1233" s="74">
        <f>F1233*VLOOKUP(D1233,GWPs!$B$3:$C$6,2,FALSE)</f>
        <v>2.3E-2</v>
      </c>
      <c r="H1233" s="3">
        <v>0</v>
      </c>
      <c r="I1233" s="74">
        <f>H1233*VLOOKUP(D1233,GWPs!$B$3:$C$6,2,FALSE)</f>
        <v>0</v>
      </c>
      <c r="J1233" s="3">
        <v>2.3E-2</v>
      </c>
      <c r="K1233" s="74">
        <f>J1233*VLOOKUP(D1233,GWPs!$B$3:$C$6,2,FALSE)</f>
        <v>2.3E-2</v>
      </c>
      <c r="M1233" s="3">
        <v>4</v>
      </c>
      <c r="N1233" s="3">
        <v>2</v>
      </c>
      <c r="O1233" s="3">
        <v>1</v>
      </c>
      <c r="P1233" s="3">
        <v>5</v>
      </c>
      <c r="Q1233" s="3">
        <v>1</v>
      </c>
    </row>
    <row r="1234" spans="1:17">
      <c r="A1234" t="s">
        <v>1429</v>
      </c>
      <c r="B1234" s="3" t="s">
        <v>921</v>
      </c>
      <c r="C1234" s="3" t="s">
        <v>922</v>
      </c>
      <c r="D1234" s="3" t="s">
        <v>11</v>
      </c>
      <c r="E1234" s="3" t="s">
        <v>12</v>
      </c>
      <c r="F1234" s="3">
        <v>7.3999999999999996E-2</v>
      </c>
      <c r="G1234" s="74">
        <f>F1234*VLOOKUP(D1234,GWPs!$B$3:$C$6,2,FALSE)</f>
        <v>7.3999999999999996E-2</v>
      </c>
      <c r="H1234" s="3">
        <v>0</v>
      </c>
      <c r="I1234" s="74">
        <f>H1234*VLOOKUP(D1234,GWPs!$B$3:$C$6,2,FALSE)</f>
        <v>0</v>
      </c>
      <c r="J1234" s="3">
        <v>7.3999999999999996E-2</v>
      </c>
      <c r="K1234" s="74">
        <f>J1234*VLOOKUP(D1234,GWPs!$B$3:$C$6,2,FALSE)</f>
        <v>7.3999999999999996E-2</v>
      </c>
      <c r="M1234" s="3">
        <v>3</v>
      </c>
      <c r="N1234" s="3">
        <v>2</v>
      </c>
      <c r="O1234" s="3">
        <v>1</v>
      </c>
      <c r="P1234" s="3">
        <v>3</v>
      </c>
      <c r="Q1234" s="3">
        <v>1</v>
      </c>
    </row>
    <row r="1235" spans="1:17">
      <c r="A1235" t="s">
        <v>1429</v>
      </c>
      <c r="B1235" s="3" t="s">
        <v>921</v>
      </c>
      <c r="C1235" s="3" t="s">
        <v>922</v>
      </c>
      <c r="D1235" s="3" t="s">
        <v>13</v>
      </c>
      <c r="E1235" s="3" t="s">
        <v>12</v>
      </c>
      <c r="F1235" s="3">
        <v>0</v>
      </c>
      <c r="G1235" s="74">
        <f>F1235*VLOOKUP(D1235,GWPs!$B$3:$C$6,2,FALSE)</f>
        <v>0</v>
      </c>
      <c r="H1235" s="3">
        <v>0</v>
      </c>
      <c r="I1235" s="74">
        <f>H1235*VLOOKUP(D1235,GWPs!$B$3:$C$6,2,FALSE)</f>
        <v>0</v>
      </c>
      <c r="J1235" s="3">
        <v>0</v>
      </c>
      <c r="K1235" s="74">
        <f>J1235*VLOOKUP(D1235,GWPs!$B$3:$C$6,2,FALSE)</f>
        <v>0</v>
      </c>
      <c r="M1235" s="3">
        <v>4</v>
      </c>
      <c r="N1235" s="3">
        <v>2</v>
      </c>
      <c r="O1235" s="3">
        <v>1</v>
      </c>
      <c r="P1235" s="3">
        <v>1</v>
      </c>
      <c r="Q1235" s="3">
        <v>1</v>
      </c>
    </row>
    <row r="1236" spans="1:17">
      <c r="A1236" t="s">
        <v>1429</v>
      </c>
      <c r="B1236" s="3" t="s">
        <v>921</v>
      </c>
      <c r="C1236" s="3" t="s">
        <v>922</v>
      </c>
      <c r="D1236" s="3" t="s">
        <v>14</v>
      </c>
      <c r="E1236" s="3" t="s">
        <v>12</v>
      </c>
      <c r="F1236" s="3">
        <v>0</v>
      </c>
      <c r="G1236" s="74">
        <f>F1236*VLOOKUP(D1236,GWPs!$B$3:$C$6,2,FALSE)</f>
        <v>0</v>
      </c>
      <c r="H1236" s="3">
        <v>0</v>
      </c>
      <c r="I1236" s="74">
        <f>H1236*VLOOKUP(D1236,GWPs!$B$3:$C$6,2,FALSE)</f>
        <v>0</v>
      </c>
      <c r="J1236" s="3">
        <v>0</v>
      </c>
      <c r="K1236" s="74">
        <f>J1236*VLOOKUP(D1236,GWPs!$B$3:$C$6,2,FALSE)</f>
        <v>0</v>
      </c>
      <c r="M1236" s="3">
        <v>3</v>
      </c>
      <c r="N1236" s="3">
        <v>2</v>
      </c>
      <c r="O1236" s="3">
        <v>1</v>
      </c>
      <c r="P1236" s="3">
        <v>3</v>
      </c>
      <c r="Q1236" s="3">
        <v>1</v>
      </c>
    </row>
    <row r="1237" spans="1:17">
      <c r="A1237" t="s">
        <v>1429</v>
      </c>
      <c r="B1237" s="3" t="s">
        <v>921</v>
      </c>
      <c r="C1237" s="3" t="s">
        <v>922</v>
      </c>
      <c r="D1237" s="3" t="s">
        <v>15</v>
      </c>
      <c r="E1237" s="3" t="s">
        <v>16</v>
      </c>
      <c r="F1237" s="3">
        <v>3.5000000000000003E-2</v>
      </c>
      <c r="G1237" s="74">
        <f>F1237*VLOOKUP(D1237,GWPs!$B$3:$C$6,2,FALSE)</f>
        <v>3.5000000000000003E-2</v>
      </c>
      <c r="H1237" s="3">
        <v>0</v>
      </c>
      <c r="I1237" s="74">
        <f>H1237*VLOOKUP(D1237,GWPs!$B$3:$C$6,2,FALSE)</f>
        <v>0</v>
      </c>
      <c r="J1237" s="3">
        <v>3.5000000000000003E-2</v>
      </c>
      <c r="K1237" s="74">
        <f>J1237*VLOOKUP(D1237,GWPs!$B$3:$C$6,2,FALSE)</f>
        <v>3.5000000000000003E-2</v>
      </c>
      <c r="M1237" s="3">
        <v>4</v>
      </c>
      <c r="N1237" s="3">
        <v>2</v>
      </c>
      <c r="O1237" s="3">
        <v>1</v>
      </c>
      <c r="P1237" s="3">
        <v>5</v>
      </c>
      <c r="Q1237" s="3">
        <v>1</v>
      </c>
    </row>
    <row r="1238" spans="1:17">
      <c r="A1238" t="s">
        <v>1429</v>
      </c>
      <c r="B1238" s="3" t="s">
        <v>923</v>
      </c>
      <c r="C1238" s="3" t="s">
        <v>924</v>
      </c>
      <c r="D1238" s="3" t="s">
        <v>11</v>
      </c>
      <c r="E1238" s="3" t="s">
        <v>12</v>
      </c>
      <c r="F1238" s="3">
        <v>7.8E-2</v>
      </c>
      <c r="G1238" s="74">
        <f>F1238*VLOOKUP(D1238,GWPs!$B$3:$C$6,2,FALSE)</f>
        <v>7.8E-2</v>
      </c>
      <c r="H1238" s="3">
        <v>0</v>
      </c>
      <c r="I1238" s="74">
        <f>H1238*VLOOKUP(D1238,GWPs!$B$3:$C$6,2,FALSE)</f>
        <v>0</v>
      </c>
      <c r="J1238" s="3">
        <v>7.8E-2</v>
      </c>
      <c r="K1238" s="74">
        <f>J1238*VLOOKUP(D1238,GWPs!$B$3:$C$6,2,FALSE)</f>
        <v>7.8E-2</v>
      </c>
      <c r="M1238" s="3">
        <v>3</v>
      </c>
      <c r="N1238" s="3">
        <v>2</v>
      </c>
      <c r="O1238" s="3">
        <v>1</v>
      </c>
      <c r="P1238" s="3">
        <v>3</v>
      </c>
      <c r="Q1238" s="3">
        <v>1</v>
      </c>
    </row>
    <row r="1239" spans="1:17">
      <c r="A1239" t="s">
        <v>1429</v>
      </c>
      <c r="B1239" s="3" t="s">
        <v>923</v>
      </c>
      <c r="C1239" s="3" t="s">
        <v>924</v>
      </c>
      <c r="D1239" s="3" t="s">
        <v>13</v>
      </c>
      <c r="E1239" s="3" t="s">
        <v>12</v>
      </c>
      <c r="F1239" s="3">
        <v>0</v>
      </c>
      <c r="G1239" s="74">
        <f>F1239*VLOOKUP(D1239,GWPs!$B$3:$C$6,2,FALSE)</f>
        <v>0</v>
      </c>
      <c r="H1239" s="3">
        <v>0</v>
      </c>
      <c r="I1239" s="74">
        <f>H1239*VLOOKUP(D1239,GWPs!$B$3:$C$6,2,FALSE)</f>
        <v>0</v>
      </c>
      <c r="J1239" s="3">
        <v>0</v>
      </c>
      <c r="K1239" s="74">
        <f>J1239*VLOOKUP(D1239,GWPs!$B$3:$C$6,2,FALSE)</f>
        <v>0</v>
      </c>
      <c r="M1239" s="3">
        <v>4</v>
      </c>
      <c r="N1239" s="3">
        <v>2</v>
      </c>
      <c r="O1239" s="3">
        <v>1</v>
      </c>
      <c r="P1239" s="3">
        <v>1</v>
      </c>
      <c r="Q1239" s="3">
        <v>1</v>
      </c>
    </row>
    <row r="1240" spans="1:17">
      <c r="A1240" t="s">
        <v>1429</v>
      </c>
      <c r="B1240" s="3" t="s">
        <v>923</v>
      </c>
      <c r="C1240" s="3" t="s">
        <v>924</v>
      </c>
      <c r="D1240" s="3" t="s">
        <v>14</v>
      </c>
      <c r="E1240" s="3" t="s">
        <v>12</v>
      </c>
      <c r="F1240" s="3">
        <v>0</v>
      </c>
      <c r="G1240" s="74">
        <f>F1240*VLOOKUP(D1240,GWPs!$B$3:$C$6,2,FALSE)</f>
        <v>0</v>
      </c>
      <c r="H1240" s="3">
        <v>0</v>
      </c>
      <c r="I1240" s="74">
        <f>H1240*VLOOKUP(D1240,GWPs!$B$3:$C$6,2,FALSE)</f>
        <v>0</v>
      </c>
      <c r="J1240" s="3">
        <v>0</v>
      </c>
      <c r="K1240" s="74">
        <f>J1240*VLOOKUP(D1240,GWPs!$B$3:$C$6,2,FALSE)</f>
        <v>0</v>
      </c>
      <c r="M1240" s="3">
        <v>3</v>
      </c>
      <c r="N1240" s="3">
        <v>2</v>
      </c>
      <c r="O1240" s="3">
        <v>1</v>
      </c>
      <c r="P1240" s="3">
        <v>2</v>
      </c>
      <c r="Q1240" s="3">
        <v>1</v>
      </c>
    </row>
    <row r="1241" spans="1:17">
      <c r="A1241" t="s">
        <v>1429</v>
      </c>
      <c r="B1241" s="3" t="s">
        <v>923</v>
      </c>
      <c r="C1241" s="3" t="s">
        <v>924</v>
      </c>
      <c r="D1241" s="3" t="s">
        <v>15</v>
      </c>
      <c r="E1241" s="3" t="s">
        <v>16</v>
      </c>
      <c r="F1241" s="3">
        <v>4.0000000000000001E-3</v>
      </c>
      <c r="G1241" s="74">
        <f>F1241*VLOOKUP(D1241,GWPs!$B$3:$C$6,2,FALSE)</f>
        <v>4.0000000000000001E-3</v>
      </c>
      <c r="H1241" s="3">
        <v>0</v>
      </c>
      <c r="I1241" s="74">
        <f>H1241*VLOOKUP(D1241,GWPs!$B$3:$C$6,2,FALSE)</f>
        <v>0</v>
      </c>
      <c r="J1241" s="3">
        <v>4.0000000000000001E-3</v>
      </c>
      <c r="K1241" s="74">
        <f>J1241*VLOOKUP(D1241,GWPs!$B$3:$C$6,2,FALSE)</f>
        <v>4.0000000000000001E-3</v>
      </c>
      <c r="M1241" s="3">
        <v>3</v>
      </c>
      <c r="N1241" s="3">
        <v>2</v>
      </c>
      <c r="O1241" s="3">
        <v>1</v>
      </c>
      <c r="P1241" s="3">
        <v>4</v>
      </c>
      <c r="Q1241" s="3">
        <v>1</v>
      </c>
    </row>
    <row r="1242" spans="1:17">
      <c r="A1242" t="s">
        <v>1429</v>
      </c>
      <c r="B1242" s="3" t="s">
        <v>925</v>
      </c>
      <c r="C1242" s="3" t="s">
        <v>926</v>
      </c>
      <c r="D1242" s="3" t="s">
        <v>11</v>
      </c>
      <c r="E1242" s="3" t="s">
        <v>12</v>
      </c>
      <c r="F1242" s="3">
        <v>0.107</v>
      </c>
      <c r="G1242" s="74">
        <f>F1242*VLOOKUP(D1242,GWPs!$B$3:$C$6,2,FALSE)</f>
        <v>0.107</v>
      </c>
      <c r="H1242" s="3">
        <v>0</v>
      </c>
      <c r="I1242" s="74">
        <f>H1242*VLOOKUP(D1242,GWPs!$B$3:$C$6,2,FALSE)</f>
        <v>0</v>
      </c>
      <c r="J1242" s="3">
        <v>0.107</v>
      </c>
      <c r="K1242" s="74">
        <f>J1242*VLOOKUP(D1242,GWPs!$B$3:$C$6,2,FALSE)</f>
        <v>0.107</v>
      </c>
      <c r="M1242" s="3">
        <v>3</v>
      </c>
      <c r="N1242" s="3">
        <v>2</v>
      </c>
      <c r="O1242" s="3">
        <v>1</v>
      </c>
      <c r="P1242" s="3">
        <v>3</v>
      </c>
      <c r="Q1242" s="3">
        <v>1</v>
      </c>
    </row>
    <row r="1243" spans="1:17">
      <c r="A1243" t="s">
        <v>1429</v>
      </c>
      <c r="B1243" s="3" t="s">
        <v>925</v>
      </c>
      <c r="C1243" s="3" t="s">
        <v>926</v>
      </c>
      <c r="D1243" s="3" t="s">
        <v>13</v>
      </c>
      <c r="E1243" s="3" t="s">
        <v>12</v>
      </c>
      <c r="F1243" s="3">
        <v>0</v>
      </c>
      <c r="G1243" s="74">
        <f>F1243*VLOOKUP(D1243,GWPs!$B$3:$C$6,2,FALSE)</f>
        <v>0</v>
      </c>
      <c r="H1243" s="3">
        <v>0</v>
      </c>
      <c r="I1243" s="74">
        <f>H1243*VLOOKUP(D1243,GWPs!$B$3:$C$6,2,FALSE)</f>
        <v>0</v>
      </c>
      <c r="J1243" s="3">
        <v>0</v>
      </c>
      <c r="K1243" s="74">
        <f>J1243*VLOOKUP(D1243,GWPs!$B$3:$C$6,2,FALSE)</f>
        <v>0</v>
      </c>
      <c r="M1243" s="3">
        <v>4</v>
      </c>
      <c r="N1243" s="3">
        <v>2</v>
      </c>
      <c r="O1243" s="3">
        <v>1</v>
      </c>
      <c r="P1243" s="3">
        <v>1</v>
      </c>
      <c r="Q1243" s="3">
        <v>1</v>
      </c>
    </row>
    <row r="1244" spans="1:17">
      <c r="A1244" t="s">
        <v>1429</v>
      </c>
      <c r="B1244" s="3" t="s">
        <v>925</v>
      </c>
      <c r="C1244" s="3" t="s">
        <v>926</v>
      </c>
      <c r="D1244" s="3" t="s">
        <v>14</v>
      </c>
      <c r="E1244" s="3" t="s">
        <v>12</v>
      </c>
      <c r="F1244" s="3">
        <v>0</v>
      </c>
      <c r="G1244" s="74">
        <f>F1244*VLOOKUP(D1244,GWPs!$B$3:$C$6,2,FALSE)</f>
        <v>0</v>
      </c>
      <c r="H1244" s="3">
        <v>0</v>
      </c>
      <c r="I1244" s="74">
        <f>H1244*VLOOKUP(D1244,GWPs!$B$3:$C$6,2,FALSE)</f>
        <v>0</v>
      </c>
      <c r="J1244" s="3">
        <v>0</v>
      </c>
      <c r="K1244" s="74">
        <f>J1244*VLOOKUP(D1244,GWPs!$B$3:$C$6,2,FALSE)</f>
        <v>0</v>
      </c>
      <c r="M1244" s="3">
        <v>3</v>
      </c>
      <c r="N1244" s="3">
        <v>2</v>
      </c>
      <c r="O1244" s="3">
        <v>1</v>
      </c>
      <c r="P1244" s="3">
        <v>2</v>
      </c>
      <c r="Q1244" s="3">
        <v>1</v>
      </c>
    </row>
    <row r="1245" spans="1:17">
      <c r="A1245" t="s">
        <v>1429</v>
      </c>
      <c r="B1245" s="3" t="s">
        <v>925</v>
      </c>
      <c r="C1245" s="3" t="s">
        <v>926</v>
      </c>
      <c r="D1245" s="3" t="s">
        <v>15</v>
      </c>
      <c r="E1245" s="3" t="s">
        <v>16</v>
      </c>
      <c r="F1245" s="3">
        <v>4.0000000000000001E-3</v>
      </c>
      <c r="G1245" s="74">
        <f>F1245*VLOOKUP(D1245,GWPs!$B$3:$C$6,2,FALSE)</f>
        <v>4.0000000000000001E-3</v>
      </c>
      <c r="H1245" s="3">
        <v>0</v>
      </c>
      <c r="I1245" s="74">
        <f>H1245*VLOOKUP(D1245,GWPs!$B$3:$C$6,2,FALSE)</f>
        <v>0</v>
      </c>
      <c r="J1245" s="3">
        <v>4.0000000000000001E-3</v>
      </c>
      <c r="K1245" s="74">
        <f>J1245*VLOOKUP(D1245,GWPs!$B$3:$C$6,2,FALSE)</f>
        <v>4.0000000000000001E-3</v>
      </c>
      <c r="M1245" s="3">
        <v>3</v>
      </c>
      <c r="N1245" s="3">
        <v>2</v>
      </c>
      <c r="O1245" s="3">
        <v>1</v>
      </c>
      <c r="P1245" s="3">
        <v>4</v>
      </c>
      <c r="Q1245" s="3">
        <v>1</v>
      </c>
    </row>
    <row r="1246" spans="1:17">
      <c r="A1246" t="s">
        <v>1429</v>
      </c>
      <c r="B1246" s="3" t="s">
        <v>927</v>
      </c>
      <c r="C1246" s="3" t="s">
        <v>928</v>
      </c>
      <c r="D1246" s="3" t="s">
        <v>11</v>
      </c>
      <c r="E1246" s="3" t="s">
        <v>12</v>
      </c>
      <c r="F1246" s="3">
        <v>0.10299999999999999</v>
      </c>
      <c r="G1246" s="74">
        <f>F1246*VLOOKUP(D1246,GWPs!$B$3:$C$6,2,FALSE)</f>
        <v>0.10299999999999999</v>
      </c>
      <c r="H1246" s="3">
        <v>0</v>
      </c>
      <c r="I1246" s="74">
        <f>H1246*VLOOKUP(D1246,GWPs!$B$3:$C$6,2,FALSE)</f>
        <v>0</v>
      </c>
      <c r="J1246" s="3">
        <v>0.10299999999999999</v>
      </c>
      <c r="K1246" s="74">
        <f>J1246*VLOOKUP(D1246,GWPs!$B$3:$C$6,2,FALSE)</f>
        <v>0.10299999999999999</v>
      </c>
      <c r="M1246" s="3">
        <v>3</v>
      </c>
      <c r="N1246" s="3">
        <v>2</v>
      </c>
      <c r="O1246" s="3">
        <v>1</v>
      </c>
      <c r="P1246" s="3">
        <v>3</v>
      </c>
      <c r="Q1246" s="3">
        <v>1</v>
      </c>
    </row>
    <row r="1247" spans="1:17">
      <c r="A1247" t="s">
        <v>1429</v>
      </c>
      <c r="B1247" s="3" t="s">
        <v>927</v>
      </c>
      <c r="C1247" s="3" t="s">
        <v>928</v>
      </c>
      <c r="D1247" s="3" t="s">
        <v>13</v>
      </c>
      <c r="E1247" s="3" t="s">
        <v>12</v>
      </c>
      <c r="F1247" s="3">
        <v>0</v>
      </c>
      <c r="G1247" s="74">
        <f>F1247*VLOOKUP(D1247,GWPs!$B$3:$C$6,2,FALSE)</f>
        <v>0</v>
      </c>
      <c r="H1247" s="3">
        <v>0</v>
      </c>
      <c r="I1247" s="74">
        <f>H1247*VLOOKUP(D1247,GWPs!$B$3:$C$6,2,FALSE)</f>
        <v>0</v>
      </c>
      <c r="J1247" s="3">
        <v>0</v>
      </c>
      <c r="K1247" s="74">
        <f>J1247*VLOOKUP(D1247,GWPs!$B$3:$C$6,2,FALSE)</f>
        <v>0</v>
      </c>
      <c r="M1247" s="3">
        <v>3</v>
      </c>
      <c r="N1247" s="3">
        <v>2</v>
      </c>
      <c r="O1247" s="3">
        <v>1</v>
      </c>
      <c r="P1247" s="3">
        <v>1</v>
      </c>
      <c r="Q1247" s="3">
        <v>1</v>
      </c>
    </row>
    <row r="1248" spans="1:17">
      <c r="A1248" t="s">
        <v>1429</v>
      </c>
      <c r="B1248" s="3" t="s">
        <v>927</v>
      </c>
      <c r="C1248" s="3" t="s">
        <v>928</v>
      </c>
      <c r="D1248" s="3" t="s">
        <v>14</v>
      </c>
      <c r="E1248" s="3" t="s">
        <v>12</v>
      </c>
      <c r="F1248" s="3">
        <v>0</v>
      </c>
      <c r="G1248" s="74">
        <f>F1248*VLOOKUP(D1248,GWPs!$B$3:$C$6,2,FALSE)</f>
        <v>0</v>
      </c>
      <c r="H1248" s="3">
        <v>0</v>
      </c>
      <c r="I1248" s="74">
        <f>H1248*VLOOKUP(D1248,GWPs!$B$3:$C$6,2,FALSE)</f>
        <v>0</v>
      </c>
      <c r="J1248" s="3">
        <v>0</v>
      </c>
      <c r="K1248" s="74">
        <f>J1248*VLOOKUP(D1248,GWPs!$B$3:$C$6,2,FALSE)</f>
        <v>0</v>
      </c>
      <c r="M1248" s="3">
        <v>3</v>
      </c>
      <c r="N1248" s="3">
        <v>2</v>
      </c>
      <c r="O1248" s="3">
        <v>1</v>
      </c>
      <c r="P1248" s="3">
        <v>2</v>
      </c>
      <c r="Q1248" s="3">
        <v>1</v>
      </c>
    </row>
    <row r="1249" spans="1:17">
      <c r="A1249" t="s">
        <v>1429</v>
      </c>
      <c r="B1249" s="3" t="s">
        <v>927</v>
      </c>
      <c r="C1249" s="3" t="s">
        <v>928</v>
      </c>
      <c r="D1249" s="3" t="s">
        <v>15</v>
      </c>
      <c r="E1249" s="3" t="s">
        <v>16</v>
      </c>
      <c r="F1249" s="3">
        <v>3.0000000000000001E-3</v>
      </c>
      <c r="G1249" s="74">
        <f>F1249*VLOOKUP(D1249,GWPs!$B$3:$C$6,2,FALSE)</f>
        <v>3.0000000000000001E-3</v>
      </c>
      <c r="H1249" s="3">
        <v>0</v>
      </c>
      <c r="I1249" s="74">
        <f>H1249*VLOOKUP(D1249,GWPs!$B$3:$C$6,2,FALSE)</f>
        <v>0</v>
      </c>
      <c r="J1249" s="3">
        <v>3.0000000000000001E-3</v>
      </c>
      <c r="K1249" s="74">
        <f>J1249*VLOOKUP(D1249,GWPs!$B$3:$C$6,2,FALSE)</f>
        <v>3.0000000000000001E-3</v>
      </c>
      <c r="M1249" s="3">
        <v>3</v>
      </c>
      <c r="N1249" s="3">
        <v>2</v>
      </c>
      <c r="O1249" s="3">
        <v>1</v>
      </c>
      <c r="P1249" s="3">
        <v>3</v>
      </c>
      <c r="Q1249" s="3">
        <v>1</v>
      </c>
    </row>
    <row r="1250" spans="1:17">
      <c r="A1250" t="s">
        <v>1430</v>
      </c>
      <c r="B1250" s="3" t="s">
        <v>929</v>
      </c>
      <c r="C1250" s="3" t="s">
        <v>930</v>
      </c>
      <c r="D1250" s="3" t="s">
        <v>11</v>
      </c>
      <c r="E1250" s="3" t="s">
        <v>12</v>
      </c>
      <c r="F1250" s="3">
        <v>0.126</v>
      </c>
      <c r="G1250" s="74">
        <f>F1250*VLOOKUP(D1250,GWPs!$B$3:$C$6,2,FALSE)</f>
        <v>0.126</v>
      </c>
      <c r="H1250" s="3">
        <v>0</v>
      </c>
      <c r="I1250" s="74">
        <f>H1250*VLOOKUP(D1250,GWPs!$B$3:$C$6,2,FALSE)</f>
        <v>0</v>
      </c>
      <c r="J1250" s="3">
        <v>0.126</v>
      </c>
      <c r="K1250" s="74">
        <f>J1250*VLOOKUP(D1250,GWPs!$B$3:$C$6,2,FALSE)</f>
        <v>0.126</v>
      </c>
      <c r="M1250" s="3">
        <v>3</v>
      </c>
      <c r="N1250" s="3">
        <v>2</v>
      </c>
      <c r="O1250" s="3">
        <v>1</v>
      </c>
      <c r="P1250" s="3">
        <v>3</v>
      </c>
      <c r="Q1250" s="3">
        <v>1</v>
      </c>
    </row>
    <row r="1251" spans="1:17">
      <c r="A1251" t="s">
        <v>1430</v>
      </c>
      <c r="B1251" s="3" t="s">
        <v>929</v>
      </c>
      <c r="C1251" s="3" t="s">
        <v>930</v>
      </c>
      <c r="D1251" s="3" t="s">
        <v>13</v>
      </c>
      <c r="E1251" s="3" t="s">
        <v>12</v>
      </c>
      <c r="F1251" s="3">
        <v>1E-3</v>
      </c>
      <c r="G1251" s="74">
        <f>F1251*VLOOKUP(D1251,GWPs!$B$3:$C$6,2,FALSE)</f>
        <v>2.8000000000000001E-2</v>
      </c>
      <c r="H1251" s="3">
        <v>0</v>
      </c>
      <c r="I1251" s="74">
        <f>H1251*VLOOKUP(D1251,GWPs!$B$3:$C$6,2,FALSE)</f>
        <v>0</v>
      </c>
      <c r="J1251" s="3">
        <v>1E-3</v>
      </c>
      <c r="K1251" s="74">
        <f>J1251*VLOOKUP(D1251,GWPs!$B$3:$C$6,2,FALSE)</f>
        <v>2.8000000000000001E-2</v>
      </c>
      <c r="M1251" s="3">
        <v>4</v>
      </c>
      <c r="N1251" s="3">
        <v>2</v>
      </c>
      <c r="O1251" s="3">
        <v>1</v>
      </c>
      <c r="P1251" s="3">
        <v>1</v>
      </c>
      <c r="Q1251" s="3">
        <v>1</v>
      </c>
    </row>
    <row r="1252" spans="1:17">
      <c r="A1252" t="s">
        <v>1430</v>
      </c>
      <c r="B1252" s="3" t="s">
        <v>929</v>
      </c>
      <c r="C1252" s="3" t="s">
        <v>930</v>
      </c>
      <c r="D1252" s="3" t="s">
        <v>14</v>
      </c>
      <c r="E1252" s="3" t="s">
        <v>12</v>
      </c>
      <c r="F1252" s="3">
        <v>0</v>
      </c>
      <c r="G1252" s="74">
        <f>F1252*VLOOKUP(D1252,GWPs!$B$3:$C$6,2,FALSE)</f>
        <v>0</v>
      </c>
      <c r="H1252" s="3">
        <v>0</v>
      </c>
      <c r="I1252" s="74">
        <f>H1252*VLOOKUP(D1252,GWPs!$B$3:$C$6,2,FALSE)</f>
        <v>0</v>
      </c>
      <c r="J1252" s="3">
        <v>0</v>
      </c>
      <c r="K1252" s="74">
        <f>J1252*VLOOKUP(D1252,GWPs!$B$3:$C$6,2,FALSE)</f>
        <v>0</v>
      </c>
      <c r="M1252" s="3">
        <v>3</v>
      </c>
      <c r="N1252" s="3">
        <v>2</v>
      </c>
      <c r="O1252" s="3">
        <v>1</v>
      </c>
      <c r="P1252" s="3">
        <v>3</v>
      </c>
      <c r="Q1252" s="3">
        <v>1</v>
      </c>
    </row>
    <row r="1253" spans="1:17">
      <c r="A1253" t="s">
        <v>1430</v>
      </c>
      <c r="B1253" s="3" t="s">
        <v>929</v>
      </c>
      <c r="C1253" s="3" t="s">
        <v>930</v>
      </c>
      <c r="D1253" s="3" t="s">
        <v>15</v>
      </c>
      <c r="E1253" s="3" t="s">
        <v>16</v>
      </c>
      <c r="F1253" s="3">
        <v>8.0000000000000002E-3</v>
      </c>
      <c r="G1253" s="74">
        <f>F1253*VLOOKUP(D1253,GWPs!$B$3:$C$6,2,FALSE)</f>
        <v>8.0000000000000002E-3</v>
      </c>
      <c r="H1253" s="3">
        <v>0</v>
      </c>
      <c r="I1253" s="74">
        <f>H1253*VLOOKUP(D1253,GWPs!$B$3:$C$6,2,FALSE)</f>
        <v>0</v>
      </c>
      <c r="J1253" s="3">
        <v>8.0000000000000002E-3</v>
      </c>
      <c r="K1253" s="74">
        <f>J1253*VLOOKUP(D1253,GWPs!$B$3:$C$6,2,FALSE)</f>
        <v>8.0000000000000002E-3</v>
      </c>
      <c r="M1253" s="3">
        <v>4</v>
      </c>
      <c r="N1253" s="3">
        <v>2</v>
      </c>
      <c r="O1253" s="3">
        <v>1</v>
      </c>
      <c r="P1253" s="3">
        <v>5</v>
      </c>
      <c r="Q1253" s="3">
        <v>1</v>
      </c>
    </row>
    <row r="1254" spans="1:17">
      <c r="A1254" t="s">
        <v>1429</v>
      </c>
      <c r="B1254" s="3" t="s">
        <v>931</v>
      </c>
      <c r="C1254" s="3" t="s">
        <v>932</v>
      </c>
      <c r="D1254" s="3" t="s">
        <v>11</v>
      </c>
      <c r="E1254" s="3" t="s">
        <v>12</v>
      </c>
      <c r="F1254" s="3">
        <v>0.111</v>
      </c>
      <c r="G1254" s="74">
        <f>F1254*VLOOKUP(D1254,GWPs!$B$3:$C$6,2,FALSE)</f>
        <v>0.111</v>
      </c>
      <c r="H1254" s="3">
        <v>0</v>
      </c>
      <c r="I1254" s="74">
        <f>H1254*VLOOKUP(D1254,GWPs!$B$3:$C$6,2,FALSE)</f>
        <v>0</v>
      </c>
      <c r="J1254" s="3">
        <v>0.111</v>
      </c>
      <c r="K1254" s="74">
        <f>J1254*VLOOKUP(D1254,GWPs!$B$3:$C$6,2,FALSE)</f>
        <v>0.111</v>
      </c>
      <c r="M1254" s="3">
        <v>3</v>
      </c>
      <c r="N1254" s="3">
        <v>2</v>
      </c>
      <c r="O1254" s="3">
        <v>1</v>
      </c>
      <c r="P1254" s="3">
        <v>3</v>
      </c>
      <c r="Q1254" s="3">
        <v>1</v>
      </c>
    </row>
    <row r="1255" spans="1:17">
      <c r="A1255" t="s">
        <v>1429</v>
      </c>
      <c r="B1255" s="3" t="s">
        <v>931</v>
      </c>
      <c r="C1255" s="3" t="s">
        <v>932</v>
      </c>
      <c r="D1255" s="3" t="s">
        <v>13</v>
      </c>
      <c r="E1255" s="3" t="s">
        <v>12</v>
      </c>
      <c r="F1255" s="3">
        <v>0</v>
      </c>
      <c r="G1255" s="74">
        <f>F1255*VLOOKUP(D1255,GWPs!$B$3:$C$6,2,FALSE)</f>
        <v>0</v>
      </c>
      <c r="H1255" s="3">
        <v>0</v>
      </c>
      <c r="I1255" s="74">
        <f>H1255*VLOOKUP(D1255,GWPs!$B$3:$C$6,2,FALSE)</f>
        <v>0</v>
      </c>
      <c r="J1255" s="3">
        <v>0</v>
      </c>
      <c r="K1255" s="74">
        <f>J1255*VLOOKUP(D1255,GWPs!$B$3:$C$6,2,FALSE)</f>
        <v>0</v>
      </c>
      <c r="M1255" s="3">
        <v>4</v>
      </c>
      <c r="N1255" s="3">
        <v>2</v>
      </c>
      <c r="O1255" s="3">
        <v>1</v>
      </c>
      <c r="P1255" s="3">
        <v>1</v>
      </c>
      <c r="Q1255" s="3">
        <v>1</v>
      </c>
    </row>
    <row r="1256" spans="1:17">
      <c r="A1256" t="s">
        <v>1429</v>
      </c>
      <c r="B1256" s="3" t="s">
        <v>931</v>
      </c>
      <c r="C1256" s="3" t="s">
        <v>932</v>
      </c>
      <c r="D1256" s="3" t="s">
        <v>14</v>
      </c>
      <c r="E1256" s="3" t="s">
        <v>12</v>
      </c>
      <c r="F1256" s="3">
        <v>0</v>
      </c>
      <c r="G1256" s="74">
        <f>F1256*VLOOKUP(D1256,GWPs!$B$3:$C$6,2,FALSE)</f>
        <v>0</v>
      </c>
      <c r="H1256" s="3">
        <v>0</v>
      </c>
      <c r="I1256" s="74">
        <f>H1256*VLOOKUP(D1256,GWPs!$B$3:$C$6,2,FALSE)</f>
        <v>0</v>
      </c>
      <c r="J1256" s="3">
        <v>0</v>
      </c>
      <c r="K1256" s="74">
        <f>J1256*VLOOKUP(D1256,GWPs!$B$3:$C$6,2,FALSE)</f>
        <v>0</v>
      </c>
      <c r="M1256" s="3">
        <v>3</v>
      </c>
      <c r="N1256" s="3">
        <v>2</v>
      </c>
      <c r="O1256" s="3">
        <v>1</v>
      </c>
      <c r="P1256" s="3">
        <v>3</v>
      </c>
      <c r="Q1256" s="3">
        <v>1</v>
      </c>
    </row>
    <row r="1257" spans="1:17">
      <c r="A1257" t="s">
        <v>1429</v>
      </c>
      <c r="B1257" s="3" t="s">
        <v>931</v>
      </c>
      <c r="C1257" s="3" t="s">
        <v>932</v>
      </c>
      <c r="D1257" s="3" t="s">
        <v>15</v>
      </c>
      <c r="E1257" s="3" t="s">
        <v>16</v>
      </c>
      <c r="F1257" s="3">
        <v>2E-3</v>
      </c>
      <c r="G1257" s="74">
        <f>F1257*VLOOKUP(D1257,GWPs!$B$3:$C$6,2,FALSE)</f>
        <v>2E-3</v>
      </c>
      <c r="H1257" s="3">
        <v>0</v>
      </c>
      <c r="I1257" s="74">
        <f>H1257*VLOOKUP(D1257,GWPs!$B$3:$C$6,2,FALSE)</f>
        <v>0</v>
      </c>
      <c r="J1257" s="3">
        <v>2E-3</v>
      </c>
      <c r="K1257" s="74">
        <f>J1257*VLOOKUP(D1257,GWPs!$B$3:$C$6,2,FALSE)</f>
        <v>2E-3</v>
      </c>
      <c r="M1257" s="3">
        <v>3</v>
      </c>
      <c r="N1257" s="3">
        <v>2</v>
      </c>
      <c r="O1257" s="3">
        <v>1</v>
      </c>
      <c r="P1257" s="3">
        <v>4</v>
      </c>
      <c r="Q1257" s="3">
        <v>1</v>
      </c>
    </row>
    <row r="1258" spans="1:17">
      <c r="A1258" t="s">
        <v>1429</v>
      </c>
      <c r="B1258" s="3" t="s">
        <v>933</v>
      </c>
      <c r="C1258" s="3" t="s">
        <v>934</v>
      </c>
      <c r="D1258" s="3" t="s">
        <v>11</v>
      </c>
      <c r="E1258" s="3" t="s">
        <v>12</v>
      </c>
      <c r="F1258" s="3">
        <v>0.11799999999999999</v>
      </c>
      <c r="G1258" s="74">
        <f>F1258*VLOOKUP(D1258,GWPs!$B$3:$C$6,2,FALSE)</f>
        <v>0.11799999999999999</v>
      </c>
      <c r="H1258" s="3">
        <v>0</v>
      </c>
      <c r="I1258" s="74">
        <f>H1258*VLOOKUP(D1258,GWPs!$B$3:$C$6,2,FALSE)</f>
        <v>0</v>
      </c>
      <c r="J1258" s="3">
        <v>0.11799999999999999</v>
      </c>
      <c r="K1258" s="74">
        <f>J1258*VLOOKUP(D1258,GWPs!$B$3:$C$6,2,FALSE)</f>
        <v>0.11799999999999999</v>
      </c>
      <c r="M1258" s="3">
        <v>3</v>
      </c>
      <c r="N1258" s="3">
        <v>2</v>
      </c>
      <c r="O1258" s="3">
        <v>1</v>
      </c>
      <c r="P1258" s="3">
        <v>3</v>
      </c>
      <c r="Q1258" s="3">
        <v>1</v>
      </c>
    </row>
    <row r="1259" spans="1:17">
      <c r="A1259" t="s">
        <v>1429</v>
      </c>
      <c r="B1259" s="3" t="s">
        <v>933</v>
      </c>
      <c r="C1259" s="3" t="s">
        <v>934</v>
      </c>
      <c r="D1259" s="3" t="s">
        <v>13</v>
      </c>
      <c r="E1259" s="3" t="s">
        <v>12</v>
      </c>
      <c r="F1259" s="3">
        <v>1E-3</v>
      </c>
      <c r="G1259" s="74">
        <f>F1259*VLOOKUP(D1259,GWPs!$B$3:$C$6,2,FALSE)</f>
        <v>2.8000000000000001E-2</v>
      </c>
      <c r="H1259" s="3">
        <v>0</v>
      </c>
      <c r="I1259" s="74">
        <f>H1259*VLOOKUP(D1259,GWPs!$B$3:$C$6,2,FALSE)</f>
        <v>0</v>
      </c>
      <c r="J1259" s="3">
        <v>1E-3</v>
      </c>
      <c r="K1259" s="74">
        <f>J1259*VLOOKUP(D1259,GWPs!$B$3:$C$6,2,FALSE)</f>
        <v>2.8000000000000001E-2</v>
      </c>
      <c r="M1259" s="3">
        <v>3</v>
      </c>
      <c r="N1259" s="3">
        <v>2</v>
      </c>
      <c r="O1259" s="3">
        <v>1</v>
      </c>
      <c r="P1259" s="3">
        <v>1</v>
      </c>
      <c r="Q1259" s="3">
        <v>1</v>
      </c>
    </row>
    <row r="1260" spans="1:17">
      <c r="A1260" t="s">
        <v>1429</v>
      </c>
      <c r="B1260" s="3" t="s">
        <v>933</v>
      </c>
      <c r="C1260" s="3" t="s">
        <v>934</v>
      </c>
      <c r="D1260" s="3" t="s">
        <v>14</v>
      </c>
      <c r="E1260" s="3" t="s">
        <v>12</v>
      </c>
      <c r="F1260" s="3">
        <v>0</v>
      </c>
      <c r="G1260" s="74">
        <f>F1260*VLOOKUP(D1260,GWPs!$B$3:$C$6,2,FALSE)</f>
        <v>0</v>
      </c>
      <c r="H1260" s="3">
        <v>0</v>
      </c>
      <c r="I1260" s="74">
        <f>H1260*VLOOKUP(D1260,GWPs!$B$3:$C$6,2,FALSE)</f>
        <v>0</v>
      </c>
      <c r="J1260" s="3">
        <v>0</v>
      </c>
      <c r="K1260" s="74">
        <f>J1260*VLOOKUP(D1260,GWPs!$B$3:$C$6,2,FALSE)</f>
        <v>0</v>
      </c>
      <c r="M1260" s="3">
        <v>4</v>
      </c>
      <c r="N1260" s="3">
        <v>2</v>
      </c>
      <c r="O1260" s="3">
        <v>1</v>
      </c>
      <c r="P1260" s="3">
        <v>3</v>
      </c>
      <c r="Q1260" s="3">
        <v>1</v>
      </c>
    </row>
    <row r="1261" spans="1:17">
      <c r="A1261" t="s">
        <v>1429</v>
      </c>
      <c r="B1261" s="3" t="s">
        <v>933</v>
      </c>
      <c r="C1261" s="3" t="s">
        <v>934</v>
      </c>
      <c r="D1261" s="3" t="s">
        <v>15</v>
      </c>
      <c r="E1261" s="3" t="s">
        <v>16</v>
      </c>
      <c r="F1261" s="3">
        <v>2E-3</v>
      </c>
      <c r="G1261" s="74">
        <f>F1261*VLOOKUP(D1261,GWPs!$B$3:$C$6,2,FALSE)</f>
        <v>2E-3</v>
      </c>
      <c r="H1261" s="3">
        <v>0</v>
      </c>
      <c r="I1261" s="74">
        <f>H1261*VLOOKUP(D1261,GWPs!$B$3:$C$6,2,FALSE)</f>
        <v>0</v>
      </c>
      <c r="J1261" s="3">
        <v>2E-3</v>
      </c>
      <c r="K1261" s="74">
        <f>J1261*VLOOKUP(D1261,GWPs!$B$3:$C$6,2,FALSE)</f>
        <v>2E-3</v>
      </c>
      <c r="M1261" s="3">
        <v>3</v>
      </c>
      <c r="N1261" s="3">
        <v>2</v>
      </c>
      <c r="O1261" s="3">
        <v>1</v>
      </c>
      <c r="P1261" s="3">
        <v>3</v>
      </c>
      <c r="Q1261" s="3">
        <v>1</v>
      </c>
    </row>
    <row r="1262" spans="1:17">
      <c r="A1262" t="s">
        <v>1429</v>
      </c>
      <c r="B1262" s="3" t="s">
        <v>935</v>
      </c>
      <c r="C1262" s="3" t="s">
        <v>936</v>
      </c>
      <c r="D1262" s="3" t="s">
        <v>11</v>
      </c>
      <c r="E1262" s="3" t="s">
        <v>12</v>
      </c>
      <c r="F1262" s="3">
        <v>6.5000000000000002E-2</v>
      </c>
      <c r="G1262" s="74">
        <f>F1262*VLOOKUP(D1262,GWPs!$B$3:$C$6,2,FALSE)</f>
        <v>6.5000000000000002E-2</v>
      </c>
      <c r="H1262" s="3">
        <v>0</v>
      </c>
      <c r="I1262" s="74">
        <f>H1262*VLOOKUP(D1262,GWPs!$B$3:$C$6,2,FALSE)</f>
        <v>0</v>
      </c>
      <c r="J1262" s="3">
        <v>6.5000000000000002E-2</v>
      </c>
      <c r="K1262" s="74">
        <f>J1262*VLOOKUP(D1262,GWPs!$B$3:$C$6,2,FALSE)</f>
        <v>6.5000000000000002E-2</v>
      </c>
      <c r="M1262" s="3">
        <v>3</v>
      </c>
      <c r="N1262" s="3">
        <v>2</v>
      </c>
      <c r="O1262" s="3">
        <v>1</v>
      </c>
      <c r="P1262" s="3">
        <v>3</v>
      </c>
      <c r="Q1262" s="3">
        <v>1</v>
      </c>
    </row>
    <row r="1263" spans="1:17">
      <c r="A1263" t="s">
        <v>1429</v>
      </c>
      <c r="B1263" s="3" t="s">
        <v>935</v>
      </c>
      <c r="C1263" s="3" t="s">
        <v>936</v>
      </c>
      <c r="D1263" s="3" t="s">
        <v>13</v>
      </c>
      <c r="E1263" s="3" t="s">
        <v>12</v>
      </c>
      <c r="F1263" s="3">
        <v>0</v>
      </c>
      <c r="G1263" s="74">
        <f>F1263*VLOOKUP(D1263,GWPs!$B$3:$C$6,2,FALSE)</f>
        <v>0</v>
      </c>
      <c r="H1263" s="3">
        <v>0</v>
      </c>
      <c r="I1263" s="74">
        <f>H1263*VLOOKUP(D1263,GWPs!$B$3:$C$6,2,FALSE)</f>
        <v>0</v>
      </c>
      <c r="J1263" s="3">
        <v>0</v>
      </c>
      <c r="K1263" s="74">
        <f>J1263*VLOOKUP(D1263,GWPs!$B$3:$C$6,2,FALSE)</f>
        <v>0</v>
      </c>
      <c r="M1263" s="3">
        <v>4</v>
      </c>
      <c r="N1263" s="3">
        <v>2</v>
      </c>
      <c r="O1263" s="3">
        <v>1</v>
      </c>
      <c r="P1263" s="3">
        <v>1</v>
      </c>
      <c r="Q1263" s="3">
        <v>1</v>
      </c>
    </row>
    <row r="1264" spans="1:17">
      <c r="A1264" t="s">
        <v>1429</v>
      </c>
      <c r="B1264" s="3" t="s">
        <v>935</v>
      </c>
      <c r="C1264" s="3" t="s">
        <v>936</v>
      </c>
      <c r="D1264" s="3" t="s">
        <v>14</v>
      </c>
      <c r="E1264" s="3" t="s">
        <v>12</v>
      </c>
      <c r="F1264" s="3">
        <v>0</v>
      </c>
      <c r="G1264" s="74">
        <f>F1264*VLOOKUP(D1264,GWPs!$B$3:$C$6,2,FALSE)</f>
        <v>0</v>
      </c>
      <c r="H1264" s="3">
        <v>0</v>
      </c>
      <c r="I1264" s="74">
        <f>H1264*VLOOKUP(D1264,GWPs!$B$3:$C$6,2,FALSE)</f>
        <v>0</v>
      </c>
      <c r="J1264" s="3">
        <v>0</v>
      </c>
      <c r="K1264" s="74">
        <f>J1264*VLOOKUP(D1264,GWPs!$B$3:$C$6,2,FALSE)</f>
        <v>0</v>
      </c>
      <c r="M1264" s="3">
        <v>3</v>
      </c>
      <c r="N1264" s="3">
        <v>2</v>
      </c>
      <c r="O1264" s="3">
        <v>1</v>
      </c>
      <c r="P1264" s="3">
        <v>3</v>
      </c>
      <c r="Q1264" s="3">
        <v>1</v>
      </c>
    </row>
    <row r="1265" spans="1:17">
      <c r="A1265" t="s">
        <v>1429</v>
      </c>
      <c r="B1265" s="3" t="s">
        <v>935</v>
      </c>
      <c r="C1265" s="3" t="s">
        <v>936</v>
      </c>
      <c r="D1265" s="3" t="s">
        <v>15</v>
      </c>
      <c r="E1265" s="3" t="s">
        <v>16</v>
      </c>
      <c r="F1265" s="3">
        <v>1E-3</v>
      </c>
      <c r="G1265" s="74">
        <f>F1265*VLOOKUP(D1265,GWPs!$B$3:$C$6,2,FALSE)</f>
        <v>1E-3</v>
      </c>
      <c r="H1265" s="3">
        <v>0</v>
      </c>
      <c r="I1265" s="74">
        <f>H1265*VLOOKUP(D1265,GWPs!$B$3:$C$6,2,FALSE)</f>
        <v>0</v>
      </c>
      <c r="J1265" s="3">
        <v>1E-3</v>
      </c>
      <c r="K1265" s="74">
        <f>J1265*VLOOKUP(D1265,GWPs!$B$3:$C$6,2,FALSE)</f>
        <v>1E-3</v>
      </c>
      <c r="M1265" s="3">
        <v>4</v>
      </c>
      <c r="N1265" s="3">
        <v>2</v>
      </c>
      <c r="O1265" s="3">
        <v>1</v>
      </c>
      <c r="P1265" s="3">
        <v>4</v>
      </c>
      <c r="Q1265" s="3">
        <v>1</v>
      </c>
    </row>
    <row r="1266" spans="1:17">
      <c r="A1266" t="s">
        <v>1429</v>
      </c>
      <c r="B1266" s="3" t="s">
        <v>937</v>
      </c>
      <c r="C1266" s="3" t="s">
        <v>938</v>
      </c>
      <c r="D1266" s="3" t="s">
        <v>11</v>
      </c>
      <c r="E1266" s="3" t="s">
        <v>12</v>
      </c>
      <c r="F1266" s="3">
        <v>8.6999999999999994E-2</v>
      </c>
      <c r="G1266" s="74">
        <f>F1266*VLOOKUP(D1266,GWPs!$B$3:$C$6,2,FALSE)</f>
        <v>8.6999999999999994E-2</v>
      </c>
      <c r="H1266" s="3">
        <v>0</v>
      </c>
      <c r="I1266" s="74">
        <f>H1266*VLOOKUP(D1266,GWPs!$B$3:$C$6,2,FALSE)</f>
        <v>0</v>
      </c>
      <c r="J1266" s="3">
        <v>8.6999999999999994E-2</v>
      </c>
      <c r="K1266" s="74">
        <f>J1266*VLOOKUP(D1266,GWPs!$B$3:$C$6,2,FALSE)</f>
        <v>8.6999999999999994E-2</v>
      </c>
      <c r="M1266" s="3">
        <v>3</v>
      </c>
      <c r="N1266" s="3">
        <v>2</v>
      </c>
      <c r="O1266" s="3">
        <v>1</v>
      </c>
      <c r="P1266" s="3">
        <v>3</v>
      </c>
      <c r="Q1266" s="3">
        <v>1</v>
      </c>
    </row>
    <row r="1267" spans="1:17">
      <c r="A1267" t="s">
        <v>1429</v>
      </c>
      <c r="B1267" s="3" t="s">
        <v>937</v>
      </c>
      <c r="C1267" s="3" t="s">
        <v>938</v>
      </c>
      <c r="D1267" s="3" t="s">
        <v>13</v>
      </c>
      <c r="E1267" s="3" t="s">
        <v>12</v>
      </c>
      <c r="F1267" s="3">
        <v>0</v>
      </c>
      <c r="G1267" s="74">
        <f>F1267*VLOOKUP(D1267,GWPs!$B$3:$C$6,2,FALSE)</f>
        <v>0</v>
      </c>
      <c r="H1267" s="3">
        <v>0</v>
      </c>
      <c r="I1267" s="74">
        <f>H1267*VLOOKUP(D1267,GWPs!$B$3:$C$6,2,FALSE)</f>
        <v>0</v>
      </c>
      <c r="J1267" s="3">
        <v>0</v>
      </c>
      <c r="K1267" s="74">
        <f>J1267*VLOOKUP(D1267,GWPs!$B$3:$C$6,2,FALSE)</f>
        <v>0</v>
      </c>
      <c r="M1267" s="3">
        <v>4</v>
      </c>
      <c r="N1267" s="3">
        <v>2</v>
      </c>
      <c r="O1267" s="3">
        <v>1</v>
      </c>
      <c r="P1267" s="3">
        <v>1</v>
      </c>
      <c r="Q1267" s="3">
        <v>1</v>
      </c>
    </row>
    <row r="1268" spans="1:17">
      <c r="A1268" t="s">
        <v>1429</v>
      </c>
      <c r="B1268" s="3" t="s">
        <v>937</v>
      </c>
      <c r="C1268" s="3" t="s">
        <v>938</v>
      </c>
      <c r="D1268" s="3" t="s">
        <v>14</v>
      </c>
      <c r="E1268" s="3" t="s">
        <v>12</v>
      </c>
      <c r="F1268" s="3">
        <v>0</v>
      </c>
      <c r="G1268" s="74">
        <f>F1268*VLOOKUP(D1268,GWPs!$B$3:$C$6,2,FALSE)</f>
        <v>0</v>
      </c>
      <c r="H1268" s="3">
        <v>0</v>
      </c>
      <c r="I1268" s="74">
        <f>H1268*VLOOKUP(D1268,GWPs!$B$3:$C$6,2,FALSE)</f>
        <v>0</v>
      </c>
      <c r="J1268" s="3">
        <v>0</v>
      </c>
      <c r="K1268" s="74">
        <f>J1268*VLOOKUP(D1268,GWPs!$B$3:$C$6,2,FALSE)</f>
        <v>0</v>
      </c>
      <c r="M1268" s="3">
        <v>3</v>
      </c>
      <c r="N1268" s="3">
        <v>2</v>
      </c>
      <c r="O1268" s="3">
        <v>1</v>
      </c>
      <c r="P1268" s="3">
        <v>3</v>
      </c>
      <c r="Q1268" s="3">
        <v>1</v>
      </c>
    </row>
    <row r="1269" spans="1:17">
      <c r="A1269" t="s">
        <v>1429</v>
      </c>
      <c r="B1269" s="3" t="s">
        <v>937</v>
      </c>
      <c r="C1269" s="3" t="s">
        <v>938</v>
      </c>
      <c r="D1269" s="3" t="s">
        <v>15</v>
      </c>
      <c r="E1269" s="3" t="s">
        <v>16</v>
      </c>
      <c r="F1269" s="3">
        <v>2E-3</v>
      </c>
      <c r="G1269" s="74">
        <f>F1269*VLOOKUP(D1269,GWPs!$B$3:$C$6,2,FALSE)</f>
        <v>2E-3</v>
      </c>
      <c r="H1269" s="3">
        <v>0</v>
      </c>
      <c r="I1269" s="74">
        <f>H1269*VLOOKUP(D1269,GWPs!$B$3:$C$6,2,FALSE)</f>
        <v>0</v>
      </c>
      <c r="J1269" s="3">
        <v>2E-3</v>
      </c>
      <c r="K1269" s="74">
        <f>J1269*VLOOKUP(D1269,GWPs!$B$3:$C$6,2,FALSE)</f>
        <v>2E-3</v>
      </c>
      <c r="M1269" s="3">
        <v>4</v>
      </c>
      <c r="N1269" s="3">
        <v>2</v>
      </c>
      <c r="O1269" s="3">
        <v>1</v>
      </c>
      <c r="P1269" s="3">
        <v>4</v>
      </c>
      <c r="Q1269" s="3">
        <v>1</v>
      </c>
    </row>
    <row r="1270" spans="1:17">
      <c r="A1270" t="s">
        <v>1429</v>
      </c>
      <c r="B1270" s="3" t="s">
        <v>939</v>
      </c>
      <c r="C1270" s="3" t="s">
        <v>940</v>
      </c>
      <c r="D1270" s="3" t="s">
        <v>11</v>
      </c>
      <c r="E1270" s="3" t="s">
        <v>12</v>
      </c>
      <c r="F1270" s="3">
        <v>6.5000000000000002E-2</v>
      </c>
      <c r="G1270" s="74">
        <f>F1270*VLOOKUP(D1270,GWPs!$B$3:$C$6,2,FALSE)</f>
        <v>6.5000000000000002E-2</v>
      </c>
      <c r="H1270" s="3">
        <v>0</v>
      </c>
      <c r="I1270" s="74">
        <f>H1270*VLOOKUP(D1270,GWPs!$B$3:$C$6,2,FALSE)</f>
        <v>0</v>
      </c>
      <c r="J1270" s="3">
        <v>6.5000000000000002E-2</v>
      </c>
      <c r="K1270" s="74">
        <f>J1270*VLOOKUP(D1270,GWPs!$B$3:$C$6,2,FALSE)</f>
        <v>6.5000000000000002E-2</v>
      </c>
      <c r="M1270" s="3">
        <v>3</v>
      </c>
      <c r="N1270" s="3">
        <v>2</v>
      </c>
      <c r="O1270" s="3">
        <v>1</v>
      </c>
      <c r="P1270" s="3">
        <v>3</v>
      </c>
      <c r="Q1270" s="3">
        <v>1</v>
      </c>
    </row>
    <row r="1271" spans="1:17">
      <c r="A1271" t="s">
        <v>1429</v>
      </c>
      <c r="B1271" s="3" t="s">
        <v>939</v>
      </c>
      <c r="C1271" s="3" t="s">
        <v>940</v>
      </c>
      <c r="D1271" s="3" t="s">
        <v>13</v>
      </c>
      <c r="E1271" s="3" t="s">
        <v>12</v>
      </c>
      <c r="F1271" s="3">
        <v>0</v>
      </c>
      <c r="G1271" s="74">
        <f>F1271*VLOOKUP(D1271,GWPs!$B$3:$C$6,2,FALSE)</f>
        <v>0</v>
      </c>
      <c r="H1271" s="3">
        <v>0</v>
      </c>
      <c r="I1271" s="74">
        <f>H1271*VLOOKUP(D1271,GWPs!$B$3:$C$6,2,FALSE)</f>
        <v>0</v>
      </c>
      <c r="J1271" s="3">
        <v>0</v>
      </c>
      <c r="K1271" s="74">
        <f>J1271*VLOOKUP(D1271,GWPs!$B$3:$C$6,2,FALSE)</f>
        <v>0</v>
      </c>
      <c r="M1271" s="3">
        <v>4</v>
      </c>
      <c r="N1271" s="3">
        <v>2</v>
      </c>
      <c r="O1271" s="3">
        <v>1</v>
      </c>
      <c r="P1271" s="3">
        <v>1</v>
      </c>
      <c r="Q1271" s="3">
        <v>1</v>
      </c>
    </row>
    <row r="1272" spans="1:17">
      <c r="A1272" t="s">
        <v>1429</v>
      </c>
      <c r="B1272" s="3" t="s">
        <v>939</v>
      </c>
      <c r="C1272" s="3" t="s">
        <v>940</v>
      </c>
      <c r="D1272" s="3" t="s">
        <v>14</v>
      </c>
      <c r="E1272" s="3" t="s">
        <v>12</v>
      </c>
      <c r="F1272" s="3">
        <v>0</v>
      </c>
      <c r="G1272" s="74">
        <f>F1272*VLOOKUP(D1272,GWPs!$B$3:$C$6,2,FALSE)</f>
        <v>0</v>
      </c>
      <c r="H1272" s="3">
        <v>0</v>
      </c>
      <c r="I1272" s="74">
        <f>H1272*VLOOKUP(D1272,GWPs!$B$3:$C$6,2,FALSE)</f>
        <v>0</v>
      </c>
      <c r="J1272" s="3">
        <v>0</v>
      </c>
      <c r="K1272" s="74">
        <f>J1272*VLOOKUP(D1272,GWPs!$B$3:$C$6,2,FALSE)</f>
        <v>0</v>
      </c>
      <c r="M1272" s="3">
        <v>3</v>
      </c>
      <c r="N1272" s="3">
        <v>2</v>
      </c>
      <c r="O1272" s="3">
        <v>1</v>
      </c>
      <c r="P1272" s="3">
        <v>3</v>
      </c>
      <c r="Q1272" s="3">
        <v>1</v>
      </c>
    </row>
    <row r="1273" spans="1:17">
      <c r="A1273" t="s">
        <v>1429</v>
      </c>
      <c r="B1273" s="3" t="s">
        <v>939</v>
      </c>
      <c r="C1273" s="3" t="s">
        <v>940</v>
      </c>
      <c r="D1273" s="3" t="s">
        <v>15</v>
      </c>
      <c r="E1273" s="3" t="s">
        <v>16</v>
      </c>
      <c r="F1273" s="3">
        <v>1E-3</v>
      </c>
      <c r="G1273" s="74">
        <f>F1273*VLOOKUP(D1273,GWPs!$B$3:$C$6,2,FALSE)</f>
        <v>1E-3</v>
      </c>
      <c r="H1273" s="3">
        <v>0</v>
      </c>
      <c r="I1273" s="74">
        <f>H1273*VLOOKUP(D1273,GWPs!$B$3:$C$6,2,FALSE)</f>
        <v>0</v>
      </c>
      <c r="J1273" s="3">
        <v>1E-3</v>
      </c>
      <c r="K1273" s="74">
        <f>J1273*VLOOKUP(D1273,GWPs!$B$3:$C$6,2,FALSE)</f>
        <v>1E-3</v>
      </c>
      <c r="M1273" s="3">
        <v>4</v>
      </c>
      <c r="N1273" s="3">
        <v>2</v>
      </c>
      <c r="O1273" s="3">
        <v>1</v>
      </c>
      <c r="P1273" s="3">
        <v>4</v>
      </c>
      <c r="Q1273" s="3">
        <v>1</v>
      </c>
    </row>
    <row r="1274" spans="1:17">
      <c r="A1274" t="s">
        <v>1429</v>
      </c>
      <c r="B1274" s="3" t="s">
        <v>941</v>
      </c>
      <c r="C1274" s="3" t="s">
        <v>942</v>
      </c>
      <c r="D1274" s="3" t="s">
        <v>11</v>
      </c>
      <c r="E1274" s="3" t="s">
        <v>12</v>
      </c>
      <c r="F1274" s="3">
        <v>2.3E-2</v>
      </c>
      <c r="G1274" s="74">
        <f>F1274*VLOOKUP(D1274,GWPs!$B$3:$C$6,2,FALSE)</f>
        <v>2.3E-2</v>
      </c>
      <c r="H1274" s="3">
        <v>0</v>
      </c>
      <c r="I1274" s="74">
        <f>H1274*VLOOKUP(D1274,GWPs!$B$3:$C$6,2,FALSE)</f>
        <v>0</v>
      </c>
      <c r="J1274" s="3">
        <v>2.3E-2</v>
      </c>
      <c r="K1274" s="74">
        <f>J1274*VLOOKUP(D1274,GWPs!$B$3:$C$6,2,FALSE)</f>
        <v>2.3E-2</v>
      </c>
      <c r="M1274" s="3">
        <v>3</v>
      </c>
      <c r="N1274" s="3">
        <v>2</v>
      </c>
      <c r="O1274" s="3">
        <v>1</v>
      </c>
      <c r="P1274" s="3">
        <v>3</v>
      </c>
      <c r="Q1274" s="3">
        <v>1</v>
      </c>
    </row>
    <row r="1275" spans="1:17">
      <c r="A1275" t="s">
        <v>1429</v>
      </c>
      <c r="B1275" s="3" t="s">
        <v>941</v>
      </c>
      <c r="C1275" s="3" t="s">
        <v>942</v>
      </c>
      <c r="D1275" s="3" t="s">
        <v>13</v>
      </c>
      <c r="E1275" s="3" t="s">
        <v>12</v>
      </c>
      <c r="F1275" s="3">
        <v>0</v>
      </c>
      <c r="G1275" s="74">
        <f>F1275*VLOOKUP(D1275,GWPs!$B$3:$C$6,2,FALSE)</f>
        <v>0</v>
      </c>
      <c r="H1275" s="3">
        <v>0</v>
      </c>
      <c r="I1275" s="74">
        <f>H1275*VLOOKUP(D1275,GWPs!$B$3:$C$6,2,FALSE)</f>
        <v>0</v>
      </c>
      <c r="J1275" s="3">
        <v>0</v>
      </c>
      <c r="K1275" s="74">
        <f>J1275*VLOOKUP(D1275,GWPs!$B$3:$C$6,2,FALSE)</f>
        <v>0</v>
      </c>
      <c r="M1275" s="3">
        <v>2</v>
      </c>
      <c r="N1275" s="3">
        <v>2</v>
      </c>
      <c r="O1275" s="3">
        <v>1</v>
      </c>
      <c r="P1275" s="3">
        <v>1</v>
      </c>
      <c r="Q1275" s="3">
        <v>1</v>
      </c>
    </row>
    <row r="1276" spans="1:17">
      <c r="A1276" t="s">
        <v>1429</v>
      </c>
      <c r="B1276" s="3" t="s">
        <v>941</v>
      </c>
      <c r="C1276" s="3" t="s">
        <v>942</v>
      </c>
      <c r="D1276" s="3" t="s">
        <v>14</v>
      </c>
      <c r="E1276" s="3" t="s">
        <v>12</v>
      </c>
      <c r="F1276" s="3">
        <v>0</v>
      </c>
      <c r="G1276" s="74">
        <f>F1276*VLOOKUP(D1276,GWPs!$B$3:$C$6,2,FALSE)</f>
        <v>0</v>
      </c>
      <c r="H1276" s="3">
        <v>0</v>
      </c>
      <c r="I1276" s="74">
        <f>H1276*VLOOKUP(D1276,GWPs!$B$3:$C$6,2,FALSE)</f>
        <v>0</v>
      </c>
      <c r="J1276" s="3">
        <v>0</v>
      </c>
      <c r="K1276" s="74">
        <f>J1276*VLOOKUP(D1276,GWPs!$B$3:$C$6,2,FALSE)</f>
        <v>0</v>
      </c>
      <c r="M1276" s="3">
        <v>4</v>
      </c>
      <c r="N1276" s="3">
        <v>2</v>
      </c>
      <c r="O1276" s="3">
        <v>1</v>
      </c>
      <c r="P1276" s="3">
        <v>2</v>
      </c>
      <c r="Q1276" s="3">
        <v>1</v>
      </c>
    </row>
    <row r="1277" spans="1:17">
      <c r="A1277" t="s">
        <v>1429</v>
      </c>
      <c r="B1277" s="3" t="s">
        <v>941</v>
      </c>
      <c r="C1277" s="3" t="s">
        <v>942</v>
      </c>
      <c r="D1277" s="3" t="s">
        <v>15</v>
      </c>
      <c r="E1277" s="3" t="s">
        <v>16</v>
      </c>
      <c r="F1277" s="3">
        <v>1E-3</v>
      </c>
      <c r="G1277" s="74">
        <f>F1277*VLOOKUP(D1277,GWPs!$B$3:$C$6,2,FALSE)</f>
        <v>1E-3</v>
      </c>
      <c r="H1277" s="3">
        <v>0</v>
      </c>
      <c r="I1277" s="74">
        <f>H1277*VLOOKUP(D1277,GWPs!$B$3:$C$6,2,FALSE)</f>
        <v>0</v>
      </c>
      <c r="J1277" s="3">
        <v>1E-3</v>
      </c>
      <c r="K1277" s="74">
        <f>J1277*VLOOKUP(D1277,GWPs!$B$3:$C$6,2,FALSE)</f>
        <v>1E-3</v>
      </c>
      <c r="M1277" s="3">
        <v>4</v>
      </c>
      <c r="N1277" s="3">
        <v>2</v>
      </c>
      <c r="O1277" s="3">
        <v>1</v>
      </c>
      <c r="P1277" s="3">
        <v>4</v>
      </c>
      <c r="Q1277" s="3">
        <v>1</v>
      </c>
    </row>
    <row r="1278" spans="1:17">
      <c r="A1278" t="s">
        <v>1429</v>
      </c>
      <c r="B1278" s="3" t="s">
        <v>943</v>
      </c>
      <c r="C1278" s="3" t="s">
        <v>944</v>
      </c>
      <c r="D1278" s="3" t="s">
        <v>11</v>
      </c>
      <c r="E1278" s="3" t="s">
        <v>12</v>
      </c>
      <c r="F1278" s="3">
        <v>3.5000000000000003E-2</v>
      </c>
      <c r="G1278" s="74">
        <f>F1278*VLOOKUP(D1278,GWPs!$B$3:$C$6,2,FALSE)</f>
        <v>3.5000000000000003E-2</v>
      </c>
      <c r="H1278" s="3">
        <v>0</v>
      </c>
      <c r="I1278" s="74">
        <f>H1278*VLOOKUP(D1278,GWPs!$B$3:$C$6,2,FALSE)</f>
        <v>0</v>
      </c>
      <c r="J1278" s="3">
        <v>3.5000000000000003E-2</v>
      </c>
      <c r="K1278" s="74">
        <f>J1278*VLOOKUP(D1278,GWPs!$B$3:$C$6,2,FALSE)</f>
        <v>3.5000000000000003E-2</v>
      </c>
      <c r="M1278" s="3">
        <v>3</v>
      </c>
      <c r="N1278" s="3">
        <v>2</v>
      </c>
      <c r="O1278" s="3">
        <v>1</v>
      </c>
      <c r="P1278" s="3">
        <v>3</v>
      </c>
      <c r="Q1278" s="3">
        <v>1</v>
      </c>
    </row>
    <row r="1279" spans="1:17">
      <c r="A1279" t="s">
        <v>1429</v>
      </c>
      <c r="B1279" s="3" t="s">
        <v>943</v>
      </c>
      <c r="C1279" s="3" t="s">
        <v>944</v>
      </c>
      <c r="D1279" s="3" t="s">
        <v>13</v>
      </c>
      <c r="E1279" s="3" t="s">
        <v>12</v>
      </c>
      <c r="F1279" s="3">
        <v>0</v>
      </c>
      <c r="G1279" s="74">
        <f>F1279*VLOOKUP(D1279,GWPs!$B$3:$C$6,2,FALSE)</f>
        <v>0</v>
      </c>
      <c r="H1279" s="3">
        <v>0</v>
      </c>
      <c r="I1279" s="74">
        <f>H1279*VLOOKUP(D1279,GWPs!$B$3:$C$6,2,FALSE)</f>
        <v>0</v>
      </c>
      <c r="J1279" s="3">
        <v>0</v>
      </c>
      <c r="K1279" s="74">
        <f>J1279*VLOOKUP(D1279,GWPs!$B$3:$C$6,2,FALSE)</f>
        <v>0</v>
      </c>
      <c r="M1279" s="3">
        <v>3</v>
      </c>
      <c r="N1279" s="3">
        <v>2</v>
      </c>
      <c r="O1279" s="3">
        <v>1</v>
      </c>
      <c r="P1279" s="3">
        <v>1</v>
      </c>
      <c r="Q1279" s="3">
        <v>1</v>
      </c>
    </row>
    <row r="1280" spans="1:17">
      <c r="A1280" t="s">
        <v>1429</v>
      </c>
      <c r="B1280" s="3" t="s">
        <v>943</v>
      </c>
      <c r="C1280" s="3" t="s">
        <v>944</v>
      </c>
      <c r="D1280" s="3" t="s">
        <v>14</v>
      </c>
      <c r="E1280" s="3" t="s">
        <v>12</v>
      </c>
      <c r="F1280" s="3">
        <v>0</v>
      </c>
      <c r="G1280" s="74">
        <f>F1280*VLOOKUP(D1280,GWPs!$B$3:$C$6,2,FALSE)</f>
        <v>0</v>
      </c>
      <c r="H1280" s="3">
        <v>0</v>
      </c>
      <c r="I1280" s="74">
        <f>H1280*VLOOKUP(D1280,GWPs!$B$3:$C$6,2,FALSE)</f>
        <v>0</v>
      </c>
      <c r="J1280" s="3">
        <v>0</v>
      </c>
      <c r="K1280" s="74">
        <f>J1280*VLOOKUP(D1280,GWPs!$B$3:$C$6,2,FALSE)</f>
        <v>0</v>
      </c>
      <c r="M1280" s="3">
        <v>3</v>
      </c>
      <c r="N1280" s="3">
        <v>2</v>
      </c>
      <c r="O1280" s="3">
        <v>1</v>
      </c>
      <c r="P1280" s="3">
        <v>3</v>
      </c>
      <c r="Q1280" s="3">
        <v>1</v>
      </c>
    </row>
    <row r="1281" spans="1:17">
      <c r="A1281" t="s">
        <v>1429</v>
      </c>
      <c r="B1281" s="3" t="s">
        <v>943</v>
      </c>
      <c r="C1281" s="3" t="s">
        <v>944</v>
      </c>
      <c r="D1281" s="3" t="s">
        <v>15</v>
      </c>
      <c r="E1281" s="3" t="s">
        <v>16</v>
      </c>
      <c r="F1281" s="3">
        <v>1E-3</v>
      </c>
      <c r="G1281" s="74">
        <f>F1281*VLOOKUP(D1281,GWPs!$B$3:$C$6,2,FALSE)</f>
        <v>1E-3</v>
      </c>
      <c r="H1281" s="3">
        <v>0</v>
      </c>
      <c r="I1281" s="74">
        <f>H1281*VLOOKUP(D1281,GWPs!$B$3:$C$6,2,FALSE)</f>
        <v>0</v>
      </c>
      <c r="J1281" s="3">
        <v>1E-3</v>
      </c>
      <c r="K1281" s="74">
        <f>J1281*VLOOKUP(D1281,GWPs!$B$3:$C$6,2,FALSE)</f>
        <v>1E-3</v>
      </c>
      <c r="M1281" s="3">
        <v>4</v>
      </c>
      <c r="N1281" s="3">
        <v>2</v>
      </c>
      <c r="O1281" s="3">
        <v>1</v>
      </c>
      <c r="P1281" s="3">
        <v>4</v>
      </c>
      <c r="Q1281" s="3">
        <v>1</v>
      </c>
    </row>
    <row r="1282" spans="1:17">
      <c r="A1282" t="s">
        <v>1429</v>
      </c>
      <c r="B1282" s="3" t="s">
        <v>945</v>
      </c>
      <c r="C1282" s="3" t="s">
        <v>946</v>
      </c>
      <c r="D1282" s="3" t="s">
        <v>11</v>
      </c>
      <c r="E1282" s="3" t="s">
        <v>12</v>
      </c>
      <c r="F1282" s="3">
        <v>3.2000000000000001E-2</v>
      </c>
      <c r="G1282" s="74">
        <f>F1282*VLOOKUP(D1282,GWPs!$B$3:$C$6,2,FALSE)</f>
        <v>3.2000000000000001E-2</v>
      </c>
      <c r="H1282" s="3">
        <v>0</v>
      </c>
      <c r="I1282" s="74">
        <f>H1282*VLOOKUP(D1282,GWPs!$B$3:$C$6,2,FALSE)</f>
        <v>0</v>
      </c>
      <c r="J1282" s="3">
        <v>3.2000000000000001E-2</v>
      </c>
      <c r="K1282" s="74">
        <f>J1282*VLOOKUP(D1282,GWPs!$B$3:$C$6,2,FALSE)</f>
        <v>3.2000000000000001E-2</v>
      </c>
      <c r="M1282" s="3">
        <v>3</v>
      </c>
      <c r="N1282" s="3">
        <v>2</v>
      </c>
      <c r="O1282" s="3">
        <v>1</v>
      </c>
      <c r="P1282" s="3">
        <v>3</v>
      </c>
      <c r="Q1282" s="3">
        <v>1</v>
      </c>
    </row>
    <row r="1283" spans="1:17">
      <c r="A1283" t="s">
        <v>1429</v>
      </c>
      <c r="B1283" s="3" t="s">
        <v>945</v>
      </c>
      <c r="C1283" s="3" t="s">
        <v>946</v>
      </c>
      <c r="D1283" s="3" t="s">
        <v>13</v>
      </c>
      <c r="E1283" s="3" t="s">
        <v>12</v>
      </c>
      <c r="F1283" s="3">
        <v>0</v>
      </c>
      <c r="G1283" s="74">
        <f>F1283*VLOOKUP(D1283,GWPs!$B$3:$C$6,2,FALSE)</f>
        <v>0</v>
      </c>
      <c r="H1283" s="3">
        <v>0</v>
      </c>
      <c r="I1283" s="74">
        <f>H1283*VLOOKUP(D1283,GWPs!$B$3:$C$6,2,FALSE)</f>
        <v>0</v>
      </c>
      <c r="J1283" s="3">
        <v>0</v>
      </c>
      <c r="K1283" s="74">
        <f>J1283*VLOOKUP(D1283,GWPs!$B$3:$C$6,2,FALSE)</f>
        <v>0</v>
      </c>
      <c r="M1283" s="3">
        <v>3</v>
      </c>
      <c r="N1283" s="3">
        <v>2</v>
      </c>
      <c r="O1283" s="3">
        <v>1</v>
      </c>
      <c r="P1283" s="3">
        <v>1</v>
      </c>
      <c r="Q1283" s="3">
        <v>1</v>
      </c>
    </row>
    <row r="1284" spans="1:17">
      <c r="A1284" t="s">
        <v>1429</v>
      </c>
      <c r="B1284" s="3" t="s">
        <v>945</v>
      </c>
      <c r="C1284" s="3" t="s">
        <v>946</v>
      </c>
      <c r="D1284" s="3" t="s">
        <v>14</v>
      </c>
      <c r="E1284" s="3" t="s">
        <v>12</v>
      </c>
      <c r="F1284" s="3">
        <v>0</v>
      </c>
      <c r="G1284" s="74">
        <f>F1284*VLOOKUP(D1284,GWPs!$B$3:$C$6,2,FALSE)</f>
        <v>0</v>
      </c>
      <c r="H1284" s="3">
        <v>0</v>
      </c>
      <c r="I1284" s="74">
        <f>H1284*VLOOKUP(D1284,GWPs!$B$3:$C$6,2,FALSE)</f>
        <v>0</v>
      </c>
      <c r="J1284" s="3">
        <v>0</v>
      </c>
      <c r="K1284" s="74">
        <f>J1284*VLOOKUP(D1284,GWPs!$B$3:$C$6,2,FALSE)</f>
        <v>0</v>
      </c>
      <c r="M1284" s="3">
        <v>3</v>
      </c>
      <c r="N1284" s="3">
        <v>2</v>
      </c>
      <c r="O1284" s="3">
        <v>1</v>
      </c>
      <c r="P1284" s="3">
        <v>3</v>
      </c>
      <c r="Q1284" s="3">
        <v>1</v>
      </c>
    </row>
    <row r="1285" spans="1:17">
      <c r="A1285" t="s">
        <v>1429</v>
      </c>
      <c r="B1285" s="3" t="s">
        <v>945</v>
      </c>
      <c r="C1285" s="3" t="s">
        <v>946</v>
      </c>
      <c r="D1285" s="3" t="s">
        <v>15</v>
      </c>
      <c r="E1285" s="3" t="s">
        <v>16</v>
      </c>
      <c r="F1285" s="3">
        <v>1E-3</v>
      </c>
      <c r="G1285" s="74">
        <f>F1285*VLOOKUP(D1285,GWPs!$B$3:$C$6,2,FALSE)</f>
        <v>1E-3</v>
      </c>
      <c r="H1285" s="3">
        <v>0</v>
      </c>
      <c r="I1285" s="74">
        <f>H1285*VLOOKUP(D1285,GWPs!$B$3:$C$6,2,FALSE)</f>
        <v>0</v>
      </c>
      <c r="J1285" s="3">
        <v>1E-3</v>
      </c>
      <c r="K1285" s="74">
        <f>J1285*VLOOKUP(D1285,GWPs!$B$3:$C$6,2,FALSE)</f>
        <v>1E-3</v>
      </c>
      <c r="M1285" s="3">
        <v>4</v>
      </c>
      <c r="N1285" s="3">
        <v>2</v>
      </c>
      <c r="O1285" s="3">
        <v>1</v>
      </c>
      <c r="P1285" s="3">
        <v>4</v>
      </c>
      <c r="Q1285" s="3">
        <v>1</v>
      </c>
    </row>
    <row r="1286" spans="1:17">
      <c r="A1286" t="s">
        <v>1429</v>
      </c>
      <c r="B1286" s="3" t="s">
        <v>947</v>
      </c>
      <c r="C1286" s="3" t="s">
        <v>948</v>
      </c>
      <c r="D1286" s="3" t="s">
        <v>11</v>
      </c>
      <c r="E1286" s="3" t="s">
        <v>12</v>
      </c>
      <c r="F1286" s="3">
        <v>0.17399999999999999</v>
      </c>
      <c r="G1286" s="74">
        <f>F1286*VLOOKUP(D1286,GWPs!$B$3:$C$6,2,FALSE)</f>
        <v>0.17399999999999999</v>
      </c>
      <c r="H1286" s="3">
        <v>0</v>
      </c>
      <c r="I1286" s="74">
        <f>H1286*VLOOKUP(D1286,GWPs!$B$3:$C$6,2,FALSE)</f>
        <v>0</v>
      </c>
      <c r="J1286" s="3">
        <v>0.17399999999999999</v>
      </c>
      <c r="K1286" s="74">
        <f>J1286*VLOOKUP(D1286,GWPs!$B$3:$C$6,2,FALSE)</f>
        <v>0.17399999999999999</v>
      </c>
      <c r="M1286" s="3">
        <v>3</v>
      </c>
      <c r="N1286" s="3">
        <v>2</v>
      </c>
      <c r="O1286" s="3">
        <v>1</v>
      </c>
      <c r="P1286" s="3">
        <v>4</v>
      </c>
      <c r="Q1286" s="3">
        <v>1</v>
      </c>
    </row>
    <row r="1287" spans="1:17">
      <c r="A1287" t="s">
        <v>1429</v>
      </c>
      <c r="B1287" s="3" t="s">
        <v>947</v>
      </c>
      <c r="C1287" s="3" t="s">
        <v>948</v>
      </c>
      <c r="D1287" s="3" t="s">
        <v>13</v>
      </c>
      <c r="E1287" s="3" t="s">
        <v>12</v>
      </c>
      <c r="F1287" s="3">
        <v>1E-3</v>
      </c>
      <c r="G1287" s="74">
        <f>F1287*VLOOKUP(D1287,GWPs!$B$3:$C$6,2,FALSE)</f>
        <v>2.8000000000000001E-2</v>
      </c>
      <c r="H1287" s="3">
        <v>0</v>
      </c>
      <c r="I1287" s="74">
        <f>H1287*VLOOKUP(D1287,GWPs!$B$3:$C$6,2,FALSE)</f>
        <v>0</v>
      </c>
      <c r="J1287" s="3">
        <v>1E-3</v>
      </c>
      <c r="K1287" s="74">
        <f>J1287*VLOOKUP(D1287,GWPs!$B$3:$C$6,2,FALSE)</f>
        <v>2.8000000000000001E-2</v>
      </c>
      <c r="M1287" s="3">
        <v>3</v>
      </c>
      <c r="N1287" s="3">
        <v>2</v>
      </c>
      <c r="O1287" s="3">
        <v>1</v>
      </c>
      <c r="P1287" s="3">
        <v>1</v>
      </c>
      <c r="Q1287" s="3">
        <v>1</v>
      </c>
    </row>
    <row r="1288" spans="1:17">
      <c r="A1288" t="s">
        <v>1429</v>
      </c>
      <c r="B1288" s="3" t="s">
        <v>947</v>
      </c>
      <c r="C1288" s="3" t="s">
        <v>948</v>
      </c>
      <c r="D1288" s="3" t="s">
        <v>14</v>
      </c>
      <c r="E1288" s="3" t="s">
        <v>12</v>
      </c>
      <c r="F1288" s="3">
        <v>0</v>
      </c>
      <c r="G1288" s="74">
        <f>F1288*VLOOKUP(D1288,GWPs!$B$3:$C$6,2,FALSE)</f>
        <v>0</v>
      </c>
      <c r="H1288" s="3">
        <v>0</v>
      </c>
      <c r="I1288" s="74">
        <f>H1288*VLOOKUP(D1288,GWPs!$B$3:$C$6,2,FALSE)</f>
        <v>0</v>
      </c>
      <c r="J1288" s="3">
        <v>0</v>
      </c>
      <c r="K1288" s="74">
        <f>J1288*VLOOKUP(D1288,GWPs!$B$3:$C$6,2,FALSE)</f>
        <v>0</v>
      </c>
      <c r="M1288" s="3">
        <v>4</v>
      </c>
      <c r="N1288" s="3">
        <v>2</v>
      </c>
      <c r="O1288" s="3">
        <v>1</v>
      </c>
      <c r="P1288" s="3">
        <v>2</v>
      </c>
      <c r="Q1288" s="3">
        <v>1</v>
      </c>
    </row>
    <row r="1289" spans="1:17">
      <c r="A1289" t="s">
        <v>1429</v>
      </c>
      <c r="B1289" s="3" t="s">
        <v>947</v>
      </c>
      <c r="C1289" s="3" t="s">
        <v>948</v>
      </c>
      <c r="D1289" s="3" t="s">
        <v>15</v>
      </c>
      <c r="E1289" s="3" t="s">
        <v>16</v>
      </c>
      <c r="F1289" s="3">
        <v>2E-3</v>
      </c>
      <c r="G1289" s="74">
        <f>F1289*VLOOKUP(D1289,GWPs!$B$3:$C$6,2,FALSE)</f>
        <v>2E-3</v>
      </c>
      <c r="H1289" s="3">
        <v>0</v>
      </c>
      <c r="I1289" s="74">
        <f>H1289*VLOOKUP(D1289,GWPs!$B$3:$C$6,2,FALSE)</f>
        <v>0</v>
      </c>
      <c r="J1289" s="3">
        <v>2E-3</v>
      </c>
      <c r="K1289" s="74">
        <f>J1289*VLOOKUP(D1289,GWPs!$B$3:$C$6,2,FALSE)</f>
        <v>2E-3</v>
      </c>
      <c r="M1289" s="3">
        <v>4</v>
      </c>
      <c r="N1289" s="3">
        <v>2</v>
      </c>
      <c r="O1289" s="3">
        <v>1</v>
      </c>
      <c r="P1289" s="3">
        <v>4</v>
      </c>
      <c r="Q1289" s="3">
        <v>1</v>
      </c>
    </row>
    <row r="1290" spans="1:17">
      <c r="A1290" t="s">
        <v>1429</v>
      </c>
      <c r="B1290" s="3" t="s">
        <v>949</v>
      </c>
      <c r="C1290" s="3" t="s">
        <v>950</v>
      </c>
      <c r="D1290" s="3" t="s">
        <v>11</v>
      </c>
      <c r="E1290" s="3" t="s">
        <v>12</v>
      </c>
      <c r="F1290" s="3">
        <v>6.8000000000000005E-2</v>
      </c>
      <c r="G1290" s="74">
        <f>F1290*VLOOKUP(D1290,GWPs!$B$3:$C$6,2,FALSE)</f>
        <v>6.8000000000000005E-2</v>
      </c>
      <c r="H1290" s="3">
        <v>0</v>
      </c>
      <c r="I1290" s="74">
        <f>H1290*VLOOKUP(D1290,GWPs!$B$3:$C$6,2,FALSE)</f>
        <v>0</v>
      </c>
      <c r="J1290" s="3">
        <v>6.8000000000000005E-2</v>
      </c>
      <c r="K1290" s="74">
        <f>J1290*VLOOKUP(D1290,GWPs!$B$3:$C$6,2,FALSE)</f>
        <v>6.8000000000000005E-2</v>
      </c>
      <c r="M1290" s="3">
        <v>3</v>
      </c>
      <c r="N1290" s="3">
        <v>2</v>
      </c>
      <c r="O1290" s="3">
        <v>1</v>
      </c>
      <c r="P1290" s="3">
        <v>3</v>
      </c>
      <c r="Q1290" s="3">
        <v>1</v>
      </c>
    </row>
    <row r="1291" spans="1:17">
      <c r="A1291" t="s">
        <v>1429</v>
      </c>
      <c r="B1291" s="3" t="s">
        <v>949</v>
      </c>
      <c r="C1291" s="3" t="s">
        <v>950</v>
      </c>
      <c r="D1291" s="3" t="s">
        <v>13</v>
      </c>
      <c r="E1291" s="3" t="s">
        <v>12</v>
      </c>
      <c r="F1291" s="3">
        <v>0</v>
      </c>
      <c r="G1291" s="74">
        <f>F1291*VLOOKUP(D1291,GWPs!$B$3:$C$6,2,FALSE)</f>
        <v>0</v>
      </c>
      <c r="H1291" s="3">
        <v>0</v>
      </c>
      <c r="I1291" s="74">
        <f>H1291*VLOOKUP(D1291,GWPs!$B$3:$C$6,2,FALSE)</f>
        <v>0</v>
      </c>
      <c r="J1291" s="3">
        <v>0</v>
      </c>
      <c r="K1291" s="74">
        <f>J1291*VLOOKUP(D1291,GWPs!$B$3:$C$6,2,FALSE)</f>
        <v>0</v>
      </c>
      <c r="M1291" s="3">
        <v>3</v>
      </c>
      <c r="N1291" s="3">
        <v>2</v>
      </c>
      <c r="O1291" s="3">
        <v>1</v>
      </c>
      <c r="P1291" s="3">
        <v>1</v>
      </c>
      <c r="Q1291" s="3">
        <v>1</v>
      </c>
    </row>
    <row r="1292" spans="1:17">
      <c r="A1292" t="s">
        <v>1429</v>
      </c>
      <c r="B1292" s="3" t="s">
        <v>949</v>
      </c>
      <c r="C1292" s="3" t="s">
        <v>950</v>
      </c>
      <c r="D1292" s="3" t="s">
        <v>14</v>
      </c>
      <c r="E1292" s="3" t="s">
        <v>12</v>
      </c>
      <c r="F1292" s="3">
        <v>0</v>
      </c>
      <c r="G1292" s="74">
        <f>F1292*VLOOKUP(D1292,GWPs!$B$3:$C$6,2,FALSE)</f>
        <v>0</v>
      </c>
      <c r="H1292" s="3">
        <v>0</v>
      </c>
      <c r="I1292" s="74">
        <f>H1292*VLOOKUP(D1292,GWPs!$B$3:$C$6,2,FALSE)</f>
        <v>0</v>
      </c>
      <c r="J1292" s="3">
        <v>0</v>
      </c>
      <c r="K1292" s="74">
        <f>J1292*VLOOKUP(D1292,GWPs!$B$3:$C$6,2,FALSE)</f>
        <v>0</v>
      </c>
      <c r="M1292" s="3">
        <v>3</v>
      </c>
      <c r="N1292" s="3">
        <v>2</v>
      </c>
      <c r="O1292" s="3">
        <v>1</v>
      </c>
      <c r="P1292" s="3">
        <v>3</v>
      </c>
      <c r="Q1292" s="3">
        <v>1</v>
      </c>
    </row>
    <row r="1293" spans="1:17">
      <c r="A1293" t="s">
        <v>1429</v>
      </c>
      <c r="B1293" s="3" t="s">
        <v>949</v>
      </c>
      <c r="C1293" s="3" t="s">
        <v>950</v>
      </c>
      <c r="D1293" s="3" t="s">
        <v>15</v>
      </c>
      <c r="E1293" s="3" t="s">
        <v>16</v>
      </c>
      <c r="F1293" s="3">
        <v>1E-3</v>
      </c>
      <c r="G1293" s="74">
        <f>F1293*VLOOKUP(D1293,GWPs!$B$3:$C$6,2,FALSE)</f>
        <v>1E-3</v>
      </c>
      <c r="H1293" s="3">
        <v>0</v>
      </c>
      <c r="I1293" s="74">
        <f>H1293*VLOOKUP(D1293,GWPs!$B$3:$C$6,2,FALSE)</f>
        <v>0</v>
      </c>
      <c r="J1293" s="3">
        <v>1E-3</v>
      </c>
      <c r="K1293" s="74">
        <f>J1293*VLOOKUP(D1293,GWPs!$B$3:$C$6,2,FALSE)</f>
        <v>1E-3</v>
      </c>
      <c r="M1293" s="3">
        <v>4</v>
      </c>
      <c r="N1293" s="3">
        <v>2</v>
      </c>
      <c r="O1293" s="3">
        <v>1</v>
      </c>
      <c r="P1293" s="3">
        <v>4</v>
      </c>
      <c r="Q1293" s="3">
        <v>1</v>
      </c>
    </row>
    <row r="1294" spans="1:17">
      <c r="A1294" t="s">
        <v>1429</v>
      </c>
      <c r="B1294" s="3" t="s">
        <v>951</v>
      </c>
      <c r="C1294" s="3" t="s">
        <v>952</v>
      </c>
      <c r="D1294" s="3" t="s">
        <v>11</v>
      </c>
      <c r="E1294" s="3" t="s">
        <v>12</v>
      </c>
      <c r="F1294" s="3">
        <v>2.1000000000000001E-2</v>
      </c>
      <c r="G1294" s="74">
        <f>F1294*VLOOKUP(D1294,GWPs!$B$3:$C$6,2,FALSE)</f>
        <v>2.1000000000000001E-2</v>
      </c>
      <c r="H1294" s="3">
        <v>0</v>
      </c>
      <c r="I1294" s="74">
        <f>H1294*VLOOKUP(D1294,GWPs!$B$3:$C$6,2,FALSE)</f>
        <v>0</v>
      </c>
      <c r="J1294" s="3">
        <v>2.1000000000000001E-2</v>
      </c>
      <c r="K1294" s="74">
        <f>J1294*VLOOKUP(D1294,GWPs!$B$3:$C$6,2,FALSE)</f>
        <v>2.1000000000000001E-2</v>
      </c>
      <c r="M1294" s="3">
        <v>3</v>
      </c>
      <c r="N1294" s="3">
        <v>2</v>
      </c>
      <c r="O1294" s="3">
        <v>1</v>
      </c>
      <c r="P1294" s="3">
        <v>3</v>
      </c>
      <c r="Q1294" s="3">
        <v>1</v>
      </c>
    </row>
    <row r="1295" spans="1:17">
      <c r="A1295" t="s">
        <v>1429</v>
      </c>
      <c r="B1295" s="3" t="s">
        <v>951</v>
      </c>
      <c r="C1295" s="3" t="s">
        <v>952</v>
      </c>
      <c r="D1295" s="3" t="s">
        <v>13</v>
      </c>
      <c r="E1295" s="3" t="s">
        <v>12</v>
      </c>
      <c r="F1295" s="3">
        <v>0</v>
      </c>
      <c r="G1295" s="74">
        <f>F1295*VLOOKUP(D1295,GWPs!$B$3:$C$6,2,FALSE)</f>
        <v>0</v>
      </c>
      <c r="H1295" s="3">
        <v>0</v>
      </c>
      <c r="I1295" s="74">
        <f>H1295*VLOOKUP(D1295,GWPs!$B$3:$C$6,2,FALSE)</f>
        <v>0</v>
      </c>
      <c r="J1295" s="3">
        <v>0</v>
      </c>
      <c r="K1295" s="74">
        <f>J1295*VLOOKUP(D1295,GWPs!$B$3:$C$6,2,FALSE)</f>
        <v>0</v>
      </c>
      <c r="M1295" s="3">
        <v>3</v>
      </c>
      <c r="N1295" s="3">
        <v>2</v>
      </c>
      <c r="O1295" s="3">
        <v>1</v>
      </c>
      <c r="P1295" s="3">
        <v>1</v>
      </c>
      <c r="Q1295" s="3">
        <v>1</v>
      </c>
    </row>
    <row r="1296" spans="1:17">
      <c r="A1296" t="s">
        <v>1429</v>
      </c>
      <c r="B1296" s="3" t="s">
        <v>951</v>
      </c>
      <c r="C1296" s="3" t="s">
        <v>952</v>
      </c>
      <c r="D1296" s="3" t="s">
        <v>14</v>
      </c>
      <c r="E1296" s="3" t="s">
        <v>12</v>
      </c>
      <c r="F1296" s="3">
        <v>0</v>
      </c>
      <c r="G1296" s="74">
        <f>F1296*VLOOKUP(D1296,GWPs!$B$3:$C$6,2,FALSE)</f>
        <v>0</v>
      </c>
      <c r="H1296" s="3">
        <v>0</v>
      </c>
      <c r="I1296" s="74">
        <f>H1296*VLOOKUP(D1296,GWPs!$B$3:$C$6,2,FALSE)</f>
        <v>0</v>
      </c>
      <c r="J1296" s="3">
        <v>0</v>
      </c>
      <c r="K1296" s="74">
        <f>J1296*VLOOKUP(D1296,GWPs!$B$3:$C$6,2,FALSE)</f>
        <v>0</v>
      </c>
      <c r="M1296" s="3">
        <v>3</v>
      </c>
      <c r="N1296" s="3">
        <v>2</v>
      </c>
      <c r="O1296" s="3">
        <v>1</v>
      </c>
      <c r="P1296" s="3">
        <v>3</v>
      </c>
      <c r="Q1296" s="3">
        <v>1</v>
      </c>
    </row>
    <row r="1297" spans="1:17">
      <c r="A1297" t="s">
        <v>1429</v>
      </c>
      <c r="B1297" s="3" t="s">
        <v>951</v>
      </c>
      <c r="C1297" s="3" t="s">
        <v>952</v>
      </c>
      <c r="D1297" s="3" t="s">
        <v>15</v>
      </c>
      <c r="E1297" s="3" t="s">
        <v>16</v>
      </c>
      <c r="F1297" s="3">
        <v>2E-3</v>
      </c>
      <c r="G1297" s="74">
        <f>F1297*VLOOKUP(D1297,GWPs!$B$3:$C$6,2,FALSE)</f>
        <v>2E-3</v>
      </c>
      <c r="H1297" s="3">
        <v>0</v>
      </c>
      <c r="I1297" s="74">
        <f>H1297*VLOOKUP(D1297,GWPs!$B$3:$C$6,2,FALSE)</f>
        <v>0</v>
      </c>
      <c r="J1297" s="3">
        <v>2E-3</v>
      </c>
      <c r="K1297" s="74">
        <f>J1297*VLOOKUP(D1297,GWPs!$B$3:$C$6,2,FALSE)</f>
        <v>2E-3</v>
      </c>
      <c r="M1297" s="3">
        <v>4</v>
      </c>
      <c r="N1297" s="3">
        <v>2</v>
      </c>
      <c r="O1297" s="3">
        <v>1</v>
      </c>
      <c r="P1297" s="3">
        <v>5</v>
      </c>
      <c r="Q1297" s="3">
        <v>1</v>
      </c>
    </row>
    <row r="1298" spans="1:17">
      <c r="A1298" t="s">
        <v>1429</v>
      </c>
      <c r="B1298" s="3" t="s">
        <v>953</v>
      </c>
      <c r="C1298" s="3" t="s">
        <v>954</v>
      </c>
      <c r="D1298" s="3" t="s">
        <v>11</v>
      </c>
      <c r="E1298" s="3" t="s">
        <v>12</v>
      </c>
      <c r="F1298" s="3">
        <v>0.01</v>
      </c>
      <c r="G1298" s="74">
        <f>F1298*VLOOKUP(D1298,GWPs!$B$3:$C$6,2,FALSE)</f>
        <v>0.01</v>
      </c>
      <c r="H1298" s="3">
        <v>0</v>
      </c>
      <c r="I1298" s="74">
        <f>H1298*VLOOKUP(D1298,GWPs!$B$3:$C$6,2,FALSE)</f>
        <v>0</v>
      </c>
      <c r="J1298" s="3">
        <v>0.01</v>
      </c>
      <c r="K1298" s="74">
        <f>J1298*VLOOKUP(D1298,GWPs!$B$3:$C$6,2,FALSE)</f>
        <v>0.01</v>
      </c>
      <c r="M1298" s="3">
        <v>3</v>
      </c>
      <c r="N1298" s="3">
        <v>2</v>
      </c>
      <c r="O1298" s="3">
        <v>1</v>
      </c>
      <c r="P1298" s="3">
        <v>3</v>
      </c>
      <c r="Q1298" s="3">
        <v>1</v>
      </c>
    </row>
    <row r="1299" spans="1:17">
      <c r="A1299" t="s">
        <v>1429</v>
      </c>
      <c r="B1299" s="3" t="s">
        <v>953</v>
      </c>
      <c r="C1299" s="3" t="s">
        <v>954</v>
      </c>
      <c r="D1299" s="3" t="s">
        <v>13</v>
      </c>
      <c r="E1299" s="3" t="s">
        <v>12</v>
      </c>
      <c r="F1299" s="3">
        <v>0</v>
      </c>
      <c r="G1299" s="74">
        <f>F1299*VLOOKUP(D1299,GWPs!$B$3:$C$6,2,FALSE)</f>
        <v>0</v>
      </c>
      <c r="H1299" s="3">
        <v>0</v>
      </c>
      <c r="I1299" s="74">
        <f>H1299*VLOOKUP(D1299,GWPs!$B$3:$C$6,2,FALSE)</f>
        <v>0</v>
      </c>
      <c r="J1299" s="3">
        <v>0</v>
      </c>
      <c r="K1299" s="74">
        <f>J1299*VLOOKUP(D1299,GWPs!$B$3:$C$6,2,FALSE)</f>
        <v>0</v>
      </c>
      <c r="M1299" s="3">
        <v>3</v>
      </c>
      <c r="N1299" s="3">
        <v>2</v>
      </c>
      <c r="O1299" s="3">
        <v>1</v>
      </c>
      <c r="P1299" s="3">
        <v>1</v>
      </c>
      <c r="Q1299" s="3">
        <v>1</v>
      </c>
    </row>
    <row r="1300" spans="1:17">
      <c r="A1300" t="s">
        <v>1429</v>
      </c>
      <c r="B1300" s="3" t="s">
        <v>953</v>
      </c>
      <c r="C1300" s="3" t="s">
        <v>954</v>
      </c>
      <c r="D1300" s="3" t="s">
        <v>14</v>
      </c>
      <c r="E1300" s="3" t="s">
        <v>12</v>
      </c>
      <c r="F1300" s="3">
        <v>0</v>
      </c>
      <c r="G1300" s="74">
        <f>F1300*VLOOKUP(D1300,GWPs!$B$3:$C$6,2,FALSE)</f>
        <v>0</v>
      </c>
      <c r="H1300" s="3">
        <v>0</v>
      </c>
      <c r="I1300" s="74">
        <f>H1300*VLOOKUP(D1300,GWPs!$B$3:$C$6,2,FALSE)</f>
        <v>0</v>
      </c>
      <c r="J1300" s="3">
        <v>0</v>
      </c>
      <c r="K1300" s="74">
        <f>J1300*VLOOKUP(D1300,GWPs!$B$3:$C$6,2,FALSE)</f>
        <v>0</v>
      </c>
      <c r="M1300" s="3">
        <v>3</v>
      </c>
      <c r="N1300" s="3">
        <v>2</v>
      </c>
      <c r="O1300" s="3">
        <v>1</v>
      </c>
      <c r="P1300" s="3">
        <v>2</v>
      </c>
      <c r="Q1300" s="3">
        <v>1</v>
      </c>
    </row>
    <row r="1301" spans="1:17">
      <c r="A1301" t="s">
        <v>1429</v>
      </c>
      <c r="B1301" s="3" t="s">
        <v>953</v>
      </c>
      <c r="C1301" s="3" t="s">
        <v>954</v>
      </c>
      <c r="D1301" s="3" t="s">
        <v>15</v>
      </c>
      <c r="E1301" s="3" t="s">
        <v>16</v>
      </c>
      <c r="F1301" s="3">
        <v>1E-3</v>
      </c>
      <c r="G1301" s="74">
        <f>F1301*VLOOKUP(D1301,GWPs!$B$3:$C$6,2,FALSE)</f>
        <v>1E-3</v>
      </c>
      <c r="H1301" s="3">
        <v>0</v>
      </c>
      <c r="I1301" s="74">
        <f>H1301*VLOOKUP(D1301,GWPs!$B$3:$C$6,2,FALSE)</f>
        <v>0</v>
      </c>
      <c r="J1301" s="3">
        <v>1E-3</v>
      </c>
      <c r="K1301" s="74">
        <f>J1301*VLOOKUP(D1301,GWPs!$B$3:$C$6,2,FALSE)</f>
        <v>1E-3</v>
      </c>
      <c r="M1301" s="3">
        <v>4</v>
      </c>
      <c r="N1301" s="3">
        <v>2</v>
      </c>
      <c r="O1301" s="3">
        <v>1</v>
      </c>
      <c r="P1301" s="3">
        <v>5</v>
      </c>
      <c r="Q1301" s="3">
        <v>1</v>
      </c>
    </row>
    <row r="1302" spans="1:17">
      <c r="A1302" t="s">
        <v>1429</v>
      </c>
      <c r="B1302" s="3" t="s">
        <v>955</v>
      </c>
      <c r="C1302" s="3" t="s">
        <v>21</v>
      </c>
      <c r="D1302" s="3" t="s">
        <v>11</v>
      </c>
      <c r="E1302" s="3" t="s">
        <v>12</v>
      </c>
      <c r="F1302" s="3">
        <v>0.38400000000000001</v>
      </c>
      <c r="G1302" s="74">
        <f>F1302*VLOOKUP(D1302,GWPs!$B$3:$C$6,2,FALSE)</f>
        <v>0.38400000000000001</v>
      </c>
      <c r="H1302" s="3">
        <v>0</v>
      </c>
      <c r="I1302" s="74">
        <f>H1302*VLOOKUP(D1302,GWPs!$B$3:$C$6,2,FALSE)</f>
        <v>0</v>
      </c>
      <c r="J1302" s="3">
        <v>0.38400000000000001</v>
      </c>
      <c r="K1302" s="74">
        <f>J1302*VLOOKUP(D1302,GWPs!$B$3:$C$6,2,FALSE)</f>
        <v>0.38400000000000001</v>
      </c>
      <c r="M1302" s="3">
        <v>3</v>
      </c>
      <c r="N1302" s="3">
        <v>2</v>
      </c>
      <c r="O1302" s="3">
        <v>1</v>
      </c>
      <c r="P1302" s="3">
        <v>3</v>
      </c>
      <c r="Q1302" s="3">
        <v>1</v>
      </c>
    </row>
    <row r="1303" spans="1:17">
      <c r="A1303" t="s">
        <v>1429</v>
      </c>
      <c r="B1303" s="3" t="s">
        <v>955</v>
      </c>
      <c r="C1303" s="3" t="s">
        <v>21</v>
      </c>
      <c r="D1303" s="3" t="s">
        <v>13</v>
      </c>
      <c r="E1303" s="3" t="s">
        <v>12</v>
      </c>
      <c r="F1303" s="3">
        <v>1E-3</v>
      </c>
      <c r="G1303" s="74">
        <f>F1303*VLOOKUP(D1303,GWPs!$B$3:$C$6,2,FALSE)</f>
        <v>2.8000000000000001E-2</v>
      </c>
      <c r="H1303" s="3">
        <v>0</v>
      </c>
      <c r="I1303" s="74">
        <f>H1303*VLOOKUP(D1303,GWPs!$B$3:$C$6,2,FALSE)</f>
        <v>0</v>
      </c>
      <c r="J1303" s="3">
        <v>1E-3</v>
      </c>
      <c r="K1303" s="74">
        <f>J1303*VLOOKUP(D1303,GWPs!$B$3:$C$6,2,FALSE)</f>
        <v>2.8000000000000001E-2</v>
      </c>
      <c r="M1303" s="3">
        <v>3</v>
      </c>
      <c r="N1303" s="3">
        <v>2</v>
      </c>
      <c r="O1303" s="3">
        <v>1</v>
      </c>
      <c r="P1303" s="3">
        <v>1</v>
      </c>
      <c r="Q1303" s="3">
        <v>1</v>
      </c>
    </row>
    <row r="1304" spans="1:17">
      <c r="A1304" t="s">
        <v>1429</v>
      </c>
      <c r="B1304" s="3" t="s">
        <v>955</v>
      </c>
      <c r="C1304" s="3" t="s">
        <v>21</v>
      </c>
      <c r="D1304" s="3" t="s">
        <v>14</v>
      </c>
      <c r="E1304" s="3" t="s">
        <v>12</v>
      </c>
      <c r="F1304" s="3">
        <v>0</v>
      </c>
      <c r="G1304" s="74">
        <f>F1304*VLOOKUP(D1304,GWPs!$B$3:$C$6,2,FALSE)</f>
        <v>0</v>
      </c>
      <c r="H1304" s="3">
        <v>0</v>
      </c>
      <c r="I1304" s="74">
        <f>H1304*VLOOKUP(D1304,GWPs!$B$3:$C$6,2,FALSE)</f>
        <v>0</v>
      </c>
      <c r="J1304" s="3">
        <v>0</v>
      </c>
      <c r="K1304" s="74">
        <f>J1304*VLOOKUP(D1304,GWPs!$B$3:$C$6,2,FALSE)</f>
        <v>0</v>
      </c>
      <c r="M1304" s="3">
        <v>3</v>
      </c>
      <c r="N1304" s="3">
        <v>2</v>
      </c>
      <c r="O1304" s="3">
        <v>1</v>
      </c>
      <c r="P1304" s="3">
        <v>2</v>
      </c>
      <c r="Q1304" s="3">
        <v>1</v>
      </c>
    </row>
    <row r="1305" spans="1:17">
      <c r="A1305" t="s">
        <v>1429</v>
      </c>
      <c r="B1305" s="3" t="s">
        <v>955</v>
      </c>
      <c r="C1305" s="3" t="s">
        <v>21</v>
      </c>
      <c r="D1305" s="3" t="s">
        <v>15</v>
      </c>
      <c r="E1305" s="3" t="s">
        <v>16</v>
      </c>
      <c r="F1305" s="3">
        <v>6.0000000000000001E-3</v>
      </c>
      <c r="G1305" s="74">
        <f>F1305*VLOOKUP(D1305,GWPs!$B$3:$C$6,2,FALSE)</f>
        <v>6.0000000000000001E-3</v>
      </c>
      <c r="H1305" s="3">
        <v>0</v>
      </c>
      <c r="I1305" s="74">
        <f>H1305*VLOOKUP(D1305,GWPs!$B$3:$C$6,2,FALSE)</f>
        <v>0</v>
      </c>
      <c r="J1305" s="3">
        <v>6.0000000000000001E-3</v>
      </c>
      <c r="K1305" s="74">
        <f>J1305*VLOOKUP(D1305,GWPs!$B$3:$C$6,2,FALSE)</f>
        <v>6.0000000000000001E-3</v>
      </c>
      <c r="M1305" s="3">
        <v>4</v>
      </c>
      <c r="N1305" s="3">
        <v>2</v>
      </c>
      <c r="O1305" s="3">
        <v>1</v>
      </c>
      <c r="P1305" s="3">
        <v>4</v>
      </c>
      <c r="Q1305" s="3">
        <v>1</v>
      </c>
    </row>
    <row r="1306" spans="1:17">
      <c r="A1306" t="s">
        <v>1429</v>
      </c>
      <c r="B1306" s="3" t="s">
        <v>956</v>
      </c>
      <c r="C1306" s="3" t="s">
        <v>957</v>
      </c>
      <c r="D1306" s="3" t="s">
        <v>11</v>
      </c>
      <c r="E1306" s="3" t="s">
        <v>12</v>
      </c>
      <c r="F1306" s="3">
        <v>0.14099999999999999</v>
      </c>
      <c r="G1306" s="74">
        <f>F1306*VLOOKUP(D1306,GWPs!$B$3:$C$6,2,FALSE)</f>
        <v>0.14099999999999999</v>
      </c>
      <c r="H1306" s="3">
        <v>0</v>
      </c>
      <c r="I1306" s="74">
        <f>H1306*VLOOKUP(D1306,GWPs!$B$3:$C$6,2,FALSE)</f>
        <v>0</v>
      </c>
      <c r="J1306" s="3">
        <v>0.14099999999999999</v>
      </c>
      <c r="K1306" s="74">
        <f>J1306*VLOOKUP(D1306,GWPs!$B$3:$C$6,2,FALSE)</f>
        <v>0.14099999999999999</v>
      </c>
      <c r="M1306" s="3">
        <v>3</v>
      </c>
      <c r="N1306" s="3">
        <v>2</v>
      </c>
      <c r="O1306" s="3">
        <v>1</v>
      </c>
      <c r="P1306" s="3">
        <v>4</v>
      </c>
      <c r="Q1306" s="3">
        <v>1</v>
      </c>
    </row>
    <row r="1307" spans="1:17">
      <c r="A1307" t="s">
        <v>1429</v>
      </c>
      <c r="B1307" s="3" t="s">
        <v>956</v>
      </c>
      <c r="C1307" s="3" t="s">
        <v>957</v>
      </c>
      <c r="D1307" s="3" t="s">
        <v>13</v>
      </c>
      <c r="E1307" s="3" t="s">
        <v>12</v>
      </c>
      <c r="F1307" s="3">
        <v>1E-3</v>
      </c>
      <c r="G1307" s="74">
        <f>F1307*VLOOKUP(D1307,GWPs!$B$3:$C$6,2,FALSE)</f>
        <v>2.8000000000000001E-2</v>
      </c>
      <c r="H1307" s="3">
        <v>0</v>
      </c>
      <c r="I1307" s="74">
        <f>H1307*VLOOKUP(D1307,GWPs!$B$3:$C$6,2,FALSE)</f>
        <v>0</v>
      </c>
      <c r="J1307" s="3">
        <v>1E-3</v>
      </c>
      <c r="K1307" s="74">
        <f>J1307*VLOOKUP(D1307,GWPs!$B$3:$C$6,2,FALSE)</f>
        <v>2.8000000000000001E-2</v>
      </c>
      <c r="M1307" s="3">
        <v>4</v>
      </c>
      <c r="N1307" s="3">
        <v>2</v>
      </c>
      <c r="O1307" s="3">
        <v>1</v>
      </c>
      <c r="P1307" s="3">
        <v>1</v>
      </c>
      <c r="Q1307" s="3">
        <v>1</v>
      </c>
    </row>
    <row r="1308" spans="1:17">
      <c r="A1308" t="s">
        <v>1429</v>
      </c>
      <c r="B1308" s="3" t="s">
        <v>956</v>
      </c>
      <c r="C1308" s="3" t="s">
        <v>957</v>
      </c>
      <c r="D1308" s="3" t="s">
        <v>14</v>
      </c>
      <c r="E1308" s="3" t="s">
        <v>12</v>
      </c>
      <c r="F1308" s="3">
        <v>0</v>
      </c>
      <c r="G1308" s="74">
        <f>F1308*VLOOKUP(D1308,GWPs!$B$3:$C$6,2,FALSE)</f>
        <v>0</v>
      </c>
      <c r="H1308" s="3">
        <v>0</v>
      </c>
      <c r="I1308" s="74">
        <f>H1308*VLOOKUP(D1308,GWPs!$B$3:$C$6,2,FALSE)</f>
        <v>0</v>
      </c>
      <c r="J1308" s="3">
        <v>0</v>
      </c>
      <c r="K1308" s="74">
        <f>J1308*VLOOKUP(D1308,GWPs!$B$3:$C$6,2,FALSE)</f>
        <v>0</v>
      </c>
      <c r="M1308" s="3">
        <v>4</v>
      </c>
      <c r="N1308" s="3">
        <v>2</v>
      </c>
      <c r="O1308" s="3">
        <v>1</v>
      </c>
      <c r="P1308" s="3">
        <v>3</v>
      </c>
      <c r="Q1308" s="3">
        <v>1</v>
      </c>
    </row>
    <row r="1309" spans="1:17">
      <c r="A1309" t="s">
        <v>1429</v>
      </c>
      <c r="B1309" s="3" t="s">
        <v>956</v>
      </c>
      <c r="C1309" s="3" t="s">
        <v>957</v>
      </c>
      <c r="D1309" s="3" t="s">
        <v>15</v>
      </c>
      <c r="E1309" s="3" t="s">
        <v>16</v>
      </c>
      <c r="F1309" s="3">
        <v>2E-3</v>
      </c>
      <c r="G1309" s="74">
        <f>F1309*VLOOKUP(D1309,GWPs!$B$3:$C$6,2,FALSE)</f>
        <v>2E-3</v>
      </c>
      <c r="H1309" s="3">
        <v>0</v>
      </c>
      <c r="I1309" s="74">
        <f>H1309*VLOOKUP(D1309,GWPs!$B$3:$C$6,2,FALSE)</f>
        <v>0</v>
      </c>
      <c r="J1309" s="3">
        <v>2E-3</v>
      </c>
      <c r="K1309" s="74">
        <f>J1309*VLOOKUP(D1309,GWPs!$B$3:$C$6,2,FALSE)</f>
        <v>2E-3</v>
      </c>
      <c r="M1309" s="3">
        <v>4</v>
      </c>
      <c r="N1309" s="3">
        <v>2</v>
      </c>
      <c r="O1309" s="3">
        <v>1</v>
      </c>
      <c r="P1309" s="3">
        <v>4</v>
      </c>
      <c r="Q1309" s="3">
        <v>1</v>
      </c>
    </row>
    <row r="1310" spans="1:17">
      <c r="A1310" t="s">
        <v>1429</v>
      </c>
      <c r="B1310" s="3" t="s">
        <v>958</v>
      </c>
      <c r="C1310" s="3" t="s">
        <v>959</v>
      </c>
      <c r="D1310" s="3" t="s">
        <v>11</v>
      </c>
      <c r="E1310" s="3" t="s">
        <v>12</v>
      </c>
      <c r="F1310" s="3">
        <v>0.124</v>
      </c>
      <c r="G1310" s="74">
        <f>F1310*VLOOKUP(D1310,GWPs!$B$3:$C$6,2,FALSE)</f>
        <v>0.124</v>
      </c>
      <c r="H1310" s="3">
        <v>0</v>
      </c>
      <c r="I1310" s="74">
        <f>H1310*VLOOKUP(D1310,GWPs!$B$3:$C$6,2,FALSE)</f>
        <v>0</v>
      </c>
      <c r="J1310" s="3">
        <v>0.124</v>
      </c>
      <c r="K1310" s="74">
        <f>J1310*VLOOKUP(D1310,GWPs!$B$3:$C$6,2,FALSE)</f>
        <v>0.124</v>
      </c>
      <c r="M1310" s="3">
        <v>3</v>
      </c>
      <c r="N1310" s="3">
        <v>2</v>
      </c>
      <c r="O1310" s="3">
        <v>1</v>
      </c>
      <c r="P1310" s="3">
        <v>3</v>
      </c>
      <c r="Q1310" s="3">
        <v>1</v>
      </c>
    </row>
    <row r="1311" spans="1:17">
      <c r="A1311" t="s">
        <v>1429</v>
      </c>
      <c r="B1311" s="3" t="s">
        <v>958</v>
      </c>
      <c r="C1311" s="3" t="s">
        <v>959</v>
      </c>
      <c r="D1311" s="3" t="s">
        <v>13</v>
      </c>
      <c r="E1311" s="3" t="s">
        <v>12</v>
      </c>
      <c r="F1311" s="3">
        <v>1E-3</v>
      </c>
      <c r="G1311" s="74">
        <f>F1311*VLOOKUP(D1311,GWPs!$B$3:$C$6,2,FALSE)</f>
        <v>2.8000000000000001E-2</v>
      </c>
      <c r="H1311" s="3">
        <v>0</v>
      </c>
      <c r="I1311" s="74">
        <f>H1311*VLOOKUP(D1311,GWPs!$B$3:$C$6,2,FALSE)</f>
        <v>0</v>
      </c>
      <c r="J1311" s="3">
        <v>1E-3</v>
      </c>
      <c r="K1311" s="74">
        <f>J1311*VLOOKUP(D1311,GWPs!$B$3:$C$6,2,FALSE)</f>
        <v>2.8000000000000001E-2</v>
      </c>
      <c r="M1311" s="3">
        <v>4</v>
      </c>
      <c r="N1311" s="3">
        <v>2</v>
      </c>
      <c r="O1311" s="3">
        <v>1</v>
      </c>
      <c r="P1311" s="3">
        <v>1</v>
      </c>
      <c r="Q1311" s="3">
        <v>1</v>
      </c>
    </row>
    <row r="1312" spans="1:17">
      <c r="A1312" t="s">
        <v>1429</v>
      </c>
      <c r="B1312" s="3" t="s">
        <v>958</v>
      </c>
      <c r="C1312" s="3" t="s">
        <v>959</v>
      </c>
      <c r="D1312" s="3" t="s">
        <v>14</v>
      </c>
      <c r="E1312" s="3" t="s">
        <v>12</v>
      </c>
      <c r="F1312" s="3">
        <v>0</v>
      </c>
      <c r="G1312" s="74">
        <f>F1312*VLOOKUP(D1312,GWPs!$B$3:$C$6,2,FALSE)</f>
        <v>0</v>
      </c>
      <c r="H1312" s="3">
        <v>0</v>
      </c>
      <c r="I1312" s="74">
        <f>H1312*VLOOKUP(D1312,GWPs!$B$3:$C$6,2,FALSE)</f>
        <v>0</v>
      </c>
      <c r="J1312" s="3">
        <v>0</v>
      </c>
      <c r="K1312" s="74">
        <f>J1312*VLOOKUP(D1312,GWPs!$B$3:$C$6,2,FALSE)</f>
        <v>0</v>
      </c>
      <c r="M1312" s="3">
        <v>4</v>
      </c>
      <c r="N1312" s="3">
        <v>2</v>
      </c>
      <c r="O1312" s="3">
        <v>1</v>
      </c>
      <c r="P1312" s="3">
        <v>3</v>
      </c>
      <c r="Q1312" s="3">
        <v>1</v>
      </c>
    </row>
    <row r="1313" spans="1:17">
      <c r="A1313" t="s">
        <v>1429</v>
      </c>
      <c r="B1313" s="3" t="s">
        <v>958</v>
      </c>
      <c r="C1313" s="3" t="s">
        <v>959</v>
      </c>
      <c r="D1313" s="3" t="s">
        <v>15</v>
      </c>
      <c r="E1313" s="3" t="s">
        <v>16</v>
      </c>
      <c r="F1313" s="3">
        <v>8.0000000000000002E-3</v>
      </c>
      <c r="G1313" s="74">
        <f>F1313*VLOOKUP(D1313,GWPs!$B$3:$C$6,2,FALSE)</f>
        <v>8.0000000000000002E-3</v>
      </c>
      <c r="H1313" s="3">
        <v>0</v>
      </c>
      <c r="I1313" s="74">
        <f>H1313*VLOOKUP(D1313,GWPs!$B$3:$C$6,2,FALSE)</f>
        <v>0</v>
      </c>
      <c r="J1313" s="3">
        <v>8.0000000000000002E-3</v>
      </c>
      <c r="K1313" s="74">
        <f>J1313*VLOOKUP(D1313,GWPs!$B$3:$C$6,2,FALSE)</f>
        <v>8.0000000000000002E-3</v>
      </c>
      <c r="M1313" s="3">
        <v>4</v>
      </c>
      <c r="N1313" s="3">
        <v>2</v>
      </c>
      <c r="O1313" s="3">
        <v>1</v>
      </c>
      <c r="P1313" s="3">
        <v>5</v>
      </c>
      <c r="Q1313" s="3">
        <v>1</v>
      </c>
    </row>
    <row r="1314" spans="1:17">
      <c r="A1314" t="s">
        <v>1429</v>
      </c>
      <c r="B1314" s="3" t="s">
        <v>960</v>
      </c>
      <c r="C1314" s="3" t="s">
        <v>961</v>
      </c>
      <c r="D1314" s="3" t="s">
        <v>11</v>
      </c>
      <c r="E1314" s="3" t="s">
        <v>12</v>
      </c>
      <c r="F1314" s="3">
        <v>0.129</v>
      </c>
      <c r="G1314" s="74">
        <f>F1314*VLOOKUP(D1314,GWPs!$B$3:$C$6,2,FALSE)</f>
        <v>0.129</v>
      </c>
      <c r="H1314" s="3">
        <v>0</v>
      </c>
      <c r="I1314" s="74">
        <f>H1314*VLOOKUP(D1314,GWPs!$B$3:$C$6,2,FALSE)</f>
        <v>0</v>
      </c>
      <c r="J1314" s="3">
        <v>0.129</v>
      </c>
      <c r="K1314" s="74">
        <f>J1314*VLOOKUP(D1314,GWPs!$B$3:$C$6,2,FALSE)</f>
        <v>0.129</v>
      </c>
      <c r="M1314" s="3">
        <v>3</v>
      </c>
      <c r="N1314" s="3">
        <v>2</v>
      </c>
      <c r="O1314" s="3">
        <v>1</v>
      </c>
      <c r="P1314" s="3">
        <v>3</v>
      </c>
      <c r="Q1314" s="3">
        <v>1</v>
      </c>
    </row>
    <row r="1315" spans="1:17">
      <c r="A1315" t="s">
        <v>1429</v>
      </c>
      <c r="B1315" s="3" t="s">
        <v>960</v>
      </c>
      <c r="C1315" s="3" t="s">
        <v>961</v>
      </c>
      <c r="D1315" s="3" t="s">
        <v>13</v>
      </c>
      <c r="E1315" s="3" t="s">
        <v>12</v>
      </c>
      <c r="F1315" s="3">
        <v>1E-3</v>
      </c>
      <c r="G1315" s="74">
        <f>F1315*VLOOKUP(D1315,GWPs!$B$3:$C$6,2,FALSE)</f>
        <v>2.8000000000000001E-2</v>
      </c>
      <c r="H1315" s="3">
        <v>0</v>
      </c>
      <c r="I1315" s="74">
        <f>H1315*VLOOKUP(D1315,GWPs!$B$3:$C$6,2,FALSE)</f>
        <v>0</v>
      </c>
      <c r="J1315" s="3">
        <v>1E-3</v>
      </c>
      <c r="K1315" s="74">
        <f>J1315*VLOOKUP(D1315,GWPs!$B$3:$C$6,2,FALSE)</f>
        <v>2.8000000000000001E-2</v>
      </c>
      <c r="M1315" s="3">
        <v>3</v>
      </c>
      <c r="N1315" s="3">
        <v>2</v>
      </c>
      <c r="O1315" s="3">
        <v>1</v>
      </c>
      <c r="P1315" s="3">
        <v>1</v>
      </c>
      <c r="Q1315" s="3">
        <v>1</v>
      </c>
    </row>
    <row r="1316" spans="1:17">
      <c r="A1316" t="s">
        <v>1429</v>
      </c>
      <c r="B1316" s="3" t="s">
        <v>960</v>
      </c>
      <c r="C1316" s="3" t="s">
        <v>961</v>
      </c>
      <c r="D1316" s="3" t="s">
        <v>14</v>
      </c>
      <c r="E1316" s="3" t="s">
        <v>12</v>
      </c>
      <c r="F1316" s="3">
        <v>0</v>
      </c>
      <c r="G1316" s="74">
        <f>F1316*VLOOKUP(D1316,GWPs!$B$3:$C$6,2,FALSE)</f>
        <v>0</v>
      </c>
      <c r="H1316" s="3">
        <v>0</v>
      </c>
      <c r="I1316" s="74">
        <f>H1316*VLOOKUP(D1316,GWPs!$B$3:$C$6,2,FALSE)</f>
        <v>0</v>
      </c>
      <c r="J1316" s="3">
        <v>0</v>
      </c>
      <c r="K1316" s="74">
        <f>J1316*VLOOKUP(D1316,GWPs!$B$3:$C$6,2,FALSE)</f>
        <v>0</v>
      </c>
      <c r="M1316" s="3">
        <v>3</v>
      </c>
      <c r="N1316" s="3">
        <v>2</v>
      </c>
      <c r="O1316" s="3">
        <v>1</v>
      </c>
      <c r="P1316" s="3">
        <v>3</v>
      </c>
      <c r="Q1316" s="3">
        <v>1</v>
      </c>
    </row>
    <row r="1317" spans="1:17">
      <c r="A1317" t="s">
        <v>1429</v>
      </c>
      <c r="B1317" s="3" t="s">
        <v>960</v>
      </c>
      <c r="C1317" s="3" t="s">
        <v>961</v>
      </c>
      <c r="D1317" s="3" t="s">
        <v>15</v>
      </c>
      <c r="E1317" s="3" t="s">
        <v>16</v>
      </c>
      <c r="F1317" s="3">
        <v>2E-3</v>
      </c>
      <c r="G1317" s="74">
        <f>F1317*VLOOKUP(D1317,GWPs!$B$3:$C$6,2,FALSE)</f>
        <v>2E-3</v>
      </c>
      <c r="H1317" s="3">
        <v>0</v>
      </c>
      <c r="I1317" s="74">
        <f>H1317*VLOOKUP(D1317,GWPs!$B$3:$C$6,2,FALSE)</f>
        <v>0</v>
      </c>
      <c r="J1317" s="3">
        <v>2E-3</v>
      </c>
      <c r="K1317" s="74">
        <f>J1317*VLOOKUP(D1317,GWPs!$B$3:$C$6,2,FALSE)</f>
        <v>2E-3</v>
      </c>
      <c r="M1317" s="3">
        <v>3</v>
      </c>
      <c r="N1317" s="3">
        <v>2</v>
      </c>
      <c r="O1317" s="3">
        <v>1</v>
      </c>
      <c r="P1317" s="3">
        <v>4</v>
      </c>
      <c r="Q1317" s="3">
        <v>1</v>
      </c>
    </row>
    <row r="1318" spans="1:17">
      <c r="A1318" t="s">
        <v>1429</v>
      </c>
      <c r="B1318" s="3" t="s">
        <v>962</v>
      </c>
      <c r="C1318" s="3" t="s">
        <v>963</v>
      </c>
      <c r="D1318" s="3" t="s">
        <v>11</v>
      </c>
      <c r="E1318" s="3" t="s">
        <v>12</v>
      </c>
      <c r="F1318" s="3">
        <v>5.7000000000000002E-2</v>
      </c>
      <c r="G1318" s="74">
        <f>F1318*VLOOKUP(D1318,GWPs!$B$3:$C$6,2,FALSE)</f>
        <v>5.7000000000000002E-2</v>
      </c>
      <c r="H1318" s="3">
        <v>0</v>
      </c>
      <c r="I1318" s="74">
        <f>H1318*VLOOKUP(D1318,GWPs!$B$3:$C$6,2,FALSE)</f>
        <v>0</v>
      </c>
      <c r="J1318" s="3">
        <v>5.7000000000000002E-2</v>
      </c>
      <c r="K1318" s="74">
        <f>J1318*VLOOKUP(D1318,GWPs!$B$3:$C$6,2,FALSE)</f>
        <v>5.7000000000000002E-2</v>
      </c>
      <c r="M1318" s="3">
        <v>3</v>
      </c>
      <c r="N1318" s="3">
        <v>2</v>
      </c>
      <c r="O1318" s="3">
        <v>1</v>
      </c>
      <c r="P1318" s="3">
        <v>3</v>
      </c>
      <c r="Q1318" s="3">
        <v>1</v>
      </c>
    </row>
    <row r="1319" spans="1:17">
      <c r="A1319" t="s">
        <v>1429</v>
      </c>
      <c r="B1319" s="3" t="s">
        <v>962</v>
      </c>
      <c r="C1319" s="3" t="s">
        <v>963</v>
      </c>
      <c r="D1319" s="3" t="s">
        <v>13</v>
      </c>
      <c r="E1319" s="3" t="s">
        <v>12</v>
      </c>
      <c r="F1319" s="3">
        <v>0</v>
      </c>
      <c r="G1319" s="74">
        <f>F1319*VLOOKUP(D1319,GWPs!$B$3:$C$6,2,FALSE)</f>
        <v>0</v>
      </c>
      <c r="H1319" s="3">
        <v>0</v>
      </c>
      <c r="I1319" s="74">
        <f>H1319*VLOOKUP(D1319,GWPs!$B$3:$C$6,2,FALSE)</f>
        <v>0</v>
      </c>
      <c r="J1319" s="3">
        <v>0</v>
      </c>
      <c r="K1319" s="74">
        <f>J1319*VLOOKUP(D1319,GWPs!$B$3:$C$6,2,FALSE)</f>
        <v>0</v>
      </c>
      <c r="M1319" s="3">
        <v>3</v>
      </c>
      <c r="N1319" s="3">
        <v>2</v>
      </c>
      <c r="O1319" s="3">
        <v>1</v>
      </c>
      <c r="P1319" s="3">
        <v>1</v>
      </c>
      <c r="Q1319" s="3">
        <v>1</v>
      </c>
    </row>
    <row r="1320" spans="1:17">
      <c r="A1320" t="s">
        <v>1429</v>
      </c>
      <c r="B1320" s="3" t="s">
        <v>962</v>
      </c>
      <c r="C1320" s="3" t="s">
        <v>963</v>
      </c>
      <c r="D1320" s="3" t="s">
        <v>14</v>
      </c>
      <c r="E1320" s="3" t="s">
        <v>12</v>
      </c>
      <c r="F1320" s="3">
        <v>0</v>
      </c>
      <c r="G1320" s="74">
        <f>F1320*VLOOKUP(D1320,GWPs!$B$3:$C$6,2,FALSE)</f>
        <v>0</v>
      </c>
      <c r="H1320" s="3">
        <v>0</v>
      </c>
      <c r="I1320" s="74">
        <f>H1320*VLOOKUP(D1320,GWPs!$B$3:$C$6,2,FALSE)</f>
        <v>0</v>
      </c>
      <c r="J1320" s="3">
        <v>0</v>
      </c>
      <c r="K1320" s="74">
        <f>J1320*VLOOKUP(D1320,GWPs!$B$3:$C$6,2,FALSE)</f>
        <v>0</v>
      </c>
      <c r="M1320" s="3">
        <v>3</v>
      </c>
      <c r="N1320" s="3">
        <v>2</v>
      </c>
      <c r="O1320" s="3">
        <v>1</v>
      </c>
      <c r="P1320" s="3">
        <v>3</v>
      </c>
      <c r="Q1320" s="3">
        <v>1</v>
      </c>
    </row>
    <row r="1321" spans="1:17">
      <c r="A1321" t="s">
        <v>1429</v>
      </c>
      <c r="B1321" s="3" t="s">
        <v>962</v>
      </c>
      <c r="C1321" s="3" t="s">
        <v>963</v>
      </c>
      <c r="D1321" s="3" t="s">
        <v>15</v>
      </c>
      <c r="E1321" s="3" t="s">
        <v>16</v>
      </c>
      <c r="F1321" s="3">
        <v>1E-3</v>
      </c>
      <c r="G1321" s="74">
        <f>F1321*VLOOKUP(D1321,GWPs!$B$3:$C$6,2,FALSE)</f>
        <v>1E-3</v>
      </c>
      <c r="H1321" s="3">
        <v>0</v>
      </c>
      <c r="I1321" s="74">
        <f>H1321*VLOOKUP(D1321,GWPs!$B$3:$C$6,2,FALSE)</f>
        <v>0</v>
      </c>
      <c r="J1321" s="3">
        <v>1E-3</v>
      </c>
      <c r="K1321" s="74">
        <f>J1321*VLOOKUP(D1321,GWPs!$B$3:$C$6,2,FALSE)</f>
        <v>1E-3</v>
      </c>
      <c r="M1321" s="3">
        <v>4</v>
      </c>
      <c r="N1321" s="3">
        <v>2</v>
      </c>
      <c r="O1321" s="3">
        <v>1</v>
      </c>
      <c r="P1321" s="3">
        <v>4</v>
      </c>
      <c r="Q1321" s="3">
        <v>1</v>
      </c>
    </row>
    <row r="1322" spans="1:17">
      <c r="A1322" t="s">
        <v>1429</v>
      </c>
      <c r="B1322" s="3" t="s">
        <v>964</v>
      </c>
      <c r="C1322" s="3" t="s">
        <v>22</v>
      </c>
      <c r="D1322" s="3" t="s">
        <v>11</v>
      </c>
      <c r="E1322" s="3" t="s">
        <v>12</v>
      </c>
      <c r="F1322" s="3">
        <v>6.3E-2</v>
      </c>
      <c r="G1322" s="74">
        <f>F1322*VLOOKUP(D1322,GWPs!$B$3:$C$6,2,FALSE)</f>
        <v>6.3E-2</v>
      </c>
      <c r="H1322" s="3">
        <v>0</v>
      </c>
      <c r="I1322" s="74">
        <f>H1322*VLOOKUP(D1322,GWPs!$B$3:$C$6,2,FALSE)</f>
        <v>0</v>
      </c>
      <c r="J1322" s="3">
        <v>6.3E-2</v>
      </c>
      <c r="K1322" s="74">
        <f>J1322*VLOOKUP(D1322,GWPs!$B$3:$C$6,2,FALSE)</f>
        <v>6.3E-2</v>
      </c>
      <c r="M1322" s="3">
        <v>3</v>
      </c>
      <c r="N1322" s="3">
        <v>2</v>
      </c>
      <c r="O1322" s="3">
        <v>1</v>
      </c>
      <c r="P1322" s="3">
        <v>3</v>
      </c>
      <c r="Q1322" s="3">
        <v>1</v>
      </c>
    </row>
    <row r="1323" spans="1:17">
      <c r="A1323" t="s">
        <v>1429</v>
      </c>
      <c r="B1323" s="3" t="s">
        <v>964</v>
      </c>
      <c r="C1323" s="3" t="s">
        <v>22</v>
      </c>
      <c r="D1323" s="3" t="s">
        <v>13</v>
      </c>
      <c r="E1323" s="3" t="s">
        <v>12</v>
      </c>
      <c r="F1323" s="3">
        <v>0</v>
      </c>
      <c r="G1323" s="74">
        <f>F1323*VLOOKUP(D1323,GWPs!$B$3:$C$6,2,FALSE)</f>
        <v>0</v>
      </c>
      <c r="H1323" s="3">
        <v>0</v>
      </c>
      <c r="I1323" s="74">
        <f>H1323*VLOOKUP(D1323,GWPs!$B$3:$C$6,2,FALSE)</f>
        <v>0</v>
      </c>
      <c r="J1323" s="3">
        <v>0</v>
      </c>
      <c r="K1323" s="74">
        <f>J1323*VLOOKUP(D1323,GWPs!$B$3:$C$6,2,FALSE)</f>
        <v>0</v>
      </c>
      <c r="M1323" s="3">
        <v>3</v>
      </c>
      <c r="N1323" s="3">
        <v>2</v>
      </c>
      <c r="O1323" s="3">
        <v>1</v>
      </c>
      <c r="P1323" s="3">
        <v>1</v>
      </c>
      <c r="Q1323" s="3">
        <v>1</v>
      </c>
    </row>
    <row r="1324" spans="1:17">
      <c r="A1324" t="s">
        <v>1429</v>
      </c>
      <c r="B1324" s="3" t="s">
        <v>964</v>
      </c>
      <c r="C1324" s="3" t="s">
        <v>22</v>
      </c>
      <c r="D1324" s="3" t="s">
        <v>14</v>
      </c>
      <c r="E1324" s="3" t="s">
        <v>12</v>
      </c>
      <c r="F1324" s="3">
        <v>0</v>
      </c>
      <c r="G1324" s="74">
        <f>F1324*VLOOKUP(D1324,GWPs!$B$3:$C$6,2,FALSE)</f>
        <v>0</v>
      </c>
      <c r="H1324" s="3">
        <v>0</v>
      </c>
      <c r="I1324" s="74">
        <f>H1324*VLOOKUP(D1324,GWPs!$B$3:$C$6,2,FALSE)</f>
        <v>0</v>
      </c>
      <c r="J1324" s="3">
        <v>0</v>
      </c>
      <c r="K1324" s="74">
        <f>J1324*VLOOKUP(D1324,GWPs!$B$3:$C$6,2,FALSE)</f>
        <v>0</v>
      </c>
      <c r="M1324" s="3">
        <v>3</v>
      </c>
      <c r="N1324" s="3">
        <v>2</v>
      </c>
      <c r="O1324" s="3">
        <v>1</v>
      </c>
      <c r="P1324" s="3">
        <v>3</v>
      </c>
      <c r="Q1324" s="3">
        <v>1</v>
      </c>
    </row>
    <row r="1325" spans="1:17">
      <c r="A1325" t="s">
        <v>1429</v>
      </c>
      <c r="B1325" s="3" t="s">
        <v>964</v>
      </c>
      <c r="C1325" s="3" t="s">
        <v>22</v>
      </c>
      <c r="D1325" s="3" t="s">
        <v>15</v>
      </c>
      <c r="E1325" s="3" t="s">
        <v>16</v>
      </c>
      <c r="F1325" s="3">
        <v>2E-3</v>
      </c>
      <c r="G1325" s="74">
        <f>F1325*VLOOKUP(D1325,GWPs!$B$3:$C$6,2,FALSE)</f>
        <v>2E-3</v>
      </c>
      <c r="H1325" s="3">
        <v>0</v>
      </c>
      <c r="I1325" s="74">
        <f>H1325*VLOOKUP(D1325,GWPs!$B$3:$C$6,2,FALSE)</f>
        <v>0</v>
      </c>
      <c r="J1325" s="3">
        <v>2E-3</v>
      </c>
      <c r="K1325" s="74">
        <f>J1325*VLOOKUP(D1325,GWPs!$B$3:$C$6,2,FALSE)</f>
        <v>2E-3</v>
      </c>
      <c r="M1325" s="3">
        <v>4</v>
      </c>
      <c r="N1325" s="3">
        <v>2</v>
      </c>
      <c r="O1325" s="3">
        <v>1</v>
      </c>
      <c r="P1325" s="3">
        <v>4</v>
      </c>
      <c r="Q1325" s="3">
        <v>1</v>
      </c>
    </row>
    <row r="1326" spans="1:17">
      <c r="A1326" t="s">
        <v>1429</v>
      </c>
      <c r="B1326" s="3" t="s">
        <v>965</v>
      </c>
      <c r="C1326" s="3" t="s">
        <v>966</v>
      </c>
      <c r="D1326" s="3" t="s">
        <v>11</v>
      </c>
      <c r="E1326" s="3" t="s">
        <v>12</v>
      </c>
      <c r="F1326" s="3">
        <v>5.0999999999999997E-2</v>
      </c>
      <c r="G1326" s="74">
        <f>F1326*VLOOKUP(D1326,GWPs!$B$3:$C$6,2,FALSE)</f>
        <v>5.0999999999999997E-2</v>
      </c>
      <c r="H1326" s="3">
        <v>0</v>
      </c>
      <c r="I1326" s="74">
        <f>H1326*VLOOKUP(D1326,GWPs!$B$3:$C$6,2,FALSE)</f>
        <v>0</v>
      </c>
      <c r="J1326" s="3">
        <v>5.0999999999999997E-2</v>
      </c>
      <c r="K1326" s="74">
        <f>J1326*VLOOKUP(D1326,GWPs!$B$3:$C$6,2,FALSE)</f>
        <v>5.0999999999999997E-2</v>
      </c>
      <c r="M1326" s="3">
        <v>3</v>
      </c>
      <c r="N1326" s="3">
        <v>2</v>
      </c>
      <c r="O1326" s="3">
        <v>1</v>
      </c>
      <c r="P1326" s="3">
        <v>3</v>
      </c>
      <c r="Q1326" s="3">
        <v>1</v>
      </c>
    </row>
    <row r="1327" spans="1:17">
      <c r="A1327" t="s">
        <v>1429</v>
      </c>
      <c r="B1327" s="3" t="s">
        <v>965</v>
      </c>
      <c r="C1327" s="3" t="s">
        <v>966</v>
      </c>
      <c r="D1327" s="3" t="s">
        <v>13</v>
      </c>
      <c r="E1327" s="3" t="s">
        <v>12</v>
      </c>
      <c r="F1327" s="3">
        <v>0</v>
      </c>
      <c r="G1327" s="74">
        <f>F1327*VLOOKUP(D1327,GWPs!$B$3:$C$6,2,FALSE)</f>
        <v>0</v>
      </c>
      <c r="H1327" s="3">
        <v>0</v>
      </c>
      <c r="I1327" s="74">
        <f>H1327*VLOOKUP(D1327,GWPs!$B$3:$C$6,2,FALSE)</f>
        <v>0</v>
      </c>
      <c r="J1327" s="3">
        <v>0</v>
      </c>
      <c r="K1327" s="74">
        <f>J1327*VLOOKUP(D1327,GWPs!$B$3:$C$6,2,FALSE)</f>
        <v>0</v>
      </c>
      <c r="M1327" s="3">
        <v>3</v>
      </c>
      <c r="N1327" s="3">
        <v>2</v>
      </c>
      <c r="O1327" s="3">
        <v>1</v>
      </c>
      <c r="P1327" s="3">
        <v>1</v>
      </c>
      <c r="Q1327" s="3">
        <v>1</v>
      </c>
    </row>
    <row r="1328" spans="1:17">
      <c r="A1328" t="s">
        <v>1429</v>
      </c>
      <c r="B1328" s="3" t="s">
        <v>965</v>
      </c>
      <c r="C1328" s="3" t="s">
        <v>966</v>
      </c>
      <c r="D1328" s="3" t="s">
        <v>14</v>
      </c>
      <c r="E1328" s="3" t="s">
        <v>12</v>
      </c>
      <c r="F1328" s="3">
        <v>0</v>
      </c>
      <c r="G1328" s="74">
        <f>F1328*VLOOKUP(D1328,GWPs!$B$3:$C$6,2,FALSE)</f>
        <v>0</v>
      </c>
      <c r="H1328" s="3">
        <v>0</v>
      </c>
      <c r="I1328" s="74">
        <f>H1328*VLOOKUP(D1328,GWPs!$B$3:$C$6,2,FALSE)</f>
        <v>0</v>
      </c>
      <c r="J1328" s="3">
        <v>0</v>
      </c>
      <c r="K1328" s="74">
        <f>J1328*VLOOKUP(D1328,GWPs!$B$3:$C$6,2,FALSE)</f>
        <v>0</v>
      </c>
      <c r="M1328" s="3">
        <v>3</v>
      </c>
      <c r="N1328" s="3">
        <v>2</v>
      </c>
      <c r="O1328" s="3">
        <v>1</v>
      </c>
      <c r="P1328" s="3">
        <v>3</v>
      </c>
      <c r="Q1328" s="3">
        <v>1</v>
      </c>
    </row>
    <row r="1329" spans="1:17">
      <c r="A1329" t="s">
        <v>1429</v>
      </c>
      <c r="B1329" s="3" t="s">
        <v>965</v>
      </c>
      <c r="C1329" s="3" t="s">
        <v>966</v>
      </c>
      <c r="D1329" s="3" t="s">
        <v>15</v>
      </c>
      <c r="E1329" s="3" t="s">
        <v>16</v>
      </c>
      <c r="F1329" s="3">
        <v>1E-3</v>
      </c>
      <c r="G1329" s="74">
        <f>F1329*VLOOKUP(D1329,GWPs!$B$3:$C$6,2,FALSE)</f>
        <v>1E-3</v>
      </c>
      <c r="H1329" s="3">
        <v>0</v>
      </c>
      <c r="I1329" s="74">
        <f>H1329*VLOOKUP(D1329,GWPs!$B$3:$C$6,2,FALSE)</f>
        <v>0</v>
      </c>
      <c r="J1329" s="3">
        <v>1E-3</v>
      </c>
      <c r="K1329" s="74">
        <f>J1329*VLOOKUP(D1329,GWPs!$B$3:$C$6,2,FALSE)</f>
        <v>1E-3</v>
      </c>
      <c r="M1329" s="3">
        <v>4</v>
      </c>
      <c r="N1329" s="3">
        <v>2</v>
      </c>
      <c r="O1329" s="3">
        <v>1</v>
      </c>
      <c r="P1329" s="3">
        <v>4</v>
      </c>
      <c r="Q1329" s="3">
        <v>1</v>
      </c>
    </row>
    <row r="1330" spans="1:17">
      <c r="A1330" t="s">
        <v>1430</v>
      </c>
      <c r="B1330" s="3" t="s">
        <v>967</v>
      </c>
      <c r="C1330" s="3" t="s">
        <v>968</v>
      </c>
      <c r="D1330" s="3" t="s">
        <v>11</v>
      </c>
      <c r="E1330" s="3" t="s">
        <v>12</v>
      </c>
      <c r="F1330" s="3">
        <v>0.11899999999999999</v>
      </c>
      <c r="G1330" s="74">
        <f>F1330*VLOOKUP(D1330,GWPs!$B$3:$C$6,2,FALSE)</f>
        <v>0.11899999999999999</v>
      </c>
      <c r="H1330" s="3">
        <v>0</v>
      </c>
      <c r="I1330" s="74">
        <f>H1330*VLOOKUP(D1330,GWPs!$B$3:$C$6,2,FALSE)</f>
        <v>0</v>
      </c>
      <c r="J1330" s="3">
        <v>0.11899999999999999</v>
      </c>
      <c r="K1330" s="74">
        <f>J1330*VLOOKUP(D1330,GWPs!$B$3:$C$6,2,FALSE)</f>
        <v>0.11899999999999999</v>
      </c>
      <c r="M1330" s="3">
        <v>3</v>
      </c>
      <c r="N1330" s="3">
        <v>2</v>
      </c>
      <c r="O1330" s="3">
        <v>1</v>
      </c>
      <c r="P1330" s="3">
        <v>3</v>
      </c>
      <c r="Q1330" s="3">
        <v>1</v>
      </c>
    </row>
    <row r="1331" spans="1:17">
      <c r="A1331" t="s">
        <v>1430</v>
      </c>
      <c r="B1331" s="3" t="s">
        <v>967</v>
      </c>
      <c r="C1331" s="3" t="s">
        <v>968</v>
      </c>
      <c r="D1331" s="3" t="s">
        <v>13</v>
      </c>
      <c r="E1331" s="3" t="s">
        <v>12</v>
      </c>
      <c r="F1331" s="3">
        <v>1E-3</v>
      </c>
      <c r="G1331" s="74">
        <f>F1331*VLOOKUP(D1331,GWPs!$B$3:$C$6,2,FALSE)</f>
        <v>2.8000000000000001E-2</v>
      </c>
      <c r="H1331" s="3">
        <v>0</v>
      </c>
      <c r="I1331" s="74">
        <f>H1331*VLOOKUP(D1331,GWPs!$B$3:$C$6,2,FALSE)</f>
        <v>0</v>
      </c>
      <c r="J1331" s="3">
        <v>1E-3</v>
      </c>
      <c r="K1331" s="74">
        <f>J1331*VLOOKUP(D1331,GWPs!$B$3:$C$6,2,FALSE)</f>
        <v>2.8000000000000001E-2</v>
      </c>
      <c r="M1331" s="3">
        <v>4</v>
      </c>
      <c r="N1331" s="3">
        <v>2</v>
      </c>
      <c r="O1331" s="3">
        <v>1</v>
      </c>
      <c r="P1331" s="3">
        <v>1</v>
      </c>
      <c r="Q1331" s="3">
        <v>1</v>
      </c>
    </row>
    <row r="1332" spans="1:17">
      <c r="A1332" t="s">
        <v>1430</v>
      </c>
      <c r="B1332" s="3" t="s">
        <v>967</v>
      </c>
      <c r="C1332" s="3" t="s">
        <v>968</v>
      </c>
      <c r="D1332" s="3" t="s">
        <v>14</v>
      </c>
      <c r="E1332" s="3" t="s">
        <v>12</v>
      </c>
      <c r="F1332" s="3">
        <v>0</v>
      </c>
      <c r="G1332" s="74">
        <f>F1332*VLOOKUP(D1332,GWPs!$B$3:$C$6,2,FALSE)</f>
        <v>0</v>
      </c>
      <c r="H1332" s="3">
        <v>0</v>
      </c>
      <c r="I1332" s="74">
        <f>H1332*VLOOKUP(D1332,GWPs!$B$3:$C$6,2,FALSE)</f>
        <v>0</v>
      </c>
      <c r="J1332" s="3">
        <v>0</v>
      </c>
      <c r="K1332" s="74">
        <f>J1332*VLOOKUP(D1332,GWPs!$B$3:$C$6,2,FALSE)</f>
        <v>0</v>
      </c>
      <c r="M1332" s="3">
        <v>3</v>
      </c>
      <c r="N1332" s="3">
        <v>2</v>
      </c>
      <c r="O1332" s="3">
        <v>1</v>
      </c>
      <c r="P1332" s="3">
        <v>3</v>
      </c>
      <c r="Q1332" s="3">
        <v>1</v>
      </c>
    </row>
    <row r="1333" spans="1:17">
      <c r="A1333" t="s">
        <v>1430</v>
      </c>
      <c r="B1333" s="3" t="s">
        <v>967</v>
      </c>
      <c r="C1333" s="3" t="s">
        <v>968</v>
      </c>
      <c r="D1333" s="3" t="s">
        <v>15</v>
      </c>
      <c r="E1333" s="3" t="s">
        <v>16</v>
      </c>
      <c r="F1333" s="3">
        <v>3.0000000000000001E-3</v>
      </c>
      <c r="G1333" s="74">
        <f>F1333*VLOOKUP(D1333,GWPs!$B$3:$C$6,2,FALSE)</f>
        <v>3.0000000000000001E-3</v>
      </c>
      <c r="H1333" s="3">
        <v>0</v>
      </c>
      <c r="I1333" s="74">
        <f>H1333*VLOOKUP(D1333,GWPs!$B$3:$C$6,2,FALSE)</f>
        <v>0</v>
      </c>
      <c r="J1333" s="3">
        <v>3.0000000000000001E-3</v>
      </c>
      <c r="K1333" s="74">
        <f>J1333*VLOOKUP(D1333,GWPs!$B$3:$C$6,2,FALSE)</f>
        <v>3.0000000000000001E-3</v>
      </c>
      <c r="M1333" s="3">
        <v>4</v>
      </c>
      <c r="N1333" s="3">
        <v>2</v>
      </c>
      <c r="O1333" s="3">
        <v>1</v>
      </c>
      <c r="P1333" s="3">
        <v>4</v>
      </c>
      <c r="Q1333" s="3">
        <v>1</v>
      </c>
    </row>
    <row r="1334" spans="1:17">
      <c r="A1334" t="s">
        <v>1429</v>
      </c>
      <c r="B1334" s="3" t="s">
        <v>969</v>
      </c>
      <c r="C1334" s="3" t="s">
        <v>970</v>
      </c>
      <c r="D1334" s="3" t="s">
        <v>11</v>
      </c>
      <c r="E1334" s="3" t="s">
        <v>12</v>
      </c>
      <c r="F1334" s="3">
        <v>8.2000000000000003E-2</v>
      </c>
      <c r="G1334" s="74">
        <f>F1334*VLOOKUP(D1334,GWPs!$B$3:$C$6,2,FALSE)</f>
        <v>8.2000000000000003E-2</v>
      </c>
      <c r="H1334" s="3">
        <v>0</v>
      </c>
      <c r="I1334" s="74">
        <f>H1334*VLOOKUP(D1334,GWPs!$B$3:$C$6,2,FALSE)</f>
        <v>0</v>
      </c>
      <c r="J1334" s="3">
        <v>8.2000000000000003E-2</v>
      </c>
      <c r="K1334" s="74">
        <f>J1334*VLOOKUP(D1334,GWPs!$B$3:$C$6,2,FALSE)</f>
        <v>8.2000000000000003E-2</v>
      </c>
      <c r="M1334" s="3">
        <v>3</v>
      </c>
      <c r="N1334" s="3">
        <v>2</v>
      </c>
      <c r="O1334" s="3">
        <v>1</v>
      </c>
      <c r="P1334" s="3">
        <v>3</v>
      </c>
      <c r="Q1334" s="3">
        <v>1</v>
      </c>
    </row>
    <row r="1335" spans="1:17">
      <c r="A1335" t="s">
        <v>1429</v>
      </c>
      <c r="B1335" s="3" t="s">
        <v>969</v>
      </c>
      <c r="C1335" s="3" t="s">
        <v>970</v>
      </c>
      <c r="D1335" s="3" t="s">
        <v>13</v>
      </c>
      <c r="E1335" s="3" t="s">
        <v>12</v>
      </c>
      <c r="F1335" s="3">
        <v>0</v>
      </c>
      <c r="G1335" s="74">
        <f>F1335*VLOOKUP(D1335,GWPs!$B$3:$C$6,2,FALSE)</f>
        <v>0</v>
      </c>
      <c r="H1335" s="3">
        <v>0</v>
      </c>
      <c r="I1335" s="74">
        <f>H1335*VLOOKUP(D1335,GWPs!$B$3:$C$6,2,FALSE)</f>
        <v>0</v>
      </c>
      <c r="J1335" s="3">
        <v>0</v>
      </c>
      <c r="K1335" s="74">
        <f>J1335*VLOOKUP(D1335,GWPs!$B$3:$C$6,2,FALSE)</f>
        <v>0</v>
      </c>
      <c r="M1335" s="3">
        <v>4</v>
      </c>
      <c r="N1335" s="3">
        <v>2</v>
      </c>
      <c r="O1335" s="3">
        <v>1</v>
      </c>
      <c r="P1335" s="3">
        <v>1</v>
      </c>
      <c r="Q1335" s="3">
        <v>1</v>
      </c>
    </row>
    <row r="1336" spans="1:17">
      <c r="A1336" t="s">
        <v>1429</v>
      </c>
      <c r="B1336" s="3" t="s">
        <v>969</v>
      </c>
      <c r="C1336" s="3" t="s">
        <v>970</v>
      </c>
      <c r="D1336" s="3" t="s">
        <v>14</v>
      </c>
      <c r="E1336" s="3" t="s">
        <v>12</v>
      </c>
      <c r="F1336" s="3">
        <v>0</v>
      </c>
      <c r="G1336" s="74">
        <f>F1336*VLOOKUP(D1336,GWPs!$B$3:$C$6,2,FALSE)</f>
        <v>0</v>
      </c>
      <c r="H1336" s="3">
        <v>0</v>
      </c>
      <c r="I1336" s="74">
        <f>H1336*VLOOKUP(D1336,GWPs!$B$3:$C$6,2,FALSE)</f>
        <v>0</v>
      </c>
      <c r="J1336" s="3">
        <v>0</v>
      </c>
      <c r="K1336" s="74">
        <f>J1336*VLOOKUP(D1336,GWPs!$B$3:$C$6,2,FALSE)</f>
        <v>0</v>
      </c>
      <c r="M1336" s="3">
        <v>3</v>
      </c>
      <c r="N1336" s="3">
        <v>2</v>
      </c>
      <c r="O1336" s="3">
        <v>1</v>
      </c>
      <c r="P1336" s="3">
        <v>3</v>
      </c>
      <c r="Q1336" s="3">
        <v>1</v>
      </c>
    </row>
    <row r="1337" spans="1:17">
      <c r="A1337" t="s">
        <v>1429</v>
      </c>
      <c r="B1337" s="3" t="s">
        <v>969</v>
      </c>
      <c r="C1337" s="3" t="s">
        <v>970</v>
      </c>
      <c r="D1337" s="3" t="s">
        <v>15</v>
      </c>
      <c r="E1337" s="3" t="s">
        <v>16</v>
      </c>
      <c r="F1337" s="3">
        <v>2E-3</v>
      </c>
      <c r="G1337" s="74">
        <f>F1337*VLOOKUP(D1337,GWPs!$B$3:$C$6,2,FALSE)</f>
        <v>2E-3</v>
      </c>
      <c r="H1337" s="3">
        <v>0</v>
      </c>
      <c r="I1337" s="74">
        <f>H1337*VLOOKUP(D1337,GWPs!$B$3:$C$6,2,FALSE)</f>
        <v>0</v>
      </c>
      <c r="J1337" s="3">
        <v>2E-3</v>
      </c>
      <c r="K1337" s="74">
        <f>J1337*VLOOKUP(D1337,GWPs!$B$3:$C$6,2,FALSE)</f>
        <v>2E-3</v>
      </c>
      <c r="M1337" s="3">
        <v>4</v>
      </c>
      <c r="N1337" s="3">
        <v>2</v>
      </c>
      <c r="O1337" s="3">
        <v>1</v>
      </c>
      <c r="P1337" s="3">
        <v>4</v>
      </c>
      <c r="Q1337" s="3">
        <v>1</v>
      </c>
    </row>
    <row r="1338" spans="1:17">
      <c r="A1338" t="s">
        <v>1430</v>
      </c>
      <c r="B1338" s="3" t="s">
        <v>971</v>
      </c>
      <c r="C1338" s="3" t="s">
        <v>972</v>
      </c>
      <c r="D1338" s="3" t="s">
        <v>11</v>
      </c>
      <c r="E1338" s="3" t="s">
        <v>12</v>
      </c>
      <c r="F1338" s="3">
        <v>7.6999999999999999E-2</v>
      </c>
      <c r="G1338" s="74">
        <f>F1338*VLOOKUP(D1338,GWPs!$B$3:$C$6,2,FALSE)</f>
        <v>7.6999999999999999E-2</v>
      </c>
      <c r="H1338" s="3">
        <v>0</v>
      </c>
      <c r="I1338" s="74">
        <f>H1338*VLOOKUP(D1338,GWPs!$B$3:$C$6,2,FALSE)</f>
        <v>0</v>
      </c>
      <c r="J1338" s="3">
        <v>7.6999999999999999E-2</v>
      </c>
      <c r="K1338" s="74">
        <f>J1338*VLOOKUP(D1338,GWPs!$B$3:$C$6,2,FALSE)</f>
        <v>7.6999999999999999E-2</v>
      </c>
      <c r="M1338" s="3">
        <v>3</v>
      </c>
      <c r="N1338" s="3">
        <v>2</v>
      </c>
      <c r="O1338" s="3">
        <v>1</v>
      </c>
      <c r="P1338" s="3">
        <v>3</v>
      </c>
      <c r="Q1338" s="3">
        <v>1</v>
      </c>
    </row>
    <row r="1339" spans="1:17">
      <c r="A1339" t="s">
        <v>1430</v>
      </c>
      <c r="B1339" s="3" t="s">
        <v>971</v>
      </c>
      <c r="C1339" s="3" t="s">
        <v>972</v>
      </c>
      <c r="D1339" s="3" t="s">
        <v>13</v>
      </c>
      <c r="E1339" s="3" t="s">
        <v>12</v>
      </c>
      <c r="F1339" s="3">
        <v>0</v>
      </c>
      <c r="G1339" s="74">
        <f>F1339*VLOOKUP(D1339,GWPs!$B$3:$C$6,2,FALSE)</f>
        <v>0</v>
      </c>
      <c r="H1339" s="3">
        <v>0</v>
      </c>
      <c r="I1339" s="74">
        <f>H1339*VLOOKUP(D1339,GWPs!$B$3:$C$6,2,FALSE)</f>
        <v>0</v>
      </c>
      <c r="J1339" s="3">
        <v>0</v>
      </c>
      <c r="K1339" s="74">
        <f>J1339*VLOOKUP(D1339,GWPs!$B$3:$C$6,2,FALSE)</f>
        <v>0</v>
      </c>
      <c r="M1339" s="3">
        <v>3</v>
      </c>
      <c r="N1339" s="3">
        <v>2</v>
      </c>
      <c r="O1339" s="3">
        <v>1</v>
      </c>
      <c r="P1339" s="3">
        <v>1</v>
      </c>
      <c r="Q1339" s="3">
        <v>1</v>
      </c>
    </row>
    <row r="1340" spans="1:17">
      <c r="A1340" t="s">
        <v>1430</v>
      </c>
      <c r="B1340" s="3" t="s">
        <v>971</v>
      </c>
      <c r="C1340" s="3" t="s">
        <v>972</v>
      </c>
      <c r="D1340" s="3" t="s">
        <v>14</v>
      </c>
      <c r="E1340" s="3" t="s">
        <v>12</v>
      </c>
      <c r="F1340" s="3">
        <v>0</v>
      </c>
      <c r="G1340" s="74">
        <f>F1340*VLOOKUP(D1340,GWPs!$B$3:$C$6,2,FALSE)</f>
        <v>0</v>
      </c>
      <c r="H1340" s="3">
        <v>0</v>
      </c>
      <c r="I1340" s="74">
        <f>H1340*VLOOKUP(D1340,GWPs!$B$3:$C$6,2,FALSE)</f>
        <v>0</v>
      </c>
      <c r="J1340" s="3">
        <v>0</v>
      </c>
      <c r="K1340" s="74">
        <f>J1340*VLOOKUP(D1340,GWPs!$B$3:$C$6,2,FALSE)</f>
        <v>0</v>
      </c>
      <c r="M1340" s="3">
        <v>4</v>
      </c>
      <c r="N1340" s="3">
        <v>2</v>
      </c>
      <c r="O1340" s="3">
        <v>1</v>
      </c>
      <c r="P1340" s="3">
        <v>3</v>
      </c>
      <c r="Q1340" s="3">
        <v>1</v>
      </c>
    </row>
    <row r="1341" spans="1:17">
      <c r="A1341" t="s">
        <v>1430</v>
      </c>
      <c r="B1341" s="3" t="s">
        <v>971</v>
      </c>
      <c r="C1341" s="3" t="s">
        <v>972</v>
      </c>
      <c r="D1341" s="3" t="s">
        <v>15</v>
      </c>
      <c r="E1341" s="3" t="s">
        <v>16</v>
      </c>
      <c r="F1341" s="3">
        <v>3.0000000000000001E-3</v>
      </c>
      <c r="G1341" s="74">
        <f>F1341*VLOOKUP(D1341,GWPs!$B$3:$C$6,2,FALSE)</f>
        <v>3.0000000000000001E-3</v>
      </c>
      <c r="H1341" s="3">
        <v>0</v>
      </c>
      <c r="I1341" s="74">
        <f>H1341*VLOOKUP(D1341,GWPs!$B$3:$C$6,2,FALSE)</f>
        <v>0</v>
      </c>
      <c r="J1341" s="3">
        <v>3.0000000000000001E-3</v>
      </c>
      <c r="K1341" s="74">
        <f>J1341*VLOOKUP(D1341,GWPs!$B$3:$C$6,2,FALSE)</f>
        <v>3.0000000000000001E-3</v>
      </c>
      <c r="M1341" s="3">
        <v>3</v>
      </c>
      <c r="N1341" s="3">
        <v>2</v>
      </c>
      <c r="O1341" s="3">
        <v>1</v>
      </c>
      <c r="P1341" s="3">
        <v>4</v>
      </c>
      <c r="Q1341" s="3">
        <v>1</v>
      </c>
    </row>
    <row r="1342" spans="1:17">
      <c r="A1342" t="s">
        <v>1430</v>
      </c>
      <c r="B1342" s="3" t="s">
        <v>973</v>
      </c>
      <c r="C1342" s="3" t="s">
        <v>974</v>
      </c>
      <c r="D1342" s="3" t="s">
        <v>11</v>
      </c>
      <c r="E1342" s="3" t="s">
        <v>12</v>
      </c>
      <c r="F1342" s="3">
        <v>5.3999999999999999E-2</v>
      </c>
      <c r="G1342" s="74">
        <f>F1342*VLOOKUP(D1342,GWPs!$B$3:$C$6,2,FALSE)</f>
        <v>5.3999999999999999E-2</v>
      </c>
      <c r="H1342" s="3">
        <v>0</v>
      </c>
      <c r="I1342" s="74">
        <f>H1342*VLOOKUP(D1342,GWPs!$B$3:$C$6,2,FALSE)</f>
        <v>0</v>
      </c>
      <c r="J1342" s="3">
        <v>5.3999999999999999E-2</v>
      </c>
      <c r="K1342" s="74">
        <f>J1342*VLOOKUP(D1342,GWPs!$B$3:$C$6,2,FALSE)</f>
        <v>5.3999999999999999E-2</v>
      </c>
      <c r="M1342" s="3">
        <v>3</v>
      </c>
      <c r="N1342" s="3">
        <v>2</v>
      </c>
      <c r="O1342" s="3">
        <v>1</v>
      </c>
      <c r="P1342" s="3">
        <v>3</v>
      </c>
      <c r="Q1342" s="3">
        <v>1</v>
      </c>
    </row>
    <row r="1343" spans="1:17">
      <c r="A1343" t="s">
        <v>1430</v>
      </c>
      <c r="B1343" s="3" t="s">
        <v>973</v>
      </c>
      <c r="C1343" s="3" t="s">
        <v>974</v>
      </c>
      <c r="D1343" s="3" t="s">
        <v>13</v>
      </c>
      <c r="E1343" s="3" t="s">
        <v>12</v>
      </c>
      <c r="F1343" s="3">
        <v>0</v>
      </c>
      <c r="G1343" s="74">
        <f>F1343*VLOOKUP(D1343,GWPs!$B$3:$C$6,2,FALSE)</f>
        <v>0</v>
      </c>
      <c r="H1343" s="3">
        <v>0</v>
      </c>
      <c r="I1343" s="74">
        <f>H1343*VLOOKUP(D1343,GWPs!$B$3:$C$6,2,FALSE)</f>
        <v>0</v>
      </c>
      <c r="J1343" s="3">
        <v>0</v>
      </c>
      <c r="K1343" s="74">
        <f>J1343*VLOOKUP(D1343,GWPs!$B$3:$C$6,2,FALSE)</f>
        <v>0</v>
      </c>
      <c r="M1343" s="3">
        <v>3</v>
      </c>
      <c r="N1343" s="3">
        <v>2</v>
      </c>
      <c r="O1343" s="3">
        <v>1</v>
      </c>
      <c r="P1343" s="3">
        <v>1</v>
      </c>
      <c r="Q1343" s="3">
        <v>1</v>
      </c>
    </row>
    <row r="1344" spans="1:17">
      <c r="A1344" t="s">
        <v>1430</v>
      </c>
      <c r="B1344" s="3" t="s">
        <v>973</v>
      </c>
      <c r="C1344" s="3" t="s">
        <v>974</v>
      </c>
      <c r="D1344" s="3" t="s">
        <v>14</v>
      </c>
      <c r="E1344" s="3" t="s">
        <v>12</v>
      </c>
      <c r="F1344" s="3">
        <v>0</v>
      </c>
      <c r="G1344" s="74">
        <f>F1344*VLOOKUP(D1344,GWPs!$B$3:$C$6,2,FALSE)</f>
        <v>0</v>
      </c>
      <c r="H1344" s="3">
        <v>0</v>
      </c>
      <c r="I1344" s="74">
        <f>H1344*VLOOKUP(D1344,GWPs!$B$3:$C$6,2,FALSE)</f>
        <v>0</v>
      </c>
      <c r="J1344" s="3">
        <v>0</v>
      </c>
      <c r="K1344" s="74">
        <f>J1344*VLOOKUP(D1344,GWPs!$B$3:$C$6,2,FALSE)</f>
        <v>0</v>
      </c>
      <c r="M1344" s="3">
        <v>3</v>
      </c>
      <c r="N1344" s="3">
        <v>2</v>
      </c>
      <c r="O1344" s="3">
        <v>1</v>
      </c>
      <c r="P1344" s="3">
        <v>3</v>
      </c>
      <c r="Q1344" s="3">
        <v>1</v>
      </c>
    </row>
    <row r="1345" spans="1:17">
      <c r="A1345" t="s">
        <v>1430</v>
      </c>
      <c r="B1345" s="3" t="s">
        <v>973</v>
      </c>
      <c r="C1345" s="3" t="s">
        <v>974</v>
      </c>
      <c r="D1345" s="3" t="s">
        <v>15</v>
      </c>
      <c r="E1345" s="3" t="s">
        <v>16</v>
      </c>
      <c r="F1345" s="3">
        <v>8.0000000000000002E-3</v>
      </c>
      <c r="G1345" s="74">
        <f>F1345*VLOOKUP(D1345,GWPs!$B$3:$C$6,2,FALSE)</f>
        <v>8.0000000000000002E-3</v>
      </c>
      <c r="H1345" s="3">
        <v>0</v>
      </c>
      <c r="I1345" s="74">
        <f>H1345*VLOOKUP(D1345,GWPs!$B$3:$C$6,2,FALSE)</f>
        <v>0</v>
      </c>
      <c r="J1345" s="3">
        <v>8.0000000000000002E-3</v>
      </c>
      <c r="K1345" s="74">
        <f>J1345*VLOOKUP(D1345,GWPs!$B$3:$C$6,2,FALSE)</f>
        <v>8.0000000000000002E-3</v>
      </c>
      <c r="M1345" s="3">
        <v>4</v>
      </c>
      <c r="N1345" s="3">
        <v>2</v>
      </c>
      <c r="O1345" s="3">
        <v>1</v>
      </c>
      <c r="P1345" s="3">
        <v>5</v>
      </c>
      <c r="Q1345" s="3">
        <v>1</v>
      </c>
    </row>
    <row r="1346" spans="1:17">
      <c r="A1346" t="s">
        <v>1430</v>
      </c>
      <c r="B1346" s="3" t="s">
        <v>975</v>
      </c>
      <c r="C1346" s="3" t="s">
        <v>976</v>
      </c>
      <c r="D1346" s="3" t="s">
        <v>11</v>
      </c>
      <c r="E1346" s="3" t="s">
        <v>12</v>
      </c>
      <c r="F1346" s="3">
        <v>6.6000000000000003E-2</v>
      </c>
      <c r="G1346" s="74">
        <f>F1346*VLOOKUP(D1346,GWPs!$B$3:$C$6,2,FALSE)</f>
        <v>6.6000000000000003E-2</v>
      </c>
      <c r="H1346" s="3">
        <v>0</v>
      </c>
      <c r="I1346" s="74">
        <f>H1346*VLOOKUP(D1346,GWPs!$B$3:$C$6,2,FALSE)</f>
        <v>0</v>
      </c>
      <c r="J1346" s="3">
        <v>6.6000000000000003E-2</v>
      </c>
      <c r="K1346" s="74">
        <f>J1346*VLOOKUP(D1346,GWPs!$B$3:$C$6,2,FALSE)</f>
        <v>6.6000000000000003E-2</v>
      </c>
      <c r="M1346" s="3">
        <v>3</v>
      </c>
      <c r="N1346" s="3">
        <v>2</v>
      </c>
      <c r="O1346" s="3">
        <v>1</v>
      </c>
      <c r="P1346" s="3">
        <v>3</v>
      </c>
      <c r="Q1346" s="3">
        <v>1</v>
      </c>
    </row>
    <row r="1347" spans="1:17">
      <c r="A1347" t="s">
        <v>1430</v>
      </c>
      <c r="B1347" s="3" t="s">
        <v>975</v>
      </c>
      <c r="C1347" s="3" t="s">
        <v>976</v>
      </c>
      <c r="D1347" s="3" t="s">
        <v>13</v>
      </c>
      <c r="E1347" s="3" t="s">
        <v>12</v>
      </c>
      <c r="F1347" s="3">
        <v>0</v>
      </c>
      <c r="G1347" s="74">
        <f>F1347*VLOOKUP(D1347,GWPs!$B$3:$C$6,2,FALSE)</f>
        <v>0</v>
      </c>
      <c r="H1347" s="3">
        <v>0</v>
      </c>
      <c r="I1347" s="74">
        <f>H1347*VLOOKUP(D1347,GWPs!$B$3:$C$6,2,FALSE)</f>
        <v>0</v>
      </c>
      <c r="J1347" s="3">
        <v>0</v>
      </c>
      <c r="K1347" s="74">
        <f>J1347*VLOOKUP(D1347,GWPs!$B$3:$C$6,2,FALSE)</f>
        <v>0</v>
      </c>
      <c r="M1347" s="3">
        <v>3</v>
      </c>
      <c r="N1347" s="3">
        <v>2</v>
      </c>
      <c r="O1347" s="3">
        <v>1</v>
      </c>
      <c r="P1347" s="3">
        <v>1</v>
      </c>
      <c r="Q1347" s="3">
        <v>1</v>
      </c>
    </row>
    <row r="1348" spans="1:17">
      <c r="A1348" t="s">
        <v>1430</v>
      </c>
      <c r="B1348" s="3" t="s">
        <v>975</v>
      </c>
      <c r="C1348" s="3" t="s">
        <v>976</v>
      </c>
      <c r="D1348" s="3" t="s">
        <v>14</v>
      </c>
      <c r="E1348" s="3" t="s">
        <v>12</v>
      </c>
      <c r="F1348" s="3">
        <v>0</v>
      </c>
      <c r="G1348" s="74">
        <f>F1348*VLOOKUP(D1348,GWPs!$B$3:$C$6,2,FALSE)</f>
        <v>0</v>
      </c>
      <c r="H1348" s="3">
        <v>0</v>
      </c>
      <c r="I1348" s="74">
        <f>H1348*VLOOKUP(D1348,GWPs!$B$3:$C$6,2,FALSE)</f>
        <v>0</v>
      </c>
      <c r="J1348" s="3">
        <v>0</v>
      </c>
      <c r="K1348" s="74">
        <f>J1348*VLOOKUP(D1348,GWPs!$B$3:$C$6,2,FALSE)</f>
        <v>0</v>
      </c>
      <c r="M1348" s="3">
        <v>3</v>
      </c>
      <c r="N1348" s="3">
        <v>2</v>
      </c>
      <c r="O1348" s="3">
        <v>1</v>
      </c>
      <c r="P1348" s="3">
        <v>3</v>
      </c>
      <c r="Q1348" s="3">
        <v>1</v>
      </c>
    </row>
    <row r="1349" spans="1:17">
      <c r="A1349" t="s">
        <v>1430</v>
      </c>
      <c r="B1349" s="3" t="s">
        <v>975</v>
      </c>
      <c r="C1349" s="3" t="s">
        <v>976</v>
      </c>
      <c r="D1349" s="3" t="s">
        <v>15</v>
      </c>
      <c r="E1349" s="3" t="s">
        <v>16</v>
      </c>
      <c r="F1349" s="3">
        <v>4.0000000000000001E-3</v>
      </c>
      <c r="G1349" s="74">
        <f>F1349*VLOOKUP(D1349,GWPs!$B$3:$C$6,2,FALSE)</f>
        <v>4.0000000000000001E-3</v>
      </c>
      <c r="H1349" s="3">
        <v>0</v>
      </c>
      <c r="I1349" s="74">
        <f>H1349*VLOOKUP(D1349,GWPs!$B$3:$C$6,2,FALSE)</f>
        <v>0</v>
      </c>
      <c r="J1349" s="3">
        <v>4.0000000000000001E-3</v>
      </c>
      <c r="K1349" s="74">
        <f>J1349*VLOOKUP(D1349,GWPs!$B$3:$C$6,2,FALSE)</f>
        <v>4.0000000000000001E-3</v>
      </c>
      <c r="M1349" s="3">
        <v>4</v>
      </c>
      <c r="N1349" s="3">
        <v>2</v>
      </c>
      <c r="O1349" s="3">
        <v>1</v>
      </c>
      <c r="P1349" s="3">
        <v>4</v>
      </c>
      <c r="Q1349" s="3">
        <v>1</v>
      </c>
    </row>
    <row r="1350" spans="1:17">
      <c r="A1350" t="s">
        <v>1429</v>
      </c>
      <c r="B1350" s="3" t="s">
        <v>977</v>
      </c>
      <c r="C1350" s="3" t="s">
        <v>978</v>
      </c>
      <c r="D1350" s="3" t="s">
        <v>11</v>
      </c>
      <c r="E1350" s="3" t="s">
        <v>12</v>
      </c>
      <c r="F1350" s="3">
        <v>6.7000000000000004E-2</v>
      </c>
      <c r="G1350" s="74">
        <f>F1350*VLOOKUP(D1350,GWPs!$B$3:$C$6,2,FALSE)</f>
        <v>6.7000000000000004E-2</v>
      </c>
      <c r="H1350" s="3">
        <v>0</v>
      </c>
      <c r="I1350" s="74">
        <f>H1350*VLOOKUP(D1350,GWPs!$B$3:$C$6,2,FALSE)</f>
        <v>0</v>
      </c>
      <c r="J1350" s="3">
        <v>6.7000000000000004E-2</v>
      </c>
      <c r="K1350" s="74">
        <f>J1350*VLOOKUP(D1350,GWPs!$B$3:$C$6,2,FALSE)</f>
        <v>6.7000000000000004E-2</v>
      </c>
      <c r="M1350" s="3">
        <v>3</v>
      </c>
      <c r="N1350" s="3">
        <v>2</v>
      </c>
      <c r="O1350" s="3">
        <v>1</v>
      </c>
      <c r="P1350" s="3">
        <v>3</v>
      </c>
      <c r="Q1350" s="3">
        <v>1</v>
      </c>
    </row>
    <row r="1351" spans="1:17">
      <c r="A1351" t="s">
        <v>1429</v>
      </c>
      <c r="B1351" s="3" t="s">
        <v>977</v>
      </c>
      <c r="C1351" s="3" t="s">
        <v>978</v>
      </c>
      <c r="D1351" s="3" t="s">
        <v>13</v>
      </c>
      <c r="E1351" s="3" t="s">
        <v>12</v>
      </c>
      <c r="F1351" s="3">
        <v>0</v>
      </c>
      <c r="G1351" s="74">
        <f>F1351*VLOOKUP(D1351,GWPs!$B$3:$C$6,2,FALSE)</f>
        <v>0</v>
      </c>
      <c r="H1351" s="3">
        <v>0</v>
      </c>
      <c r="I1351" s="74">
        <f>H1351*VLOOKUP(D1351,GWPs!$B$3:$C$6,2,FALSE)</f>
        <v>0</v>
      </c>
      <c r="J1351" s="3">
        <v>0</v>
      </c>
      <c r="K1351" s="74">
        <f>J1351*VLOOKUP(D1351,GWPs!$B$3:$C$6,2,FALSE)</f>
        <v>0</v>
      </c>
      <c r="M1351" s="3">
        <v>3</v>
      </c>
      <c r="N1351" s="3">
        <v>2</v>
      </c>
      <c r="O1351" s="3">
        <v>1</v>
      </c>
      <c r="P1351" s="3">
        <v>1</v>
      </c>
      <c r="Q1351" s="3">
        <v>1</v>
      </c>
    </row>
    <row r="1352" spans="1:17">
      <c r="A1352" t="s">
        <v>1429</v>
      </c>
      <c r="B1352" s="3" t="s">
        <v>977</v>
      </c>
      <c r="C1352" s="3" t="s">
        <v>978</v>
      </c>
      <c r="D1352" s="3" t="s">
        <v>14</v>
      </c>
      <c r="E1352" s="3" t="s">
        <v>12</v>
      </c>
      <c r="F1352" s="3">
        <v>0</v>
      </c>
      <c r="G1352" s="74">
        <f>F1352*VLOOKUP(D1352,GWPs!$B$3:$C$6,2,FALSE)</f>
        <v>0</v>
      </c>
      <c r="H1352" s="3">
        <v>0</v>
      </c>
      <c r="I1352" s="74">
        <f>H1352*VLOOKUP(D1352,GWPs!$B$3:$C$6,2,FALSE)</f>
        <v>0</v>
      </c>
      <c r="J1352" s="3">
        <v>0</v>
      </c>
      <c r="K1352" s="74">
        <f>J1352*VLOOKUP(D1352,GWPs!$B$3:$C$6,2,FALSE)</f>
        <v>0</v>
      </c>
      <c r="M1352" s="3">
        <v>3</v>
      </c>
      <c r="N1352" s="3">
        <v>2</v>
      </c>
      <c r="O1352" s="3">
        <v>1</v>
      </c>
      <c r="P1352" s="3">
        <v>3</v>
      </c>
      <c r="Q1352" s="3">
        <v>1</v>
      </c>
    </row>
    <row r="1353" spans="1:17">
      <c r="A1353" t="s">
        <v>1429</v>
      </c>
      <c r="B1353" s="3" t="s">
        <v>977</v>
      </c>
      <c r="C1353" s="3" t="s">
        <v>978</v>
      </c>
      <c r="D1353" s="3" t="s">
        <v>15</v>
      </c>
      <c r="E1353" s="3" t="s">
        <v>16</v>
      </c>
      <c r="F1353" s="3">
        <v>3.0000000000000001E-3</v>
      </c>
      <c r="G1353" s="74">
        <f>F1353*VLOOKUP(D1353,GWPs!$B$3:$C$6,2,FALSE)</f>
        <v>3.0000000000000001E-3</v>
      </c>
      <c r="H1353" s="3">
        <v>0</v>
      </c>
      <c r="I1353" s="74">
        <f>H1353*VLOOKUP(D1353,GWPs!$B$3:$C$6,2,FALSE)</f>
        <v>0</v>
      </c>
      <c r="J1353" s="3">
        <v>3.0000000000000001E-3</v>
      </c>
      <c r="K1353" s="74">
        <f>J1353*VLOOKUP(D1353,GWPs!$B$3:$C$6,2,FALSE)</f>
        <v>3.0000000000000001E-3</v>
      </c>
      <c r="M1353" s="3">
        <v>4</v>
      </c>
      <c r="N1353" s="3">
        <v>2</v>
      </c>
      <c r="O1353" s="3">
        <v>1</v>
      </c>
      <c r="P1353" s="3">
        <v>5</v>
      </c>
      <c r="Q1353" s="3">
        <v>1</v>
      </c>
    </row>
    <row r="1354" spans="1:17">
      <c r="A1354" t="s">
        <v>1430</v>
      </c>
      <c r="B1354" s="3" t="s">
        <v>979</v>
      </c>
      <c r="C1354" s="3" t="s">
        <v>980</v>
      </c>
      <c r="D1354" s="3" t="s">
        <v>11</v>
      </c>
      <c r="E1354" s="3" t="s">
        <v>12</v>
      </c>
      <c r="F1354" s="3">
        <v>6.5000000000000002E-2</v>
      </c>
      <c r="G1354" s="74">
        <f>F1354*VLOOKUP(D1354,GWPs!$B$3:$C$6,2,FALSE)</f>
        <v>6.5000000000000002E-2</v>
      </c>
      <c r="H1354" s="3">
        <v>0</v>
      </c>
      <c r="I1354" s="74">
        <f>H1354*VLOOKUP(D1354,GWPs!$B$3:$C$6,2,FALSE)</f>
        <v>0</v>
      </c>
      <c r="J1354" s="3">
        <v>6.5000000000000002E-2</v>
      </c>
      <c r="K1354" s="74">
        <f>J1354*VLOOKUP(D1354,GWPs!$B$3:$C$6,2,FALSE)</f>
        <v>6.5000000000000002E-2</v>
      </c>
      <c r="M1354" s="3">
        <v>3</v>
      </c>
      <c r="N1354" s="3">
        <v>2</v>
      </c>
      <c r="O1354" s="3">
        <v>1</v>
      </c>
      <c r="P1354" s="3">
        <v>3</v>
      </c>
      <c r="Q1354" s="3">
        <v>1</v>
      </c>
    </row>
    <row r="1355" spans="1:17">
      <c r="A1355" t="s">
        <v>1430</v>
      </c>
      <c r="B1355" s="3" t="s">
        <v>979</v>
      </c>
      <c r="C1355" s="3" t="s">
        <v>980</v>
      </c>
      <c r="D1355" s="3" t="s">
        <v>13</v>
      </c>
      <c r="E1355" s="3" t="s">
        <v>12</v>
      </c>
      <c r="F1355" s="3">
        <v>0</v>
      </c>
      <c r="G1355" s="74">
        <f>F1355*VLOOKUP(D1355,GWPs!$B$3:$C$6,2,FALSE)</f>
        <v>0</v>
      </c>
      <c r="H1355" s="3">
        <v>0</v>
      </c>
      <c r="I1355" s="74">
        <f>H1355*VLOOKUP(D1355,GWPs!$B$3:$C$6,2,FALSE)</f>
        <v>0</v>
      </c>
      <c r="J1355" s="3">
        <v>0</v>
      </c>
      <c r="K1355" s="74">
        <f>J1355*VLOOKUP(D1355,GWPs!$B$3:$C$6,2,FALSE)</f>
        <v>0</v>
      </c>
      <c r="M1355" s="3">
        <v>3</v>
      </c>
      <c r="N1355" s="3">
        <v>2</v>
      </c>
      <c r="O1355" s="3">
        <v>1</v>
      </c>
      <c r="P1355" s="3">
        <v>1</v>
      </c>
      <c r="Q1355" s="3">
        <v>1</v>
      </c>
    </row>
    <row r="1356" spans="1:17">
      <c r="A1356" t="s">
        <v>1430</v>
      </c>
      <c r="B1356" s="3" t="s">
        <v>979</v>
      </c>
      <c r="C1356" s="3" t="s">
        <v>980</v>
      </c>
      <c r="D1356" s="3" t="s">
        <v>14</v>
      </c>
      <c r="E1356" s="3" t="s">
        <v>12</v>
      </c>
      <c r="F1356" s="3">
        <v>0</v>
      </c>
      <c r="G1356" s="74">
        <f>F1356*VLOOKUP(D1356,GWPs!$B$3:$C$6,2,FALSE)</f>
        <v>0</v>
      </c>
      <c r="H1356" s="3">
        <v>0</v>
      </c>
      <c r="I1356" s="74">
        <f>H1356*VLOOKUP(D1356,GWPs!$B$3:$C$6,2,FALSE)</f>
        <v>0</v>
      </c>
      <c r="J1356" s="3">
        <v>0</v>
      </c>
      <c r="K1356" s="74">
        <f>J1356*VLOOKUP(D1356,GWPs!$B$3:$C$6,2,FALSE)</f>
        <v>0</v>
      </c>
      <c r="M1356" s="3">
        <v>3</v>
      </c>
      <c r="N1356" s="3">
        <v>2</v>
      </c>
      <c r="O1356" s="3">
        <v>1</v>
      </c>
      <c r="P1356" s="3">
        <v>3</v>
      </c>
      <c r="Q1356" s="3">
        <v>1</v>
      </c>
    </row>
    <row r="1357" spans="1:17">
      <c r="A1357" t="s">
        <v>1430</v>
      </c>
      <c r="B1357" s="3" t="s">
        <v>979</v>
      </c>
      <c r="C1357" s="3" t="s">
        <v>980</v>
      </c>
      <c r="D1357" s="3" t="s">
        <v>15</v>
      </c>
      <c r="E1357" s="3" t="s">
        <v>16</v>
      </c>
      <c r="F1357" s="3">
        <v>2E-3</v>
      </c>
      <c r="G1357" s="74">
        <f>F1357*VLOOKUP(D1357,GWPs!$B$3:$C$6,2,FALSE)</f>
        <v>2E-3</v>
      </c>
      <c r="H1357" s="3">
        <v>0</v>
      </c>
      <c r="I1357" s="74">
        <f>H1357*VLOOKUP(D1357,GWPs!$B$3:$C$6,2,FALSE)</f>
        <v>0</v>
      </c>
      <c r="J1357" s="3">
        <v>2E-3</v>
      </c>
      <c r="K1357" s="74">
        <f>J1357*VLOOKUP(D1357,GWPs!$B$3:$C$6,2,FALSE)</f>
        <v>2E-3</v>
      </c>
      <c r="M1357" s="3">
        <v>4</v>
      </c>
      <c r="N1357" s="3">
        <v>2</v>
      </c>
      <c r="O1357" s="3">
        <v>1</v>
      </c>
      <c r="P1357" s="3">
        <v>4</v>
      </c>
      <c r="Q1357" s="3">
        <v>1</v>
      </c>
    </row>
    <row r="1358" spans="1:17">
      <c r="A1358" t="s">
        <v>1430</v>
      </c>
      <c r="B1358" s="3" t="s">
        <v>981</v>
      </c>
      <c r="C1358" s="3" t="s">
        <v>982</v>
      </c>
      <c r="D1358" s="3" t="s">
        <v>11</v>
      </c>
      <c r="E1358" s="3" t="s">
        <v>12</v>
      </c>
      <c r="F1358" s="3">
        <v>0.156</v>
      </c>
      <c r="G1358" s="74">
        <f>F1358*VLOOKUP(D1358,GWPs!$B$3:$C$6,2,FALSE)</f>
        <v>0.156</v>
      </c>
      <c r="H1358" s="3">
        <v>0</v>
      </c>
      <c r="I1358" s="74">
        <f>H1358*VLOOKUP(D1358,GWPs!$B$3:$C$6,2,FALSE)</f>
        <v>0</v>
      </c>
      <c r="J1358" s="3">
        <v>0.156</v>
      </c>
      <c r="K1358" s="74">
        <f>J1358*VLOOKUP(D1358,GWPs!$B$3:$C$6,2,FALSE)</f>
        <v>0.156</v>
      </c>
      <c r="M1358" s="3">
        <v>3</v>
      </c>
      <c r="N1358" s="3">
        <v>2</v>
      </c>
      <c r="O1358" s="3">
        <v>1</v>
      </c>
      <c r="P1358" s="3">
        <v>3</v>
      </c>
      <c r="Q1358" s="3">
        <v>1</v>
      </c>
    </row>
    <row r="1359" spans="1:17">
      <c r="A1359" t="s">
        <v>1430</v>
      </c>
      <c r="B1359" s="3" t="s">
        <v>981</v>
      </c>
      <c r="C1359" s="3" t="s">
        <v>982</v>
      </c>
      <c r="D1359" s="3" t="s">
        <v>13</v>
      </c>
      <c r="E1359" s="3" t="s">
        <v>12</v>
      </c>
      <c r="F1359" s="3">
        <v>1E-3</v>
      </c>
      <c r="G1359" s="74">
        <f>F1359*VLOOKUP(D1359,GWPs!$B$3:$C$6,2,FALSE)</f>
        <v>2.8000000000000001E-2</v>
      </c>
      <c r="H1359" s="3">
        <v>0</v>
      </c>
      <c r="I1359" s="74">
        <f>H1359*VLOOKUP(D1359,GWPs!$B$3:$C$6,2,FALSE)</f>
        <v>0</v>
      </c>
      <c r="J1359" s="3">
        <v>1E-3</v>
      </c>
      <c r="K1359" s="74">
        <f>J1359*VLOOKUP(D1359,GWPs!$B$3:$C$6,2,FALSE)</f>
        <v>2.8000000000000001E-2</v>
      </c>
      <c r="M1359" s="3">
        <v>3</v>
      </c>
      <c r="N1359" s="3">
        <v>2</v>
      </c>
      <c r="O1359" s="3">
        <v>1</v>
      </c>
      <c r="P1359" s="3">
        <v>1</v>
      </c>
      <c r="Q1359" s="3">
        <v>1</v>
      </c>
    </row>
    <row r="1360" spans="1:17">
      <c r="A1360" t="s">
        <v>1430</v>
      </c>
      <c r="B1360" s="3" t="s">
        <v>981</v>
      </c>
      <c r="C1360" s="3" t="s">
        <v>982</v>
      </c>
      <c r="D1360" s="3" t="s">
        <v>14</v>
      </c>
      <c r="E1360" s="3" t="s">
        <v>12</v>
      </c>
      <c r="F1360" s="3">
        <v>0</v>
      </c>
      <c r="G1360" s="74">
        <f>F1360*VLOOKUP(D1360,GWPs!$B$3:$C$6,2,FALSE)</f>
        <v>0</v>
      </c>
      <c r="H1360" s="3">
        <v>0</v>
      </c>
      <c r="I1360" s="74">
        <f>H1360*VLOOKUP(D1360,GWPs!$B$3:$C$6,2,FALSE)</f>
        <v>0</v>
      </c>
      <c r="J1360" s="3">
        <v>0</v>
      </c>
      <c r="K1360" s="74">
        <f>J1360*VLOOKUP(D1360,GWPs!$B$3:$C$6,2,FALSE)</f>
        <v>0</v>
      </c>
      <c r="M1360" s="3">
        <v>4</v>
      </c>
      <c r="N1360" s="3">
        <v>2</v>
      </c>
      <c r="O1360" s="3">
        <v>1</v>
      </c>
      <c r="P1360" s="3">
        <v>3</v>
      </c>
      <c r="Q1360" s="3">
        <v>1</v>
      </c>
    </row>
    <row r="1361" spans="1:17">
      <c r="A1361" t="s">
        <v>1430</v>
      </c>
      <c r="B1361" s="3" t="s">
        <v>981</v>
      </c>
      <c r="C1361" s="3" t="s">
        <v>982</v>
      </c>
      <c r="D1361" s="3" t="s">
        <v>15</v>
      </c>
      <c r="E1361" s="3" t="s">
        <v>16</v>
      </c>
      <c r="F1361" s="3">
        <v>6.0000000000000001E-3</v>
      </c>
      <c r="G1361" s="74">
        <f>F1361*VLOOKUP(D1361,GWPs!$B$3:$C$6,2,FALSE)</f>
        <v>6.0000000000000001E-3</v>
      </c>
      <c r="H1361" s="3">
        <v>0</v>
      </c>
      <c r="I1361" s="74">
        <f>H1361*VLOOKUP(D1361,GWPs!$B$3:$C$6,2,FALSE)</f>
        <v>0</v>
      </c>
      <c r="J1361" s="3">
        <v>6.0000000000000001E-3</v>
      </c>
      <c r="K1361" s="74">
        <f>J1361*VLOOKUP(D1361,GWPs!$B$3:$C$6,2,FALSE)</f>
        <v>6.0000000000000001E-3</v>
      </c>
      <c r="M1361" s="3">
        <v>3</v>
      </c>
      <c r="N1361" s="3">
        <v>2</v>
      </c>
      <c r="O1361" s="3">
        <v>1</v>
      </c>
      <c r="P1361" s="3">
        <v>4</v>
      </c>
      <c r="Q1361" s="3">
        <v>1</v>
      </c>
    </row>
    <row r="1362" spans="1:17">
      <c r="A1362" t="s">
        <v>1429</v>
      </c>
      <c r="B1362" s="3" t="s">
        <v>983</v>
      </c>
      <c r="C1362" s="3" t="s">
        <v>984</v>
      </c>
      <c r="D1362" s="3" t="s">
        <v>11</v>
      </c>
      <c r="E1362" s="3" t="s">
        <v>12</v>
      </c>
      <c r="F1362" s="3">
        <v>0.107</v>
      </c>
      <c r="G1362" s="74">
        <f>F1362*VLOOKUP(D1362,GWPs!$B$3:$C$6,2,FALSE)</f>
        <v>0.107</v>
      </c>
      <c r="H1362" s="3">
        <v>0</v>
      </c>
      <c r="I1362" s="74">
        <f>H1362*VLOOKUP(D1362,GWPs!$B$3:$C$6,2,FALSE)</f>
        <v>0</v>
      </c>
      <c r="J1362" s="3">
        <v>0.107</v>
      </c>
      <c r="K1362" s="74">
        <f>J1362*VLOOKUP(D1362,GWPs!$B$3:$C$6,2,FALSE)</f>
        <v>0.107</v>
      </c>
      <c r="M1362" s="3">
        <v>3</v>
      </c>
      <c r="N1362" s="3">
        <v>2</v>
      </c>
      <c r="O1362" s="3">
        <v>1</v>
      </c>
      <c r="P1362" s="3">
        <v>3</v>
      </c>
      <c r="Q1362" s="3">
        <v>1</v>
      </c>
    </row>
    <row r="1363" spans="1:17">
      <c r="A1363" t="s">
        <v>1429</v>
      </c>
      <c r="B1363" s="3" t="s">
        <v>983</v>
      </c>
      <c r="C1363" s="3" t="s">
        <v>984</v>
      </c>
      <c r="D1363" s="3" t="s">
        <v>13</v>
      </c>
      <c r="E1363" s="3" t="s">
        <v>12</v>
      </c>
      <c r="F1363" s="3">
        <v>0</v>
      </c>
      <c r="G1363" s="74">
        <f>F1363*VLOOKUP(D1363,GWPs!$B$3:$C$6,2,FALSE)</f>
        <v>0</v>
      </c>
      <c r="H1363" s="3">
        <v>0</v>
      </c>
      <c r="I1363" s="74">
        <f>H1363*VLOOKUP(D1363,GWPs!$B$3:$C$6,2,FALSE)</f>
        <v>0</v>
      </c>
      <c r="J1363" s="3">
        <v>0</v>
      </c>
      <c r="K1363" s="74">
        <f>J1363*VLOOKUP(D1363,GWPs!$B$3:$C$6,2,FALSE)</f>
        <v>0</v>
      </c>
      <c r="M1363" s="3">
        <v>3</v>
      </c>
      <c r="N1363" s="3">
        <v>2</v>
      </c>
      <c r="O1363" s="3">
        <v>1</v>
      </c>
      <c r="P1363" s="3">
        <v>1</v>
      </c>
      <c r="Q1363" s="3">
        <v>1</v>
      </c>
    </row>
    <row r="1364" spans="1:17">
      <c r="A1364" t="s">
        <v>1429</v>
      </c>
      <c r="B1364" s="3" t="s">
        <v>983</v>
      </c>
      <c r="C1364" s="3" t="s">
        <v>984</v>
      </c>
      <c r="D1364" s="3" t="s">
        <v>14</v>
      </c>
      <c r="E1364" s="3" t="s">
        <v>12</v>
      </c>
      <c r="F1364" s="3">
        <v>0</v>
      </c>
      <c r="G1364" s="74">
        <f>F1364*VLOOKUP(D1364,GWPs!$B$3:$C$6,2,FALSE)</f>
        <v>0</v>
      </c>
      <c r="H1364" s="3">
        <v>0</v>
      </c>
      <c r="I1364" s="74">
        <f>H1364*VLOOKUP(D1364,GWPs!$B$3:$C$6,2,FALSE)</f>
        <v>0</v>
      </c>
      <c r="J1364" s="3">
        <v>0</v>
      </c>
      <c r="K1364" s="74">
        <f>J1364*VLOOKUP(D1364,GWPs!$B$3:$C$6,2,FALSE)</f>
        <v>0</v>
      </c>
      <c r="M1364" s="3">
        <v>3</v>
      </c>
      <c r="N1364" s="3">
        <v>2</v>
      </c>
      <c r="O1364" s="3">
        <v>1</v>
      </c>
      <c r="P1364" s="3">
        <v>3</v>
      </c>
      <c r="Q1364" s="3">
        <v>1</v>
      </c>
    </row>
    <row r="1365" spans="1:17">
      <c r="A1365" t="s">
        <v>1429</v>
      </c>
      <c r="B1365" s="3" t="s">
        <v>983</v>
      </c>
      <c r="C1365" s="3" t="s">
        <v>984</v>
      </c>
      <c r="D1365" s="3" t="s">
        <v>15</v>
      </c>
      <c r="E1365" s="3" t="s">
        <v>16</v>
      </c>
      <c r="F1365" s="3">
        <v>7.0000000000000001E-3</v>
      </c>
      <c r="G1365" s="74">
        <f>F1365*VLOOKUP(D1365,GWPs!$B$3:$C$6,2,FALSE)</f>
        <v>7.0000000000000001E-3</v>
      </c>
      <c r="H1365" s="3">
        <v>0</v>
      </c>
      <c r="I1365" s="74">
        <f>H1365*VLOOKUP(D1365,GWPs!$B$3:$C$6,2,FALSE)</f>
        <v>0</v>
      </c>
      <c r="J1365" s="3">
        <v>7.0000000000000001E-3</v>
      </c>
      <c r="K1365" s="74">
        <f>J1365*VLOOKUP(D1365,GWPs!$B$3:$C$6,2,FALSE)</f>
        <v>7.0000000000000001E-3</v>
      </c>
      <c r="M1365" s="3">
        <v>4</v>
      </c>
      <c r="N1365" s="3">
        <v>2</v>
      </c>
      <c r="O1365" s="3">
        <v>1</v>
      </c>
      <c r="P1365" s="3">
        <v>4</v>
      </c>
      <c r="Q1365" s="3">
        <v>1</v>
      </c>
    </row>
    <row r="1366" spans="1:17">
      <c r="A1366" t="s">
        <v>1429</v>
      </c>
      <c r="B1366" s="3" t="s">
        <v>985</v>
      </c>
      <c r="C1366" s="3" t="s">
        <v>986</v>
      </c>
      <c r="D1366" s="3" t="s">
        <v>11</v>
      </c>
      <c r="E1366" s="3" t="s">
        <v>12</v>
      </c>
      <c r="F1366" s="3">
        <v>0.105</v>
      </c>
      <c r="G1366" s="74">
        <f>F1366*VLOOKUP(D1366,GWPs!$B$3:$C$6,2,FALSE)</f>
        <v>0.105</v>
      </c>
      <c r="H1366" s="3">
        <v>0</v>
      </c>
      <c r="I1366" s="74">
        <f>H1366*VLOOKUP(D1366,GWPs!$B$3:$C$6,2,FALSE)</f>
        <v>0</v>
      </c>
      <c r="J1366" s="3">
        <v>0.105</v>
      </c>
      <c r="K1366" s="74">
        <f>J1366*VLOOKUP(D1366,GWPs!$B$3:$C$6,2,FALSE)</f>
        <v>0.105</v>
      </c>
      <c r="M1366" s="3">
        <v>3</v>
      </c>
      <c r="N1366" s="3">
        <v>2</v>
      </c>
      <c r="O1366" s="3">
        <v>1</v>
      </c>
      <c r="P1366" s="3">
        <v>3</v>
      </c>
      <c r="Q1366" s="3">
        <v>1</v>
      </c>
    </row>
    <row r="1367" spans="1:17">
      <c r="A1367" t="s">
        <v>1429</v>
      </c>
      <c r="B1367" s="3" t="s">
        <v>985</v>
      </c>
      <c r="C1367" s="3" t="s">
        <v>986</v>
      </c>
      <c r="D1367" s="3" t="s">
        <v>13</v>
      </c>
      <c r="E1367" s="3" t="s">
        <v>12</v>
      </c>
      <c r="F1367" s="3">
        <v>0</v>
      </c>
      <c r="G1367" s="74">
        <f>F1367*VLOOKUP(D1367,GWPs!$B$3:$C$6,2,FALSE)</f>
        <v>0</v>
      </c>
      <c r="H1367" s="3">
        <v>0</v>
      </c>
      <c r="I1367" s="74">
        <f>H1367*VLOOKUP(D1367,GWPs!$B$3:$C$6,2,FALSE)</f>
        <v>0</v>
      </c>
      <c r="J1367" s="3">
        <v>0</v>
      </c>
      <c r="K1367" s="74">
        <f>J1367*VLOOKUP(D1367,GWPs!$B$3:$C$6,2,FALSE)</f>
        <v>0</v>
      </c>
      <c r="M1367" s="3">
        <v>3</v>
      </c>
      <c r="N1367" s="3">
        <v>2</v>
      </c>
      <c r="O1367" s="3">
        <v>1</v>
      </c>
      <c r="P1367" s="3">
        <v>1</v>
      </c>
      <c r="Q1367" s="3">
        <v>1</v>
      </c>
    </row>
    <row r="1368" spans="1:17">
      <c r="A1368" t="s">
        <v>1429</v>
      </c>
      <c r="B1368" s="3" t="s">
        <v>985</v>
      </c>
      <c r="C1368" s="3" t="s">
        <v>986</v>
      </c>
      <c r="D1368" s="3" t="s">
        <v>14</v>
      </c>
      <c r="E1368" s="3" t="s">
        <v>12</v>
      </c>
      <c r="F1368" s="3">
        <v>0</v>
      </c>
      <c r="G1368" s="74">
        <f>F1368*VLOOKUP(D1368,GWPs!$B$3:$C$6,2,FALSE)</f>
        <v>0</v>
      </c>
      <c r="H1368" s="3">
        <v>0</v>
      </c>
      <c r="I1368" s="74">
        <f>H1368*VLOOKUP(D1368,GWPs!$B$3:$C$6,2,FALSE)</f>
        <v>0</v>
      </c>
      <c r="J1368" s="3">
        <v>0</v>
      </c>
      <c r="K1368" s="74">
        <f>J1368*VLOOKUP(D1368,GWPs!$B$3:$C$6,2,FALSE)</f>
        <v>0</v>
      </c>
      <c r="M1368" s="3">
        <v>3</v>
      </c>
      <c r="N1368" s="3">
        <v>2</v>
      </c>
      <c r="O1368" s="3">
        <v>1</v>
      </c>
      <c r="P1368" s="3">
        <v>3</v>
      </c>
      <c r="Q1368" s="3">
        <v>1</v>
      </c>
    </row>
    <row r="1369" spans="1:17">
      <c r="A1369" t="s">
        <v>1429</v>
      </c>
      <c r="B1369" s="3" t="s">
        <v>985</v>
      </c>
      <c r="C1369" s="3" t="s">
        <v>986</v>
      </c>
      <c r="D1369" s="3" t="s">
        <v>15</v>
      </c>
      <c r="E1369" s="3" t="s">
        <v>16</v>
      </c>
      <c r="F1369" s="3">
        <v>2E-3</v>
      </c>
      <c r="G1369" s="74">
        <f>F1369*VLOOKUP(D1369,GWPs!$B$3:$C$6,2,FALSE)</f>
        <v>2E-3</v>
      </c>
      <c r="H1369" s="3">
        <v>0</v>
      </c>
      <c r="I1369" s="74">
        <f>H1369*VLOOKUP(D1369,GWPs!$B$3:$C$6,2,FALSE)</f>
        <v>0</v>
      </c>
      <c r="J1369" s="3">
        <v>2E-3</v>
      </c>
      <c r="K1369" s="74">
        <f>J1369*VLOOKUP(D1369,GWPs!$B$3:$C$6,2,FALSE)</f>
        <v>2E-3</v>
      </c>
      <c r="M1369" s="3">
        <v>4</v>
      </c>
      <c r="N1369" s="3">
        <v>2</v>
      </c>
      <c r="O1369" s="3">
        <v>1</v>
      </c>
      <c r="P1369" s="3">
        <v>4</v>
      </c>
      <c r="Q1369" s="3">
        <v>1</v>
      </c>
    </row>
    <row r="1370" spans="1:17">
      <c r="A1370" t="s">
        <v>1429</v>
      </c>
      <c r="B1370" s="3" t="s">
        <v>987</v>
      </c>
      <c r="C1370" s="3" t="s">
        <v>988</v>
      </c>
      <c r="D1370" s="3" t="s">
        <v>11</v>
      </c>
      <c r="E1370" s="3" t="s">
        <v>12</v>
      </c>
      <c r="F1370" s="3">
        <v>9.8000000000000004E-2</v>
      </c>
      <c r="G1370" s="74">
        <f>F1370*VLOOKUP(D1370,GWPs!$B$3:$C$6,2,FALSE)</f>
        <v>9.8000000000000004E-2</v>
      </c>
      <c r="H1370" s="3">
        <v>0</v>
      </c>
      <c r="I1370" s="74">
        <f>H1370*VLOOKUP(D1370,GWPs!$B$3:$C$6,2,FALSE)</f>
        <v>0</v>
      </c>
      <c r="J1370" s="3">
        <v>9.8000000000000004E-2</v>
      </c>
      <c r="K1370" s="74">
        <f>J1370*VLOOKUP(D1370,GWPs!$B$3:$C$6,2,FALSE)</f>
        <v>9.8000000000000004E-2</v>
      </c>
      <c r="M1370" s="3">
        <v>3</v>
      </c>
      <c r="N1370" s="3">
        <v>2</v>
      </c>
      <c r="O1370" s="3">
        <v>1</v>
      </c>
      <c r="P1370" s="3">
        <v>3</v>
      </c>
      <c r="Q1370" s="3">
        <v>1</v>
      </c>
    </row>
    <row r="1371" spans="1:17">
      <c r="A1371" t="s">
        <v>1429</v>
      </c>
      <c r="B1371" s="3" t="s">
        <v>987</v>
      </c>
      <c r="C1371" s="3" t="s">
        <v>988</v>
      </c>
      <c r="D1371" s="3" t="s">
        <v>13</v>
      </c>
      <c r="E1371" s="3" t="s">
        <v>12</v>
      </c>
      <c r="F1371" s="3">
        <v>1E-3</v>
      </c>
      <c r="G1371" s="74">
        <f>F1371*VLOOKUP(D1371,GWPs!$B$3:$C$6,2,FALSE)</f>
        <v>2.8000000000000001E-2</v>
      </c>
      <c r="H1371" s="3">
        <v>0</v>
      </c>
      <c r="I1371" s="74">
        <f>H1371*VLOOKUP(D1371,GWPs!$B$3:$C$6,2,FALSE)</f>
        <v>0</v>
      </c>
      <c r="J1371" s="3">
        <v>1E-3</v>
      </c>
      <c r="K1371" s="74">
        <f>J1371*VLOOKUP(D1371,GWPs!$B$3:$C$6,2,FALSE)</f>
        <v>2.8000000000000001E-2</v>
      </c>
      <c r="M1371" s="3">
        <v>3</v>
      </c>
      <c r="N1371" s="3">
        <v>2</v>
      </c>
      <c r="O1371" s="3">
        <v>1</v>
      </c>
      <c r="P1371" s="3">
        <v>1</v>
      </c>
      <c r="Q1371" s="3">
        <v>1</v>
      </c>
    </row>
    <row r="1372" spans="1:17">
      <c r="A1372" t="s">
        <v>1429</v>
      </c>
      <c r="B1372" s="3" t="s">
        <v>987</v>
      </c>
      <c r="C1372" s="3" t="s">
        <v>988</v>
      </c>
      <c r="D1372" s="3" t="s">
        <v>14</v>
      </c>
      <c r="E1372" s="3" t="s">
        <v>12</v>
      </c>
      <c r="F1372" s="3">
        <v>0</v>
      </c>
      <c r="G1372" s="74">
        <f>F1372*VLOOKUP(D1372,GWPs!$B$3:$C$6,2,FALSE)</f>
        <v>0</v>
      </c>
      <c r="H1372" s="3">
        <v>0</v>
      </c>
      <c r="I1372" s="74">
        <f>H1372*VLOOKUP(D1372,GWPs!$B$3:$C$6,2,FALSE)</f>
        <v>0</v>
      </c>
      <c r="J1372" s="3">
        <v>0</v>
      </c>
      <c r="K1372" s="74">
        <f>J1372*VLOOKUP(D1372,GWPs!$B$3:$C$6,2,FALSE)</f>
        <v>0</v>
      </c>
      <c r="M1372" s="3">
        <v>4</v>
      </c>
      <c r="N1372" s="3">
        <v>2</v>
      </c>
      <c r="O1372" s="3">
        <v>1</v>
      </c>
      <c r="P1372" s="3">
        <v>4</v>
      </c>
      <c r="Q1372" s="3">
        <v>1</v>
      </c>
    </row>
    <row r="1373" spans="1:17">
      <c r="A1373" t="s">
        <v>1429</v>
      </c>
      <c r="B1373" s="3" t="s">
        <v>987</v>
      </c>
      <c r="C1373" s="3" t="s">
        <v>988</v>
      </c>
      <c r="D1373" s="3" t="s">
        <v>15</v>
      </c>
      <c r="E1373" s="3" t="s">
        <v>16</v>
      </c>
      <c r="F1373" s="3">
        <v>2E-3</v>
      </c>
      <c r="G1373" s="74">
        <f>F1373*VLOOKUP(D1373,GWPs!$B$3:$C$6,2,FALSE)</f>
        <v>2E-3</v>
      </c>
      <c r="H1373" s="3">
        <v>0</v>
      </c>
      <c r="I1373" s="74">
        <f>H1373*VLOOKUP(D1373,GWPs!$B$3:$C$6,2,FALSE)</f>
        <v>0</v>
      </c>
      <c r="J1373" s="3">
        <v>2E-3</v>
      </c>
      <c r="K1373" s="74">
        <f>J1373*VLOOKUP(D1373,GWPs!$B$3:$C$6,2,FALSE)</f>
        <v>2E-3</v>
      </c>
      <c r="M1373" s="3">
        <v>3</v>
      </c>
      <c r="N1373" s="3">
        <v>2</v>
      </c>
      <c r="O1373" s="3">
        <v>1</v>
      </c>
      <c r="P1373" s="3">
        <v>3</v>
      </c>
      <c r="Q1373" s="3">
        <v>1</v>
      </c>
    </row>
    <row r="1374" spans="1:17">
      <c r="A1374" t="s">
        <v>1429</v>
      </c>
      <c r="B1374" s="3" t="s">
        <v>989</v>
      </c>
      <c r="C1374" s="3" t="s">
        <v>990</v>
      </c>
      <c r="D1374" s="3" t="s">
        <v>11</v>
      </c>
      <c r="E1374" s="3" t="s">
        <v>12</v>
      </c>
      <c r="F1374" s="3">
        <v>7.4999999999999997E-2</v>
      </c>
      <c r="G1374" s="74">
        <f>F1374*VLOOKUP(D1374,GWPs!$B$3:$C$6,2,FALSE)</f>
        <v>7.4999999999999997E-2</v>
      </c>
      <c r="H1374" s="3">
        <v>0</v>
      </c>
      <c r="I1374" s="74">
        <f>H1374*VLOOKUP(D1374,GWPs!$B$3:$C$6,2,FALSE)</f>
        <v>0</v>
      </c>
      <c r="J1374" s="3">
        <v>7.4999999999999997E-2</v>
      </c>
      <c r="K1374" s="74">
        <f>J1374*VLOOKUP(D1374,GWPs!$B$3:$C$6,2,FALSE)</f>
        <v>7.4999999999999997E-2</v>
      </c>
      <c r="M1374" s="3">
        <v>3</v>
      </c>
      <c r="N1374" s="3">
        <v>2</v>
      </c>
      <c r="O1374" s="3">
        <v>1</v>
      </c>
      <c r="P1374" s="3">
        <v>3</v>
      </c>
      <c r="Q1374" s="3">
        <v>1</v>
      </c>
    </row>
    <row r="1375" spans="1:17">
      <c r="A1375" t="s">
        <v>1429</v>
      </c>
      <c r="B1375" s="3" t="s">
        <v>989</v>
      </c>
      <c r="C1375" s="3" t="s">
        <v>990</v>
      </c>
      <c r="D1375" s="3" t="s">
        <v>13</v>
      </c>
      <c r="E1375" s="3" t="s">
        <v>12</v>
      </c>
      <c r="F1375" s="3">
        <v>0</v>
      </c>
      <c r="G1375" s="74">
        <f>F1375*VLOOKUP(D1375,GWPs!$B$3:$C$6,2,FALSE)</f>
        <v>0</v>
      </c>
      <c r="H1375" s="3">
        <v>0</v>
      </c>
      <c r="I1375" s="74">
        <f>H1375*VLOOKUP(D1375,GWPs!$B$3:$C$6,2,FALSE)</f>
        <v>0</v>
      </c>
      <c r="J1375" s="3">
        <v>0</v>
      </c>
      <c r="K1375" s="74">
        <f>J1375*VLOOKUP(D1375,GWPs!$B$3:$C$6,2,FALSE)</f>
        <v>0</v>
      </c>
      <c r="M1375" s="3">
        <v>3</v>
      </c>
      <c r="N1375" s="3">
        <v>2</v>
      </c>
      <c r="O1375" s="3">
        <v>1</v>
      </c>
      <c r="P1375" s="3">
        <v>1</v>
      </c>
      <c r="Q1375" s="3">
        <v>1</v>
      </c>
    </row>
    <row r="1376" spans="1:17">
      <c r="A1376" t="s">
        <v>1429</v>
      </c>
      <c r="B1376" s="3" t="s">
        <v>989</v>
      </c>
      <c r="C1376" s="3" t="s">
        <v>990</v>
      </c>
      <c r="D1376" s="3" t="s">
        <v>14</v>
      </c>
      <c r="E1376" s="3" t="s">
        <v>12</v>
      </c>
      <c r="F1376" s="3">
        <v>0</v>
      </c>
      <c r="G1376" s="74">
        <f>F1376*VLOOKUP(D1376,GWPs!$B$3:$C$6,2,FALSE)</f>
        <v>0</v>
      </c>
      <c r="H1376" s="3">
        <v>0</v>
      </c>
      <c r="I1376" s="74">
        <f>H1376*VLOOKUP(D1376,GWPs!$B$3:$C$6,2,FALSE)</f>
        <v>0</v>
      </c>
      <c r="J1376" s="3">
        <v>0</v>
      </c>
      <c r="K1376" s="74">
        <f>J1376*VLOOKUP(D1376,GWPs!$B$3:$C$6,2,FALSE)</f>
        <v>0</v>
      </c>
      <c r="M1376" s="3">
        <v>3</v>
      </c>
      <c r="N1376" s="3">
        <v>2</v>
      </c>
      <c r="O1376" s="3">
        <v>1</v>
      </c>
      <c r="P1376" s="3">
        <v>3</v>
      </c>
      <c r="Q1376" s="3">
        <v>1</v>
      </c>
    </row>
    <row r="1377" spans="1:17">
      <c r="A1377" t="s">
        <v>1429</v>
      </c>
      <c r="B1377" s="3" t="s">
        <v>989</v>
      </c>
      <c r="C1377" s="3" t="s">
        <v>990</v>
      </c>
      <c r="D1377" s="3" t="s">
        <v>15</v>
      </c>
      <c r="E1377" s="3" t="s">
        <v>16</v>
      </c>
      <c r="F1377" s="3">
        <v>2E-3</v>
      </c>
      <c r="G1377" s="74">
        <f>F1377*VLOOKUP(D1377,GWPs!$B$3:$C$6,2,FALSE)</f>
        <v>2E-3</v>
      </c>
      <c r="H1377" s="3">
        <v>0</v>
      </c>
      <c r="I1377" s="74">
        <f>H1377*VLOOKUP(D1377,GWPs!$B$3:$C$6,2,FALSE)</f>
        <v>0</v>
      </c>
      <c r="J1377" s="3">
        <v>2E-3</v>
      </c>
      <c r="K1377" s="74">
        <f>J1377*VLOOKUP(D1377,GWPs!$B$3:$C$6,2,FALSE)</f>
        <v>2E-3</v>
      </c>
      <c r="M1377" s="3">
        <v>3</v>
      </c>
      <c r="N1377" s="3">
        <v>2</v>
      </c>
      <c r="O1377" s="3">
        <v>1</v>
      </c>
      <c r="P1377" s="3">
        <v>4</v>
      </c>
      <c r="Q1377" s="3">
        <v>1</v>
      </c>
    </row>
    <row r="1378" spans="1:17">
      <c r="A1378" t="s">
        <v>1429</v>
      </c>
      <c r="B1378" s="3" t="s">
        <v>991</v>
      </c>
      <c r="C1378" s="3" t="s">
        <v>992</v>
      </c>
      <c r="D1378" s="3" t="s">
        <v>11</v>
      </c>
      <c r="E1378" s="3" t="s">
        <v>12</v>
      </c>
      <c r="F1378" s="3">
        <v>0.113</v>
      </c>
      <c r="G1378" s="74">
        <f>F1378*VLOOKUP(D1378,GWPs!$B$3:$C$6,2,FALSE)</f>
        <v>0.113</v>
      </c>
      <c r="H1378" s="3">
        <v>0</v>
      </c>
      <c r="I1378" s="74">
        <f>H1378*VLOOKUP(D1378,GWPs!$B$3:$C$6,2,FALSE)</f>
        <v>0</v>
      </c>
      <c r="J1378" s="3">
        <v>0.113</v>
      </c>
      <c r="K1378" s="74">
        <f>J1378*VLOOKUP(D1378,GWPs!$B$3:$C$6,2,FALSE)</f>
        <v>0.113</v>
      </c>
      <c r="M1378" s="3">
        <v>3</v>
      </c>
      <c r="N1378" s="3">
        <v>2</v>
      </c>
      <c r="O1378" s="3">
        <v>1</v>
      </c>
      <c r="P1378" s="3">
        <v>3</v>
      </c>
      <c r="Q1378" s="3">
        <v>1</v>
      </c>
    </row>
    <row r="1379" spans="1:17">
      <c r="A1379" t="s">
        <v>1429</v>
      </c>
      <c r="B1379" s="3" t="s">
        <v>991</v>
      </c>
      <c r="C1379" s="3" t="s">
        <v>992</v>
      </c>
      <c r="D1379" s="3" t="s">
        <v>13</v>
      </c>
      <c r="E1379" s="3" t="s">
        <v>12</v>
      </c>
      <c r="F1379" s="3">
        <v>0</v>
      </c>
      <c r="G1379" s="74">
        <f>F1379*VLOOKUP(D1379,GWPs!$B$3:$C$6,2,FALSE)</f>
        <v>0</v>
      </c>
      <c r="H1379" s="3">
        <v>0</v>
      </c>
      <c r="I1379" s="74">
        <f>H1379*VLOOKUP(D1379,GWPs!$B$3:$C$6,2,FALSE)</f>
        <v>0</v>
      </c>
      <c r="J1379" s="3">
        <v>0</v>
      </c>
      <c r="K1379" s="74">
        <f>J1379*VLOOKUP(D1379,GWPs!$B$3:$C$6,2,FALSE)</f>
        <v>0</v>
      </c>
      <c r="M1379" s="3">
        <v>3</v>
      </c>
      <c r="N1379" s="3">
        <v>2</v>
      </c>
      <c r="O1379" s="3">
        <v>1</v>
      </c>
      <c r="P1379" s="3">
        <v>1</v>
      </c>
      <c r="Q1379" s="3">
        <v>1</v>
      </c>
    </row>
    <row r="1380" spans="1:17">
      <c r="A1380" t="s">
        <v>1429</v>
      </c>
      <c r="B1380" s="3" t="s">
        <v>991</v>
      </c>
      <c r="C1380" s="3" t="s">
        <v>992</v>
      </c>
      <c r="D1380" s="3" t="s">
        <v>14</v>
      </c>
      <c r="E1380" s="3" t="s">
        <v>12</v>
      </c>
      <c r="F1380" s="3">
        <v>0</v>
      </c>
      <c r="G1380" s="74">
        <f>F1380*VLOOKUP(D1380,GWPs!$B$3:$C$6,2,FALSE)</f>
        <v>0</v>
      </c>
      <c r="H1380" s="3">
        <v>0</v>
      </c>
      <c r="I1380" s="74">
        <f>H1380*VLOOKUP(D1380,GWPs!$B$3:$C$6,2,FALSE)</f>
        <v>0</v>
      </c>
      <c r="J1380" s="3">
        <v>0</v>
      </c>
      <c r="K1380" s="74">
        <f>J1380*VLOOKUP(D1380,GWPs!$B$3:$C$6,2,FALSE)</f>
        <v>0</v>
      </c>
      <c r="M1380" s="3">
        <v>3</v>
      </c>
      <c r="N1380" s="3">
        <v>2</v>
      </c>
      <c r="O1380" s="3">
        <v>1</v>
      </c>
      <c r="P1380" s="3">
        <v>3</v>
      </c>
      <c r="Q1380" s="3">
        <v>1</v>
      </c>
    </row>
    <row r="1381" spans="1:17">
      <c r="A1381" t="s">
        <v>1429</v>
      </c>
      <c r="B1381" s="3" t="s">
        <v>991</v>
      </c>
      <c r="C1381" s="3" t="s">
        <v>992</v>
      </c>
      <c r="D1381" s="3" t="s">
        <v>15</v>
      </c>
      <c r="E1381" s="3" t="s">
        <v>16</v>
      </c>
      <c r="F1381" s="3">
        <v>2E-3</v>
      </c>
      <c r="G1381" s="74">
        <f>F1381*VLOOKUP(D1381,GWPs!$B$3:$C$6,2,FALSE)</f>
        <v>2E-3</v>
      </c>
      <c r="H1381" s="3">
        <v>0</v>
      </c>
      <c r="I1381" s="74">
        <f>H1381*VLOOKUP(D1381,GWPs!$B$3:$C$6,2,FALSE)</f>
        <v>0</v>
      </c>
      <c r="J1381" s="3">
        <v>2E-3</v>
      </c>
      <c r="K1381" s="74">
        <f>J1381*VLOOKUP(D1381,GWPs!$B$3:$C$6,2,FALSE)</f>
        <v>2E-3</v>
      </c>
      <c r="M1381" s="3">
        <v>4</v>
      </c>
      <c r="N1381" s="3">
        <v>2</v>
      </c>
      <c r="O1381" s="3">
        <v>1</v>
      </c>
      <c r="P1381" s="3">
        <v>4</v>
      </c>
      <c r="Q1381" s="3">
        <v>1</v>
      </c>
    </row>
    <row r="1382" spans="1:17">
      <c r="A1382" t="s">
        <v>1429</v>
      </c>
      <c r="B1382" s="3" t="s">
        <v>993</v>
      </c>
      <c r="C1382" s="3" t="s">
        <v>994</v>
      </c>
      <c r="D1382" s="3" t="s">
        <v>11</v>
      </c>
      <c r="E1382" s="3" t="s">
        <v>12</v>
      </c>
      <c r="F1382" s="3">
        <v>8.4000000000000005E-2</v>
      </c>
      <c r="G1382" s="74">
        <f>F1382*VLOOKUP(D1382,GWPs!$B$3:$C$6,2,FALSE)</f>
        <v>8.4000000000000005E-2</v>
      </c>
      <c r="H1382" s="3">
        <v>0</v>
      </c>
      <c r="I1382" s="74">
        <f>H1382*VLOOKUP(D1382,GWPs!$B$3:$C$6,2,FALSE)</f>
        <v>0</v>
      </c>
      <c r="J1382" s="3">
        <v>8.4000000000000005E-2</v>
      </c>
      <c r="K1382" s="74">
        <f>J1382*VLOOKUP(D1382,GWPs!$B$3:$C$6,2,FALSE)</f>
        <v>8.4000000000000005E-2</v>
      </c>
      <c r="M1382" s="3">
        <v>3</v>
      </c>
      <c r="N1382" s="3">
        <v>2</v>
      </c>
      <c r="O1382" s="3">
        <v>1</v>
      </c>
      <c r="P1382" s="3">
        <v>3</v>
      </c>
      <c r="Q1382" s="3">
        <v>1</v>
      </c>
    </row>
    <row r="1383" spans="1:17">
      <c r="A1383" t="s">
        <v>1429</v>
      </c>
      <c r="B1383" s="3" t="s">
        <v>993</v>
      </c>
      <c r="C1383" s="3" t="s">
        <v>994</v>
      </c>
      <c r="D1383" s="3" t="s">
        <v>13</v>
      </c>
      <c r="E1383" s="3" t="s">
        <v>12</v>
      </c>
      <c r="F1383" s="3">
        <v>0</v>
      </c>
      <c r="G1383" s="74">
        <f>F1383*VLOOKUP(D1383,GWPs!$B$3:$C$6,2,FALSE)</f>
        <v>0</v>
      </c>
      <c r="H1383" s="3">
        <v>0</v>
      </c>
      <c r="I1383" s="74">
        <f>H1383*VLOOKUP(D1383,GWPs!$B$3:$C$6,2,FALSE)</f>
        <v>0</v>
      </c>
      <c r="J1383" s="3">
        <v>0</v>
      </c>
      <c r="K1383" s="74">
        <f>J1383*VLOOKUP(D1383,GWPs!$B$3:$C$6,2,FALSE)</f>
        <v>0</v>
      </c>
      <c r="M1383" s="3">
        <v>3</v>
      </c>
      <c r="N1383" s="3">
        <v>2</v>
      </c>
      <c r="O1383" s="3">
        <v>1</v>
      </c>
      <c r="P1383" s="3">
        <v>1</v>
      </c>
      <c r="Q1383" s="3">
        <v>1</v>
      </c>
    </row>
    <row r="1384" spans="1:17">
      <c r="A1384" t="s">
        <v>1429</v>
      </c>
      <c r="B1384" s="3" t="s">
        <v>993</v>
      </c>
      <c r="C1384" s="3" t="s">
        <v>994</v>
      </c>
      <c r="D1384" s="3" t="s">
        <v>14</v>
      </c>
      <c r="E1384" s="3" t="s">
        <v>12</v>
      </c>
      <c r="F1384" s="3">
        <v>0</v>
      </c>
      <c r="G1384" s="74">
        <f>F1384*VLOOKUP(D1384,GWPs!$B$3:$C$6,2,FALSE)</f>
        <v>0</v>
      </c>
      <c r="H1384" s="3">
        <v>0</v>
      </c>
      <c r="I1384" s="74">
        <f>H1384*VLOOKUP(D1384,GWPs!$B$3:$C$6,2,FALSE)</f>
        <v>0</v>
      </c>
      <c r="J1384" s="3">
        <v>0</v>
      </c>
      <c r="K1384" s="74">
        <f>J1384*VLOOKUP(D1384,GWPs!$B$3:$C$6,2,FALSE)</f>
        <v>0</v>
      </c>
      <c r="M1384" s="3">
        <v>3</v>
      </c>
      <c r="N1384" s="3">
        <v>2</v>
      </c>
      <c r="O1384" s="3">
        <v>1</v>
      </c>
      <c r="P1384" s="3">
        <v>3</v>
      </c>
      <c r="Q1384" s="3">
        <v>1</v>
      </c>
    </row>
    <row r="1385" spans="1:17">
      <c r="A1385" t="s">
        <v>1429</v>
      </c>
      <c r="B1385" s="3" t="s">
        <v>993</v>
      </c>
      <c r="C1385" s="3" t="s">
        <v>994</v>
      </c>
      <c r="D1385" s="3" t="s">
        <v>15</v>
      </c>
      <c r="E1385" s="3" t="s">
        <v>16</v>
      </c>
      <c r="F1385" s="3">
        <v>2E-3</v>
      </c>
      <c r="G1385" s="74">
        <f>F1385*VLOOKUP(D1385,GWPs!$B$3:$C$6,2,FALSE)</f>
        <v>2E-3</v>
      </c>
      <c r="H1385" s="3">
        <v>0</v>
      </c>
      <c r="I1385" s="74">
        <f>H1385*VLOOKUP(D1385,GWPs!$B$3:$C$6,2,FALSE)</f>
        <v>0</v>
      </c>
      <c r="J1385" s="3">
        <v>2E-3</v>
      </c>
      <c r="K1385" s="74">
        <f>J1385*VLOOKUP(D1385,GWPs!$B$3:$C$6,2,FALSE)</f>
        <v>2E-3</v>
      </c>
      <c r="M1385" s="3">
        <v>4</v>
      </c>
      <c r="N1385" s="3">
        <v>2</v>
      </c>
      <c r="O1385" s="3">
        <v>1</v>
      </c>
      <c r="P1385" s="3">
        <v>4</v>
      </c>
      <c r="Q1385" s="3">
        <v>1</v>
      </c>
    </row>
    <row r="1386" spans="1:17">
      <c r="A1386" t="s">
        <v>1429</v>
      </c>
      <c r="B1386" s="3" t="s">
        <v>995</v>
      </c>
      <c r="C1386" s="3" t="s">
        <v>996</v>
      </c>
      <c r="D1386" s="3" t="s">
        <v>11</v>
      </c>
      <c r="E1386" s="3" t="s">
        <v>12</v>
      </c>
      <c r="F1386" s="3">
        <v>0.20699999999999999</v>
      </c>
      <c r="G1386" s="74">
        <f>F1386*VLOOKUP(D1386,GWPs!$B$3:$C$6,2,FALSE)</f>
        <v>0.20699999999999999</v>
      </c>
      <c r="H1386" s="3">
        <v>0</v>
      </c>
      <c r="I1386" s="74">
        <f>H1386*VLOOKUP(D1386,GWPs!$B$3:$C$6,2,FALSE)</f>
        <v>0</v>
      </c>
      <c r="J1386" s="3">
        <v>0.20699999999999999</v>
      </c>
      <c r="K1386" s="74">
        <f>J1386*VLOOKUP(D1386,GWPs!$B$3:$C$6,2,FALSE)</f>
        <v>0.20699999999999999</v>
      </c>
      <c r="M1386" s="3">
        <v>3</v>
      </c>
      <c r="N1386" s="3">
        <v>2</v>
      </c>
      <c r="O1386" s="3">
        <v>1</v>
      </c>
      <c r="P1386" s="3">
        <v>3</v>
      </c>
      <c r="Q1386" s="3">
        <v>1</v>
      </c>
    </row>
    <row r="1387" spans="1:17">
      <c r="A1387" t="s">
        <v>1429</v>
      </c>
      <c r="B1387" s="3" t="s">
        <v>995</v>
      </c>
      <c r="C1387" s="3" t="s">
        <v>996</v>
      </c>
      <c r="D1387" s="3" t="s">
        <v>13</v>
      </c>
      <c r="E1387" s="3" t="s">
        <v>12</v>
      </c>
      <c r="F1387" s="3">
        <v>1E-3</v>
      </c>
      <c r="G1387" s="74">
        <f>F1387*VLOOKUP(D1387,GWPs!$B$3:$C$6,2,FALSE)</f>
        <v>2.8000000000000001E-2</v>
      </c>
      <c r="H1387" s="3">
        <v>0</v>
      </c>
      <c r="I1387" s="74">
        <f>H1387*VLOOKUP(D1387,GWPs!$B$3:$C$6,2,FALSE)</f>
        <v>0</v>
      </c>
      <c r="J1387" s="3">
        <v>1E-3</v>
      </c>
      <c r="K1387" s="74">
        <f>J1387*VLOOKUP(D1387,GWPs!$B$3:$C$6,2,FALSE)</f>
        <v>2.8000000000000001E-2</v>
      </c>
      <c r="M1387" s="3">
        <v>3</v>
      </c>
      <c r="N1387" s="3">
        <v>2</v>
      </c>
      <c r="O1387" s="3">
        <v>1</v>
      </c>
      <c r="P1387" s="3">
        <v>1</v>
      </c>
      <c r="Q1387" s="3">
        <v>1</v>
      </c>
    </row>
    <row r="1388" spans="1:17">
      <c r="A1388" t="s">
        <v>1429</v>
      </c>
      <c r="B1388" s="3" t="s">
        <v>995</v>
      </c>
      <c r="C1388" s="3" t="s">
        <v>996</v>
      </c>
      <c r="D1388" s="3" t="s">
        <v>14</v>
      </c>
      <c r="E1388" s="3" t="s">
        <v>12</v>
      </c>
      <c r="F1388" s="3">
        <v>0</v>
      </c>
      <c r="G1388" s="74">
        <f>F1388*VLOOKUP(D1388,GWPs!$B$3:$C$6,2,FALSE)</f>
        <v>0</v>
      </c>
      <c r="H1388" s="3">
        <v>0</v>
      </c>
      <c r="I1388" s="74">
        <f>H1388*VLOOKUP(D1388,GWPs!$B$3:$C$6,2,FALSE)</f>
        <v>0</v>
      </c>
      <c r="J1388" s="3">
        <v>0</v>
      </c>
      <c r="K1388" s="74">
        <f>J1388*VLOOKUP(D1388,GWPs!$B$3:$C$6,2,FALSE)</f>
        <v>0</v>
      </c>
      <c r="M1388" s="3">
        <v>4</v>
      </c>
      <c r="N1388" s="3">
        <v>2</v>
      </c>
      <c r="O1388" s="3">
        <v>1</v>
      </c>
      <c r="P1388" s="3">
        <v>2</v>
      </c>
      <c r="Q1388" s="3">
        <v>1</v>
      </c>
    </row>
    <row r="1389" spans="1:17">
      <c r="A1389" t="s">
        <v>1429</v>
      </c>
      <c r="B1389" s="3" t="s">
        <v>995</v>
      </c>
      <c r="C1389" s="3" t="s">
        <v>996</v>
      </c>
      <c r="D1389" s="3" t="s">
        <v>15</v>
      </c>
      <c r="E1389" s="3" t="s">
        <v>16</v>
      </c>
      <c r="F1389" s="3">
        <v>4.0000000000000001E-3</v>
      </c>
      <c r="G1389" s="74">
        <f>F1389*VLOOKUP(D1389,GWPs!$B$3:$C$6,2,FALSE)</f>
        <v>4.0000000000000001E-3</v>
      </c>
      <c r="H1389" s="3">
        <v>0</v>
      </c>
      <c r="I1389" s="74">
        <f>H1389*VLOOKUP(D1389,GWPs!$B$3:$C$6,2,FALSE)</f>
        <v>0</v>
      </c>
      <c r="J1389" s="3">
        <v>4.0000000000000001E-3</v>
      </c>
      <c r="K1389" s="74">
        <f>J1389*VLOOKUP(D1389,GWPs!$B$3:$C$6,2,FALSE)</f>
        <v>4.0000000000000001E-3</v>
      </c>
      <c r="M1389" s="3">
        <v>3</v>
      </c>
      <c r="N1389" s="3">
        <v>2</v>
      </c>
      <c r="O1389" s="3">
        <v>1</v>
      </c>
      <c r="P1389" s="3">
        <v>3</v>
      </c>
      <c r="Q1389" s="3">
        <v>1</v>
      </c>
    </row>
    <row r="1390" spans="1:17">
      <c r="A1390" t="s">
        <v>1429</v>
      </c>
      <c r="B1390" s="3" t="s">
        <v>997</v>
      </c>
      <c r="C1390" s="3" t="s">
        <v>998</v>
      </c>
      <c r="D1390" s="3" t="s">
        <v>11</v>
      </c>
      <c r="E1390" s="3" t="s">
        <v>12</v>
      </c>
      <c r="F1390" s="3">
        <v>3.3000000000000002E-2</v>
      </c>
      <c r="G1390" s="74">
        <f>F1390*VLOOKUP(D1390,GWPs!$B$3:$C$6,2,FALSE)</f>
        <v>3.3000000000000002E-2</v>
      </c>
      <c r="H1390" s="3">
        <v>0</v>
      </c>
      <c r="I1390" s="74">
        <f>H1390*VLOOKUP(D1390,GWPs!$B$3:$C$6,2,FALSE)</f>
        <v>0</v>
      </c>
      <c r="J1390" s="3">
        <v>3.3000000000000002E-2</v>
      </c>
      <c r="K1390" s="74">
        <f>J1390*VLOOKUP(D1390,GWPs!$B$3:$C$6,2,FALSE)</f>
        <v>3.3000000000000002E-2</v>
      </c>
      <c r="M1390" s="3">
        <v>3</v>
      </c>
      <c r="N1390" s="3">
        <v>2</v>
      </c>
      <c r="O1390" s="3">
        <v>1</v>
      </c>
      <c r="P1390" s="3">
        <v>3</v>
      </c>
      <c r="Q1390" s="3">
        <v>1</v>
      </c>
    </row>
    <row r="1391" spans="1:17">
      <c r="A1391" t="s">
        <v>1429</v>
      </c>
      <c r="B1391" s="3" t="s">
        <v>997</v>
      </c>
      <c r="C1391" s="3" t="s">
        <v>998</v>
      </c>
      <c r="D1391" s="3" t="s">
        <v>13</v>
      </c>
      <c r="E1391" s="3" t="s">
        <v>12</v>
      </c>
      <c r="F1391" s="3">
        <v>0</v>
      </c>
      <c r="G1391" s="74">
        <f>F1391*VLOOKUP(D1391,GWPs!$B$3:$C$6,2,FALSE)</f>
        <v>0</v>
      </c>
      <c r="H1391" s="3">
        <v>0</v>
      </c>
      <c r="I1391" s="74">
        <f>H1391*VLOOKUP(D1391,GWPs!$B$3:$C$6,2,FALSE)</f>
        <v>0</v>
      </c>
      <c r="J1391" s="3">
        <v>0</v>
      </c>
      <c r="K1391" s="74">
        <f>J1391*VLOOKUP(D1391,GWPs!$B$3:$C$6,2,FALSE)</f>
        <v>0</v>
      </c>
      <c r="M1391" s="3">
        <v>3</v>
      </c>
      <c r="N1391" s="3">
        <v>2</v>
      </c>
      <c r="O1391" s="3">
        <v>1</v>
      </c>
      <c r="P1391" s="3">
        <v>1</v>
      </c>
      <c r="Q1391" s="3">
        <v>1</v>
      </c>
    </row>
    <row r="1392" spans="1:17">
      <c r="A1392" t="s">
        <v>1429</v>
      </c>
      <c r="B1392" s="3" t="s">
        <v>997</v>
      </c>
      <c r="C1392" s="3" t="s">
        <v>998</v>
      </c>
      <c r="D1392" s="3" t="s">
        <v>14</v>
      </c>
      <c r="E1392" s="3" t="s">
        <v>12</v>
      </c>
      <c r="F1392" s="3">
        <v>0</v>
      </c>
      <c r="G1392" s="74">
        <f>F1392*VLOOKUP(D1392,GWPs!$B$3:$C$6,2,FALSE)</f>
        <v>0</v>
      </c>
      <c r="H1392" s="3">
        <v>0</v>
      </c>
      <c r="I1392" s="74">
        <f>H1392*VLOOKUP(D1392,GWPs!$B$3:$C$6,2,FALSE)</f>
        <v>0</v>
      </c>
      <c r="J1392" s="3">
        <v>0</v>
      </c>
      <c r="K1392" s="74">
        <f>J1392*VLOOKUP(D1392,GWPs!$B$3:$C$6,2,FALSE)</f>
        <v>0</v>
      </c>
      <c r="M1392" s="3">
        <v>3</v>
      </c>
      <c r="N1392" s="3">
        <v>2</v>
      </c>
      <c r="O1392" s="3">
        <v>1</v>
      </c>
      <c r="P1392" s="3">
        <v>3</v>
      </c>
      <c r="Q1392" s="3">
        <v>1</v>
      </c>
    </row>
    <row r="1393" spans="1:17">
      <c r="A1393" t="s">
        <v>1429</v>
      </c>
      <c r="B1393" s="3" t="s">
        <v>997</v>
      </c>
      <c r="C1393" s="3" t="s">
        <v>998</v>
      </c>
      <c r="D1393" s="3" t="s">
        <v>15</v>
      </c>
      <c r="E1393" s="3" t="s">
        <v>16</v>
      </c>
      <c r="F1393" s="3">
        <v>1E-3</v>
      </c>
      <c r="G1393" s="74">
        <f>F1393*VLOOKUP(D1393,GWPs!$B$3:$C$6,2,FALSE)</f>
        <v>1E-3</v>
      </c>
      <c r="H1393" s="3">
        <v>0</v>
      </c>
      <c r="I1393" s="74">
        <f>H1393*VLOOKUP(D1393,GWPs!$B$3:$C$6,2,FALSE)</f>
        <v>0</v>
      </c>
      <c r="J1393" s="3">
        <v>1E-3</v>
      </c>
      <c r="K1393" s="74">
        <f>J1393*VLOOKUP(D1393,GWPs!$B$3:$C$6,2,FALSE)</f>
        <v>1E-3</v>
      </c>
      <c r="M1393" s="3">
        <v>4</v>
      </c>
      <c r="N1393" s="3">
        <v>2</v>
      </c>
      <c r="O1393" s="3">
        <v>1</v>
      </c>
      <c r="P1393" s="3">
        <v>4</v>
      </c>
      <c r="Q1393" s="3">
        <v>1</v>
      </c>
    </row>
    <row r="1394" spans="1:17">
      <c r="A1394" t="s">
        <v>1429</v>
      </c>
      <c r="B1394" s="3" t="s">
        <v>999</v>
      </c>
      <c r="C1394" s="3" t="s">
        <v>1000</v>
      </c>
      <c r="D1394" s="3" t="s">
        <v>11</v>
      </c>
      <c r="E1394" s="3" t="s">
        <v>12</v>
      </c>
      <c r="F1394" s="3">
        <v>0.112</v>
      </c>
      <c r="G1394" s="74">
        <f>F1394*VLOOKUP(D1394,GWPs!$B$3:$C$6,2,FALSE)</f>
        <v>0.112</v>
      </c>
      <c r="H1394" s="3">
        <v>0</v>
      </c>
      <c r="I1394" s="74">
        <f>H1394*VLOOKUP(D1394,GWPs!$B$3:$C$6,2,FALSE)</f>
        <v>0</v>
      </c>
      <c r="J1394" s="3">
        <v>0.112</v>
      </c>
      <c r="K1394" s="74">
        <f>J1394*VLOOKUP(D1394,GWPs!$B$3:$C$6,2,FALSE)</f>
        <v>0.112</v>
      </c>
      <c r="M1394" s="3">
        <v>3</v>
      </c>
      <c r="N1394" s="3">
        <v>2</v>
      </c>
      <c r="O1394" s="3">
        <v>1</v>
      </c>
      <c r="P1394" s="3">
        <v>3</v>
      </c>
      <c r="Q1394" s="3">
        <v>1</v>
      </c>
    </row>
    <row r="1395" spans="1:17">
      <c r="A1395" t="s">
        <v>1429</v>
      </c>
      <c r="B1395" s="3" t="s">
        <v>999</v>
      </c>
      <c r="C1395" s="3" t="s">
        <v>1000</v>
      </c>
      <c r="D1395" s="3" t="s">
        <v>13</v>
      </c>
      <c r="E1395" s="3" t="s">
        <v>12</v>
      </c>
      <c r="F1395" s="3">
        <v>1E-3</v>
      </c>
      <c r="G1395" s="74">
        <f>F1395*VLOOKUP(D1395,GWPs!$B$3:$C$6,2,FALSE)</f>
        <v>2.8000000000000001E-2</v>
      </c>
      <c r="H1395" s="3">
        <v>0</v>
      </c>
      <c r="I1395" s="74">
        <f>H1395*VLOOKUP(D1395,GWPs!$B$3:$C$6,2,FALSE)</f>
        <v>0</v>
      </c>
      <c r="J1395" s="3">
        <v>1E-3</v>
      </c>
      <c r="K1395" s="74">
        <f>J1395*VLOOKUP(D1395,GWPs!$B$3:$C$6,2,FALSE)</f>
        <v>2.8000000000000001E-2</v>
      </c>
      <c r="M1395" s="3">
        <v>3</v>
      </c>
      <c r="N1395" s="3">
        <v>2</v>
      </c>
      <c r="O1395" s="3">
        <v>1</v>
      </c>
      <c r="P1395" s="3">
        <v>1</v>
      </c>
      <c r="Q1395" s="3">
        <v>1</v>
      </c>
    </row>
    <row r="1396" spans="1:17">
      <c r="A1396" t="s">
        <v>1429</v>
      </c>
      <c r="B1396" s="3" t="s">
        <v>999</v>
      </c>
      <c r="C1396" s="3" t="s">
        <v>1000</v>
      </c>
      <c r="D1396" s="3" t="s">
        <v>14</v>
      </c>
      <c r="E1396" s="3" t="s">
        <v>12</v>
      </c>
      <c r="F1396" s="3">
        <v>0</v>
      </c>
      <c r="G1396" s="74">
        <f>F1396*VLOOKUP(D1396,GWPs!$B$3:$C$6,2,FALSE)</f>
        <v>0</v>
      </c>
      <c r="H1396" s="3">
        <v>0</v>
      </c>
      <c r="I1396" s="74">
        <f>H1396*VLOOKUP(D1396,GWPs!$B$3:$C$6,2,FALSE)</f>
        <v>0</v>
      </c>
      <c r="J1396" s="3">
        <v>0</v>
      </c>
      <c r="K1396" s="74">
        <f>J1396*VLOOKUP(D1396,GWPs!$B$3:$C$6,2,FALSE)</f>
        <v>0</v>
      </c>
      <c r="M1396" s="3">
        <v>3</v>
      </c>
      <c r="N1396" s="3">
        <v>2</v>
      </c>
      <c r="O1396" s="3">
        <v>1</v>
      </c>
      <c r="P1396" s="3">
        <v>3</v>
      </c>
      <c r="Q1396" s="3">
        <v>1</v>
      </c>
    </row>
    <row r="1397" spans="1:17">
      <c r="A1397" t="s">
        <v>1429</v>
      </c>
      <c r="B1397" s="3" t="s">
        <v>999</v>
      </c>
      <c r="C1397" s="3" t="s">
        <v>1000</v>
      </c>
      <c r="D1397" s="3" t="s">
        <v>15</v>
      </c>
      <c r="E1397" s="3" t="s">
        <v>16</v>
      </c>
      <c r="F1397" s="3">
        <v>2E-3</v>
      </c>
      <c r="G1397" s="74">
        <f>F1397*VLOOKUP(D1397,GWPs!$B$3:$C$6,2,FALSE)</f>
        <v>2E-3</v>
      </c>
      <c r="H1397" s="3">
        <v>0</v>
      </c>
      <c r="I1397" s="74">
        <f>H1397*VLOOKUP(D1397,GWPs!$B$3:$C$6,2,FALSE)</f>
        <v>0</v>
      </c>
      <c r="J1397" s="3">
        <v>2E-3</v>
      </c>
      <c r="K1397" s="74">
        <f>J1397*VLOOKUP(D1397,GWPs!$B$3:$C$6,2,FALSE)</f>
        <v>2E-3</v>
      </c>
      <c r="M1397" s="3">
        <v>4</v>
      </c>
      <c r="N1397" s="3">
        <v>2</v>
      </c>
      <c r="O1397" s="3">
        <v>1</v>
      </c>
      <c r="P1397" s="3">
        <v>4</v>
      </c>
      <c r="Q1397" s="3">
        <v>1</v>
      </c>
    </row>
    <row r="1398" spans="1:17">
      <c r="A1398" t="s">
        <v>1429</v>
      </c>
      <c r="B1398" s="3" t="s">
        <v>1001</v>
      </c>
      <c r="C1398" s="3" t="s">
        <v>1002</v>
      </c>
      <c r="D1398" s="3" t="s">
        <v>11</v>
      </c>
      <c r="E1398" s="3" t="s">
        <v>12</v>
      </c>
      <c r="F1398" s="3">
        <v>0.09</v>
      </c>
      <c r="G1398" s="74">
        <f>F1398*VLOOKUP(D1398,GWPs!$B$3:$C$6,2,FALSE)</f>
        <v>0.09</v>
      </c>
      <c r="H1398" s="3">
        <v>0</v>
      </c>
      <c r="I1398" s="74">
        <f>H1398*VLOOKUP(D1398,GWPs!$B$3:$C$6,2,FALSE)</f>
        <v>0</v>
      </c>
      <c r="J1398" s="3">
        <v>0.09</v>
      </c>
      <c r="K1398" s="74">
        <f>J1398*VLOOKUP(D1398,GWPs!$B$3:$C$6,2,FALSE)</f>
        <v>0.09</v>
      </c>
      <c r="M1398" s="3">
        <v>3</v>
      </c>
      <c r="N1398" s="3">
        <v>2</v>
      </c>
      <c r="O1398" s="3">
        <v>1</v>
      </c>
      <c r="P1398" s="3">
        <v>3</v>
      </c>
      <c r="Q1398" s="3">
        <v>1</v>
      </c>
    </row>
    <row r="1399" spans="1:17">
      <c r="A1399" t="s">
        <v>1429</v>
      </c>
      <c r="B1399" s="3" t="s">
        <v>1001</v>
      </c>
      <c r="C1399" s="3" t="s">
        <v>1002</v>
      </c>
      <c r="D1399" s="3" t="s">
        <v>13</v>
      </c>
      <c r="E1399" s="3" t="s">
        <v>12</v>
      </c>
      <c r="F1399" s="3">
        <v>0</v>
      </c>
      <c r="G1399" s="74">
        <f>F1399*VLOOKUP(D1399,GWPs!$B$3:$C$6,2,FALSE)</f>
        <v>0</v>
      </c>
      <c r="H1399" s="3">
        <v>0</v>
      </c>
      <c r="I1399" s="74">
        <f>H1399*VLOOKUP(D1399,GWPs!$B$3:$C$6,2,FALSE)</f>
        <v>0</v>
      </c>
      <c r="J1399" s="3">
        <v>0</v>
      </c>
      <c r="K1399" s="74">
        <f>J1399*VLOOKUP(D1399,GWPs!$B$3:$C$6,2,FALSE)</f>
        <v>0</v>
      </c>
      <c r="M1399" s="3">
        <v>3</v>
      </c>
      <c r="N1399" s="3">
        <v>2</v>
      </c>
      <c r="O1399" s="3">
        <v>1</v>
      </c>
      <c r="P1399" s="3">
        <v>1</v>
      </c>
      <c r="Q1399" s="3">
        <v>1</v>
      </c>
    </row>
    <row r="1400" spans="1:17">
      <c r="A1400" t="s">
        <v>1429</v>
      </c>
      <c r="B1400" s="3" t="s">
        <v>1001</v>
      </c>
      <c r="C1400" s="3" t="s">
        <v>1002</v>
      </c>
      <c r="D1400" s="3" t="s">
        <v>14</v>
      </c>
      <c r="E1400" s="3" t="s">
        <v>12</v>
      </c>
      <c r="F1400" s="3">
        <v>0</v>
      </c>
      <c r="G1400" s="74">
        <f>F1400*VLOOKUP(D1400,GWPs!$B$3:$C$6,2,FALSE)</f>
        <v>0</v>
      </c>
      <c r="H1400" s="3">
        <v>0</v>
      </c>
      <c r="I1400" s="74">
        <f>H1400*VLOOKUP(D1400,GWPs!$B$3:$C$6,2,FALSE)</f>
        <v>0</v>
      </c>
      <c r="J1400" s="3">
        <v>0</v>
      </c>
      <c r="K1400" s="74">
        <f>J1400*VLOOKUP(D1400,GWPs!$B$3:$C$6,2,FALSE)</f>
        <v>0</v>
      </c>
      <c r="M1400" s="3">
        <v>3</v>
      </c>
      <c r="N1400" s="3">
        <v>2</v>
      </c>
      <c r="O1400" s="3">
        <v>1</v>
      </c>
      <c r="P1400" s="3">
        <v>3</v>
      </c>
      <c r="Q1400" s="3">
        <v>1</v>
      </c>
    </row>
    <row r="1401" spans="1:17">
      <c r="A1401" t="s">
        <v>1429</v>
      </c>
      <c r="B1401" s="3" t="s">
        <v>1001</v>
      </c>
      <c r="C1401" s="3" t="s">
        <v>1002</v>
      </c>
      <c r="D1401" s="3" t="s">
        <v>15</v>
      </c>
      <c r="E1401" s="3" t="s">
        <v>16</v>
      </c>
      <c r="F1401" s="3">
        <v>3.0000000000000001E-3</v>
      </c>
      <c r="G1401" s="74">
        <f>F1401*VLOOKUP(D1401,GWPs!$B$3:$C$6,2,FALSE)</f>
        <v>3.0000000000000001E-3</v>
      </c>
      <c r="H1401" s="3">
        <v>0</v>
      </c>
      <c r="I1401" s="74">
        <f>H1401*VLOOKUP(D1401,GWPs!$B$3:$C$6,2,FALSE)</f>
        <v>0</v>
      </c>
      <c r="J1401" s="3">
        <v>3.0000000000000001E-3</v>
      </c>
      <c r="K1401" s="74">
        <f>J1401*VLOOKUP(D1401,GWPs!$B$3:$C$6,2,FALSE)</f>
        <v>3.0000000000000001E-3</v>
      </c>
      <c r="M1401" s="3">
        <v>4</v>
      </c>
      <c r="N1401" s="3">
        <v>2</v>
      </c>
      <c r="O1401" s="3">
        <v>1</v>
      </c>
      <c r="P1401" s="3">
        <v>4</v>
      </c>
      <c r="Q1401" s="3">
        <v>1</v>
      </c>
    </row>
    <row r="1402" spans="1:17">
      <c r="A1402" t="s">
        <v>1429</v>
      </c>
      <c r="B1402" s="3" t="s">
        <v>1003</v>
      </c>
      <c r="C1402" s="3" t="s">
        <v>1004</v>
      </c>
      <c r="D1402" s="3" t="s">
        <v>11</v>
      </c>
      <c r="E1402" s="3" t="s">
        <v>12</v>
      </c>
      <c r="F1402" s="3">
        <v>0.09</v>
      </c>
      <c r="G1402" s="74">
        <f>F1402*VLOOKUP(D1402,GWPs!$B$3:$C$6,2,FALSE)</f>
        <v>0.09</v>
      </c>
      <c r="H1402" s="3">
        <v>0</v>
      </c>
      <c r="I1402" s="74">
        <f>H1402*VLOOKUP(D1402,GWPs!$B$3:$C$6,2,FALSE)</f>
        <v>0</v>
      </c>
      <c r="J1402" s="3">
        <v>0.09</v>
      </c>
      <c r="K1402" s="74">
        <f>J1402*VLOOKUP(D1402,GWPs!$B$3:$C$6,2,FALSE)</f>
        <v>0.09</v>
      </c>
      <c r="M1402" s="3">
        <v>3</v>
      </c>
      <c r="N1402" s="3">
        <v>2</v>
      </c>
      <c r="O1402" s="3">
        <v>1</v>
      </c>
      <c r="P1402" s="3">
        <v>3</v>
      </c>
      <c r="Q1402" s="3">
        <v>1</v>
      </c>
    </row>
    <row r="1403" spans="1:17">
      <c r="A1403" t="s">
        <v>1429</v>
      </c>
      <c r="B1403" s="3" t="s">
        <v>1003</v>
      </c>
      <c r="C1403" s="3" t="s">
        <v>1004</v>
      </c>
      <c r="D1403" s="3" t="s">
        <v>13</v>
      </c>
      <c r="E1403" s="3" t="s">
        <v>12</v>
      </c>
      <c r="F1403" s="3">
        <v>0</v>
      </c>
      <c r="G1403" s="74">
        <f>F1403*VLOOKUP(D1403,GWPs!$B$3:$C$6,2,FALSE)</f>
        <v>0</v>
      </c>
      <c r="H1403" s="3">
        <v>0</v>
      </c>
      <c r="I1403" s="74">
        <f>H1403*VLOOKUP(D1403,GWPs!$B$3:$C$6,2,FALSE)</f>
        <v>0</v>
      </c>
      <c r="J1403" s="3">
        <v>0</v>
      </c>
      <c r="K1403" s="74">
        <f>J1403*VLOOKUP(D1403,GWPs!$B$3:$C$6,2,FALSE)</f>
        <v>0</v>
      </c>
      <c r="M1403" s="3">
        <v>3</v>
      </c>
      <c r="N1403" s="3">
        <v>2</v>
      </c>
      <c r="O1403" s="3">
        <v>1</v>
      </c>
      <c r="P1403" s="3">
        <v>1</v>
      </c>
      <c r="Q1403" s="3">
        <v>1</v>
      </c>
    </row>
    <row r="1404" spans="1:17">
      <c r="A1404" t="s">
        <v>1429</v>
      </c>
      <c r="B1404" s="3" t="s">
        <v>1003</v>
      </c>
      <c r="C1404" s="3" t="s">
        <v>1004</v>
      </c>
      <c r="D1404" s="3" t="s">
        <v>14</v>
      </c>
      <c r="E1404" s="3" t="s">
        <v>12</v>
      </c>
      <c r="F1404" s="3">
        <v>0</v>
      </c>
      <c r="G1404" s="74">
        <f>F1404*VLOOKUP(D1404,GWPs!$B$3:$C$6,2,FALSE)</f>
        <v>0</v>
      </c>
      <c r="H1404" s="3">
        <v>0</v>
      </c>
      <c r="I1404" s="74">
        <f>H1404*VLOOKUP(D1404,GWPs!$B$3:$C$6,2,FALSE)</f>
        <v>0</v>
      </c>
      <c r="J1404" s="3">
        <v>0</v>
      </c>
      <c r="K1404" s="74">
        <f>J1404*VLOOKUP(D1404,GWPs!$B$3:$C$6,2,FALSE)</f>
        <v>0</v>
      </c>
      <c r="M1404" s="3">
        <v>3</v>
      </c>
      <c r="N1404" s="3">
        <v>2</v>
      </c>
      <c r="O1404" s="3">
        <v>1</v>
      </c>
      <c r="P1404" s="3">
        <v>3</v>
      </c>
      <c r="Q1404" s="3">
        <v>1</v>
      </c>
    </row>
    <row r="1405" spans="1:17">
      <c r="A1405" t="s">
        <v>1429</v>
      </c>
      <c r="B1405" s="3" t="s">
        <v>1003</v>
      </c>
      <c r="C1405" s="3" t="s">
        <v>1004</v>
      </c>
      <c r="D1405" s="3" t="s">
        <v>15</v>
      </c>
      <c r="E1405" s="3" t="s">
        <v>16</v>
      </c>
      <c r="F1405" s="3">
        <v>2E-3</v>
      </c>
      <c r="G1405" s="74">
        <f>F1405*VLOOKUP(D1405,GWPs!$B$3:$C$6,2,FALSE)</f>
        <v>2E-3</v>
      </c>
      <c r="H1405" s="3">
        <v>0</v>
      </c>
      <c r="I1405" s="74">
        <f>H1405*VLOOKUP(D1405,GWPs!$B$3:$C$6,2,FALSE)</f>
        <v>0</v>
      </c>
      <c r="J1405" s="3">
        <v>2E-3</v>
      </c>
      <c r="K1405" s="74">
        <f>J1405*VLOOKUP(D1405,GWPs!$B$3:$C$6,2,FALSE)</f>
        <v>2E-3</v>
      </c>
      <c r="M1405" s="3">
        <v>3</v>
      </c>
      <c r="N1405" s="3">
        <v>2</v>
      </c>
      <c r="O1405" s="3">
        <v>1</v>
      </c>
      <c r="P1405" s="3">
        <v>4</v>
      </c>
      <c r="Q1405" s="3">
        <v>1</v>
      </c>
    </row>
    <row r="1406" spans="1:17">
      <c r="A1406" t="s">
        <v>1429</v>
      </c>
      <c r="B1406" s="3" t="s">
        <v>1005</v>
      </c>
      <c r="C1406" s="3" t="s">
        <v>1006</v>
      </c>
      <c r="D1406" s="3" t="s">
        <v>11</v>
      </c>
      <c r="E1406" s="3" t="s">
        <v>12</v>
      </c>
      <c r="F1406" s="3">
        <v>0.14699999999999999</v>
      </c>
      <c r="G1406" s="74">
        <f>F1406*VLOOKUP(D1406,GWPs!$B$3:$C$6,2,FALSE)</f>
        <v>0.14699999999999999</v>
      </c>
      <c r="H1406" s="3">
        <v>0</v>
      </c>
      <c r="I1406" s="74">
        <f>H1406*VLOOKUP(D1406,GWPs!$B$3:$C$6,2,FALSE)</f>
        <v>0</v>
      </c>
      <c r="J1406" s="3">
        <v>0.14699999999999999</v>
      </c>
      <c r="K1406" s="74">
        <f>J1406*VLOOKUP(D1406,GWPs!$B$3:$C$6,2,FALSE)</f>
        <v>0.14699999999999999</v>
      </c>
      <c r="M1406" s="3">
        <v>3</v>
      </c>
      <c r="N1406" s="3">
        <v>2</v>
      </c>
      <c r="O1406" s="3">
        <v>1</v>
      </c>
      <c r="P1406" s="3">
        <v>3</v>
      </c>
      <c r="Q1406" s="3">
        <v>1</v>
      </c>
    </row>
    <row r="1407" spans="1:17">
      <c r="A1407" t="s">
        <v>1429</v>
      </c>
      <c r="B1407" s="3" t="s">
        <v>1005</v>
      </c>
      <c r="C1407" s="3" t="s">
        <v>1006</v>
      </c>
      <c r="D1407" s="3" t="s">
        <v>13</v>
      </c>
      <c r="E1407" s="3" t="s">
        <v>12</v>
      </c>
      <c r="F1407" s="3">
        <v>1E-3</v>
      </c>
      <c r="G1407" s="74">
        <f>F1407*VLOOKUP(D1407,GWPs!$B$3:$C$6,2,FALSE)</f>
        <v>2.8000000000000001E-2</v>
      </c>
      <c r="H1407" s="3">
        <v>0</v>
      </c>
      <c r="I1407" s="74">
        <f>H1407*VLOOKUP(D1407,GWPs!$B$3:$C$6,2,FALSE)</f>
        <v>0</v>
      </c>
      <c r="J1407" s="3">
        <v>1E-3</v>
      </c>
      <c r="K1407" s="74">
        <f>J1407*VLOOKUP(D1407,GWPs!$B$3:$C$6,2,FALSE)</f>
        <v>2.8000000000000001E-2</v>
      </c>
      <c r="M1407" s="3">
        <v>3</v>
      </c>
      <c r="N1407" s="3">
        <v>2</v>
      </c>
      <c r="O1407" s="3">
        <v>1</v>
      </c>
      <c r="P1407" s="3">
        <v>1</v>
      </c>
      <c r="Q1407" s="3">
        <v>1</v>
      </c>
    </row>
    <row r="1408" spans="1:17">
      <c r="A1408" t="s">
        <v>1429</v>
      </c>
      <c r="B1408" s="3" t="s">
        <v>1005</v>
      </c>
      <c r="C1408" s="3" t="s">
        <v>1006</v>
      </c>
      <c r="D1408" s="3" t="s">
        <v>14</v>
      </c>
      <c r="E1408" s="3" t="s">
        <v>12</v>
      </c>
      <c r="F1408" s="3">
        <v>0</v>
      </c>
      <c r="G1408" s="74">
        <f>F1408*VLOOKUP(D1408,GWPs!$B$3:$C$6,2,FALSE)</f>
        <v>0</v>
      </c>
      <c r="H1408" s="3">
        <v>0</v>
      </c>
      <c r="I1408" s="74">
        <f>H1408*VLOOKUP(D1408,GWPs!$B$3:$C$6,2,FALSE)</f>
        <v>0</v>
      </c>
      <c r="J1408" s="3">
        <v>0</v>
      </c>
      <c r="K1408" s="74">
        <f>J1408*VLOOKUP(D1408,GWPs!$B$3:$C$6,2,FALSE)</f>
        <v>0</v>
      </c>
      <c r="M1408" s="3">
        <v>3</v>
      </c>
      <c r="N1408" s="3">
        <v>2</v>
      </c>
      <c r="O1408" s="3">
        <v>1</v>
      </c>
      <c r="P1408" s="3">
        <v>2</v>
      </c>
      <c r="Q1408" s="3">
        <v>1</v>
      </c>
    </row>
    <row r="1409" spans="1:17">
      <c r="A1409" t="s">
        <v>1429</v>
      </c>
      <c r="B1409" s="3" t="s">
        <v>1005</v>
      </c>
      <c r="C1409" s="3" t="s">
        <v>1006</v>
      </c>
      <c r="D1409" s="3" t="s">
        <v>15</v>
      </c>
      <c r="E1409" s="3" t="s">
        <v>16</v>
      </c>
      <c r="F1409" s="3">
        <v>1.6E-2</v>
      </c>
      <c r="G1409" s="74">
        <f>F1409*VLOOKUP(D1409,GWPs!$B$3:$C$6,2,FALSE)</f>
        <v>1.6E-2</v>
      </c>
      <c r="H1409" s="3">
        <v>0</v>
      </c>
      <c r="I1409" s="74">
        <f>H1409*VLOOKUP(D1409,GWPs!$B$3:$C$6,2,FALSE)</f>
        <v>0</v>
      </c>
      <c r="J1409" s="3">
        <v>1.6E-2</v>
      </c>
      <c r="K1409" s="74">
        <f>J1409*VLOOKUP(D1409,GWPs!$B$3:$C$6,2,FALSE)</f>
        <v>1.6E-2</v>
      </c>
      <c r="M1409" s="3">
        <v>4</v>
      </c>
      <c r="N1409" s="3">
        <v>2</v>
      </c>
      <c r="O1409" s="3">
        <v>1</v>
      </c>
      <c r="P1409" s="3">
        <v>5</v>
      </c>
      <c r="Q1409" s="3">
        <v>1</v>
      </c>
    </row>
    <row r="1410" spans="1:17">
      <c r="A1410" t="s">
        <v>1429</v>
      </c>
      <c r="B1410" s="3" t="s">
        <v>1007</v>
      </c>
      <c r="C1410" s="3" t="s">
        <v>1008</v>
      </c>
      <c r="D1410" s="3" t="s">
        <v>11</v>
      </c>
      <c r="E1410" s="3" t="s">
        <v>12</v>
      </c>
      <c r="F1410" s="3">
        <v>0.13300000000000001</v>
      </c>
      <c r="G1410" s="74">
        <f>F1410*VLOOKUP(D1410,GWPs!$B$3:$C$6,2,FALSE)</f>
        <v>0.13300000000000001</v>
      </c>
      <c r="H1410" s="3">
        <v>0</v>
      </c>
      <c r="I1410" s="74">
        <f>H1410*VLOOKUP(D1410,GWPs!$B$3:$C$6,2,FALSE)</f>
        <v>0</v>
      </c>
      <c r="J1410" s="3">
        <v>0.13300000000000001</v>
      </c>
      <c r="K1410" s="74">
        <f>J1410*VLOOKUP(D1410,GWPs!$B$3:$C$6,2,FALSE)</f>
        <v>0.13300000000000001</v>
      </c>
      <c r="M1410" s="3">
        <v>3</v>
      </c>
      <c r="N1410" s="3">
        <v>2</v>
      </c>
      <c r="O1410" s="3">
        <v>1</v>
      </c>
      <c r="P1410" s="3">
        <v>3</v>
      </c>
      <c r="Q1410" s="3">
        <v>1</v>
      </c>
    </row>
    <row r="1411" spans="1:17">
      <c r="A1411" t="s">
        <v>1429</v>
      </c>
      <c r="B1411" s="3" t="s">
        <v>1007</v>
      </c>
      <c r="C1411" s="3" t="s">
        <v>1008</v>
      </c>
      <c r="D1411" s="3" t="s">
        <v>13</v>
      </c>
      <c r="E1411" s="3" t="s">
        <v>12</v>
      </c>
      <c r="F1411" s="3">
        <v>1E-3</v>
      </c>
      <c r="G1411" s="74">
        <f>F1411*VLOOKUP(D1411,GWPs!$B$3:$C$6,2,FALSE)</f>
        <v>2.8000000000000001E-2</v>
      </c>
      <c r="H1411" s="3">
        <v>0</v>
      </c>
      <c r="I1411" s="74">
        <f>H1411*VLOOKUP(D1411,GWPs!$B$3:$C$6,2,FALSE)</f>
        <v>0</v>
      </c>
      <c r="J1411" s="3">
        <v>1E-3</v>
      </c>
      <c r="K1411" s="74">
        <f>J1411*VLOOKUP(D1411,GWPs!$B$3:$C$6,2,FALSE)</f>
        <v>2.8000000000000001E-2</v>
      </c>
      <c r="M1411" s="3">
        <v>3</v>
      </c>
      <c r="N1411" s="3">
        <v>2</v>
      </c>
      <c r="O1411" s="3">
        <v>1</v>
      </c>
      <c r="P1411" s="3">
        <v>1</v>
      </c>
      <c r="Q1411" s="3">
        <v>1</v>
      </c>
    </row>
    <row r="1412" spans="1:17">
      <c r="A1412" t="s">
        <v>1429</v>
      </c>
      <c r="B1412" s="3" t="s">
        <v>1007</v>
      </c>
      <c r="C1412" s="3" t="s">
        <v>1008</v>
      </c>
      <c r="D1412" s="3" t="s">
        <v>14</v>
      </c>
      <c r="E1412" s="3" t="s">
        <v>12</v>
      </c>
      <c r="F1412" s="3">
        <v>0</v>
      </c>
      <c r="G1412" s="74">
        <f>F1412*VLOOKUP(D1412,GWPs!$B$3:$C$6,2,FALSE)</f>
        <v>0</v>
      </c>
      <c r="H1412" s="3">
        <v>0</v>
      </c>
      <c r="I1412" s="74">
        <f>H1412*VLOOKUP(D1412,GWPs!$B$3:$C$6,2,FALSE)</f>
        <v>0</v>
      </c>
      <c r="J1412" s="3">
        <v>0</v>
      </c>
      <c r="K1412" s="74">
        <f>J1412*VLOOKUP(D1412,GWPs!$B$3:$C$6,2,FALSE)</f>
        <v>0</v>
      </c>
      <c r="M1412" s="3">
        <v>3</v>
      </c>
      <c r="N1412" s="3">
        <v>2</v>
      </c>
      <c r="O1412" s="3">
        <v>1</v>
      </c>
      <c r="P1412" s="3">
        <v>3</v>
      </c>
      <c r="Q1412" s="3">
        <v>1</v>
      </c>
    </row>
    <row r="1413" spans="1:17">
      <c r="A1413" t="s">
        <v>1429</v>
      </c>
      <c r="B1413" s="3" t="s">
        <v>1007</v>
      </c>
      <c r="C1413" s="3" t="s">
        <v>1008</v>
      </c>
      <c r="D1413" s="3" t="s">
        <v>15</v>
      </c>
      <c r="E1413" s="3" t="s">
        <v>16</v>
      </c>
      <c r="F1413" s="3">
        <v>5.0000000000000001E-3</v>
      </c>
      <c r="G1413" s="74">
        <f>F1413*VLOOKUP(D1413,GWPs!$B$3:$C$6,2,FALSE)</f>
        <v>5.0000000000000001E-3</v>
      </c>
      <c r="H1413" s="3">
        <v>0</v>
      </c>
      <c r="I1413" s="74">
        <f>H1413*VLOOKUP(D1413,GWPs!$B$3:$C$6,2,FALSE)</f>
        <v>0</v>
      </c>
      <c r="J1413" s="3">
        <v>5.0000000000000001E-3</v>
      </c>
      <c r="K1413" s="74">
        <f>J1413*VLOOKUP(D1413,GWPs!$B$3:$C$6,2,FALSE)</f>
        <v>5.0000000000000001E-3</v>
      </c>
      <c r="M1413" s="3">
        <v>4</v>
      </c>
      <c r="N1413" s="3">
        <v>2</v>
      </c>
      <c r="O1413" s="3">
        <v>1</v>
      </c>
      <c r="P1413" s="3">
        <v>5</v>
      </c>
      <c r="Q1413" s="3">
        <v>1</v>
      </c>
    </row>
    <row r="1414" spans="1:17">
      <c r="A1414" t="s">
        <v>1429</v>
      </c>
      <c r="B1414" s="3" t="s">
        <v>1009</v>
      </c>
      <c r="C1414" s="3" t="s">
        <v>1010</v>
      </c>
      <c r="D1414" s="3" t="s">
        <v>11</v>
      </c>
      <c r="E1414" s="3" t="s">
        <v>12</v>
      </c>
      <c r="F1414" s="3">
        <v>0.311</v>
      </c>
      <c r="G1414" s="74">
        <f>F1414*VLOOKUP(D1414,GWPs!$B$3:$C$6,2,FALSE)</f>
        <v>0.311</v>
      </c>
      <c r="H1414" s="3">
        <v>0</v>
      </c>
      <c r="I1414" s="74">
        <f>H1414*VLOOKUP(D1414,GWPs!$B$3:$C$6,2,FALSE)</f>
        <v>0</v>
      </c>
      <c r="J1414" s="3">
        <v>0.311</v>
      </c>
      <c r="K1414" s="74">
        <f>J1414*VLOOKUP(D1414,GWPs!$B$3:$C$6,2,FALSE)</f>
        <v>0.311</v>
      </c>
      <c r="M1414" s="3">
        <v>3</v>
      </c>
      <c r="N1414" s="3">
        <v>2</v>
      </c>
      <c r="O1414" s="3">
        <v>1</v>
      </c>
      <c r="P1414" s="3">
        <v>2</v>
      </c>
      <c r="Q1414" s="3">
        <v>1</v>
      </c>
    </row>
    <row r="1415" spans="1:17">
      <c r="A1415" t="s">
        <v>1429</v>
      </c>
      <c r="B1415" s="3" t="s">
        <v>1009</v>
      </c>
      <c r="C1415" s="3" t="s">
        <v>1010</v>
      </c>
      <c r="D1415" s="3" t="s">
        <v>13</v>
      </c>
      <c r="E1415" s="3" t="s">
        <v>12</v>
      </c>
      <c r="F1415" s="3">
        <v>4.7E-2</v>
      </c>
      <c r="G1415" s="74">
        <f>F1415*VLOOKUP(D1415,GWPs!$B$3:$C$6,2,FALSE)</f>
        <v>1.3160000000000001</v>
      </c>
      <c r="H1415" s="3">
        <v>0</v>
      </c>
      <c r="I1415" s="74">
        <f>H1415*VLOOKUP(D1415,GWPs!$B$3:$C$6,2,FALSE)</f>
        <v>0</v>
      </c>
      <c r="J1415" s="3">
        <v>4.7E-2</v>
      </c>
      <c r="K1415" s="74">
        <f>J1415*VLOOKUP(D1415,GWPs!$B$3:$C$6,2,FALSE)</f>
        <v>1.3160000000000001</v>
      </c>
      <c r="M1415" s="3">
        <v>2</v>
      </c>
      <c r="N1415" s="3">
        <v>2</v>
      </c>
      <c r="O1415" s="3">
        <v>1</v>
      </c>
      <c r="P1415" s="3">
        <v>1</v>
      </c>
      <c r="Q1415" s="3">
        <v>1</v>
      </c>
    </row>
    <row r="1416" spans="1:17">
      <c r="A1416" t="s">
        <v>1429</v>
      </c>
      <c r="B1416" s="3" t="s">
        <v>1009</v>
      </c>
      <c r="C1416" s="3" t="s">
        <v>1010</v>
      </c>
      <c r="D1416" s="3" t="s">
        <v>14</v>
      </c>
      <c r="E1416" s="3" t="s">
        <v>12</v>
      </c>
      <c r="F1416" s="3">
        <v>0</v>
      </c>
      <c r="G1416" s="74">
        <f>F1416*VLOOKUP(D1416,GWPs!$B$3:$C$6,2,FALSE)</f>
        <v>0</v>
      </c>
      <c r="H1416" s="3">
        <v>0</v>
      </c>
      <c r="I1416" s="74">
        <f>H1416*VLOOKUP(D1416,GWPs!$B$3:$C$6,2,FALSE)</f>
        <v>0</v>
      </c>
      <c r="J1416" s="3">
        <v>0</v>
      </c>
      <c r="K1416" s="74">
        <f>J1416*VLOOKUP(D1416,GWPs!$B$3:$C$6,2,FALSE)</f>
        <v>0</v>
      </c>
      <c r="M1416" s="3">
        <v>4</v>
      </c>
      <c r="N1416" s="3">
        <v>2</v>
      </c>
      <c r="O1416" s="3">
        <v>1</v>
      </c>
      <c r="P1416" s="3">
        <v>1</v>
      </c>
      <c r="Q1416" s="3">
        <v>1</v>
      </c>
    </row>
    <row r="1417" spans="1:17">
      <c r="A1417" t="s">
        <v>1429</v>
      </c>
      <c r="B1417" s="3" t="s">
        <v>1009</v>
      </c>
      <c r="C1417" s="3" t="s">
        <v>1010</v>
      </c>
      <c r="D1417" s="3" t="s">
        <v>15</v>
      </c>
      <c r="E1417" s="3" t="s">
        <v>16</v>
      </c>
      <c r="F1417" s="3">
        <v>1.4999999999999999E-2</v>
      </c>
      <c r="G1417" s="74">
        <f>F1417*VLOOKUP(D1417,GWPs!$B$3:$C$6,2,FALSE)</f>
        <v>1.4999999999999999E-2</v>
      </c>
      <c r="H1417" s="3">
        <v>0</v>
      </c>
      <c r="I1417" s="74">
        <f>H1417*VLOOKUP(D1417,GWPs!$B$3:$C$6,2,FALSE)</f>
        <v>0</v>
      </c>
      <c r="J1417" s="3">
        <v>1.4999999999999999E-2</v>
      </c>
      <c r="K1417" s="74">
        <f>J1417*VLOOKUP(D1417,GWPs!$B$3:$C$6,2,FALSE)</f>
        <v>1.4999999999999999E-2</v>
      </c>
      <c r="M1417" s="3">
        <v>4</v>
      </c>
      <c r="N1417" s="3">
        <v>2</v>
      </c>
      <c r="O1417" s="3">
        <v>1</v>
      </c>
      <c r="P1417" s="3">
        <v>5</v>
      </c>
      <c r="Q1417" s="3">
        <v>1</v>
      </c>
    </row>
    <row r="1418" spans="1:17">
      <c r="A1418" t="s">
        <v>1429</v>
      </c>
      <c r="B1418" s="3" t="s">
        <v>1011</v>
      </c>
      <c r="C1418" s="3" t="s">
        <v>1012</v>
      </c>
      <c r="D1418" s="3" t="s">
        <v>11</v>
      </c>
      <c r="E1418" s="3" t="s">
        <v>12</v>
      </c>
      <c r="F1418" s="3">
        <v>0.13400000000000001</v>
      </c>
      <c r="G1418" s="74">
        <f>F1418*VLOOKUP(D1418,GWPs!$B$3:$C$6,2,FALSE)</f>
        <v>0.13400000000000001</v>
      </c>
      <c r="H1418" s="3">
        <v>0</v>
      </c>
      <c r="I1418" s="74">
        <f>H1418*VLOOKUP(D1418,GWPs!$B$3:$C$6,2,FALSE)</f>
        <v>0</v>
      </c>
      <c r="J1418" s="3">
        <v>0.13400000000000001</v>
      </c>
      <c r="K1418" s="74">
        <f>J1418*VLOOKUP(D1418,GWPs!$B$3:$C$6,2,FALSE)</f>
        <v>0.13400000000000001</v>
      </c>
      <c r="M1418" s="3">
        <v>3</v>
      </c>
      <c r="N1418" s="3">
        <v>2</v>
      </c>
      <c r="O1418" s="3">
        <v>1</v>
      </c>
      <c r="P1418" s="3">
        <v>4</v>
      </c>
      <c r="Q1418" s="3">
        <v>1</v>
      </c>
    </row>
    <row r="1419" spans="1:17">
      <c r="A1419" t="s">
        <v>1429</v>
      </c>
      <c r="B1419" s="3" t="s">
        <v>1011</v>
      </c>
      <c r="C1419" s="3" t="s">
        <v>1012</v>
      </c>
      <c r="D1419" s="3" t="s">
        <v>13</v>
      </c>
      <c r="E1419" s="3" t="s">
        <v>12</v>
      </c>
      <c r="F1419" s="3">
        <v>1E-3</v>
      </c>
      <c r="G1419" s="74">
        <f>F1419*VLOOKUP(D1419,GWPs!$B$3:$C$6,2,FALSE)</f>
        <v>2.8000000000000001E-2</v>
      </c>
      <c r="H1419" s="3">
        <v>0</v>
      </c>
      <c r="I1419" s="74">
        <f>H1419*VLOOKUP(D1419,GWPs!$B$3:$C$6,2,FALSE)</f>
        <v>0</v>
      </c>
      <c r="J1419" s="3">
        <v>1E-3</v>
      </c>
      <c r="K1419" s="74">
        <f>J1419*VLOOKUP(D1419,GWPs!$B$3:$C$6,2,FALSE)</f>
        <v>2.8000000000000001E-2</v>
      </c>
      <c r="M1419" s="3">
        <v>3</v>
      </c>
      <c r="N1419" s="3">
        <v>2</v>
      </c>
      <c r="O1419" s="3">
        <v>1</v>
      </c>
      <c r="P1419" s="3">
        <v>1</v>
      </c>
      <c r="Q1419" s="3">
        <v>1</v>
      </c>
    </row>
    <row r="1420" spans="1:17">
      <c r="A1420" t="s">
        <v>1429</v>
      </c>
      <c r="B1420" s="3" t="s">
        <v>1011</v>
      </c>
      <c r="C1420" s="3" t="s">
        <v>1012</v>
      </c>
      <c r="D1420" s="3" t="s">
        <v>14</v>
      </c>
      <c r="E1420" s="3" t="s">
        <v>12</v>
      </c>
      <c r="F1420" s="3">
        <v>0</v>
      </c>
      <c r="G1420" s="74">
        <f>F1420*VLOOKUP(D1420,GWPs!$B$3:$C$6,2,FALSE)</f>
        <v>0</v>
      </c>
      <c r="H1420" s="3">
        <v>0</v>
      </c>
      <c r="I1420" s="74">
        <f>H1420*VLOOKUP(D1420,GWPs!$B$3:$C$6,2,FALSE)</f>
        <v>0</v>
      </c>
      <c r="J1420" s="3">
        <v>0</v>
      </c>
      <c r="K1420" s="74">
        <f>J1420*VLOOKUP(D1420,GWPs!$B$3:$C$6,2,FALSE)</f>
        <v>0</v>
      </c>
      <c r="M1420" s="3">
        <v>4</v>
      </c>
      <c r="N1420" s="3">
        <v>2</v>
      </c>
      <c r="O1420" s="3">
        <v>1</v>
      </c>
      <c r="P1420" s="3">
        <v>3</v>
      </c>
      <c r="Q1420" s="3">
        <v>1</v>
      </c>
    </row>
    <row r="1421" spans="1:17">
      <c r="A1421" t="s">
        <v>1429</v>
      </c>
      <c r="B1421" s="3" t="s">
        <v>1011</v>
      </c>
      <c r="C1421" s="3" t="s">
        <v>1012</v>
      </c>
      <c r="D1421" s="3" t="s">
        <v>15</v>
      </c>
      <c r="E1421" s="3" t="s">
        <v>16</v>
      </c>
      <c r="F1421" s="3">
        <v>3.0000000000000001E-3</v>
      </c>
      <c r="G1421" s="74">
        <f>F1421*VLOOKUP(D1421,GWPs!$B$3:$C$6,2,FALSE)</f>
        <v>3.0000000000000001E-3</v>
      </c>
      <c r="H1421" s="3">
        <v>0</v>
      </c>
      <c r="I1421" s="74">
        <f>H1421*VLOOKUP(D1421,GWPs!$B$3:$C$6,2,FALSE)</f>
        <v>0</v>
      </c>
      <c r="J1421" s="3">
        <v>3.0000000000000001E-3</v>
      </c>
      <c r="K1421" s="74">
        <f>J1421*VLOOKUP(D1421,GWPs!$B$3:$C$6,2,FALSE)</f>
        <v>3.0000000000000001E-3</v>
      </c>
      <c r="M1421" s="3">
        <v>4</v>
      </c>
      <c r="N1421" s="3">
        <v>2</v>
      </c>
      <c r="O1421" s="3">
        <v>1</v>
      </c>
      <c r="P1421" s="3">
        <v>4</v>
      </c>
      <c r="Q1421" s="3">
        <v>1</v>
      </c>
    </row>
    <row r="1422" spans="1:17">
      <c r="A1422" t="s">
        <v>1429</v>
      </c>
      <c r="B1422" s="3" t="s">
        <v>1013</v>
      </c>
      <c r="C1422" s="3" t="s">
        <v>1014</v>
      </c>
      <c r="D1422" s="3" t="s">
        <v>11</v>
      </c>
      <c r="E1422" s="3" t="s">
        <v>12</v>
      </c>
      <c r="F1422" s="3">
        <v>0.16800000000000001</v>
      </c>
      <c r="G1422" s="74">
        <f>F1422*VLOOKUP(D1422,GWPs!$B$3:$C$6,2,FALSE)</f>
        <v>0.16800000000000001</v>
      </c>
      <c r="H1422" s="3">
        <v>0</v>
      </c>
      <c r="I1422" s="74">
        <f>H1422*VLOOKUP(D1422,GWPs!$B$3:$C$6,2,FALSE)</f>
        <v>0</v>
      </c>
      <c r="J1422" s="3">
        <v>0.16800000000000001</v>
      </c>
      <c r="K1422" s="74">
        <f>J1422*VLOOKUP(D1422,GWPs!$B$3:$C$6,2,FALSE)</f>
        <v>0.16800000000000001</v>
      </c>
      <c r="M1422" s="3">
        <v>3</v>
      </c>
      <c r="N1422" s="3">
        <v>2</v>
      </c>
      <c r="O1422" s="3">
        <v>1</v>
      </c>
      <c r="P1422" s="3">
        <v>3</v>
      </c>
      <c r="Q1422" s="3">
        <v>1</v>
      </c>
    </row>
    <row r="1423" spans="1:17">
      <c r="A1423" t="s">
        <v>1429</v>
      </c>
      <c r="B1423" s="3" t="s">
        <v>1013</v>
      </c>
      <c r="C1423" s="3" t="s">
        <v>1014</v>
      </c>
      <c r="D1423" s="3" t="s">
        <v>13</v>
      </c>
      <c r="E1423" s="3" t="s">
        <v>12</v>
      </c>
      <c r="F1423" s="3">
        <v>1E-3</v>
      </c>
      <c r="G1423" s="74">
        <f>F1423*VLOOKUP(D1423,GWPs!$B$3:$C$6,2,FALSE)</f>
        <v>2.8000000000000001E-2</v>
      </c>
      <c r="H1423" s="3">
        <v>0</v>
      </c>
      <c r="I1423" s="74">
        <f>H1423*VLOOKUP(D1423,GWPs!$B$3:$C$6,2,FALSE)</f>
        <v>0</v>
      </c>
      <c r="J1423" s="3">
        <v>1E-3</v>
      </c>
      <c r="K1423" s="74">
        <f>J1423*VLOOKUP(D1423,GWPs!$B$3:$C$6,2,FALSE)</f>
        <v>2.8000000000000001E-2</v>
      </c>
      <c r="M1423" s="3">
        <v>4</v>
      </c>
      <c r="N1423" s="3">
        <v>2</v>
      </c>
      <c r="O1423" s="3">
        <v>1</v>
      </c>
      <c r="P1423" s="3">
        <v>1</v>
      </c>
      <c r="Q1423" s="3">
        <v>1</v>
      </c>
    </row>
    <row r="1424" spans="1:17">
      <c r="A1424" t="s">
        <v>1429</v>
      </c>
      <c r="B1424" s="3" t="s">
        <v>1013</v>
      </c>
      <c r="C1424" s="3" t="s">
        <v>1014</v>
      </c>
      <c r="D1424" s="3" t="s">
        <v>14</v>
      </c>
      <c r="E1424" s="3" t="s">
        <v>12</v>
      </c>
      <c r="F1424" s="3">
        <v>0</v>
      </c>
      <c r="G1424" s="74">
        <f>F1424*VLOOKUP(D1424,GWPs!$B$3:$C$6,2,FALSE)</f>
        <v>0</v>
      </c>
      <c r="H1424" s="3">
        <v>0</v>
      </c>
      <c r="I1424" s="74">
        <f>H1424*VLOOKUP(D1424,GWPs!$B$3:$C$6,2,FALSE)</f>
        <v>0</v>
      </c>
      <c r="J1424" s="3">
        <v>0</v>
      </c>
      <c r="K1424" s="74">
        <f>J1424*VLOOKUP(D1424,GWPs!$B$3:$C$6,2,FALSE)</f>
        <v>0</v>
      </c>
      <c r="M1424" s="3">
        <v>4</v>
      </c>
      <c r="N1424" s="3">
        <v>2</v>
      </c>
      <c r="O1424" s="3">
        <v>1</v>
      </c>
      <c r="P1424" s="3">
        <v>3</v>
      </c>
      <c r="Q1424" s="3">
        <v>1</v>
      </c>
    </row>
    <row r="1425" spans="1:17">
      <c r="A1425" t="s">
        <v>1429</v>
      </c>
      <c r="B1425" s="3" t="s">
        <v>1013</v>
      </c>
      <c r="C1425" s="3" t="s">
        <v>1014</v>
      </c>
      <c r="D1425" s="3" t="s">
        <v>15</v>
      </c>
      <c r="E1425" s="3" t="s">
        <v>16</v>
      </c>
      <c r="F1425" s="3">
        <v>3.0000000000000001E-3</v>
      </c>
      <c r="G1425" s="74">
        <f>F1425*VLOOKUP(D1425,GWPs!$B$3:$C$6,2,FALSE)</f>
        <v>3.0000000000000001E-3</v>
      </c>
      <c r="H1425" s="3">
        <v>0</v>
      </c>
      <c r="I1425" s="74">
        <f>H1425*VLOOKUP(D1425,GWPs!$B$3:$C$6,2,FALSE)</f>
        <v>0</v>
      </c>
      <c r="J1425" s="3">
        <v>3.0000000000000001E-3</v>
      </c>
      <c r="K1425" s="74">
        <f>J1425*VLOOKUP(D1425,GWPs!$B$3:$C$6,2,FALSE)</f>
        <v>3.0000000000000001E-3</v>
      </c>
      <c r="M1425" s="3">
        <v>4</v>
      </c>
      <c r="N1425" s="3">
        <v>2</v>
      </c>
      <c r="O1425" s="3">
        <v>1</v>
      </c>
      <c r="P1425" s="3">
        <v>5</v>
      </c>
      <c r="Q1425" s="3">
        <v>1</v>
      </c>
    </row>
    <row r="1426" spans="1:17">
      <c r="A1426" t="s">
        <v>1429</v>
      </c>
      <c r="B1426" s="3" t="s">
        <v>1015</v>
      </c>
      <c r="C1426" s="3" t="s">
        <v>1016</v>
      </c>
      <c r="D1426" s="3" t="s">
        <v>11</v>
      </c>
      <c r="E1426" s="3" t="s">
        <v>12</v>
      </c>
      <c r="F1426" s="3">
        <v>0.121</v>
      </c>
      <c r="G1426" s="74">
        <f>F1426*VLOOKUP(D1426,GWPs!$B$3:$C$6,2,FALSE)</f>
        <v>0.121</v>
      </c>
      <c r="H1426" s="3">
        <v>0</v>
      </c>
      <c r="I1426" s="74">
        <f>H1426*VLOOKUP(D1426,GWPs!$B$3:$C$6,2,FALSE)</f>
        <v>0</v>
      </c>
      <c r="J1426" s="3">
        <v>0.121</v>
      </c>
      <c r="K1426" s="74">
        <f>J1426*VLOOKUP(D1426,GWPs!$B$3:$C$6,2,FALSE)</f>
        <v>0.121</v>
      </c>
      <c r="M1426" s="3">
        <v>3</v>
      </c>
      <c r="N1426" s="3">
        <v>2</v>
      </c>
      <c r="O1426" s="3">
        <v>1</v>
      </c>
      <c r="P1426" s="3">
        <v>3</v>
      </c>
      <c r="Q1426" s="3">
        <v>1</v>
      </c>
    </row>
    <row r="1427" spans="1:17">
      <c r="A1427" t="s">
        <v>1429</v>
      </c>
      <c r="B1427" s="3" t="s">
        <v>1015</v>
      </c>
      <c r="C1427" s="3" t="s">
        <v>1016</v>
      </c>
      <c r="D1427" s="3" t="s">
        <v>13</v>
      </c>
      <c r="E1427" s="3" t="s">
        <v>12</v>
      </c>
      <c r="F1427" s="3">
        <v>1E-3</v>
      </c>
      <c r="G1427" s="74">
        <f>F1427*VLOOKUP(D1427,GWPs!$B$3:$C$6,2,FALSE)</f>
        <v>2.8000000000000001E-2</v>
      </c>
      <c r="H1427" s="3">
        <v>0</v>
      </c>
      <c r="I1427" s="74">
        <f>H1427*VLOOKUP(D1427,GWPs!$B$3:$C$6,2,FALSE)</f>
        <v>0</v>
      </c>
      <c r="J1427" s="3">
        <v>1E-3</v>
      </c>
      <c r="K1427" s="74">
        <f>J1427*VLOOKUP(D1427,GWPs!$B$3:$C$6,2,FALSE)</f>
        <v>2.8000000000000001E-2</v>
      </c>
      <c r="M1427" s="3">
        <v>3</v>
      </c>
      <c r="N1427" s="3">
        <v>2</v>
      </c>
      <c r="O1427" s="3">
        <v>1</v>
      </c>
      <c r="P1427" s="3">
        <v>1</v>
      </c>
      <c r="Q1427" s="3">
        <v>1</v>
      </c>
    </row>
    <row r="1428" spans="1:17">
      <c r="A1428" t="s">
        <v>1429</v>
      </c>
      <c r="B1428" s="3" t="s">
        <v>1015</v>
      </c>
      <c r="C1428" s="3" t="s">
        <v>1016</v>
      </c>
      <c r="D1428" s="3" t="s">
        <v>14</v>
      </c>
      <c r="E1428" s="3" t="s">
        <v>12</v>
      </c>
      <c r="F1428" s="3">
        <v>0</v>
      </c>
      <c r="G1428" s="74">
        <f>F1428*VLOOKUP(D1428,GWPs!$B$3:$C$6,2,FALSE)</f>
        <v>0</v>
      </c>
      <c r="H1428" s="3">
        <v>0</v>
      </c>
      <c r="I1428" s="74">
        <f>H1428*VLOOKUP(D1428,GWPs!$B$3:$C$6,2,FALSE)</f>
        <v>0</v>
      </c>
      <c r="J1428" s="3">
        <v>0</v>
      </c>
      <c r="K1428" s="74">
        <f>J1428*VLOOKUP(D1428,GWPs!$B$3:$C$6,2,FALSE)</f>
        <v>0</v>
      </c>
      <c r="M1428" s="3">
        <v>3</v>
      </c>
      <c r="N1428" s="3">
        <v>2</v>
      </c>
      <c r="O1428" s="3">
        <v>1</v>
      </c>
      <c r="P1428" s="3">
        <v>3</v>
      </c>
      <c r="Q1428" s="3">
        <v>1</v>
      </c>
    </row>
    <row r="1429" spans="1:17">
      <c r="A1429" t="s">
        <v>1429</v>
      </c>
      <c r="B1429" s="3" t="s">
        <v>1015</v>
      </c>
      <c r="C1429" s="3" t="s">
        <v>1016</v>
      </c>
      <c r="D1429" s="3" t="s">
        <v>15</v>
      </c>
      <c r="E1429" s="3" t="s">
        <v>16</v>
      </c>
      <c r="F1429" s="3">
        <v>3.0000000000000001E-3</v>
      </c>
      <c r="G1429" s="74">
        <f>F1429*VLOOKUP(D1429,GWPs!$B$3:$C$6,2,FALSE)</f>
        <v>3.0000000000000001E-3</v>
      </c>
      <c r="H1429" s="3">
        <v>0</v>
      </c>
      <c r="I1429" s="74">
        <f>H1429*VLOOKUP(D1429,GWPs!$B$3:$C$6,2,FALSE)</f>
        <v>0</v>
      </c>
      <c r="J1429" s="3">
        <v>3.0000000000000001E-3</v>
      </c>
      <c r="K1429" s="74">
        <f>J1429*VLOOKUP(D1429,GWPs!$B$3:$C$6,2,FALSE)</f>
        <v>3.0000000000000001E-3</v>
      </c>
      <c r="M1429" s="3">
        <v>4</v>
      </c>
      <c r="N1429" s="3">
        <v>2</v>
      </c>
      <c r="O1429" s="3">
        <v>1</v>
      </c>
      <c r="P1429" s="3">
        <v>4</v>
      </c>
      <c r="Q1429" s="3">
        <v>1</v>
      </c>
    </row>
    <row r="1430" spans="1:17">
      <c r="A1430" t="s">
        <v>1430</v>
      </c>
      <c r="B1430" s="3" t="s">
        <v>1017</v>
      </c>
      <c r="C1430" s="3" t="s">
        <v>1018</v>
      </c>
      <c r="D1430" s="3" t="s">
        <v>11</v>
      </c>
      <c r="E1430" s="3" t="s">
        <v>12</v>
      </c>
      <c r="F1430" s="3">
        <v>7.2999999999999995E-2</v>
      </c>
      <c r="G1430" s="74">
        <f>F1430*VLOOKUP(D1430,GWPs!$B$3:$C$6,2,FALSE)</f>
        <v>7.2999999999999995E-2</v>
      </c>
      <c r="H1430" s="3">
        <v>0</v>
      </c>
      <c r="I1430" s="74">
        <f>H1430*VLOOKUP(D1430,GWPs!$B$3:$C$6,2,FALSE)</f>
        <v>0</v>
      </c>
      <c r="J1430" s="3">
        <v>7.2999999999999995E-2</v>
      </c>
      <c r="K1430" s="74">
        <f>J1430*VLOOKUP(D1430,GWPs!$B$3:$C$6,2,FALSE)</f>
        <v>7.2999999999999995E-2</v>
      </c>
      <c r="M1430" s="3">
        <v>3</v>
      </c>
      <c r="N1430" s="3">
        <v>2</v>
      </c>
      <c r="O1430" s="3">
        <v>1</v>
      </c>
      <c r="P1430" s="3">
        <v>3</v>
      </c>
      <c r="Q1430" s="3">
        <v>1</v>
      </c>
    </row>
    <row r="1431" spans="1:17">
      <c r="A1431" t="s">
        <v>1430</v>
      </c>
      <c r="B1431" s="3" t="s">
        <v>1017</v>
      </c>
      <c r="C1431" s="3" t="s">
        <v>1018</v>
      </c>
      <c r="D1431" s="3" t="s">
        <v>13</v>
      </c>
      <c r="E1431" s="3" t="s">
        <v>12</v>
      </c>
      <c r="F1431" s="3">
        <v>0</v>
      </c>
      <c r="G1431" s="74">
        <f>F1431*VLOOKUP(D1431,GWPs!$B$3:$C$6,2,FALSE)</f>
        <v>0</v>
      </c>
      <c r="H1431" s="3">
        <v>0</v>
      </c>
      <c r="I1431" s="74">
        <f>H1431*VLOOKUP(D1431,GWPs!$B$3:$C$6,2,FALSE)</f>
        <v>0</v>
      </c>
      <c r="J1431" s="3">
        <v>0</v>
      </c>
      <c r="K1431" s="74">
        <f>J1431*VLOOKUP(D1431,GWPs!$B$3:$C$6,2,FALSE)</f>
        <v>0</v>
      </c>
      <c r="M1431" s="3">
        <v>3</v>
      </c>
      <c r="N1431" s="3">
        <v>2</v>
      </c>
      <c r="O1431" s="3">
        <v>1</v>
      </c>
      <c r="P1431" s="3">
        <v>1</v>
      </c>
      <c r="Q1431" s="3">
        <v>1</v>
      </c>
    </row>
    <row r="1432" spans="1:17">
      <c r="A1432" t="s">
        <v>1430</v>
      </c>
      <c r="B1432" s="3" t="s">
        <v>1017</v>
      </c>
      <c r="C1432" s="3" t="s">
        <v>1018</v>
      </c>
      <c r="D1432" s="3" t="s">
        <v>14</v>
      </c>
      <c r="E1432" s="3" t="s">
        <v>12</v>
      </c>
      <c r="F1432" s="3">
        <v>0</v>
      </c>
      <c r="G1432" s="74">
        <f>F1432*VLOOKUP(D1432,GWPs!$B$3:$C$6,2,FALSE)</f>
        <v>0</v>
      </c>
      <c r="H1432" s="3">
        <v>0</v>
      </c>
      <c r="I1432" s="74">
        <f>H1432*VLOOKUP(D1432,GWPs!$B$3:$C$6,2,FALSE)</f>
        <v>0</v>
      </c>
      <c r="J1432" s="3">
        <v>0</v>
      </c>
      <c r="K1432" s="74">
        <f>J1432*VLOOKUP(D1432,GWPs!$B$3:$C$6,2,FALSE)</f>
        <v>0</v>
      </c>
      <c r="M1432" s="3">
        <v>3</v>
      </c>
      <c r="N1432" s="3">
        <v>2</v>
      </c>
      <c r="O1432" s="3">
        <v>1</v>
      </c>
      <c r="P1432" s="3">
        <v>3</v>
      </c>
      <c r="Q1432" s="3">
        <v>1</v>
      </c>
    </row>
    <row r="1433" spans="1:17">
      <c r="A1433" t="s">
        <v>1430</v>
      </c>
      <c r="B1433" s="3" t="s">
        <v>1017</v>
      </c>
      <c r="C1433" s="3" t="s">
        <v>1018</v>
      </c>
      <c r="D1433" s="3" t="s">
        <v>15</v>
      </c>
      <c r="E1433" s="3" t="s">
        <v>16</v>
      </c>
      <c r="F1433" s="3">
        <v>3.0000000000000001E-3</v>
      </c>
      <c r="G1433" s="74">
        <f>F1433*VLOOKUP(D1433,GWPs!$B$3:$C$6,2,FALSE)</f>
        <v>3.0000000000000001E-3</v>
      </c>
      <c r="H1433" s="3">
        <v>0</v>
      </c>
      <c r="I1433" s="74">
        <f>H1433*VLOOKUP(D1433,GWPs!$B$3:$C$6,2,FALSE)</f>
        <v>0</v>
      </c>
      <c r="J1433" s="3">
        <v>3.0000000000000001E-3</v>
      </c>
      <c r="K1433" s="74">
        <f>J1433*VLOOKUP(D1433,GWPs!$B$3:$C$6,2,FALSE)</f>
        <v>3.0000000000000001E-3</v>
      </c>
      <c r="M1433" s="3">
        <v>4</v>
      </c>
      <c r="N1433" s="3">
        <v>2</v>
      </c>
      <c r="O1433" s="3">
        <v>1</v>
      </c>
      <c r="P1433" s="3">
        <v>4</v>
      </c>
      <c r="Q1433" s="3">
        <v>1</v>
      </c>
    </row>
    <row r="1434" spans="1:17">
      <c r="A1434" t="s">
        <v>1429</v>
      </c>
      <c r="B1434" s="3" t="s">
        <v>1019</v>
      </c>
      <c r="C1434" s="3" t="s">
        <v>1020</v>
      </c>
      <c r="D1434" s="3" t="s">
        <v>11</v>
      </c>
      <c r="E1434" s="3" t="s">
        <v>12</v>
      </c>
      <c r="F1434" s="3">
        <v>9.4E-2</v>
      </c>
      <c r="G1434" s="74">
        <f>F1434*VLOOKUP(D1434,GWPs!$B$3:$C$6,2,FALSE)</f>
        <v>9.4E-2</v>
      </c>
      <c r="H1434" s="3">
        <v>0</v>
      </c>
      <c r="I1434" s="74">
        <f>H1434*VLOOKUP(D1434,GWPs!$B$3:$C$6,2,FALSE)</f>
        <v>0</v>
      </c>
      <c r="J1434" s="3">
        <v>9.4E-2</v>
      </c>
      <c r="K1434" s="74">
        <f>J1434*VLOOKUP(D1434,GWPs!$B$3:$C$6,2,FALSE)</f>
        <v>9.4E-2</v>
      </c>
      <c r="M1434" s="3">
        <v>3</v>
      </c>
      <c r="N1434" s="3">
        <v>2</v>
      </c>
      <c r="O1434" s="3">
        <v>1</v>
      </c>
      <c r="P1434" s="3">
        <v>3</v>
      </c>
      <c r="Q1434" s="3">
        <v>1</v>
      </c>
    </row>
    <row r="1435" spans="1:17">
      <c r="A1435" t="s">
        <v>1429</v>
      </c>
      <c r="B1435" s="3" t="s">
        <v>1019</v>
      </c>
      <c r="C1435" s="3" t="s">
        <v>1020</v>
      </c>
      <c r="D1435" s="3" t="s">
        <v>13</v>
      </c>
      <c r="E1435" s="3" t="s">
        <v>12</v>
      </c>
      <c r="F1435" s="3">
        <v>0</v>
      </c>
      <c r="G1435" s="74">
        <f>F1435*VLOOKUP(D1435,GWPs!$B$3:$C$6,2,FALSE)</f>
        <v>0</v>
      </c>
      <c r="H1435" s="3">
        <v>0</v>
      </c>
      <c r="I1435" s="74">
        <f>H1435*VLOOKUP(D1435,GWPs!$B$3:$C$6,2,FALSE)</f>
        <v>0</v>
      </c>
      <c r="J1435" s="3">
        <v>0</v>
      </c>
      <c r="K1435" s="74">
        <f>J1435*VLOOKUP(D1435,GWPs!$B$3:$C$6,2,FALSE)</f>
        <v>0</v>
      </c>
      <c r="M1435" s="3">
        <v>3</v>
      </c>
      <c r="N1435" s="3">
        <v>2</v>
      </c>
      <c r="O1435" s="3">
        <v>1</v>
      </c>
      <c r="P1435" s="3">
        <v>1</v>
      </c>
      <c r="Q1435" s="3">
        <v>1</v>
      </c>
    </row>
    <row r="1436" spans="1:17">
      <c r="A1436" t="s">
        <v>1429</v>
      </c>
      <c r="B1436" s="3" t="s">
        <v>1019</v>
      </c>
      <c r="C1436" s="3" t="s">
        <v>1020</v>
      </c>
      <c r="D1436" s="3" t="s">
        <v>14</v>
      </c>
      <c r="E1436" s="3" t="s">
        <v>12</v>
      </c>
      <c r="F1436" s="3">
        <v>0</v>
      </c>
      <c r="G1436" s="74">
        <f>F1436*VLOOKUP(D1436,GWPs!$B$3:$C$6,2,FALSE)</f>
        <v>0</v>
      </c>
      <c r="H1436" s="3">
        <v>0</v>
      </c>
      <c r="I1436" s="74">
        <f>H1436*VLOOKUP(D1436,GWPs!$B$3:$C$6,2,FALSE)</f>
        <v>0</v>
      </c>
      <c r="J1436" s="3">
        <v>0</v>
      </c>
      <c r="K1436" s="74">
        <f>J1436*VLOOKUP(D1436,GWPs!$B$3:$C$6,2,FALSE)</f>
        <v>0</v>
      </c>
      <c r="M1436" s="3">
        <v>3</v>
      </c>
      <c r="N1436" s="3">
        <v>2</v>
      </c>
      <c r="O1436" s="3">
        <v>1</v>
      </c>
      <c r="P1436" s="3">
        <v>2</v>
      </c>
      <c r="Q1436" s="3">
        <v>1</v>
      </c>
    </row>
    <row r="1437" spans="1:17">
      <c r="A1437" t="s">
        <v>1429</v>
      </c>
      <c r="B1437" s="3" t="s">
        <v>1019</v>
      </c>
      <c r="C1437" s="3" t="s">
        <v>1020</v>
      </c>
      <c r="D1437" s="3" t="s">
        <v>15</v>
      </c>
      <c r="E1437" s="3" t="s">
        <v>16</v>
      </c>
      <c r="F1437" s="3">
        <v>3.0000000000000001E-3</v>
      </c>
      <c r="G1437" s="74">
        <f>F1437*VLOOKUP(D1437,GWPs!$B$3:$C$6,2,FALSE)</f>
        <v>3.0000000000000001E-3</v>
      </c>
      <c r="H1437" s="3">
        <v>0</v>
      </c>
      <c r="I1437" s="74">
        <f>H1437*VLOOKUP(D1437,GWPs!$B$3:$C$6,2,FALSE)</f>
        <v>0</v>
      </c>
      <c r="J1437" s="3">
        <v>3.0000000000000001E-3</v>
      </c>
      <c r="K1437" s="74">
        <f>J1437*VLOOKUP(D1437,GWPs!$B$3:$C$6,2,FALSE)</f>
        <v>3.0000000000000001E-3</v>
      </c>
      <c r="M1437" s="3">
        <v>4</v>
      </c>
      <c r="N1437" s="3">
        <v>2</v>
      </c>
      <c r="O1437" s="3">
        <v>1</v>
      </c>
      <c r="P1437" s="3">
        <v>4</v>
      </c>
      <c r="Q1437" s="3">
        <v>1</v>
      </c>
    </row>
    <row r="1438" spans="1:17">
      <c r="A1438" t="s">
        <v>1430</v>
      </c>
      <c r="B1438" s="3" t="s">
        <v>1021</v>
      </c>
      <c r="C1438" s="3" t="s">
        <v>1022</v>
      </c>
      <c r="D1438" s="3" t="s">
        <v>11</v>
      </c>
      <c r="E1438" s="3" t="s">
        <v>12</v>
      </c>
      <c r="F1438" s="3">
        <v>9.9000000000000005E-2</v>
      </c>
      <c r="G1438" s="74">
        <f>F1438*VLOOKUP(D1438,GWPs!$B$3:$C$6,2,FALSE)</f>
        <v>9.9000000000000005E-2</v>
      </c>
      <c r="H1438" s="3">
        <v>0</v>
      </c>
      <c r="I1438" s="74">
        <f>H1438*VLOOKUP(D1438,GWPs!$B$3:$C$6,2,FALSE)</f>
        <v>0</v>
      </c>
      <c r="J1438" s="3">
        <v>9.9000000000000005E-2</v>
      </c>
      <c r="K1438" s="74">
        <f>J1438*VLOOKUP(D1438,GWPs!$B$3:$C$6,2,FALSE)</f>
        <v>9.9000000000000005E-2</v>
      </c>
      <c r="M1438" s="3">
        <v>3</v>
      </c>
      <c r="N1438" s="3">
        <v>2</v>
      </c>
      <c r="O1438" s="3">
        <v>1</v>
      </c>
      <c r="P1438" s="3">
        <v>3</v>
      </c>
      <c r="Q1438" s="3">
        <v>1</v>
      </c>
    </row>
    <row r="1439" spans="1:17">
      <c r="A1439" t="s">
        <v>1430</v>
      </c>
      <c r="B1439" s="3" t="s">
        <v>1021</v>
      </c>
      <c r="C1439" s="3" t="s">
        <v>1022</v>
      </c>
      <c r="D1439" s="3" t="s">
        <v>13</v>
      </c>
      <c r="E1439" s="3" t="s">
        <v>12</v>
      </c>
      <c r="F1439" s="3">
        <v>0</v>
      </c>
      <c r="G1439" s="74">
        <f>F1439*VLOOKUP(D1439,GWPs!$B$3:$C$6,2,FALSE)</f>
        <v>0</v>
      </c>
      <c r="H1439" s="3">
        <v>0</v>
      </c>
      <c r="I1439" s="74">
        <f>H1439*VLOOKUP(D1439,GWPs!$B$3:$C$6,2,FALSE)</f>
        <v>0</v>
      </c>
      <c r="J1439" s="3">
        <v>0</v>
      </c>
      <c r="K1439" s="74">
        <f>J1439*VLOOKUP(D1439,GWPs!$B$3:$C$6,2,FALSE)</f>
        <v>0</v>
      </c>
      <c r="M1439" s="3">
        <v>3</v>
      </c>
      <c r="N1439" s="3">
        <v>2</v>
      </c>
      <c r="O1439" s="3">
        <v>1</v>
      </c>
      <c r="P1439" s="3">
        <v>1</v>
      </c>
      <c r="Q1439" s="3">
        <v>1</v>
      </c>
    </row>
    <row r="1440" spans="1:17">
      <c r="A1440" t="s">
        <v>1430</v>
      </c>
      <c r="B1440" s="3" t="s">
        <v>1021</v>
      </c>
      <c r="C1440" s="3" t="s">
        <v>1022</v>
      </c>
      <c r="D1440" s="3" t="s">
        <v>14</v>
      </c>
      <c r="E1440" s="3" t="s">
        <v>12</v>
      </c>
      <c r="F1440" s="3">
        <v>0</v>
      </c>
      <c r="G1440" s="74">
        <f>F1440*VLOOKUP(D1440,GWPs!$B$3:$C$6,2,FALSE)</f>
        <v>0</v>
      </c>
      <c r="H1440" s="3">
        <v>0</v>
      </c>
      <c r="I1440" s="74">
        <f>H1440*VLOOKUP(D1440,GWPs!$B$3:$C$6,2,FALSE)</f>
        <v>0</v>
      </c>
      <c r="J1440" s="3">
        <v>0</v>
      </c>
      <c r="K1440" s="74">
        <f>J1440*VLOOKUP(D1440,GWPs!$B$3:$C$6,2,FALSE)</f>
        <v>0</v>
      </c>
      <c r="M1440" s="3">
        <v>3</v>
      </c>
      <c r="N1440" s="3">
        <v>2</v>
      </c>
      <c r="O1440" s="3">
        <v>1</v>
      </c>
      <c r="P1440" s="3">
        <v>2</v>
      </c>
      <c r="Q1440" s="3">
        <v>1</v>
      </c>
    </row>
    <row r="1441" spans="1:17">
      <c r="A1441" t="s">
        <v>1430</v>
      </c>
      <c r="B1441" s="3" t="s">
        <v>1021</v>
      </c>
      <c r="C1441" s="3" t="s">
        <v>1022</v>
      </c>
      <c r="D1441" s="3" t="s">
        <v>15</v>
      </c>
      <c r="E1441" s="3" t="s">
        <v>16</v>
      </c>
      <c r="F1441" s="3">
        <v>3.0000000000000001E-3</v>
      </c>
      <c r="G1441" s="74">
        <f>F1441*VLOOKUP(D1441,GWPs!$B$3:$C$6,2,FALSE)</f>
        <v>3.0000000000000001E-3</v>
      </c>
      <c r="H1441" s="3">
        <v>0</v>
      </c>
      <c r="I1441" s="74">
        <f>H1441*VLOOKUP(D1441,GWPs!$B$3:$C$6,2,FALSE)</f>
        <v>0</v>
      </c>
      <c r="J1441" s="3">
        <v>3.0000000000000001E-3</v>
      </c>
      <c r="K1441" s="74">
        <f>J1441*VLOOKUP(D1441,GWPs!$B$3:$C$6,2,FALSE)</f>
        <v>3.0000000000000001E-3</v>
      </c>
      <c r="M1441" s="3">
        <v>3</v>
      </c>
      <c r="N1441" s="3">
        <v>2</v>
      </c>
      <c r="O1441" s="3">
        <v>1</v>
      </c>
      <c r="P1441" s="3">
        <v>3</v>
      </c>
      <c r="Q1441" s="3">
        <v>1</v>
      </c>
    </row>
    <row r="1442" spans="1:17">
      <c r="A1442" t="s">
        <v>1430</v>
      </c>
      <c r="B1442" s="3" t="s">
        <v>1023</v>
      </c>
      <c r="C1442" s="3" t="s">
        <v>1024</v>
      </c>
      <c r="D1442" s="3" t="s">
        <v>11</v>
      </c>
      <c r="E1442" s="3" t="s">
        <v>12</v>
      </c>
      <c r="F1442" s="3">
        <v>0.114</v>
      </c>
      <c r="G1442" s="74">
        <f>F1442*VLOOKUP(D1442,GWPs!$B$3:$C$6,2,FALSE)</f>
        <v>0.114</v>
      </c>
      <c r="H1442" s="3">
        <v>0</v>
      </c>
      <c r="I1442" s="74">
        <f>H1442*VLOOKUP(D1442,GWPs!$B$3:$C$6,2,FALSE)</f>
        <v>0</v>
      </c>
      <c r="J1442" s="3">
        <v>0.114</v>
      </c>
      <c r="K1442" s="74">
        <f>J1442*VLOOKUP(D1442,GWPs!$B$3:$C$6,2,FALSE)</f>
        <v>0.114</v>
      </c>
      <c r="M1442" s="3">
        <v>3</v>
      </c>
      <c r="N1442" s="3">
        <v>2</v>
      </c>
      <c r="O1442" s="3">
        <v>1</v>
      </c>
      <c r="P1442" s="3">
        <v>3</v>
      </c>
      <c r="Q1442" s="3">
        <v>1</v>
      </c>
    </row>
    <row r="1443" spans="1:17">
      <c r="A1443" t="s">
        <v>1430</v>
      </c>
      <c r="B1443" s="3" t="s">
        <v>1023</v>
      </c>
      <c r="C1443" s="3" t="s">
        <v>1024</v>
      </c>
      <c r="D1443" s="3" t="s">
        <v>13</v>
      </c>
      <c r="E1443" s="3" t="s">
        <v>12</v>
      </c>
      <c r="F1443" s="3">
        <v>1E-3</v>
      </c>
      <c r="G1443" s="74">
        <f>F1443*VLOOKUP(D1443,GWPs!$B$3:$C$6,2,FALSE)</f>
        <v>2.8000000000000001E-2</v>
      </c>
      <c r="H1443" s="3">
        <v>0</v>
      </c>
      <c r="I1443" s="74">
        <f>H1443*VLOOKUP(D1443,GWPs!$B$3:$C$6,2,FALSE)</f>
        <v>0</v>
      </c>
      <c r="J1443" s="3">
        <v>1E-3</v>
      </c>
      <c r="K1443" s="74">
        <f>J1443*VLOOKUP(D1443,GWPs!$B$3:$C$6,2,FALSE)</f>
        <v>2.8000000000000001E-2</v>
      </c>
      <c r="M1443" s="3">
        <v>3</v>
      </c>
      <c r="N1443" s="3">
        <v>2</v>
      </c>
      <c r="O1443" s="3">
        <v>1</v>
      </c>
      <c r="P1443" s="3">
        <v>1</v>
      </c>
      <c r="Q1443" s="3">
        <v>1</v>
      </c>
    </row>
    <row r="1444" spans="1:17">
      <c r="A1444" t="s">
        <v>1430</v>
      </c>
      <c r="B1444" s="3" t="s">
        <v>1023</v>
      </c>
      <c r="C1444" s="3" t="s">
        <v>1024</v>
      </c>
      <c r="D1444" s="3" t="s">
        <v>14</v>
      </c>
      <c r="E1444" s="3" t="s">
        <v>12</v>
      </c>
      <c r="F1444" s="3">
        <v>0</v>
      </c>
      <c r="G1444" s="74">
        <f>F1444*VLOOKUP(D1444,GWPs!$B$3:$C$6,2,FALSE)</f>
        <v>0</v>
      </c>
      <c r="H1444" s="3">
        <v>0</v>
      </c>
      <c r="I1444" s="74">
        <f>H1444*VLOOKUP(D1444,GWPs!$B$3:$C$6,2,FALSE)</f>
        <v>0</v>
      </c>
      <c r="J1444" s="3">
        <v>0</v>
      </c>
      <c r="K1444" s="74">
        <f>J1444*VLOOKUP(D1444,GWPs!$B$3:$C$6,2,FALSE)</f>
        <v>0</v>
      </c>
      <c r="M1444" s="3">
        <v>3</v>
      </c>
      <c r="N1444" s="3">
        <v>2</v>
      </c>
      <c r="O1444" s="3">
        <v>1</v>
      </c>
      <c r="P1444" s="3">
        <v>3</v>
      </c>
      <c r="Q1444" s="3">
        <v>1</v>
      </c>
    </row>
    <row r="1445" spans="1:17">
      <c r="A1445" t="s">
        <v>1430</v>
      </c>
      <c r="B1445" s="3" t="s">
        <v>1023</v>
      </c>
      <c r="C1445" s="3" t="s">
        <v>1024</v>
      </c>
      <c r="D1445" s="3" t="s">
        <v>15</v>
      </c>
      <c r="E1445" s="3" t="s">
        <v>16</v>
      </c>
      <c r="F1445" s="3">
        <v>3.0000000000000001E-3</v>
      </c>
      <c r="G1445" s="74">
        <f>F1445*VLOOKUP(D1445,GWPs!$B$3:$C$6,2,FALSE)</f>
        <v>3.0000000000000001E-3</v>
      </c>
      <c r="H1445" s="3">
        <v>0</v>
      </c>
      <c r="I1445" s="74">
        <f>H1445*VLOOKUP(D1445,GWPs!$B$3:$C$6,2,FALSE)</f>
        <v>0</v>
      </c>
      <c r="J1445" s="3">
        <v>3.0000000000000001E-3</v>
      </c>
      <c r="K1445" s="74">
        <f>J1445*VLOOKUP(D1445,GWPs!$B$3:$C$6,2,FALSE)</f>
        <v>3.0000000000000001E-3</v>
      </c>
      <c r="M1445" s="3">
        <v>4</v>
      </c>
      <c r="N1445" s="3">
        <v>2</v>
      </c>
      <c r="O1445" s="3">
        <v>1</v>
      </c>
      <c r="P1445" s="3">
        <v>4</v>
      </c>
      <c r="Q1445" s="3">
        <v>1</v>
      </c>
    </row>
    <row r="1446" spans="1:17">
      <c r="A1446" t="s">
        <v>1430</v>
      </c>
      <c r="B1446" s="3" t="s">
        <v>1025</v>
      </c>
      <c r="C1446" s="3" t="s">
        <v>1026</v>
      </c>
      <c r="D1446" s="3" t="s">
        <v>11</v>
      </c>
      <c r="E1446" s="3" t="s">
        <v>12</v>
      </c>
      <c r="F1446" s="3">
        <v>0.09</v>
      </c>
      <c r="G1446" s="74">
        <f>F1446*VLOOKUP(D1446,GWPs!$B$3:$C$6,2,FALSE)</f>
        <v>0.09</v>
      </c>
      <c r="H1446" s="3">
        <v>0</v>
      </c>
      <c r="I1446" s="74">
        <f>H1446*VLOOKUP(D1446,GWPs!$B$3:$C$6,2,FALSE)</f>
        <v>0</v>
      </c>
      <c r="J1446" s="3">
        <v>0.09</v>
      </c>
      <c r="K1446" s="74">
        <f>J1446*VLOOKUP(D1446,GWPs!$B$3:$C$6,2,FALSE)</f>
        <v>0.09</v>
      </c>
      <c r="M1446" s="3">
        <v>3</v>
      </c>
      <c r="N1446" s="3">
        <v>2</v>
      </c>
      <c r="O1446" s="3">
        <v>1</v>
      </c>
      <c r="P1446" s="3">
        <v>3</v>
      </c>
      <c r="Q1446" s="3">
        <v>1</v>
      </c>
    </row>
    <row r="1447" spans="1:17">
      <c r="A1447" t="s">
        <v>1430</v>
      </c>
      <c r="B1447" s="3" t="s">
        <v>1025</v>
      </c>
      <c r="C1447" s="3" t="s">
        <v>1026</v>
      </c>
      <c r="D1447" s="3" t="s">
        <v>13</v>
      </c>
      <c r="E1447" s="3" t="s">
        <v>12</v>
      </c>
      <c r="F1447" s="3">
        <v>0</v>
      </c>
      <c r="G1447" s="74">
        <f>F1447*VLOOKUP(D1447,GWPs!$B$3:$C$6,2,FALSE)</f>
        <v>0</v>
      </c>
      <c r="H1447" s="3">
        <v>0</v>
      </c>
      <c r="I1447" s="74">
        <f>H1447*VLOOKUP(D1447,GWPs!$B$3:$C$6,2,FALSE)</f>
        <v>0</v>
      </c>
      <c r="J1447" s="3">
        <v>0</v>
      </c>
      <c r="K1447" s="74">
        <f>J1447*VLOOKUP(D1447,GWPs!$B$3:$C$6,2,FALSE)</f>
        <v>0</v>
      </c>
      <c r="M1447" s="3">
        <v>3</v>
      </c>
      <c r="N1447" s="3">
        <v>2</v>
      </c>
      <c r="O1447" s="3">
        <v>1</v>
      </c>
      <c r="P1447" s="3">
        <v>1</v>
      </c>
      <c r="Q1447" s="3">
        <v>1</v>
      </c>
    </row>
    <row r="1448" spans="1:17">
      <c r="A1448" t="s">
        <v>1430</v>
      </c>
      <c r="B1448" s="3" t="s">
        <v>1025</v>
      </c>
      <c r="C1448" s="3" t="s">
        <v>1026</v>
      </c>
      <c r="D1448" s="3" t="s">
        <v>14</v>
      </c>
      <c r="E1448" s="3" t="s">
        <v>12</v>
      </c>
      <c r="F1448" s="3">
        <v>0</v>
      </c>
      <c r="G1448" s="74">
        <f>F1448*VLOOKUP(D1448,GWPs!$B$3:$C$6,2,FALSE)</f>
        <v>0</v>
      </c>
      <c r="H1448" s="3">
        <v>0</v>
      </c>
      <c r="I1448" s="74">
        <f>H1448*VLOOKUP(D1448,GWPs!$B$3:$C$6,2,FALSE)</f>
        <v>0</v>
      </c>
      <c r="J1448" s="3">
        <v>0</v>
      </c>
      <c r="K1448" s="74">
        <f>J1448*VLOOKUP(D1448,GWPs!$B$3:$C$6,2,FALSE)</f>
        <v>0</v>
      </c>
      <c r="M1448" s="3">
        <v>3</v>
      </c>
      <c r="N1448" s="3">
        <v>2</v>
      </c>
      <c r="O1448" s="3">
        <v>1</v>
      </c>
      <c r="P1448" s="3">
        <v>2</v>
      </c>
      <c r="Q1448" s="3">
        <v>1</v>
      </c>
    </row>
    <row r="1449" spans="1:17">
      <c r="A1449" t="s">
        <v>1430</v>
      </c>
      <c r="B1449" s="3" t="s">
        <v>1025</v>
      </c>
      <c r="C1449" s="3" t="s">
        <v>1026</v>
      </c>
      <c r="D1449" s="3" t="s">
        <v>15</v>
      </c>
      <c r="E1449" s="3" t="s">
        <v>16</v>
      </c>
      <c r="F1449" s="3">
        <v>2E-3</v>
      </c>
      <c r="G1449" s="74">
        <f>F1449*VLOOKUP(D1449,GWPs!$B$3:$C$6,2,FALSE)</f>
        <v>2E-3</v>
      </c>
      <c r="H1449" s="3">
        <v>0</v>
      </c>
      <c r="I1449" s="74">
        <f>H1449*VLOOKUP(D1449,GWPs!$B$3:$C$6,2,FALSE)</f>
        <v>0</v>
      </c>
      <c r="J1449" s="3">
        <v>2E-3</v>
      </c>
      <c r="K1449" s="74">
        <f>J1449*VLOOKUP(D1449,GWPs!$B$3:$C$6,2,FALSE)</f>
        <v>2E-3</v>
      </c>
      <c r="M1449" s="3">
        <v>3</v>
      </c>
      <c r="N1449" s="3">
        <v>2</v>
      </c>
      <c r="O1449" s="3">
        <v>1</v>
      </c>
      <c r="P1449" s="3">
        <v>3</v>
      </c>
      <c r="Q1449" s="3">
        <v>1</v>
      </c>
    </row>
    <row r="1450" spans="1:17">
      <c r="A1450" t="s">
        <v>1430</v>
      </c>
      <c r="B1450" s="3" t="s">
        <v>1027</v>
      </c>
      <c r="C1450" s="3" t="s">
        <v>1028</v>
      </c>
      <c r="D1450" s="3" t="s">
        <v>11</v>
      </c>
      <c r="E1450" s="3" t="s">
        <v>12</v>
      </c>
      <c r="F1450" s="3">
        <v>0.10100000000000001</v>
      </c>
      <c r="G1450" s="74">
        <f>F1450*VLOOKUP(D1450,GWPs!$B$3:$C$6,2,FALSE)</f>
        <v>0.10100000000000001</v>
      </c>
      <c r="H1450" s="3">
        <v>0</v>
      </c>
      <c r="I1450" s="74">
        <f>H1450*VLOOKUP(D1450,GWPs!$B$3:$C$6,2,FALSE)</f>
        <v>0</v>
      </c>
      <c r="J1450" s="3">
        <v>0.10100000000000001</v>
      </c>
      <c r="K1450" s="74">
        <f>J1450*VLOOKUP(D1450,GWPs!$B$3:$C$6,2,FALSE)</f>
        <v>0.10100000000000001</v>
      </c>
      <c r="M1450" s="3">
        <v>3</v>
      </c>
      <c r="N1450" s="3">
        <v>2</v>
      </c>
      <c r="O1450" s="3">
        <v>1</v>
      </c>
      <c r="P1450" s="3">
        <v>3</v>
      </c>
      <c r="Q1450" s="3">
        <v>1</v>
      </c>
    </row>
    <row r="1451" spans="1:17">
      <c r="A1451" t="s">
        <v>1430</v>
      </c>
      <c r="B1451" s="3" t="s">
        <v>1027</v>
      </c>
      <c r="C1451" s="3" t="s">
        <v>1028</v>
      </c>
      <c r="D1451" s="3" t="s">
        <v>13</v>
      </c>
      <c r="E1451" s="3" t="s">
        <v>12</v>
      </c>
      <c r="F1451" s="3">
        <v>1E-3</v>
      </c>
      <c r="G1451" s="74">
        <f>F1451*VLOOKUP(D1451,GWPs!$B$3:$C$6,2,FALSE)</f>
        <v>2.8000000000000001E-2</v>
      </c>
      <c r="H1451" s="3">
        <v>0</v>
      </c>
      <c r="I1451" s="74">
        <f>H1451*VLOOKUP(D1451,GWPs!$B$3:$C$6,2,FALSE)</f>
        <v>0</v>
      </c>
      <c r="J1451" s="3">
        <v>1E-3</v>
      </c>
      <c r="K1451" s="74">
        <f>J1451*VLOOKUP(D1451,GWPs!$B$3:$C$6,2,FALSE)</f>
        <v>2.8000000000000001E-2</v>
      </c>
      <c r="M1451" s="3">
        <v>3</v>
      </c>
      <c r="N1451" s="3">
        <v>2</v>
      </c>
      <c r="O1451" s="3">
        <v>1</v>
      </c>
      <c r="P1451" s="3">
        <v>1</v>
      </c>
      <c r="Q1451" s="3">
        <v>1</v>
      </c>
    </row>
    <row r="1452" spans="1:17">
      <c r="A1452" t="s">
        <v>1430</v>
      </c>
      <c r="B1452" s="3" t="s">
        <v>1027</v>
      </c>
      <c r="C1452" s="3" t="s">
        <v>1028</v>
      </c>
      <c r="D1452" s="3" t="s">
        <v>14</v>
      </c>
      <c r="E1452" s="3" t="s">
        <v>12</v>
      </c>
      <c r="F1452" s="3">
        <v>0</v>
      </c>
      <c r="G1452" s="74">
        <f>F1452*VLOOKUP(D1452,GWPs!$B$3:$C$6,2,FALSE)</f>
        <v>0</v>
      </c>
      <c r="H1452" s="3">
        <v>0</v>
      </c>
      <c r="I1452" s="74">
        <f>H1452*VLOOKUP(D1452,GWPs!$B$3:$C$6,2,FALSE)</f>
        <v>0</v>
      </c>
      <c r="J1452" s="3">
        <v>0</v>
      </c>
      <c r="K1452" s="74">
        <f>J1452*VLOOKUP(D1452,GWPs!$B$3:$C$6,2,FALSE)</f>
        <v>0</v>
      </c>
      <c r="M1452" s="3">
        <v>3</v>
      </c>
      <c r="N1452" s="3">
        <v>2</v>
      </c>
      <c r="O1452" s="3">
        <v>1</v>
      </c>
      <c r="P1452" s="3">
        <v>3</v>
      </c>
      <c r="Q1452" s="3">
        <v>1</v>
      </c>
    </row>
    <row r="1453" spans="1:17">
      <c r="A1453" t="s">
        <v>1430</v>
      </c>
      <c r="B1453" s="3" t="s">
        <v>1027</v>
      </c>
      <c r="C1453" s="3" t="s">
        <v>1028</v>
      </c>
      <c r="D1453" s="3" t="s">
        <v>15</v>
      </c>
      <c r="E1453" s="3" t="s">
        <v>16</v>
      </c>
      <c r="F1453" s="3">
        <v>4.0000000000000001E-3</v>
      </c>
      <c r="G1453" s="74">
        <f>F1453*VLOOKUP(D1453,GWPs!$B$3:$C$6,2,FALSE)</f>
        <v>4.0000000000000001E-3</v>
      </c>
      <c r="H1453" s="3">
        <v>0</v>
      </c>
      <c r="I1453" s="74">
        <f>H1453*VLOOKUP(D1453,GWPs!$B$3:$C$6,2,FALSE)</f>
        <v>0</v>
      </c>
      <c r="J1453" s="3">
        <v>4.0000000000000001E-3</v>
      </c>
      <c r="K1453" s="74">
        <f>J1453*VLOOKUP(D1453,GWPs!$B$3:$C$6,2,FALSE)</f>
        <v>4.0000000000000001E-3</v>
      </c>
      <c r="M1453" s="3">
        <v>4</v>
      </c>
      <c r="N1453" s="3">
        <v>2</v>
      </c>
      <c r="O1453" s="3">
        <v>1</v>
      </c>
      <c r="P1453" s="3">
        <v>4</v>
      </c>
      <c r="Q1453" s="3">
        <v>1</v>
      </c>
    </row>
    <row r="1454" spans="1:17">
      <c r="A1454" t="s">
        <v>1430</v>
      </c>
      <c r="B1454" s="3" t="s">
        <v>1029</v>
      </c>
      <c r="C1454" s="3" t="s">
        <v>1030</v>
      </c>
      <c r="D1454" s="3" t="s">
        <v>11</v>
      </c>
      <c r="E1454" s="3" t="s">
        <v>12</v>
      </c>
      <c r="F1454" s="3">
        <v>0.158</v>
      </c>
      <c r="G1454" s="74">
        <f>F1454*VLOOKUP(D1454,GWPs!$B$3:$C$6,2,FALSE)</f>
        <v>0.158</v>
      </c>
      <c r="H1454" s="3">
        <v>0</v>
      </c>
      <c r="I1454" s="74">
        <f>H1454*VLOOKUP(D1454,GWPs!$B$3:$C$6,2,FALSE)</f>
        <v>0</v>
      </c>
      <c r="J1454" s="3">
        <v>0.158</v>
      </c>
      <c r="K1454" s="74">
        <f>J1454*VLOOKUP(D1454,GWPs!$B$3:$C$6,2,FALSE)</f>
        <v>0.158</v>
      </c>
      <c r="M1454" s="3">
        <v>3</v>
      </c>
      <c r="N1454" s="3">
        <v>2</v>
      </c>
      <c r="O1454" s="3">
        <v>1</v>
      </c>
      <c r="P1454" s="3">
        <v>3</v>
      </c>
      <c r="Q1454" s="3">
        <v>1</v>
      </c>
    </row>
    <row r="1455" spans="1:17">
      <c r="A1455" t="s">
        <v>1430</v>
      </c>
      <c r="B1455" s="3" t="s">
        <v>1029</v>
      </c>
      <c r="C1455" s="3" t="s">
        <v>1030</v>
      </c>
      <c r="D1455" s="3" t="s">
        <v>13</v>
      </c>
      <c r="E1455" s="3" t="s">
        <v>12</v>
      </c>
      <c r="F1455" s="3">
        <v>1E-3</v>
      </c>
      <c r="G1455" s="74">
        <f>F1455*VLOOKUP(D1455,GWPs!$B$3:$C$6,2,FALSE)</f>
        <v>2.8000000000000001E-2</v>
      </c>
      <c r="H1455" s="3">
        <v>0</v>
      </c>
      <c r="I1455" s="74">
        <f>H1455*VLOOKUP(D1455,GWPs!$B$3:$C$6,2,FALSE)</f>
        <v>0</v>
      </c>
      <c r="J1455" s="3">
        <v>1E-3</v>
      </c>
      <c r="K1455" s="74">
        <f>J1455*VLOOKUP(D1455,GWPs!$B$3:$C$6,2,FALSE)</f>
        <v>2.8000000000000001E-2</v>
      </c>
      <c r="M1455" s="3">
        <v>3</v>
      </c>
      <c r="N1455" s="3">
        <v>2</v>
      </c>
      <c r="O1455" s="3">
        <v>1</v>
      </c>
      <c r="P1455" s="3">
        <v>1</v>
      </c>
      <c r="Q1455" s="3">
        <v>1</v>
      </c>
    </row>
    <row r="1456" spans="1:17">
      <c r="A1456" t="s">
        <v>1430</v>
      </c>
      <c r="B1456" s="3" t="s">
        <v>1029</v>
      </c>
      <c r="C1456" s="3" t="s">
        <v>1030</v>
      </c>
      <c r="D1456" s="3" t="s">
        <v>14</v>
      </c>
      <c r="E1456" s="3" t="s">
        <v>12</v>
      </c>
      <c r="F1456" s="3">
        <v>0</v>
      </c>
      <c r="G1456" s="74">
        <f>F1456*VLOOKUP(D1456,GWPs!$B$3:$C$6,2,FALSE)</f>
        <v>0</v>
      </c>
      <c r="H1456" s="3">
        <v>0</v>
      </c>
      <c r="I1456" s="74">
        <f>H1456*VLOOKUP(D1456,GWPs!$B$3:$C$6,2,FALSE)</f>
        <v>0</v>
      </c>
      <c r="J1456" s="3">
        <v>0</v>
      </c>
      <c r="K1456" s="74">
        <f>J1456*VLOOKUP(D1456,GWPs!$B$3:$C$6,2,FALSE)</f>
        <v>0</v>
      </c>
      <c r="M1456" s="3">
        <v>3</v>
      </c>
      <c r="N1456" s="3">
        <v>2</v>
      </c>
      <c r="O1456" s="3">
        <v>1</v>
      </c>
      <c r="P1456" s="3">
        <v>3</v>
      </c>
      <c r="Q1456" s="3">
        <v>1</v>
      </c>
    </row>
    <row r="1457" spans="1:17">
      <c r="A1457" t="s">
        <v>1430</v>
      </c>
      <c r="B1457" s="3" t="s">
        <v>1029</v>
      </c>
      <c r="C1457" s="3" t="s">
        <v>1030</v>
      </c>
      <c r="D1457" s="3" t="s">
        <v>15</v>
      </c>
      <c r="E1457" s="3" t="s">
        <v>16</v>
      </c>
      <c r="F1457" s="3">
        <v>7.0000000000000001E-3</v>
      </c>
      <c r="G1457" s="74">
        <f>F1457*VLOOKUP(D1457,GWPs!$B$3:$C$6,2,FALSE)</f>
        <v>7.0000000000000001E-3</v>
      </c>
      <c r="H1457" s="3">
        <v>0</v>
      </c>
      <c r="I1457" s="74">
        <f>H1457*VLOOKUP(D1457,GWPs!$B$3:$C$6,2,FALSE)</f>
        <v>0</v>
      </c>
      <c r="J1457" s="3">
        <v>7.0000000000000001E-3</v>
      </c>
      <c r="K1457" s="74">
        <f>J1457*VLOOKUP(D1457,GWPs!$B$3:$C$6,2,FALSE)</f>
        <v>7.0000000000000001E-3</v>
      </c>
      <c r="M1457" s="3">
        <v>4</v>
      </c>
      <c r="N1457" s="3">
        <v>2</v>
      </c>
      <c r="O1457" s="3">
        <v>1</v>
      </c>
      <c r="P1457" s="3">
        <v>4</v>
      </c>
      <c r="Q1457" s="3">
        <v>1</v>
      </c>
    </row>
    <row r="1458" spans="1:17">
      <c r="A1458" t="s">
        <v>1429</v>
      </c>
      <c r="B1458" s="3" t="s">
        <v>1031</v>
      </c>
      <c r="C1458" s="3" t="s">
        <v>23</v>
      </c>
      <c r="D1458" s="3" t="s">
        <v>11</v>
      </c>
      <c r="E1458" s="3" t="s">
        <v>12</v>
      </c>
      <c r="F1458" s="3">
        <v>0.14199999999999999</v>
      </c>
      <c r="G1458" s="74">
        <f>F1458*VLOOKUP(D1458,GWPs!$B$3:$C$6,2,FALSE)</f>
        <v>0.14199999999999999</v>
      </c>
      <c r="H1458" s="3">
        <v>0</v>
      </c>
      <c r="I1458" s="74">
        <f>H1458*VLOOKUP(D1458,GWPs!$B$3:$C$6,2,FALSE)</f>
        <v>0</v>
      </c>
      <c r="J1458" s="3">
        <v>0.14199999999999999</v>
      </c>
      <c r="K1458" s="74">
        <f>J1458*VLOOKUP(D1458,GWPs!$B$3:$C$6,2,FALSE)</f>
        <v>0.14199999999999999</v>
      </c>
      <c r="M1458" s="3">
        <v>3</v>
      </c>
      <c r="N1458" s="3">
        <v>2</v>
      </c>
      <c r="O1458" s="3">
        <v>1</v>
      </c>
      <c r="P1458" s="3">
        <v>3</v>
      </c>
      <c r="Q1458" s="3">
        <v>1</v>
      </c>
    </row>
    <row r="1459" spans="1:17">
      <c r="A1459" t="s">
        <v>1429</v>
      </c>
      <c r="B1459" s="3" t="s">
        <v>1031</v>
      </c>
      <c r="C1459" s="3" t="s">
        <v>23</v>
      </c>
      <c r="D1459" s="3" t="s">
        <v>13</v>
      </c>
      <c r="E1459" s="3" t="s">
        <v>12</v>
      </c>
      <c r="F1459" s="3">
        <v>1E-3</v>
      </c>
      <c r="G1459" s="74">
        <f>F1459*VLOOKUP(D1459,GWPs!$B$3:$C$6,2,FALSE)</f>
        <v>2.8000000000000001E-2</v>
      </c>
      <c r="H1459" s="3">
        <v>0</v>
      </c>
      <c r="I1459" s="74">
        <f>H1459*VLOOKUP(D1459,GWPs!$B$3:$C$6,2,FALSE)</f>
        <v>0</v>
      </c>
      <c r="J1459" s="3">
        <v>1E-3</v>
      </c>
      <c r="K1459" s="74">
        <f>J1459*VLOOKUP(D1459,GWPs!$B$3:$C$6,2,FALSE)</f>
        <v>2.8000000000000001E-2</v>
      </c>
      <c r="M1459" s="3">
        <v>3</v>
      </c>
      <c r="N1459" s="3">
        <v>2</v>
      </c>
      <c r="O1459" s="3">
        <v>1</v>
      </c>
      <c r="P1459" s="3">
        <v>1</v>
      </c>
      <c r="Q1459" s="3">
        <v>1</v>
      </c>
    </row>
    <row r="1460" spans="1:17">
      <c r="A1460" t="s">
        <v>1429</v>
      </c>
      <c r="B1460" s="3" t="s">
        <v>1031</v>
      </c>
      <c r="C1460" s="3" t="s">
        <v>23</v>
      </c>
      <c r="D1460" s="3" t="s">
        <v>14</v>
      </c>
      <c r="E1460" s="3" t="s">
        <v>12</v>
      </c>
      <c r="F1460" s="3">
        <v>0</v>
      </c>
      <c r="G1460" s="74">
        <f>F1460*VLOOKUP(D1460,GWPs!$B$3:$C$6,2,FALSE)</f>
        <v>0</v>
      </c>
      <c r="H1460" s="3">
        <v>0</v>
      </c>
      <c r="I1460" s="74">
        <f>H1460*VLOOKUP(D1460,GWPs!$B$3:$C$6,2,FALSE)</f>
        <v>0</v>
      </c>
      <c r="J1460" s="3">
        <v>0</v>
      </c>
      <c r="K1460" s="74">
        <f>J1460*VLOOKUP(D1460,GWPs!$B$3:$C$6,2,FALSE)</f>
        <v>0</v>
      </c>
      <c r="M1460" s="3">
        <v>3</v>
      </c>
      <c r="N1460" s="3">
        <v>2</v>
      </c>
      <c r="O1460" s="3">
        <v>1</v>
      </c>
      <c r="P1460" s="3">
        <v>3</v>
      </c>
      <c r="Q1460" s="3">
        <v>1</v>
      </c>
    </row>
    <row r="1461" spans="1:17">
      <c r="A1461" t="s">
        <v>1429</v>
      </c>
      <c r="B1461" s="3" t="s">
        <v>1031</v>
      </c>
      <c r="C1461" s="3" t="s">
        <v>23</v>
      </c>
      <c r="D1461" s="3" t="s">
        <v>15</v>
      </c>
      <c r="E1461" s="3" t="s">
        <v>16</v>
      </c>
      <c r="F1461" s="3">
        <v>5.0000000000000001E-3</v>
      </c>
      <c r="G1461" s="74">
        <f>F1461*VLOOKUP(D1461,GWPs!$B$3:$C$6,2,FALSE)</f>
        <v>5.0000000000000001E-3</v>
      </c>
      <c r="H1461" s="3">
        <v>0</v>
      </c>
      <c r="I1461" s="74">
        <f>H1461*VLOOKUP(D1461,GWPs!$B$3:$C$6,2,FALSE)</f>
        <v>0</v>
      </c>
      <c r="J1461" s="3">
        <v>5.0000000000000001E-3</v>
      </c>
      <c r="K1461" s="74">
        <f>J1461*VLOOKUP(D1461,GWPs!$B$3:$C$6,2,FALSE)</f>
        <v>5.0000000000000001E-3</v>
      </c>
      <c r="M1461" s="3">
        <v>4</v>
      </c>
      <c r="N1461" s="3">
        <v>2</v>
      </c>
      <c r="O1461" s="3">
        <v>1</v>
      </c>
      <c r="P1461" s="3">
        <v>4</v>
      </c>
      <c r="Q1461" s="3">
        <v>1</v>
      </c>
    </row>
    <row r="1462" spans="1:17">
      <c r="A1462" t="s">
        <v>1430</v>
      </c>
      <c r="B1462" s="3" t="s">
        <v>1032</v>
      </c>
      <c r="C1462" s="3" t="s">
        <v>1033</v>
      </c>
      <c r="D1462" s="3" t="s">
        <v>11</v>
      </c>
      <c r="E1462" s="3" t="s">
        <v>12</v>
      </c>
      <c r="F1462" s="3">
        <v>0.14099999999999999</v>
      </c>
      <c r="G1462" s="74">
        <f>F1462*VLOOKUP(D1462,GWPs!$B$3:$C$6,2,FALSE)</f>
        <v>0.14099999999999999</v>
      </c>
      <c r="H1462" s="3">
        <v>0</v>
      </c>
      <c r="I1462" s="74">
        <f>H1462*VLOOKUP(D1462,GWPs!$B$3:$C$6,2,FALSE)</f>
        <v>0</v>
      </c>
      <c r="J1462" s="3">
        <v>0.14099999999999999</v>
      </c>
      <c r="K1462" s="74">
        <f>J1462*VLOOKUP(D1462,GWPs!$B$3:$C$6,2,FALSE)</f>
        <v>0.14099999999999999</v>
      </c>
      <c r="M1462" s="3">
        <v>3</v>
      </c>
      <c r="N1462" s="3">
        <v>2</v>
      </c>
      <c r="O1462" s="3">
        <v>1</v>
      </c>
      <c r="P1462" s="3">
        <v>3</v>
      </c>
      <c r="Q1462" s="3">
        <v>1</v>
      </c>
    </row>
    <row r="1463" spans="1:17">
      <c r="A1463" t="s">
        <v>1430</v>
      </c>
      <c r="B1463" s="3" t="s">
        <v>1032</v>
      </c>
      <c r="C1463" s="3" t="s">
        <v>1033</v>
      </c>
      <c r="D1463" s="3" t="s">
        <v>13</v>
      </c>
      <c r="E1463" s="3" t="s">
        <v>12</v>
      </c>
      <c r="F1463" s="3">
        <v>1E-3</v>
      </c>
      <c r="G1463" s="74">
        <f>F1463*VLOOKUP(D1463,GWPs!$B$3:$C$6,2,FALSE)</f>
        <v>2.8000000000000001E-2</v>
      </c>
      <c r="H1463" s="3">
        <v>0</v>
      </c>
      <c r="I1463" s="74">
        <f>H1463*VLOOKUP(D1463,GWPs!$B$3:$C$6,2,FALSE)</f>
        <v>0</v>
      </c>
      <c r="J1463" s="3">
        <v>1E-3</v>
      </c>
      <c r="K1463" s="74">
        <f>J1463*VLOOKUP(D1463,GWPs!$B$3:$C$6,2,FALSE)</f>
        <v>2.8000000000000001E-2</v>
      </c>
      <c r="M1463" s="3">
        <v>3</v>
      </c>
      <c r="N1463" s="3">
        <v>2</v>
      </c>
      <c r="O1463" s="3">
        <v>1</v>
      </c>
      <c r="P1463" s="3">
        <v>1</v>
      </c>
      <c r="Q1463" s="3">
        <v>1</v>
      </c>
    </row>
    <row r="1464" spans="1:17">
      <c r="A1464" t="s">
        <v>1430</v>
      </c>
      <c r="B1464" s="3" t="s">
        <v>1032</v>
      </c>
      <c r="C1464" s="3" t="s">
        <v>1033</v>
      </c>
      <c r="D1464" s="3" t="s">
        <v>14</v>
      </c>
      <c r="E1464" s="3" t="s">
        <v>12</v>
      </c>
      <c r="F1464" s="3">
        <v>0</v>
      </c>
      <c r="G1464" s="74">
        <f>F1464*VLOOKUP(D1464,GWPs!$B$3:$C$6,2,FALSE)</f>
        <v>0</v>
      </c>
      <c r="H1464" s="3">
        <v>0</v>
      </c>
      <c r="I1464" s="74">
        <f>H1464*VLOOKUP(D1464,GWPs!$B$3:$C$6,2,FALSE)</f>
        <v>0</v>
      </c>
      <c r="J1464" s="3">
        <v>0</v>
      </c>
      <c r="K1464" s="74">
        <f>J1464*VLOOKUP(D1464,GWPs!$B$3:$C$6,2,FALSE)</f>
        <v>0</v>
      </c>
      <c r="M1464" s="3">
        <v>4</v>
      </c>
      <c r="N1464" s="3">
        <v>2</v>
      </c>
      <c r="O1464" s="3">
        <v>1</v>
      </c>
      <c r="P1464" s="3">
        <v>3</v>
      </c>
      <c r="Q1464" s="3">
        <v>1</v>
      </c>
    </row>
    <row r="1465" spans="1:17">
      <c r="A1465" t="s">
        <v>1430</v>
      </c>
      <c r="B1465" s="3" t="s">
        <v>1032</v>
      </c>
      <c r="C1465" s="3" t="s">
        <v>1033</v>
      </c>
      <c r="D1465" s="3" t="s">
        <v>15</v>
      </c>
      <c r="E1465" s="3" t="s">
        <v>16</v>
      </c>
      <c r="F1465" s="3">
        <v>5.0000000000000001E-3</v>
      </c>
      <c r="G1465" s="74">
        <f>F1465*VLOOKUP(D1465,GWPs!$B$3:$C$6,2,FALSE)</f>
        <v>5.0000000000000001E-3</v>
      </c>
      <c r="H1465" s="3">
        <v>0</v>
      </c>
      <c r="I1465" s="74">
        <f>H1465*VLOOKUP(D1465,GWPs!$B$3:$C$6,2,FALSE)</f>
        <v>0</v>
      </c>
      <c r="J1465" s="3">
        <v>5.0000000000000001E-3</v>
      </c>
      <c r="K1465" s="74">
        <f>J1465*VLOOKUP(D1465,GWPs!$B$3:$C$6,2,FALSE)</f>
        <v>5.0000000000000001E-3</v>
      </c>
      <c r="M1465" s="3">
        <v>4</v>
      </c>
      <c r="N1465" s="3">
        <v>2</v>
      </c>
      <c r="O1465" s="3">
        <v>1</v>
      </c>
      <c r="P1465" s="3">
        <v>5</v>
      </c>
      <c r="Q1465" s="3">
        <v>1</v>
      </c>
    </row>
    <row r="1466" spans="1:17">
      <c r="A1466" t="s">
        <v>1430</v>
      </c>
      <c r="B1466" s="3" t="s">
        <v>1034</v>
      </c>
      <c r="C1466" s="3" t="s">
        <v>1035</v>
      </c>
      <c r="D1466" s="3" t="s">
        <v>11</v>
      </c>
      <c r="E1466" s="3" t="s">
        <v>12</v>
      </c>
      <c r="F1466" s="3">
        <v>0.13900000000000001</v>
      </c>
      <c r="G1466" s="74">
        <f>F1466*VLOOKUP(D1466,GWPs!$B$3:$C$6,2,FALSE)</f>
        <v>0.13900000000000001</v>
      </c>
      <c r="H1466" s="3">
        <v>0</v>
      </c>
      <c r="I1466" s="74">
        <f>H1466*VLOOKUP(D1466,GWPs!$B$3:$C$6,2,FALSE)</f>
        <v>0</v>
      </c>
      <c r="J1466" s="3">
        <v>0.13900000000000001</v>
      </c>
      <c r="K1466" s="74">
        <f>J1466*VLOOKUP(D1466,GWPs!$B$3:$C$6,2,FALSE)</f>
        <v>0.13900000000000001</v>
      </c>
      <c r="M1466" s="3">
        <v>3</v>
      </c>
      <c r="N1466" s="3">
        <v>2</v>
      </c>
      <c r="O1466" s="3">
        <v>1</v>
      </c>
      <c r="P1466" s="3">
        <v>3</v>
      </c>
      <c r="Q1466" s="3">
        <v>1</v>
      </c>
    </row>
    <row r="1467" spans="1:17">
      <c r="A1467" t="s">
        <v>1430</v>
      </c>
      <c r="B1467" s="3" t="s">
        <v>1034</v>
      </c>
      <c r="C1467" s="3" t="s">
        <v>1035</v>
      </c>
      <c r="D1467" s="3" t="s">
        <v>13</v>
      </c>
      <c r="E1467" s="3" t="s">
        <v>12</v>
      </c>
      <c r="F1467" s="3">
        <v>2E-3</v>
      </c>
      <c r="G1467" s="74">
        <f>F1467*VLOOKUP(D1467,GWPs!$B$3:$C$6,2,FALSE)</f>
        <v>5.6000000000000001E-2</v>
      </c>
      <c r="H1467" s="3">
        <v>0</v>
      </c>
      <c r="I1467" s="74">
        <f>H1467*VLOOKUP(D1467,GWPs!$B$3:$C$6,2,FALSE)</f>
        <v>0</v>
      </c>
      <c r="J1467" s="3">
        <v>2E-3</v>
      </c>
      <c r="K1467" s="74">
        <f>J1467*VLOOKUP(D1467,GWPs!$B$3:$C$6,2,FALSE)</f>
        <v>5.6000000000000001E-2</v>
      </c>
      <c r="M1467" s="3">
        <v>3</v>
      </c>
      <c r="N1467" s="3">
        <v>2</v>
      </c>
      <c r="O1467" s="3">
        <v>1</v>
      </c>
      <c r="P1467" s="3">
        <v>1</v>
      </c>
      <c r="Q1467" s="3">
        <v>1</v>
      </c>
    </row>
    <row r="1468" spans="1:17">
      <c r="A1468" t="s">
        <v>1430</v>
      </c>
      <c r="B1468" s="3" t="s">
        <v>1034</v>
      </c>
      <c r="C1468" s="3" t="s">
        <v>1035</v>
      </c>
      <c r="D1468" s="3" t="s">
        <v>14</v>
      </c>
      <c r="E1468" s="3" t="s">
        <v>12</v>
      </c>
      <c r="F1468" s="3">
        <v>0</v>
      </c>
      <c r="G1468" s="74">
        <f>F1468*VLOOKUP(D1468,GWPs!$B$3:$C$6,2,FALSE)</f>
        <v>0</v>
      </c>
      <c r="H1468" s="3">
        <v>0</v>
      </c>
      <c r="I1468" s="74">
        <f>H1468*VLOOKUP(D1468,GWPs!$B$3:$C$6,2,FALSE)</f>
        <v>0</v>
      </c>
      <c r="J1468" s="3">
        <v>0</v>
      </c>
      <c r="K1468" s="74">
        <f>J1468*VLOOKUP(D1468,GWPs!$B$3:$C$6,2,FALSE)</f>
        <v>0</v>
      </c>
      <c r="M1468" s="3">
        <v>4</v>
      </c>
      <c r="N1468" s="3">
        <v>2</v>
      </c>
      <c r="O1468" s="3">
        <v>1</v>
      </c>
      <c r="P1468" s="3">
        <v>4</v>
      </c>
      <c r="Q1468" s="3">
        <v>1</v>
      </c>
    </row>
    <row r="1469" spans="1:17">
      <c r="A1469" t="s">
        <v>1430</v>
      </c>
      <c r="B1469" s="3" t="s">
        <v>1034</v>
      </c>
      <c r="C1469" s="3" t="s">
        <v>1035</v>
      </c>
      <c r="D1469" s="3" t="s">
        <v>15</v>
      </c>
      <c r="E1469" s="3" t="s">
        <v>16</v>
      </c>
      <c r="F1469" s="3">
        <v>8.9999999999999993E-3</v>
      </c>
      <c r="G1469" s="74">
        <f>F1469*VLOOKUP(D1469,GWPs!$B$3:$C$6,2,FALSE)</f>
        <v>8.9999999999999993E-3</v>
      </c>
      <c r="H1469" s="3">
        <v>0</v>
      </c>
      <c r="I1469" s="74">
        <f>H1469*VLOOKUP(D1469,GWPs!$B$3:$C$6,2,FALSE)</f>
        <v>0</v>
      </c>
      <c r="J1469" s="3">
        <v>8.9999999999999993E-3</v>
      </c>
      <c r="K1469" s="74">
        <f>J1469*VLOOKUP(D1469,GWPs!$B$3:$C$6,2,FALSE)</f>
        <v>8.9999999999999993E-3</v>
      </c>
      <c r="M1469" s="3">
        <v>4</v>
      </c>
      <c r="N1469" s="3">
        <v>2</v>
      </c>
      <c r="O1469" s="3">
        <v>1</v>
      </c>
      <c r="P1469" s="3">
        <v>5</v>
      </c>
      <c r="Q1469" s="3">
        <v>1</v>
      </c>
    </row>
    <row r="1470" spans="1:17">
      <c r="A1470" t="s">
        <v>1429</v>
      </c>
      <c r="B1470" s="3" t="s">
        <v>1036</v>
      </c>
      <c r="C1470" s="3" t="s">
        <v>1037</v>
      </c>
      <c r="D1470" s="3" t="s">
        <v>11</v>
      </c>
      <c r="E1470" s="3" t="s">
        <v>12</v>
      </c>
      <c r="F1470" s="3">
        <v>0.13700000000000001</v>
      </c>
      <c r="G1470" s="74">
        <f>F1470*VLOOKUP(D1470,GWPs!$B$3:$C$6,2,FALSE)</f>
        <v>0.13700000000000001</v>
      </c>
      <c r="H1470" s="3">
        <v>0</v>
      </c>
      <c r="I1470" s="74">
        <f>H1470*VLOOKUP(D1470,GWPs!$B$3:$C$6,2,FALSE)</f>
        <v>0</v>
      </c>
      <c r="J1470" s="3">
        <v>0.13700000000000001</v>
      </c>
      <c r="K1470" s="74">
        <f>J1470*VLOOKUP(D1470,GWPs!$B$3:$C$6,2,FALSE)</f>
        <v>0.13700000000000001</v>
      </c>
      <c r="M1470" s="3">
        <v>3</v>
      </c>
      <c r="N1470" s="3">
        <v>2</v>
      </c>
      <c r="O1470" s="3">
        <v>1</v>
      </c>
      <c r="P1470" s="3">
        <v>3</v>
      </c>
      <c r="Q1470" s="3">
        <v>1</v>
      </c>
    </row>
    <row r="1471" spans="1:17">
      <c r="A1471" t="s">
        <v>1429</v>
      </c>
      <c r="B1471" s="3" t="s">
        <v>1036</v>
      </c>
      <c r="C1471" s="3" t="s">
        <v>1037</v>
      </c>
      <c r="D1471" s="3" t="s">
        <v>13</v>
      </c>
      <c r="E1471" s="3" t="s">
        <v>12</v>
      </c>
      <c r="F1471" s="3">
        <v>1E-3</v>
      </c>
      <c r="G1471" s="74">
        <f>F1471*VLOOKUP(D1471,GWPs!$B$3:$C$6,2,FALSE)</f>
        <v>2.8000000000000001E-2</v>
      </c>
      <c r="H1471" s="3">
        <v>0</v>
      </c>
      <c r="I1471" s="74">
        <f>H1471*VLOOKUP(D1471,GWPs!$B$3:$C$6,2,FALSE)</f>
        <v>0</v>
      </c>
      <c r="J1471" s="3">
        <v>1E-3</v>
      </c>
      <c r="K1471" s="74">
        <f>J1471*VLOOKUP(D1471,GWPs!$B$3:$C$6,2,FALSE)</f>
        <v>2.8000000000000001E-2</v>
      </c>
      <c r="M1471" s="3">
        <v>3</v>
      </c>
      <c r="N1471" s="3">
        <v>2</v>
      </c>
      <c r="O1471" s="3">
        <v>1</v>
      </c>
      <c r="P1471" s="3">
        <v>1</v>
      </c>
      <c r="Q1471" s="3">
        <v>1</v>
      </c>
    </row>
    <row r="1472" spans="1:17">
      <c r="A1472" t="s">
        <v>1429</v>
      </c>
      <c r="B1472" s="3" t="s">
        <v>1036</v>
      </c>
      <c r="C1472" s="3" t="s">
        <v>1037</v>
      </c>
      <c r="D1472" s="3" t="s">
        <v>14</v>
      </c>
      <c r="E1472" s="3" t="s">
        <v>12</v>
      </c>
      <c r="F1472" s="3">
        <v>0</v>
      </c>
      <c r="G1472" s="74">
        <f>F1472*VLOOKUP(D1472,GWPs!$B$3:$C$6,2,FALSE)</f>
        <v>0</v>
      </c>
      <c r="H1472" s="3">
        <v>0</v>
      </c>
      <c r="I1472" s="74">
        <f>H1472*VLOOKUP(D1472,GWPs!$B$3:$C$6,2,FALSE)</f>
        <v>0</v>
      </c>
      <c r="J1472" s="3">
        <v>0</v>
      </c>
      <c r="K1472" s="74">
        <f>J1472*VLOOKUP(D1472,GWPs!$B$3:$C$6,2,FALSE)</f>
        <v>0</v>
      </c>
      <c r="M1472" s="3">
        <v>4</v>
      </c>
      <c r="N1472" s="3">
        <v>2</v>
      </c>
      <c r="O1472" s="3">
        <v>1</v>
      </c>
      <c r="P1472" s="3">
        <v>4</v>
      </c>
      <c r="Q1472" s="3">
        <v>1</v>
      </c>
    </row>
    <row r="1473" spans="1:17">
      <c r="A1473" t="s">
        <v>1429</v>
      </c>
      <c r="B1473" s="3" t="s">
        <v>1036</v>
      </c>
      <c r="C1473" s="3" t="s">
        <v>1037</v>
      </c>
      <c r="D1473" s="3" t="s">
        <v>15</v>
      </c>
      <c r="E1473" s="3" t="s">
        <v>16</v>
      </c>
      <c r="F1473" s="3">
        <v>4.0000000000000001E-3</v>
      </c>
      <c r="G1473" s="74">
        <f>F1473*VLOOKUP(D1473,GWPs!$B$3:$C$6,2,FALSE)</f>
        <v>4.0000000000000001E-3</v>
      </c>
      <c r="H1473" s="3">
        <v>0</v>
      </c>
      <c r="I1473" s="74">
        <f>H1473*VLOOKUP(D1473,GWPs!$B$3:$C$6,2,FALSE)</f>
        <v>0</v>
      </c>
      <c r="J1473" s="3">
        <v>4.0000000000000001E-3</v>
      </c>
      <c r="K1473" s="74">
        <f>J1473*VLOOKUP(D1473,GWPs!$B$3:$C$6,2,FALSE)</f>
        <v>4.0000000000000001E-3</v>
      </c>
      <c r="M1473" s="3">
        <v>4</v>
      </c>
      <c r="N1473" s="3">
        <v>2</v>
      </c>
      <c r="O1473" s="3">
        <v>1</v>
      </c>
      <c r="P1473" s="3">
        <v>4</v>
      </c>
      <c r="Q1473" s="3">
        <v>1</v>
      </c>
    </row>
    <row r="1474" spans="1:17">
      <c r="A1474" t="s">
        <v>1429</v>
      </c>
      <c r="B1474" s="3" t="s">
        <v>1038</v>
      </c>
      <c r="C1474" s="3" t="s">
        <v>1039</v>
      </c>
      <c r="D1474" s="3" t="s">
        <v>11</v>
      </c>
      <c r="E1474" s="3" t="s">
        <v>12</v>
      </c>
      <c r="F1474" s="3">
        <v>0.155</v>
      </c>
      <c r="G1474" s="74">
        <f>F1474*VLOOKUP(D1474,GWPs!$B$3:$C$6,2,FALSE)</f>
        <v>0.155</v>
      </c>
      <c r="H1474" s="3">
        <v>0</v>
      </c>
      <c r="I1474" s="74">
        <f>H1474*VLOOKUP(D1474,GWPs!$B$3:$C$6,2,FALSE)</f>
        <v>0</v>
      </c>
      <c r="J1474" s="3">
        <v>0.155</v>
      </c>
      <c r="K1474" s="74">
        <f>J1474*VLOOKUP(D1474,GWPs!$B$3:$C$6,2,FALSE)</f>
        <v>0.155</v>
      </c>
      <c r="M1474" s="3">
        <v>3</v>
      </c>
      <c r="N1474" s="3">
        <v>2</v>
      </c>
      <c r="O1474" s="3">
        <v>1</v>
      </c>
      <c r="P1474" s="3">
        <v>3</v>
      </c>
      <c r="Q1474" s="3">
        <v>1</v>
      </c>
    </row>
    <row r="1475" spans="1:17">
      <c r="A1475" t="s">
        <v>1429</v>
      </c>
      <c r="B1475" s="3" t="s">
        <v>1038</v>
      </c>
      <c r="C1475" s="3" t="s">
        <v>1039</v>
      </c>
      <c r="D1475" s="3" t="s">
        <v>13</v>
      </c>
      <c r="E1475" s="3" t="s">
        <v>12</v>
      </c>
      <c r="F1475" s="3">
        <v>2E-3</v>
      </c>
      <c r="G1475" s="74">
        <f>F1475*VLOOKUP(D1475,GWPs!$B$3:$C$6,2,FALSE)</f>
        <v>5.6000000000000001E-2</v>
      </c>
      <c r="H1475" s="3">
        <v>0</v>
      </c>
      <c r="I1475" s="74">
        <f>H1475*VLOOKUP(D1475,GWPs!$B$3:$C$6,2,FALSE)</f>
        <v>0</v>
      </c>
      <c r="J1475" s="3">
        <v>2E-3</v>
      </c>
      <c r="K1475" s="74">
        <f>J1475*VLOOKUP(D1475,GWPs!$B$3:$C$6,2,FALSE)</f>
        <v>5.6000000000000001E-2</v>
      </c>
      <c r="M1475" s="3">
        <v>3</v>
      </c>
      <c r="N1475" s="3">
        <v>2</v>
      </c>
      <c r="O1475" s="3">
        <v>1</v>
      </c>
      <c r="P1475" s="3">
        <v>1</v>
      </c>
      <c r="Q1475" s="3">
        <v>1</v>
      </c>
    </row>
    <row r="1476" spans="1:17">
      <c r="A1476" t="s">
        <v>1429</v>
      </c>
      <c r="B1476" s="3" t="s">
        <v>1038</v>
      </c>
      <c r="C1476" s="3" t="s">
        <v>1039</v>
      </c>
      <c r="D1476" s="3" t="s">
        <v>14</v>
      </c>
      <c r="E1476" s="3" t="s">
        <v>12</v>
      </c>
      <c r="F1476" s="3">
        <v>0</v>
      </c>
      <c r="G1476" s="74">
        <f>F1476*VLOOKUP(D1476,GWPs!$B$3:$C$6,2,FALSE)</f>
        <v>0</v>
      </c>
      <c r="H1476" s="3">
        <v>0</v>
      </c>
      <c r="I1476" s="74">
        <f>H1476*VLOOKUP(D1476,GWPs!$B$3:$C$6,2,FALSE)</f>
        <v>0</v>
      </c>
      <c r="J1476" s="3">
        <v>0</v>
      </c>
      <c r="K1476" s="74">
        <f>J1476*VLOOKUP(D1476,GWPs!$B$3:$C$6,2,FALSE)</f>
        <v>0</v>
      </c>
      <c r="M1476" s="3">
        <v>4</v>
      </c>
      <c r="N1476" s="3">
        <v>2</v>
      </c>
      <c r="O1476" s="3">
        <v>1</v>
      </c>
      <c r="P1476" s="3">
        <v>3</v>
      </c>
      <c r="Q1476" s="3">
        <v>1</v>
      </c>
    </row>
    <row r="1477" spans="1:17">
      <c r="A1477" t="s">
        <v>1429</v>
      </c>
      <c r="B1477" s="3" t="s">
        <v>1038</v>
      </c>
      <c r="C1477" s="3" t="s">
        <v>1039</v>
      </c>
      <c r="D1477" s="3" t="s">
        <v>15</v>
      </c>
      <c r="E1477" s="3" t="s">
        <v>16</v>
      </c>
      <c r="F1477" s="3">
        <v>4.0000000000000001E-3</v>
      </c>
      <c r="G1477" s="74">
        <f>F1477*VLOOKUP(D1477,GWPs!$B$3:$C$6,2,FALSE)</f>
        <v>4.0000000000000001E-3</v>
      </c>
      <c r="H1477" s="3">
        <v>0</v>
      </c>
      <c r="I1477" s="74">
        <f>H1477*VLOOKUP(D1477,GWPs!$B$3:$C$6,2,FALSE)</f>
        <v>0</v>
      </c>
      <c r="J1477" s="3">
        <v>4.0000000000000001E-3</v>
      </c>
      <c r="K1477" s="74">
        <f>J1477*VLOOKUP(D1477,GWPs!$B$3:$C$6,2,FALSE)</f>
        <v>4.0000000000000001E-3</v>
      </c>
      <c r="M1477" s="3">
        <v>4</v>
      </c>
      <c r="N1477" s="3">
        <v>2</v>
      </c>
      <c r="O1477" s="3">
        <v>1</v>
      </c>
      <c r="P1477" s="3">
        <v>4</v>
      </c>
      <c r="Q1477" s="3">
        <v>1</v>
      </c>
    </row>
    <row r="1478" spans="1:17">
      <c r="A1478" t="s">
        <v>1429</v>
      </c>
      <c r="B1478" s="3" t="s">
        <v>1040</v>
      </c>
      <c r="C1478" s="3" t="s">
        <v>1041</v>
      </c>
      <c r="D1478" s="3" t="s">
        <v>11</v>
      </c>
      <c r="E1478" s="3" t="s">
        <v>12</v>
      </c>
      <c r="F1478" s="3">
        <v>0.21099999999999999</v>
      </c>
      <c r="G1478" s="74">
        <f>F1478*VLOOKUP(D1478,GWPs!$B$3:$C$6,2,FALSE)</f>
        <v>0.21099999999999999</v>
      </c>
      <c r="H1478" s="3">
        <v>0</v>
      </c>
      <c r="I1478" s="74">
        <f>H1478*VLOOKUP(D1478,GWPs!$B$3:$C$6,2,FALSE)</f>
        <v>0</v>
      </c>
      <c r="J1478" s="3">
        <v>0.21099999999999999</v>
      </c>
      <c r="K1478" s="74">
        <f>J1478*VLOOKUP(D1478,GWPs!$B$3:$C$6,2,FALSE)</f>
        <v>0.21099999999999999</v>
      </c>
      <c r="M1478" s="3">
        <v>3</v>
      </c>
      <c r="N1478" s="3">
        <v>2</v>
      </c>
      <c r="O1478" s="3">
        <v>1</v>
      </c>
      <c r="P1478" s="3">
        <v>3</v>
      </c>
      <c r="Q1478" s="3">
        <v>1</v>
      </c>
    </row>
    <row r="1479" spans="1:17">
      <c r="A1479" t="s">
        <v>1429</v>
      </c>
      <c r="B1479" s="3" t="s">
        <v>1040</v>
      </c>
      <c r="C1479" s="3" t="s">
        <v>1041</v>
      </c>
      <c r="D1479" s="3" t="s">
        <v>13</v>
      </c>
      <c r="E1479" s="3" t="s">
        <v>12</v>
      </c>
      <c r="F1479" s="3">
        <v>3.0000000000000001E-3</v>
      </c>
      <c r="G1479" s="74">
        <f>F1479*VLOOKUP(D1479,GWPs!$B$3:$C$6,2,FALSE)</f>
        <v>8.4000000000000005E-2</v>
      </c>
      <c r="H1479" s="3">
        <v>0</v>
      </c>
      <c r="I1479" s="74">
        <f>H1479*VLOOKUP(D1479,GWPs!$B$3:$C$6,2,FALSE)</f>
        <v>0</v>
      </c>
      <c r="J1479" s="3">
        <v>3.0000000000000001E-3</v>
      </c>
      <c r="K1479" s="74">
        <f>J1479*VLOOKUP(D1479,GWPs!$B$3:$C$6,2,FALSE)</f>
        <v>8.4000000000000005E-2</v>
      </c>
      <c r="M1479" s="3">
        <v>3</v>
      </c>
      <c r="N1479" s="3">
        <v>2</v>
      </c>
      <c r="O1479" s="3">
        <v>1</v>
      </c>
      <c r="P1479" s="3">
        <v>1</v>
      </c>
      <c r="Q1479" s="3">
        <v>1</v>
      </c>
    </row>
    <row r="1480" spans="1:17">
      <c r="A1480" t="s">
        <v>1429</v>
      </c>
      <c r="B1480" s="3" t="s">
        <v>1040</v>
      </c>
      <c r="C1480" s="3" t="s">
        <v>1041</v>
      </c>
      <c r="D1480" s="3" t="s">
        <v>14</v>
      </c>
      <c r="E1480" s="3" t="s">
        <v>12</v>
      </c>
      <c r="F1480" s="3">
        <v>0</v>
      </c>
      <c r="G1480" s="74">
        <f>F1480*VLOOKUP(D1480,GWPs!$B$3:$C$6,2,FALSE)</f>
        <v>0</v>
      </c>
      <c r="H1480" s="3">
        <v>0</v>
      </c>
      <c r="I1480" s="74">
        <f>H1480*VLOOKUP(D1480,GWPs!$B$3:$C$6,2,FALSE)</f>
        <v>0</v>
      </c>
      <c r="J1480" s="3">
        <v>0</v>
      </c>
      <c r="K1480" s="74">
        <f>J1480*VLOOKUP(D1480,GWPs!$B$3:$C$6,2,FALSE)</f>
        <v>0</v>
      </c>
      <c r="M1480" s="3">
        <v>4</v>
      </c>
      <c r="N1480" s="3">
        <v>2</v>
      </c>
      <c r="O1480" s="3">
        <v>1</v>
      </c>
      <c r="P1480" s="3">
        <v>4</v>
      </c>
      <c r="Q1480" s="3">
        <v>1</v>
      </c>
    </row>
    <row r="1481" spans="1:17">
      <c r="A1481" t="s">
        <v>1429</v>
      </c>
      <c r="B1481" s="3" t="s">
        <v>1040</v>
      </c>
      <c r="C1481" s="3" t="s">
        <v>1041</v>
      </c>
      <c r="D1481" s="3" t="s">
        <v>15</v>
      </c>
      <c r="E1481" s="3" t="s">
        <v>16</v>
      </c>
      <c r="F1481" s="3">
        <v>8.0000000000000002E-3</v>
      </c>
      <c r="G1481" s="74">
        <f>F1481*VLOOKUP(D1481,GWPs!$B$3:$C$6,2,FALSE)</f>
        <v>8.0000000000000002E-3</v>
      </c>
      <c r="H1481" s="3">
        <v>0</v>
      </c>
      <c r="I1481" s="74">
        <f>H1481*VLOOKUP(D1481,GWPs!$B$3:$C$6,2,FALSE)</f>
        <v>0</v>
      </c>
      <c r="J1481" s="3">
        <v>8.0000000000000002E-3</v>
      </c>
      <c r="K1481" s="74">
        <f>J1481*VLOOKUP(D1481,GWPs!$B$3:$C$6,2,FALSE)</f>
        <v>8.0000000000000002E-3</v>
      </c>
      <c r="M1481" s="3">
        <v>4</v>
      </c>
      <c r="N1481" s="3">
        <v>2</v>
      </c>
      <c r="O1481" s="3">
        <v>1</v>
      </c>
      <c r="P1481" s="3">
        <v>4</v>
      </c>
      <c r="Q1481" s="3">
        <v>1</v>
      </c>
    </row>
    <row r="1482" spans="1:17">
      <c r="A1482" t="s">
        <v>1429</v>
      </c>
      <c r="B1482" s="3" t="s">
        <v>1042</v>
      </c>
      <c r="C1482" s="3" t="s">
        <v>1043</v>
      </c>
      <c r="D1482" s="3" t="s">
        <v>11</v>
      </c>
      <c r="E1482" s="3" t="s">
        <v>12</v>
      </c>
      <c r="F1482" s="3">
        <v>8.5000000000000006E-2</v>
      </c>
      <c r="G1482" s="74">
        <f>F1482*VLOOKUP(D1482,GWPs!$B$3:$C$6,2,FALSE)</f>
        <v>8.5000000000000006E-2</v>
      </c>
      <c r="H1482" s="3">
        <v>0</v>
      </c>
      <c r="I1482" s="74">
        <f>H1482*VLOOKUP(D1482,GWPs!$B$3:$C$6,2,FALSE)</f>
        <v>0</v>
      </c>
      <c r="J1482" s="3">
        <v>8.5000000000000006E-2</v>
      </c>
      <c r="K1482" s="74">
        <f>J1482*VLOOKUP(D1482,GWPs!$B$3:$C$6,2,FALSE)</f>
        <v>8.5000000000000006E-2</v>
      </c>
      <c r="M1482" s="3">
        <v>3</v>
      </c>
      <c r="N1482" s="3">
        <v>2</v>
      </c>
      <c r="O1482" s="3">
        <v>1</v>
      </c>
      <c r="P1482" s="3">
        <v>3</v>
      </c>
      <c r="Q1482" s="3">
        <v>1</v>
      </c>
    </row>
    <row r="1483" spans="1:17">
      <c r="A1483" t="s">
        <v>1429</v>
      </c>
      <c r="B1483" s="3" t="s">
        <v>1042</v>
      </c>
      <c r="C1483" s="3" t="s">
        <v>1043</v>
      </c>
      <c r="D1483" s="3" t="s">
        <v>13</v>
      </c>
      <c r="E1483" s="3" t="s">
        <v>12</v>
      </c>
      <c r="F1483" s="3">
        <v>0</v>
      </c>
      <c r="G1483" s="74">
        <f>F1483*VLOOKUP(D1483,GWPs!$B$3:$C$6,2,FALSE)</f>
        <v>0</v>
      </c>
      <c r="H1483" s="3">
        <v>0</v>
      </c>
      <c r="I1483" s="74">
        <f>H1483*VLOOKUP(D1483,GWPs!$B$3:$C$6,2,FALSE)</f>
        <v>0</v>
      </c>
      <c r="J1483" s="3">
        <v>0</v>
      </c>
      <c r="K1483" s="74">
        <f>J1483*VLOOKUP(D1483,GWPs!$B$3:$C$6,2,FALSE)</f>
        <v>0</v>
      </c>
      <c r="M1483" s="3">
        <v>3</v>
      </c>
      <c r="N1483" s="3">
        <v>2</v>
      </c>
      <c r="O1483" s="3">
        <v>1</v>
      </c>
      <c r="P1483" s="3">
        <v>1</v>
      </c>
      <c r="Q1483" s="3">
        <v>1</v>
      </c>
    </row>
    <row r="1484" spans="1:17">
      <c r="A1484" t="s">
        <v>1429</v>
      </c>
      <c r="B1484" s="3" t="s">
        <v>1042</v>
      </c>
      <c r="C1484" s="3" t="s">
        <v>1043</v>
      </c>
      <c r="D1484" s="3" t="s">
        <v>14</v>
      </c>
      <c r="E1484" s="3" t="s">
        <v>12</v>
      </c>
      <c r="F1484" s="3">
        <v>0</v>
      </c>
      <c r="G1484" s="74">
        <f>F1484*VLOOKUP(D1484,GWPs!$B$3:$C$6,2,FALSE)</f>
        <v>0</v>
      </c>
      <c r="H1484" s="3">
        <v>0</v>
      </c>
      <c r="I1484" s="74">
        <f>H1484*VLOOKUP(D1484,GWPs!$B$3:$C$6,2,FALSE)</f>
        <v>0</v>
      </c>
      <c r="J1484" s="3">
        <v>0</v>
      </c>
      <c r="K1484" s="74">
        <f>J1484*VLOOKUP(D1484,GWPs!$B$3:$C$6,2,FALSE)</f>
        <v>0</v>
      </c>
      <c r="M1484" s="3">
        <v>3</v>
      </c>
      <c r="N1484" s="3">
        <v>2</v>
      </c>
      <c r="O1484" s="3">
        <v>1</v>
      </c>
      <c r="P1484" s="3">
        <v>3</v>
      </c>
      <c r="Q1484" s="3">
        <v>1</v>
      </c>
    </row>
    <row r="1485" spans="1:17">
      <c r="A1485" t="s">
        <v>1429</v>
      </c>
      <c r="B1485" s="3" t="s">
        <v>1042</v>
      </c>
      <c r="C1485" s="3" t="s">
        <v>1043</v>
      </c>
      <c r="D1485" s="3" t="s">
        <v>15</v>
      </c>
      <c r="E1485" s="3" t="s">
        <v>16</v>
      </c>
      <c r="F1485" s="3">
        <v>2E-3</v>
      </c>
      <c r="G1485" s="74">
        <f>F1485*VLOOKUP(D1485,GWPs!$B$3:$C$6,2,FALSE)</f>
        <v>2E-3</v>
      </c>
      <c r="H1485" s="3">
        <v>0</v>
      </c>
      <c r="I1485" s="74">
        <f>H1485*VLOOKUP(D1485,GWPs!$B$3:$C$6,2,FALSE)</f>
        <v>0</v>
      </c>
      <c r="J1485" s="3">
        <v>2E-3</v>
      </c>
      <c r="K1485" s="74">
        <f>J1485*VLOOKUP(D1485,GWPs!$B$3:$C$6,2,FALSE)</f>
        <v>2E-3</v>
      </c>
      <c r="M1485" s="3">
        <v>4</v>
      </c>
      <c r="N1485" s="3">
        <v>2</v>
      </c>
      <c r="O1485" s="3">
        <v>1</v>
      </c>
      <c r="P1485" s="3">
        <v>4</v>
      </c>
      <c r="Q1485" s="3">
        <v>1</v>
      </c>
    </row>
    <row r="1486" spans="1:17">
      <c r="A1486" t="s">
        <v>1429</v>
      </c>
      <c r="B1486" s="3" t="s">
        <v>1044</v>
      </c>
      <c r="C1486" s="3" t="s">
        <v>1045</v>
      </c>
      <c r="D1486" s="3" t="s">
        <v>11</v>
      </c>
      <c r="E1486" s="3" t="s">
        <v>12</v>
      </c>
      <c r="F1486" s="3">
        <v>6.9000000000000006E-2</v>
      </c>
      <c r="G1486" s="74">
        <f>F1486*VLOOKUP(D1486,GWPs!$B$3:$C$6,2,FALSE)</f>
        <v>6.9000000000000006E-2</v>
      </c>
      <c r="H1486" s="3">
        <v>0</v>
      </c>
      <c r="I1486" s="74">
        <f>H1486*VLOOKUP(D1486,GWPs!$B$3:$C$6,2,FALSE)</f>
        <v>0</v>
      </c>
      <c r="J1486" s="3">
        <v>6.9000000000000006E-2</v>
      </c>
      <c r="K1486" s="74">
        <f>J1486*VLOOKUP(D1486,GWPs!$B$3:$C$6,2,FALSE)</f>
        <v>6.9000000000000006E-2</v>
      </c>
      <c r="M1486" s="3">
        <v>3</v>
      </c>
      <c r="N1486" s="3">
        <v>2</v>
      </c>
      <c r="O1486" s="3">
        <v>1</v>
      </c>
      <c r="P1486" s="3">
        <v>3</v>
      </c>
      <c r="Q1486" s="3">
        <v>1</v>
      </c>
    </row>
    <row r="1487" spans="1:17">
      <c r="A1487" t="s">
        <v>1429</v>
      </c>
      <c r="B1487" s="3" t="s">
        <v>1044</v>
      </c>
      <c r="C1487" s="3" t="s">
        <v>1045</v>
      </c>
      <c r="D1487" s="3" t="s">
        <v>13</v>
      </c>
      <c r="E1487" s="3" t="s">
        <v>12</v>
      </c>
      <c r="F1487" s="3">
        <v>0</v>
      </c>
      <c r="G1487" s="74">
        <f>F1487*VLOOKUP(D1487,GWPs!$B$3:$C$6,2,FALSE)</f>
        <v>0</v>
      </c>
      <c r="H1487" s="3">
        <v>0</v>
      </c>
      <c r="I1487" s="74">
        <f>H1487*VLOOKUP(D1487,GWPs!$B$3:$C$6,2,FALSE)</f>
        <v>0</v>
      </c>
      <c r="J1487" s="3">
        <v>0</v>
      </c>
      <c r="K1487" s="74">
        <f>J1487*VLOOKUP(D1487,GWPs!$B$3:$C$6,2,FALSE)</f>
        <v>0</v>
      </c>
      <c r="M1487" s="3">
        <v>3</v>
      </c>
      <c r="N1487" s="3">
        <v>2</v>
      </c>
      <c r="O1487" s="3">
        <v>1</v>
      </c>
      <c r="P1487" s="3">
        <v>1</v>
      </c>
      <c r="Q1487" s="3">
        <v>1</v>
      </c>
    </row>
    <row r="1488" spans="1:17">
      <c r="A1488" t="s">
        <v>1429</v>
      </c>
      <c r="B1488" s="3" t="s">
        <v>1044</v>
      </c>
      <c r="C1488" s="3" t="s">
        <v>1045</v>
      </c>
      <c r="D1488" s="3" t="s">
        <v>14</v>
      </c>
      <c r="E1488" s="3" t="s">
        <v>12</v>
      </c>
      <c r="F1488" s="3">
        <v>0</v>
      </c>
      <c r="G1488" s="74">
        <f>F1488*VLOOKUP(D1488,GWPs!$B$3:$C$6,2,FALSE)</f>
        <v>0</v>
      </c>
      <c r="H1488" s="3">
        <v>0</v>
      </c>
      <c r="I1488" s="74">
        <f>H1488*VLOOKUP(D1488,GWPs!$B$3:$C$6,2,FALSE)</f>
        <v>0</v>
      </c>
      <c r="J1488" s="3">
        <v>0</v>
      </c>
      <c r="K1488" s="74">
        <f>J1488*VLOOKUP(D1488,GWPs!$B$3:$C$6,2,FALSE)</f>
        <v>0</v>
      </c>
      <c r="M1488" s="3">
        <v>4</v>
      </c>
      <c r="N1488" s="3">
        <v>2</v>
      </c>
      <c r="O1488" s="3">
        <v>1</v>
      </c>
      <c r="P1488" s="3">
        <v>3</v>
      </c>
      <c r="Q1488" s="3">
        <v>1</v>
      </c>
    </row>
    <row r="1489" spans="1:17">
      <c r="A1489" t="s">
        <v>1429</v>
      </c>
      <c r="B1489" s="3" t="s">
        <v>1044</v>
      </c>
      <c r="C1489" s="3" t="s">
        <v>1045</v>
      </c>
      <c r="D1489" s="3" t="s">
        <v>15</v>
      </c>
      <c r="E1489" s="3" t="s">
        <v>16</v>
      </c>
      <c r="F1489" s="3">
        <v>2E-3</v>
      </c>
      <c r="G1489" s="74">
        <f>F1489*VLOOKUP(D1489,GWPs!$B$3:$C$6,2,FALSE)</f>
        <v>2E-3</v>
      </c>
      <c r="H1489" s="3">
        <v>0</v>
      </c>
      <c r="I1489" s="74">
        <f>H1489*VLOOKUP(D1489,GWPs!$B$3:$C$6,2,FALSE)</f>
        <v>0</v>
      </c>
      <c r="J1489" s="3">
        <v>2E-3</v>
      </c>
      <c r="K1489" s="74">
        <f>J1489*VLOOKUP(D1489,GWPs!$B$3:$C$6,2,FALSE)</f>
        <v>2E-3</v>
      </c>
      <c r="M1489" s="3">
        <v>4</v>
      </c>
      <c r="N1489" s="3">
        <v>2</v>
      </c>
      <c r="O1489" s="3">
        <v>1</v>
      </c>
      <c r="P1489" s="3">
        <v>4</v>
      </c>
      <c r="Q1489" s="3">
        <v>1</v>
      </c>
    </row>
    <row r="1490" spans="1:17">
      <c r="A1490" t="s">
        <v>1429</v>
      </c>
      <c r="B1490" s="3" t="s">
        <v>1046</v>
      </c>
      <c r="C1490" s="3" t="s">
        <v>1047</v>
      </c>
      <c r="D1490" s="3" t="s">
        <v>11</v>
      </c>
      <c r="E1490" s="3" t="s">
        <v>12</v>
      </c>
      <c r="F1490" s="3">
        <v>1.4E-2</v>
      </c>
      <c r="G1490" s="74">
        <f>F1490*VLOOKUP(D1490,GWPs!$B$3:$C$6,2,FALSE)</f>
        <v>1.4E-2</v>
      </c>
      <c r="H1490" s="3">
        <v>0</v>
      </c>
      <c r="I1490" s="74">
        <f>H1490*VLOOKUP(D1490,GWPs!$B$3:$C$6,2,FALSE)</f>
        <v>0</v>
      </c>
      <c r="J1490" s="3">
        <v>1.4E-2</v>
      </c>
      <c r="K1490" s="74">
        <f>J1490*VLOOKUP(D1490,GWPs!$B$3:$C$6,2,FALSE)</f>
        <v>1.4E-2</v>
      </c>
      <c r="M1490" s="3">
        <v>3</v>
      </c>
      <c r="N1490" s="3">
        <v>2</v>
      </c>
      <c r="O1490" s="3">
        <v>1</v>
      </c>
      <c r="P1490" s="3">
        <v>3</v>
      </c>
      <c r="Q1490" s="3">
        <v>1</v>
      </c>
    </row>
    <row r="1491" spans="1:17">
      <c r="A1491" t="s">
        <v>1429</v>
      </c>
      <c r="B1491" s="3" t="s">
        <v>1046</v>
      </c>
      <c r="C1491" s="3" t="s">
        <v>1047</v>
      </c>
      <c r="D1491" s="3" t="s">
        <v>13</v>
      </c>
      <c r="E1491" s="3" t="s">
        <v>12</v>
      </c>
      <c r="F1491" s="3">
        <v>0</v>
      </c>
      <c r="G1491" s="74">
        <f>F1491*VLOOKUP(D1491,GWPs!$B$3:$C$6,2,FALSE)</f>
        <v>0</v>
      </c>
      <c r="H1491" s="3">
        <v>0</v>
      </c>
      <c r="I1491" s="74">
        <f>H1491*VLOOKUP(D1491,GWPs!$B$3:$C$6,2,FALSE)</f>
        <v>0</v>
      </c>
      <c r="J1491" s="3">
        <v>0</v>
      </c>
      <c r="K1491" s="74">
        <f>J1491*VLOOKUP(D1491,GWPs!$B$3:$C$6,2,FALSE)</f>
        <v>0</v>
      </c>
      <c r="M1491" s="3">
        <v>3</v>
      </c>
      <c r="N1491" s="3">
        <v>2</v>
      </c>
      <c r="O1491" s="3">
        <v>1</v>
      </c>
      <c r="P1491" s="3">
        <v>1</v>
      </c>
      <c r="Q1491" s="3">
        <v>1</v>
      </c>
    </row>
    <row r="1492" spans="1:17">
      <c r="A1492" t="s">
        <v>1429</v>
      </c>
      <c r="B1492" s="3" t="s">
        <v>1046</v>
      </c>
      <c r="C1492" s="3" t="s">
        <v>1047</v>
      </c>
      <c r="D1492" s="3" t="s">
        <v>14</v>
      </c>
      <c r="E1492" s="3" t="s">
        <v>12</v>
      </c>
      <c r="F1492" s="3">
        <v>0</v>
      </c>
      <c r="G1492" s="74">
        <f>F1492*VLOOKUP(D1492,GWPs!$B$3:$C$6,2,FALSE)</f>
        <v>0</v>
      </c>
      <c r="H1492" s="3">
        <v>0</v>
      </c>
      <c r="I1492" s="74">
        <f>H1492*VLOOKUP(D1492,GWPs!$B$3:$C$6,2,FALSE)</f>
        <v>0</v>
      </c>
      <c r="J1492" s="3">
        <v>0</v>
      </c>
      <c r="K1492" s="74">
        <f>J1492*VLOOKUP(D1492,GWPs!$B$3:$C$6,2,FALSE)</f>
        <v>0</v>
      </c>
      <c r="M1492" s="3">
        <v>3</v>
      </c>
      <c r="N1492" s="3">
        <v>2</v>
      </c>
      <c r="O1492" s="3">
        <v>1</v>
      </c>
      <c r="P1492" s="3">
        <v>3</v>
      </c>
      <c r="Q1492" s="3">
        <v>1</v>
      </c>
    </row>
    <row r="1493" spans="1:17">
      <c r="A1493" t="s">
        <v>1429</v>
      </c>
      <c r="B1493" s="3" t="s">
        <v>1046</v>
      </c>
      <c r="C1493" s="3" t="s">
        <v>1047</v>
      </c>
      <c r="D1493" s="3" t="s">
        <v>15</v>
      </c>
      <c r="E1493" s="3" t="s">
        <v>16</v>
      </c>
      <c r="F1493" s="3">
        <v>0</v>
      </c>
      <c r="G1493" s="74">
        <f>F1493*VLOOKUP(D1493,GWPs!$B$3:$C$6,2,FALSE)</f>
        <v>0</v>
      </c>
      <c r="H1493" s="3">
        <v>0</v>
      </c>
      <c r="I1493" s="74">
        <f>H1493*VLOOKUP(D1493,GWPs!$B$3:$C$6,2,FALSE)</f>
        <v>0</v>
      </c>
      <c r="J1493" s="3">
        <v>0</v>
      </c>
      <c r="K1493" s="74">
        <f>J1493*VLOOKUP(D1493,GWPs!$B$3:$C$6,2,FALSE)</f>
        <v>0</v>
      </c>
      <c r="M1493" s="3">
        <v>4</v>
      </c>
      <c r="N1493" s="3">
        <v>2</v>
      </c>
      <c r="O1493" s="3">
        <v>1</v>
      </c>
      <c r="P1493" s="3">
        <v>4</v>
      </c>
      <c r="Q1493" s="3">
        <v>1</v>
      </c>
    </row>
    <row r="1494" spans="1:17">
      <c r="A1494" t="s">
        <v>1429</v>
      </c>
      <c r="B1494" s="3" t="s">
        <v>1048</v>
      </c>
      <c r="C1494" s="3" t="s">
        <v>1049</v>
      </c>
      <c r="D1494" s="3" t="s">
        <v>11</v>
      </c>
      <c r="E1494" s="3" t="s">
        <v>12</v>
      </c>
      <c r="F1494" s="3">
        <v>0.08</v>
      </c>
      <c r="G1494" s="74">
        <f>F1494*VLOOKUP(D1494,GWPs!$B$3:$C$6,2,FALSE)</f>
        <v>0.08</v>
      </c>
      <c r="H1494" s="3">
        <v>0</v>
      </c>
      <c r="I1494" s="74">
        <f>H1494*VLOOKUP(D1494,GWPs!$B$3:$C$6,2,FALSE)</f>
        <v>0</v>
      </c>
      <c r="J1494" s="3">
        <v>0.08</v>
      </c>
      <c r="K1494" s="74">
        <f>J1494*VLOOKUP(D1494,GWPs!$B$3:$C$6,2,FALSE)</f>
        <v>0.08</v>
      </c>
      <c r="M1494" s="3">
        <v>3</v>
      </c>
      <c r="N1494" s="3">
        <v>2</v>
      </c>
      <c r="O1494" s="3">
        <v>1</v>
      </c>
      <c r="P1494" s="3">
        <v>3</v>
      </c>
      <c r="Q1494" s="3">
        <v>1</v>
      </c>
    </row>
    <row r="1495" spans="1:17">
      <c r="A1495" t="s">
        <v>1429</v>
      </c>
      <c r="B1495" s="3" t="s">
        <v>1048</v>
      </c>
      <c r="C1495" s="3" t="s">
        <v>1049</v>
      </c>
      <c r="D1495" s="3" t="s">
        <v>13</v>
      </c>
      <c r="E1495" s="3" t="s">
        <v>12</v>
      </c>
      <c r="F1495" s="3">
        <v>1E-3</v>
      </c>
      <c r="G1495" s="74">
        <f>F1495*VLOOKUP(D1495,GWPs!$B$3:$C$6,2,FALSE)</f>
        <v>2.8000000000000001E-2</v>
      </c>
      <c r="H1495" s="3">
        <v>0</v>
      </c>
      <c r="I1495" s="74">
        <f>H1495*VLOOKUP(D1495,GWPs!$B$3:$C$6,2,FALSE)</f>
        <v>0</v>
      </c>
      <c r="J1495" s="3">
        <v>1E-3</v>
      </c>
      <c r="K1495" s="74">
        <f>J1495*VLOOKUP(D1495,GWPs!$B$3:$C$6,2,FALSE)</f>
        <v>2.8000000000000001E-2</v>
      </c>
      <c r="M1495" s="3">
        <v>3</v>
      </c>
      <c r="N1495" s="3">
        <v>2</v>
      </c>
      <c r="O1495" s="3">
        <v>1</v>
      </c>
      <c r="P1495" s="3">
        <v>1</v>
      </c>
      <c r="Q1495" s="3">
        <v>1</v>
      </c>
    </row>
    <row r="1496" spans="1:17">
      <c r="A1496" t="s">
        <v>1429</v>
      </c>
      <c r="B1496" s="3" t="s">
        <v>1048</v>
      </c>
      <c r="C1496" s="3" t="s">
        <v>1049</v>
      </c>
      <c r="D1496" s="3" t="s">
        <v>14</v>
      </c>
      <c r="E1496" s="3" t="s">
        <v>12</v>
      </c>
      <c r="F1496" s="3">
        <v>0</v>
      </c>
      <c r="G1496" s="74">
        <f>F1496*VLOOKUP(D1496,GWPs!$B$3:$C$6,2,FALSE)</f>
        <v>0</v>
      </c>
      <c r="H1496" s="3">
        <v>0</v>
      </c>
      <c r="I1496" s="74">
        <f>H1496*VLOOKUP(D1496,GWPs!$B$3:$C$6,2,FALSE)</f>
        <v>0</v>
      </c>
      <c r="J1496" s="3">
        <v>0</v>
      </c>
      <c r="K1496" s="74">
        <f>J1496*VLOOKUP(D1496,GWPs!$B$3:$C$6,2,FALSE)</f>
        <v>0</v>
      </c>
      <c r="M1496" s="3">
        <v>4</v>
      </c>
      <c r="N1496" s="3">
        <v>2</v>
      </c>
      <c r="O1496" s="3">
        <v>1</v>
      </c>
      <c r="P1496" s="3">
        <v>3</v>
      </c>
      <c r="Q1496" s="3">
        <v>1</v>
      </c>
    </row>
    <row r="1497" spans="1:17">
      <c r="A1497" t="s">
        <v>1429</v>
      </c>
      <c r="B1497" s="3" t="s">
        <v>1048</v>
      </c>
      <c r="C1497" s="3" t="s">
        <v>1049</v>
      </c>
      <c r="D1497" s="3" t="s">
        <v>15</v>
      </c>
      <c r="E1497" s="3" t="s">
        <v>16</v>
      </c>
      <c r="F1497" s="3">
        <v>1E-3</v>
      </c>
      <c r="G1497" s="74">
        <f>F1497*VLOOKUP(D1497,GWPs!$B$3:$C$6,2,FALSE)</f>
        <v>1E-3</v>
      </c>
      <c r="H1497" s="3">
        <v>0</v>
      </c>
      <c r="I1497" s="74">
        <f>H1497*VLOOKUP(D1497,GWPs!$B$3:$C$6,2,FALSE)</f>
        <v>0</v>
      </c>
      <c r="J1497" s="3">
        <v>1E-3</v>
      </c>
      <c r="K1497" s="74">
        <f>J1497*VLOOKUP(D1497,GWPs!$B$3:$C$6,2,FALSE)</f>
        <v>1E-3</v>
      </c>
      <c r="M1497" s="3">
        <v>4</v>
      </c>
      <c r="N1497" s="3">
        <v>2</v>
      </c>
      <c r="O1497" s="3">
        <v>1</v>
      </c>
      <c r="P1497" s="3">
        <v>4</v>
      </c>
      <c r="Q1497" s="3">
        <v>1</v>
      </c>
    </row>
    <row r="1498" spans="1:17">
      <c r="A1498" t="s">
        <v>1429</v>
      </c>
      <c r="B1498" s="3" t="s">
        <v>1050</v>
      </c>
      <c r="C1498" s="3" t="s">
        <v>1051</v>
      </c>
      <c r="D1498" s="3" t="s">
        <v>11</v>
      </c>
      <c r="E1498" s="3" t="s">
        <v>12</v>
      </c>
      <c r="F1498" s="3">
        <v>0.17499999999999999</v>
      </c>
      <c r="G1498" s="74">
        <f>F1498*VLOOKUP(D1498,GWPs!$B$3:$C$6,2,FALSE)</f>
        <v>0.17499999999999999</v>
      </c>
      <c r="H1498" s="3">
        <v>0</v>
      </c>
      <c r="I1498" s="74">
        <f>H1498*VLOOKUP(D1498,GWPs!$B$3:$C$6,2,FALSE)</f>
        <v>0</v>
      </c>
      <c r="J1498" s="3">
        <v>0.17499999999999999</v>
      </c>
      <c r="K1498" s="74">
        <f>J1498*VLOOKUP(D1498,GWPs!$B$3:$C$6,2,FALSE)</f>
        <v>0.17499999999999999</v>
      </c>
      <c r="M1498" s="3">
        <v>3</v>
      </c>
      <c r="N1498" s="3">
        <v>2</v>
      </c>
      <c r="O1498" s="3">
        <v>1</v>
      </c>
      <c r="P1498" s="3">
        <v>3</v>
      </c>
      <c r="Q1498" s="3">
        <v>1</v>
      </c>
    </row>
    <row r="1499" spans="1:17">
      <c r="A1499" t="s">
        <v>1429</v>
      </c>
      <c r="B1499" s="3" t="s">
        <v>1050</v>
      </c>
      <c r="C1499" s="3" t="s">
        <v>1051</v>
      </c>
      <c r="D1499" s="3" t="s">
        <v>13</v>
      </c>
      <c r="E1499" s="3" t="s">
        <v>12</v>
      </c>
      <c r="F1499" s="3">
        <v>1E-3</v>
      </c>
      <c r="G1499" s="74">
        <f>F1499*VLOOKUP(D1499,GWPs!$B$3:$C$6,2,FALSE)</f>
        <v>2.8000000000000001E-2</v>
      </c>
      <c r="H1499" s="3">
        <v>0</v>
      </c>
      <c r="I1499" s="74">
        <f>H1499*VLOOKUP(D1499,GWPs!$B$3:$C$6,2,FALSE)</f>
        <v>0</v>
      </c>
      <c r="J1499" s="3">
        <v>1E-3</v>
      </c>
      <c r="K1499" s="74">
        <f>J1499*VLOOKUP(D1499,GWPs!$B$3:$C$6,2,FALSE)</f>
        <v>2.8000000000000001E-2</v>
      </c>
      <c r="M1499" s="3">
        <v>3</v>
      </c>
      <c r="N1499" s="3">
        <v>2</v>
      </c>
      <c r="O1499" s="3">
        <v>1</v>
      </c>
      <c r="P1499" s="3">
        <v>1</v>
      </c>
      <c r="Q1499" s="3">
        <v>1</v>
      </c>
    </row>
    <row r="1500" spans="1:17">
      <c r="A1500" t="s">
        <v>1429</v>
      </c>
      <c r="B1500" s="3" t="s">
        <v>1050</v>
      </c>
      <c r="C1500" s="3" t="s">
        <v>1051</v>
      </c>
      <c r="D1500" s="3" t="s">
        <v>14</v>
      </c>
      <c r="E1500" s="3" t="s">
        <v>12</v>
      </c>
      <c r="F1500" s="3">
        <v>0</v>
      </c>
      <c r="G1500" s="74">
        <f>F1500*VLOOKUP(D1500,GWPs!$B$3:$C$6,2,FALSE)</f>
        <v>0</v>
      </c>
      <c r="H1500" s="3">
        <v>0</v>
      </c>
      <c r="I1500" s="74">
        <f>H1500*VLOOKUP(D1500,GWPs!$B$3:$C$6,2,FALSE)</f>
        <v>0</v>
      </c>
      <c r="J1500" s="3">
        <v>0</v>
      </c>
      <c r="K1500" s="74">
        <f>J1500*VLOOKUP(D1500,GWPs!$B$3:$C$6,2,FALSE)</f>
        <v>0</v>
      </c>
      <c r="M1500" s="3">
        <v>3</v>
      </c>
      <c r="N1500" s="3">
        <v>2</v>
      </c>
      <c r="O1500" s="3">
        <v>1</v>
      </c>
      <c r="P1500" s="3">
        <v>3</v>
      </c>
      <c r="Q1500" s="3">
        <v>1</v>
      </c>
    </row>
    <row r="1501" spans="1:17">
      <c r="A1501" t="s">
        <v>1429</v>
      </c>
      <c r="B1501" s="3" t="s">
        <v>1050</v>
      </c>
      <c r="C1501" s="3" t="s">
        <v>1051</v>
      </c>
      <c r="D1501" s="3" t="s">
        <v>15</v>
      </c>
      <c r="E1501" s="3" t="s">
        <v>16</v>
      </c>
      <c r="F1501" s="3">
        <v>3.0000000000000001E-3</v>
      </c>
      <c r="G1501" s="74">
        <f>F1501*VLOOKUP(D1501,GWPs!$B$3:$C$6,2,FALSE)</f>
        <v>3.0000000000000001E-3</v>
      </c>
      <c r="H1501" s="3">
        <v>0</v>
      </c>
      <c r="I1501" s="74">
        <f>H1501*VLOOKUP(D1501,GWPs!$B$3:$C$6,2,FALSE)</f>
        <v>0</v>
      </c>
      <c r="J1501" s="3">
        <v>3.0000000000000001E-3</v>
      </c>
      <c r="K1501" s="74">
        <f>J1501*VLOOKUP(D1501,GWPs!$B$3:$C$6,2,FALSE)</f>
        <v>3.0000000000000001E-3</v>
      </c>
      <c r="M1501" s="3">
        <v>4</v>
      </c>
      <c r="N1501" s="3">
        <v>2</v>
      </c>
      <c r="O1501" s="3">
        <v>1</v>
      </c>
      <c r="P1501" s="3">
        <v>4</v>
      </c>
      <c r="Q1501" s="3">
        <v>1</v>
      </c>
    </row>
    <row r="1502" spans="1:17">
      <c r="A1502" t="s">
        <v>1429</v>
      </c>
      <c r="B1502" s="3" t="s">
        <v>1052</v>
      </c>
      <c r="C1502" s="3" t="s">
        <v>1053</v>
      </c>
      <c r="D1502" s="3" t="s">
        <v>11</v>
      </c>
      <c r="E1502" s="3" t="s">
        <v>12</v>
      </c>
      <c r="F1502" s="3">
        <v>0.13800000000000001</v>
      </c>
      <c r="G1502" s="74">
        <f>F1502*VLOOKUP(D1502,GWPs!$B$3:$C$6,2,FALSE)</f>
        <v>0.13800000000000001</v>
      </c>
      <c r="H1502" s="3">
        <v>0</v>
      </c>
      <c r="I1502" s="74">
        <f>H1502*VLOOKUP(D1502,GWPs!$B$3:$C$6,2,FALSE)</f>
        <v>0</v>
      </c>
      <c r="J1502" s="3">
        <v>0.13800000000000001</v>
      </c>
      <c r="K1502" s="74">
        <f>J1502*VLOOKUP(D1502,GWPs!$B$3:$C$6,2,FALSE)</f>
        <v>0.13800000000000001</v>
      </c>
      <c r="M1502" s="3">
        <v>3</v>
      </c>
      <c r="N1502" s="3">
        <v>2</v>
      </c>
      <c r="O1502" s="3">
        <v>1</v>
      </c>
      <c r="P1502" s="3">
        <v>3</v>
      </c>
      <c r="Q1502" s="3">
        <v>1</v>
      </c>
    </row>
    <row r="1503" spans="1:17">
      <c r="A1503" t="s">
        <v>1429</v>
      </c>
      <c r="B1503" s="3" t="s">
        <v>1052</v>
      </c>
      <c r="C1503" s="3" t="s">
        <v>1053</v>
      </c>
      <c r="D1503" s="3" t="s">
        <v>13</v>
      </c>
      <c r="E1503" s="3" t="s">
        <v>12</v>
      </c>
      <c r="F1503" s="3">
        <v>1E-3</v>
      </c>
      <c r="G1503" s="74">
        <f>F1503*VLOOKUP(D1503,GWPs!$B$3:$C$6,2,FALSE)</f>
        <v>2.8000000000000001E-2</v>
      </c>
      <c r="H1503" s="3">
        <v>0</v>
      </c>
      <c r="I1503" s="74">
        <f>H1503*VLOOKUP(D1503,GWPs!$B$3:$C$6,2,FALSE)</f>
        <v>0</v>
      </c>
      <c r="J1503" s="3">
        <v>1E-3</v>
      </c>
      <c r="K1503" s="74">
        <f>J1503*VLOOKUP(D1503,GWPs!$B$3:$C$6,2,FALSE)</f>
        <v>2.8000000000000001E-2</v>
      </c>
      <c r="M1503" s="3">
        <v>3</v>
      </c>
      <c r="N1503" s="3">
        <v>2</v>
      </c>
      <c r="O1503" s="3">
        <v>1</v>
      </c>
      <c r="P1503" s="3">
        <v>1</v>
      </c>
      <c r="Q1503" s="3">
        <v>1</v>
      </c>
    </row>
    <row r="1504" spans="1:17">
      <c r="A1504" t="s">
        <v>1429</v>
      </c>
      <c r="B1504" s="3" t="s">
        <v>1052</v>
      </c>
      <c r="C1504" s="3" t="s">
        <v>1053</v>
      </c>
      <c r="D1504" s="3" t="s">
        <v>14</v>
      </c>
      <c r="E1504" s="3" t="s">
        <v>12</v>
      </c>
      <c r="F1504" s="3">
        <v>0</v>
      </c>
      <c r="G1504" s="74">
        <f>F1504*VLOOKUP(D1504,GWPs!$B$3:$C$6,2,FALSE)</f>
        <v>0</v>
      </c>
      <c r="H1504" s="3">
        <v>0</v>
      </c>
      <c r="I1504" s="74">
        <f>H1504*VLOOKUP(D1504,GWPs!$B$3:$C$6,2,FALSE)</f>
        <v>0</v>
      </c>
      <c r="J1504" s="3">
        <v>0</v>
      </c>
      <c r="K1504" s="74">
        <f>J1504*VLOOKUP(D1504,GWPs!$B$3:$C$6,2,FALSE)</f>
        <v>0</v>
      </c>
      <c r="M1504" s="3">
        <v>4</v>
      </c>
      <c r="N1504" s="3">
        <v>2</v>
      </c>
      <c r="O1504" s="3">
        <v>1</v>
      </c>
      <c r="P1504" s="3">
        <v>3</v>
      </c>
      <c r="Q1504" s="3">
        <v>1</v>
      </c>
    </row>
    <row r="1505" spans="1:17">
      <c r="A1505" t="s">
        <v>1429</v>
      </c>
      <c r="B1505" s="3" t="s">
        <v>1052</v>
      </c>
      <c r="C1505" s="3" t="s">
        <v>1053</v>
      </c>
      <c r="D1505" s="3" t="s">
        <v>15</v>
      </c>
      <c r="E1505" s="3" t="s">
        <v>16</v>
      </c>
      <c r="F1505" s="3">
        <v>3.0000000000000001E-3</v>
      </c>
      <c r="G1505" s="74">
        <f>F1505*VLOOKUP(D1505,GWPs!$B$3:$C$6,2,FALSE)</f>
        <v>3.0000000000000001E-3</v>
      </c>
      <c r="H1505" s="3">
        <v>0</v>
      </c>
      <c r="I1505" s="74">
        <f>H1505*VLOOKUP(D1505,GWPs!$B$3:$C$6,2,FALSE)</f>
        <v>0</v>
      </c>
      <c r="J1505" s="3">
        <v>3.0000000000000001E-3</v>
      </c>
      <c r="K1505" s="74">
        <f>J1505*VLOOKUP(D1505,GWPs!$B$3:$C$6,2,FALSE)</f>
        <v>3.0000000000000001E-3</v>
      </c>
      <c r="M1505" s="3">
        <v>3</v>
      </c>
      <c r="N1505" s="3">
        <v>2</v>
      </c>
      <c r="O1505" s="3">
        <v>1</v>
      </c>
      <c r="P1505" s="3">
        <v>4</v>
      </c>
      <c r="Q1505" s="3">
        <v>1</v>
      </c>
    </row>
    <row r="1506" spans="1:17">
      <c r="A1506" t="s">
        <v>1429</v>
      </c>
      <c r="B1506" s="3" t="s">
        <v>1054</v>
      </c>
      <c r="C1506" s="3" t="s">
        <v>1055</v>
      </c>
      <c r="D1506" s="3" t="s">
        <v>11</v>
      </c>
      <c r="E1506" s="3" t="s">
        <v>12</v>
      </c>
      <c r="F1506" s="3">
        <v>0.20100000000000001</v>
      </c>
      <c r="G1506" s="74">
        <f>F1506*VLOOKUP(D1506,GWPs!$B$3:$C$6,2,FALSE)</f>
        <v>0.20100000000000001</v>
      </c>
      <c r="H1506" s="3">
        <v>0</v>
      </c>
      <c r="I1506" s="74">
        <f>H1506*VLOOKUP(D1506,GWPs!$B$3:$C$6,2,FALSE)</f>
        <v>0</v>
      </c>
      <c r="J1506" s="3">
        <v>0.20100000000000001</v>
      </c>
      <c r="K1506" s="74">
        <f>J1506*VLOOKUP(D1506,GWPs!$B$3:$C$6,2,FALSE)</f>
        <v>0.20100000000000001</v>
      </c>
      <c r="M1506" s="3">
        <v>3</v>
      </c>
      <c r="N1506" s="3">
        <v>2</v>
      </c>
      <c r="O1506" s="3">
        <v>1</v>
      </c>
      <c r="P1506" s="3">
        <v>3</v>
      </c>
      <c r="Q1506" s="3">
        <v>1</v>
      </c>
    </row>
    <row r="1507" spans="1:17">
      <c r="A1507" t="s">
        <v>1429</v>
      </c>
      <c r="B1507" s="3" t="s">
        <v>1054</v>
      </c>
      <c r="C1507" s="3" t="s">
        <v>1055</v>
      </c>
      <c r="D1507" s="3" t="s">
        <v>13</v>
      </c>
      <c r="E1507" s="3" t="s">
        <v>12</v>
      </c>
      <c r="F1507" s="3">
        <v>1E-3</v>
      </c>
      <c r="G1507" s="74">
        <f>F1507*VLOOKUP(D1507,GWPs!$B$3:$C$6,2,FALSE)</f>
        <v>2.8000000000000001E-2</v>
      </c>
      <c r="H1507" s="3">
        <v>0</v>
      </c>
      <c r="I1507" s="74">
        <f>H1507*VLOOKUP(D1507,GWPs!$B$3:$C$6,2,FALSE)</f>
        <v>0</v>
      </c>
      <c r="J1507" s="3">
        <v>1E-3</v>
      </c>
      <c r="K1507" s="74">
        <f>J1507*VLOOKUP(D1507,GWPs!$B$3:$C$6,2,FALSE)</f>
        <v>2.8000000000000001E-2</v>
      </c>
      <c r="M1507" s="3">
        <v>3</v>
      </c>
      <c r="N1507" s="3">
        <v>2</v>
      </c>
      <c r="O1507" s="3">
        <v>1</v>
      </c>
      <c r="P1507" s="3">
        <v>1</v>
      </c>
      <c r="Q1507" s="3">
        <v>1</v>
      </c>
    </row>
    <row r="1508" spans="1:17">
      <c r="A1508" t="s">
        <v>1429</v>
      </c>
      <c r="B1508" s="3" t="s">
        <v>1054</v>
      </c>
      <c r="C1508" s="3" t="s">
        <v>1055</v>
      </c>
      <c r="D1508" s="3" t="s">
        <v>14</v>
      </c>
      <c r="E1508" s="3" t="s">
        <v>12</v>
      </c>
      <c r="F1508" s="3">
        <v>0</v>
      </c>
      <c r="G1508" s="74">
        <f>F1508*VLOOKUP(D1508,GWPs!$B$3:$C$6,2,FALSE)</f>
        <v>0</v>
      </c>
      <c r="H1508" s="3">
        <v>0</v>
      </c>
      <c r="I1508" s="74">
        <f>H1508*VLOOKUP(D1508,GWPs!$B$3:$C$6,2,FALSE)</f>
        <v>0</v>
      </c>
      <c r="J1508" s="3">
        <v>0</v>
      </c>
      <c r="K1508" s="74">
        <f>J1508*VLOOKUP(D1508,GWPs!$B$3:$C$6,2,FALSE)</f>
        <v>0</v>
      </c>
      <c r="M1508" s="3">
        <v>4</v>
      </c>
      <c r="N1508" s="3">
        <v>2</v>
      </c>
      <c r="O1508" s="3">
        <v>1</v>
      </c>
      <c r="P1508" s="3">
        <v>3</v>
      </c>
      <c r="Q1508" s="3">
        <v>1</v>
      </c>
    </row>
    <row r="1509" spans="1:17">
      <c r="A1509" t="s">
        <v>1429</v>
      </c>
      <c r="B1509" s="3" t="s">
        <v>1054</v>
      </c>
      <c r="C1509" s="3" t="s">
        <v>1055</v>
      </c>
      <c r="D1509" s="3" t="s">
        <v>15</v>
      </c>
      <c r="E1509" s="3" t="s">
        <v>16</v>
      </c>
      <c r="F1509" s="3">
        <v>6.0000000000000001E-3</v>
      </c>
      <c r="G1509" s="74">
        <f>F1509*VLOOKUP(D1509,GWPs!$B$3:$C$6,2,FALSE)</f>
        <v>6.0000000000000001E-3</v>
      </c>
      <c r="H1509" s="3">
        <v>0</v>
      </c>
      <c r="I1509" s="74">
        <f>H1509*VLOOKUP(D1509,GWPs!$B$3:$C$6,2,FALSE)</f>
        <v>0</v>
      </c>
      <c r="J1509" s="3">
        <v>6.0000000000000001E-3</v>
      </c>
      <c r="K1509" s="74">
        <f>J1509*VLOOKUP(D1509,GWPs!$B$3:$C$6,2,FALSE)</f>
        <v>6.0000000000000001E-3</v>
      </c>
      <c r="M1509" s="3">
        <v>4</v>
      </c>
      <c r="N1509" s="3">
        <v>2</v>
      </c>
      <c r="O1509" s="3">
        <v>1</v>
      </c>
      <c r="P1509" s="3">
        <v>5</v>
      </c>
      <c r="Q1509" s="3">
        <v>1</v>
      </c>
    </row>
    <row r="1510" spans="1:17">
      <c r="A1510" t="s">
        <v>1429</v>
      </c>
      <c r="B1510" s="3" t="s">
        <v>1056</v>
      </c>
      <c r="C1510" s="3" t="s">
        <v>1057</v>
      </c>
      <c r="D1510" s="3" t="s">
        <v>11</v>
      </c>
      <c r="E1510" s="3" t="s">
        <v>12</v>
      </c>
      <c r="F1510" s="3">
        <v>0.249</v>
      </c>
      <c r="G1510" s="74">
        <f>F1510*VLOOKUP(D1510,GWPs!$B$3:$C$6,2,FALSE)</f>
        <v>0.249</v>
      </c>
      <c r="H1510" s="3">
        <v>0</v>
      </c>
      <c r="I1510" s="74">
        <f>H1510*VLOOKUP(D1510,GWPs!$B$3:$C$6,2,FALSE)</f>
        <v>0</v>
      </c>
      <c r="J1510" s="3">
        <v>0.249</v>
      </c>
      <c r="K1510" s="74">
        <f>J1510*VLOOKUP(D1510,GWPs!$B$3:$C$6,2,FALSE)</f>
        <v>0.249</v>
      </c>
      <c r="M1510" s="3">
        <v>3</v>
      </c>
      <c r="N1510" s="3">
        <v>2</v>
      </c>
      <c r="O1510" s="3">
        <v>1</v>
      </c>
      <c r="P1510" s="3">
        <v>3</v>
      </c>
      <c r="Q1510" s="3">
        <v>1</v>
      </c>
    </row>
    <row r="1511" spans="1:17">
      <c r="A1511" t="s">
        <v>1429</v>
      </c>
      <c r="B1511" s="3" t="s">
        <v>1056</v>
      </c>
      <c r="C1511" s="3" t="s">
        <v>1057</v>
      </c>
      <c r="D1511" s="3" t="s">
        <v>13</v>
      </c>
      <c r="E1511" s="3" t="s">
        <v>12</v>
      </c>
      <c r="F1511" s="3">
        <v>2E-3</v>
      </c>
      <c r="G1511" s="74">
        <f>F1511*VLOOKUP(D1511,GWPs!$B$3:$C$6,2,FALSE)</f>
        <v>5.6000000000000001E-2</v>
      </c>
      <c r="H1511" s="3">
        <v>0</v>
      </c>
      <c r="I1511" s="74">
        <f>H1511*VLOOKUP(D1511,GWPs!$B$3:$C$6,2,FALSE)</f>
        <v>0</v>
      </c>
      <c r="J1511" s="3">
        <v>2E-3</v>
      </c>
      <c r="K1511" s="74">
        <f>J1511*VLOOKUP(D1511,GWPs!$B$3:$C$6,2,FALSE)</f>
        <v>5.6000000000000001E-2</v>
      </c>
      <c r="M1511" s="3">
        <v>3</v>
      </c>
      <c r="N1511" s="3">
        <v>2</v>
      </c>
      <c r="O1511" s="3">
        <v>1</v>
      </c>
      <c r="P1511" s="3">
        <v>1</v>
      </c>
      <c r="Q1511" s="3">
        <v>1</v>
      </c>
    </row>
    <row r="1512" spans="1:17">
      <c r="A1512" t="s">
        <v>1429</v>
      </c>
      <c r="B1512" s="3" t="s">
        <v>1056</v>
      </c>
      <c r="C1512" s="3" t="s">
        <v>1057</v>
      </c>
      <c r="D1512" s="3" t="s">
        <v>14</v>
      </c>
      <c r="E1512" s="3" t="s">
        <v>12</v>
      </c>
      <c r="F1512" s="3">
        <v>0</v>
      </c>
      <c r="G1512" s="74">
        <f>F1512*VLOOKUP(D1512,GWPs!$B$3:$C$6,2,FALSE)</f>
        <v>0</v>
      </c>
      <c r="H1512" s="3">
        <v>0</v>
      </c>
      <c r="I1512" s="74">
        <f>H1512*VLOOKUP(D1512,GWPs!$B$3:$C$6,2,FALSE)</f>
        <v>0</v>
      </c>
      <c r="J1512" s="3">
        <v>0</v>
      </c>
      <c r="K1512" s="74">
        <f>J1512*VLOOKUP(D1512,GWPs!$B$3:$C$6,2,FALSE)</f>
        <v>0</v>
      </c>
      <c r="M1512" s="3">
        <v>4</v>
      </c>
      <c r="N1512" s="3">
        <v>2</v>
      </c>
      <c r="O1512" s="3">
        <v>1</v>
      </c>
      <c r="P1512" s="3">
        <v>3</v>
      </c>
      <c r="Q1512" s="3">
        <v>1</v>
      </c>
    </row>
    <row r="1513" spans="1:17">
      <c r="A1513" t="s">
        <v>1429</v>
      </c>
      <c r="B1513" s="3" t="s">
        <v>1056</v>
      </c>
      <c r="C1513" s="3" t="s">
        <v>1057</v>
      </c>
      <c r="D1513" s="3" t="s">
        <v>15</v>
      </c>
      <c r="E1513" s="3" t="s">
        <v>16</v>
      </c>
      <c r="F1513" s="3">
        <v>5.0000000000000001E-3</v>
      </c>
      <c r="G1513" s="74">
        <f>F1513*VLOOKUP(D1513,GWPs!$B$3:$C$6,2,FALSE)</f>
        <v>5.0000000000000001E-3</v>
      </c>
      <c r="H1513" s="3">
        <v>0</v>
      </c>
      <c r="I1513" s="74">
        <f>H1513*VLOOKUP(D1513,GWPs!$B$3:$C$6,2,FALSE)</f>
        <v>0</v>
      </c>
      <c r="J1513" s="3">
        <v>5.0000000000000001E-3</v>
      </c>
      <c r="K1513" s="74">
        <f>J1513*VLOOKUP(D1513,GWPs!$B$3:$C$6,2,FALSE)</f>
        <v>5.0000000000000001E-3</v>
      </c>
      <c r="M1513" s="3">
        <v>4</v>
      </c>
      <c r="N1513" s="3">
        <v>2</v>
      </c>
      <c r="O1513" s="3">
        <v>1</v>
      </c>
      <c r="P1513" s="3">
        <v>4</v>
      </c>
      <c r="Q1513" s="3">
        <v>1</v>
      </c>
    </row>
    <row r="1514" spans="1:17">
      <c r="A1514" t="s">
        <v>1429</v>
      </c>
      <c r="B1514" s="3" t="s">
        <v>1058</v>
      </c>
      <c r="C1514" s="3" t="s">
        <v>1059</v>
      </c>
      <c r="D1514" s="3" t="s">
        <v>11</v>
      </c>
      <c r="E1514" s="3" t="s">
        <v>12</v>
      </c>
      <c r="F1514" s="3">
        <v>0.17399999999999999</v>
      </c>
      <c r="G1514" s="74">
        <f>F1514*VLOOKUP(D1514,GWPs!$B$3:$C$6,2,FALSE)</f>
        <v>0.17399999999999999</v>
      </c>
      <c r="H1514" s="3">
        <v>0</v>
      </c>
      <c r="I1514" s="74">
        <f>H1514*VLOOKUP(D1514,GWPs!$B$3:$C$6,2,FALSE)</f>
        <v>0</v>
      </c>
      <c r="J1514" s="3">
        <v>0.17399999999999999</v>
      </c>
      <c r="K1514" s="74">
        <f>J1514*VLOOKUP(D1514,GWPs!$B$3:$C$6,2,FALSE)</f>
        <v>0.17399999999999999</v>
      </c>
      <c r="M1514" s="3">
        <v>3</v>
      </c>
      <c r="N1514" s="3">
        <v>2</v>
      </c>
      <c r="O1514" s="3">
        <v>1</v>
      </c>
      <c r="P1514" s="3">
        <v>3</v>
      </c>
      <c r="Q1514" s="3">
        <v>1</v>
      </c>
    </row>
    <row r="1515" spans="1:17">
      <c r="A1515" t="s">
        <v>1429</v>
      </c>
      <c r="B1515" s="3" t="s">
        <v>1058</v>
      </c>
      <c r="C1515" s="3" t="s">
        <v>1059</v>
      </c>
      <c r="D1515" s="3" t="s">
        <v>13</v>
      </c>
      <c r="E1515" s="3" t="s">
        <v>12</v>
      </c>
      <c r="F1515" s="3">
        <v>1E-3</v>
      </c>
      <c r="G1515" s="74">
        <f>F1515*VLOOKUP(D1515,GWPs!$B$3:$C$6,2,FALSE)</f>
        <v>2.8000000000000001E-2</v>
      </c>
      <c r="H1515" s="3">
        <v>0</v>
      </c>
      <c r="I1515" s="74">
        <f>H1515*VLOOKUP(D1515,GWPs!$B$3:$C$6,2,FALSE)</f>
        <v>0</v>
      </c>
      <c r="J1515" s="3">
        <v>1E-3</v>
      </c>
      <c r="K1515" s="74">
        <f>J1515*VLOOKUP(D1515,GWPs!$B$3:$C$6,2,FALSE)</f>
        <v>2.8000000000000001E-2</v>
      </c>
      <c r="M1515" s="3">
        <v>3</v>
      </c>
      <c r="N1515" s="3">
        <v>2</v>
      </c>
      <c r="O1515" s="3">
        <v>1</v>
      </c>
      <c r="P1515" s="3">
        <v>1</v>
      </c>
      <c r="Q1515" s="3">
        <v>1</v>
      </c>
    </row>
    <row r="1516" spans="1:17">
      <c r="A1516" t="s">
        <v>1429</v>
      </c>
      <c r="B1516" s="3" t="s">
        <v>1058</v>
      </c>
      <c r="C1516" s="3" t="s">
        <v>1059</v>
      </c>
      <c r="D1516" s="3" t="s">
        <v>14</v>
      </c>
      <c r="E1516" s="3" t="s">
        <v>12</v>
      </c>
      <c r="F1516" s="3">
        <v>0</v>
      </c>
      <c r="G1516" s="74">
        <f>F1516*VLOOKUP(D1516,GWPs!$B$3:$C$6,2,FALSE)</f>
        <v>0</v>
      </c>
      <c r="H1516" s="3">
        <v>0</v>
      </c>
      <c r="I1516" s="74">
        <f>H1516*VLOOKUP(D1516,GWPs!$B$3:$C$6,2,FALSE)</f>
        <v>0</v>
      </c>
      <c r="J1516" s="3">
        <v>0</v>
      </c>
      <c r="K1516" s="74">
        <f>J1516*VLOOKUP(D1516,GWPs!$B$3:$C$6,2,FALSE)</f>
        <v>0</v>
      </c>
      <c r="M1516" s="3">
        <v>4</v>
      </c>
      <c r="N1516" s="3">
        <v>2</v>
      </c>
      <c r="O1516" s="3">
        <v>1</v>
      </c>
      <c r="P1516" s="3">
        <v>3</v>
      </c>
      <c r="Q1516" s="3">
        <v>1</v>
      </c>
    </row>
    <row r="1517" spans="1:17">
      <c r="A1517" t="s">
        <v>1429</v>
      </c>
      <c r="B1517" s="3" t="s">
        <v>1058</v>
      </c>
      <c r="C1517" s="3" t="s">
        <v>1059</v>
      </c>
      <c r="D1517" s="3" t="s">
        <v>15</v>
      </c>
      <c r="E1517" s="3" t="s">
        <v>16</v>
      </c>
      <c r="F1517" s="3">
        <v>3.0000000000000001E-3</v>
      </c>
      <c r="G1517" s="74">
        <f>F1517*VLOOKUP(D1517,GWPs!$B$3:$C$6,2,FALSE)</f>
        <v>3.0000000000000001E-3</v>
      </c>
      <c r="H1517" s="3">
        <v>0</v>
      </c>
      <c r="I1517" s="74">
        <f>H1517*VLOOKUP(D1517,GWPs!$B$3:$C$6,2,FALSE)</f>
        <v>0</v>
      </c>
      <c r="J1517" s="3">
        <v>3.0000000000000001E-3</v>
      </c>
      <c r="K1517" s="74">
        <f>J1517*VLOOKUP(D1517,GWPs!$B$3:$C$6,2,FALSE)</f>
        <v>3.0000000000000001E-3</v>
      </c>
      <c r="M1517" s="3">
        <v>4</v>
      </c>
      <c r="N1517" s="3">
        <v>2</v>
      </c>
      <c r="O1517" s="3">
        <v>1</v>
      </c>
      <c r="P1517" s="3">
        <v>4</v>
      </c>
      <c r="Q1517" s="3">
        <v>1</v>
      </c>
    </row>
    <row r="1518" spans="1:17">
      <c r="A1518" t="s">
        <v>1429</v>
      </c>
      <c r="B1518" s="3" t="s">
        <v>1060</v>
      </c>
      <c r="C1518" s="3" t="s">
        <v>1061</v>
      </c>
      <c r="D1518" s="3" t="s">
        <v>11</v>
      </c>
      <c r="E1518" s="3" t="s">
        <v>12</v>
      </c>
      <c r="F1518" s="3">
        <v>0.20599999999999999</v>
      </c>
      <c r="G1518" s="74">
        <f>F1518*VLOOKUP(D1518,GWPs!$B$3:$C$6,2,FALSE)</f>
        <v>0.20599999999999999</v>
      </c>
      <c r="H1518" s="3">
        <v>0</v>
      </c>
      <c r="I1518" s="74">
        <f>H1518*VLOOKUP(D1518,GWPs!$B$3:$C$6,2,FALSE)</f>
        <v>0</v>
      </c>
      <c r="J1518" s="3">
        <v>0.20599999999999999</v>
      </c>
      <c r="K1518" s="74">
        <f>J1518*VLOOKUP(D1518,GWPs!$B$3:$C$6,2,FALSE)</f>
        <v>0.20599999999999999</v>
      </c>
      <c r="M1518" s="3">
        <v>3</v>
      </c>
      <c r="N1518" s="3">
        <v>2</v>
      </c>
      <c r="O1518" s="3">
        <v>1</v>
      </c>
      <c r="P1518" s="3">
        <v>3</v>
      </c>
      <c r="Q1518" s="3">
        <v>1</v>
      </c>
    </row>
    <row r="1519" spans="1:17">
      <c r="A1519" t="s">
        <v>1429</v>
      </c>
      <c r="B1519" s="3" t="s">
        <v>1060</v>
      </c>
      <c r="C1519" s="3" t="s">
        <v>1061</v>
      </c>
      <c r="D1519" s="3" t="s">
        <v>13</v>
      </c>
      <c r="E1519" s="3" t="s">
        <v>12</v>
      </c>
      <c r="F1519" s="3">
        <v>2E-3</v>
      </c>
      <c r="G1519" s="74">
        <f>F1519*VLOOKUP(D1519,GWPs!$B$3:$C$6,2,FALSE)</f>
        <v>5.6000000000000001E-2</v>
      </c>
      <c r="H1519" s="3">
        <v>0</v>
      </c>
      <c r="I1519" s="74">
        <f>H1519*VLOOKUP(D1519,GWPs!$B$3:$C$6,2,FALSE)</f>
        <v>0</v>
      </c>
      <c r="J1519" s="3">
        <v>2E-3</v>
      </c>
      <c r="K1519" s="74">
        <f>J1519*VLOOKUP(D1519,GWPs!$B$3:$C$6,2,FALSE)</f>
        <v>5.6000000000000001E-2</v>
      </c>
      <c r="M1519" s="3">
        <v>3</v>
      </c>
      <c r="N1519" s="3">
        <v>2</v>
      </c>
      <c r="O1519" s="3">
        <v>1</v>
      </c>
      <c r="P1519" s="3">
        <v>1</v>
      </c>
      <c r="Q1519" s="3">
        <v>1</v>
      </c>
    </row>
    <row r="1520" spans="1:17">
      <c r="A1520" t="s">
        <v>1429</v>
      </c>
      <c r="B1520" s="3" t="s">
        <v>1060</v>
      </c>
      <c r="C1520" s="3" t="s">
        <v>1061</v>
      </c>
      <c r="D1520" s="3" t="s">
        <v>14</v>
      </c>
      <c r="E1520" s="3" t="s">
        <v>12</v>
      </c>
      <c r="F1520" s="3">
        <v>0</v>
      </c>
      <c r="G1520" s="74">
        <f>F1520*VLOOKUP(D1520,GWPs!$B$3:$C$6,2,FALSE)</f>
        <v>0</v>
      </c>
      <c r="H1520" s="3">
        <v>0</v>
      </c>
      <c r="I1520" s="74">
        <f>H1520*VLOOKUP(D1520,GWPs!$B$3:$C$6,2,FALSE)</f>
        <v>0</v>
      </c>
      <c r="J1520" s="3">
        <v>0</v>
      </c>
      <c r="K1520" s="74">
        <f>J1520*VLOOKUP(D1520,GWPs!$B$3:$C$6,2,FALSE)</f>
        <v>0</v>
      </c>
      <c r="M1520" s="3">
        <v>4</v>
      </c>
      <c r="N1520" s="3">
        <v>2</v>
      </c>
      <c r="O1520" s="3">
        <v>1</v>
      </c>
      <c r="P1520" s="3">
        <v>3</v>
      </c>
      <c r="Q1520" s="3">
        <v>1</v>
      </c>
    </row>
    <row r="1521" spans="1:17">
      <c r="A1521" t="s">
        <v>1429</v>
      </c>
      <c r="B1521" s="3" t="s">
        <v>1060</v>
      </c>
      <c r="C1521" s="3" t="s">
        <v>1061</v>
      </c>
      <c r="D1521" s="3" t="s">
        <v>15</v>
      </c>
      <c r="E1521" s="3" t="s">
        <v>16</v>
      </c>
      <c r="F1521" s="3">
        <v>5.0000000000000001E-3</v>
      </c>
      <c r="G1521" s="74">
        <f>F1521*VLOOKUP(D1521,GWPs!$B$3:$C$6,2,FALSE)</f>
        <v>5.0000000000000001E-3</v>
      </c>
      <c r="H1521" s="3">
        <v>0</v>
      </c>
      <c r="I1521" s="74">
        <f>H1521*VLOOKUP(D1521,GWPs!$B$3:$C$6,2,FALSE)</f>
        <v>0</v>
      </c>
      <c r="J1521" s="3">
        <v>5.0000000000000001E-3</v>
      </c>
      <c r="K1521" s="74">
        <f>J1521*VLOOKUP(D1521,GWPs!$B$3:$C$6,2,FALSE)</f>
        <v>5.0000000000000001E-3</v>
      </c>
      <c r="M1521" s="3">
        <v>4</v>
      </c>
      <c r="N1521" s="3">
        <v>2</v>
      </c>
      <c r="O1521" s="3">
        <v>1</v>
      </c>
      <c r="P1521" s="3">
        <v>4</v>
      </c>
      <c r="Q1521" s="3">
        <v>1</v>
      </c>
    </row>
    <row r="1522" spans="1:17">
      <c r="A1522" t="s">
        <v>1429</v>
      </c>
      <c r="B1522" s="3" t="s">
        <v>1062</v>
      </c>
      <c r="C1522" s="3" t="s">
        <v>1063</v>
      </c>
      <c r="D1522" s="3" t="s">
        <v>11</v>
      </c>
      <c r="E1522" s="3" t="s">
        <v>12</v>
      </c>
      <c r="F1522" s="3">
        <v>0.28999999999999998</v>
      </c>
      <c r="G1522" s="74">
        <f>F1522*VLOOKUP(D1522,GWPs!$B$3:$C$6,2,FALSE)</f>
        <v>0.28999999999999998</v>
      </c>
      <c r="H1522" s="3">
        <v>0</v>
      </c>
      <c r="I1522" s="74">
        <f>H1522*VLOOKUP(D1522,GWPs!$B$3:$C$6,2,FALSE)</f>
        <v>0</v>
      </c>
      <c r="J1522" s="3">
        <v>0.28999999999999998</v>
      </c>
      <c r="K1522" s="74">
        <f>J1522*VLOOKUP(D1522,GWPs!$B$3:$C$6,2,FALSE)</f>
        <v>0.28999999999999998</v>
      </c>
      <c r="M1522" s="3">
        <v>3</v>
      </c>
      <c r="N1522" s="3">
        <v>2</v>
      </c>
      <c r="O1522" s="3">
        <v>1</v>
      </c>
      <c r="P1522" s="3">
        <v>3</v>
      </c>
      <c r="Q1522" s="3">
        <v>1</v>
      </c>
    </row>
    <row r="1523" spans="1:17">
      <c r="A1523" t="s">
        <v>1429</v>
      </c>
      <c r="B1523" s="3" t="s">
        <v>1062</v>
      </c>
      <c r="C1523" s="3" t="s">
        <v>1063</v>
      </c>
      <c r="D1523" s="3" t="s">
        <v>13</v>
      </c>
      <c r="E1523" s="3" t="s">
        <v>12</v>
      </c>
      <c r="F1523" s="3">
        <v>2E-3</v>
      </c>
      <c r="G1523" s="74">
        <f>F1523*VLOOKUP(D1523,GWPs!$B$3:$C$6,2,FALSE)</f>
        <v>5.6000000000000001E-2</v>
      </c>
      <c r="H1523" s="3">
        <v>0</v>
      </c>
      <c r="I1523" s="74">
        <f>H1523*VLOOKUP(D1523,GWPs!$B$3:$C$6,2,FALSE)</f>
        <v>0</v>
      </c>
      <c r="J1523" s="3">
        <v>2E-3</v>
      </c>
      <c r="K1523" s="74">
        <f>J1523*VLOOKUP(D1523,GWPs!$B$3:$C$6,2,FALSE)</f>
        <v>5.6000000000000001E-2</v>
      </c>
      <c r="M1523" s="3">
        <v>3</v>
      </c>
      <c r="N1523" s="3">
        <v>2</v>
      </c>
      <c r="O1523" s="3">
        <v>1</v>
      </c>
      <c r="P1523" s="3">
        <v>1</v>
      </c>
      <c r="Q1523" s="3">
        <v>1</v>
      </c>
    </row>
    <row r="1524" spans="1:17">
      <c r="A1524" t="s">
        <v>1429</v>
      </c>
      <c r="B1524" s="3" t="s">
        <v>1062</v>
      </c>
      <c r="C1524" s="3" t="s">
        <v>1063</v>
      </c>
      <c r="D1524" s="3" t="s">
        <v>14</v>
      </c>
      <c r="E1524" s="3" t="s">
        <v>12</v>
      </c>
      <c r="F1524" s="3">
        <v>0</v>
      </c>
      <c r="G1524" s="74">
        <f>F1524*VLOOKUP(D1524,GWPs!$B$3:$C$6,2,FALSE)</f>
        <v>0</v>
      </c>
      <c r="H1524" s="3">
        <v>0</v>
      </c>
      <c r="I1524" s="74">
        <f>H1524*VLOOKUP(D1524,GWPs!$B$3:$C$6,2,FALSE)</f>
        <v>0</v>
      </c>
      <c r="J1524" s="3">
        <v>0</v>
      </c>
      <c r="K1524" s="74">
        <f>J1524*VLOOKUP(D1524,GWPs!$B$3:$C$6,2,FALSE)</f>
        <v>0</v>
      </c>
      <c r="M1524" s="3">
        <v>4</v>
      </c>
      <c r="N1524" s="3">
        <v>2</v>
      </c>
      <c r="O1524" s="3">
        <v>1</v>
      </c>
      <c r="P1524" s="3">
        <v>3</v>
      </c>
      <c r="Q1524" s="3">
        <v>1</v>
      </c>
    </row>
    <row r="1525" spans="1:17">
      <c r="A1525" t="s">
        <v>1429</v>
      </c>
      <c r="B1525" s="3" t="s">
        <v>1062</v>
      </c>
      <c r="C1525" s="3" t="s">
        <v>1063</v>
      </c>
      <c r="D1525" s="3" t="s">
        <v>15</v>
      </c>
      <c r="E1525" s="3" t="s">
        <v>16</v>
      </c>
      <c r="F1525" s="3">
        <v>0.01</v>
      </c>
      <c r="G1525" s="74">
        <f>F1525*VLOOKUP(D1525,GWPs!$B$3:$C$6,2,FALSE)</f>
        <v>0.01</v>
      </c>
      <c r="H1525" s="3">
        <v>0</v>
      </c>
      <c r="I1525" s="74">
        <f>H1525*VLOOKUP(D1525,GWPs!$B$3:$C$6,2,FALSE)</f>
        <v>0</v>
      </c>
      <c r="J1525" s="3">
        <v>0.01</v>
      </c>
      <c r="K1525" s="74">
        <f>J1525*VLOOKUP(D1525,GWPs!$B$3:$C$6,2,FALSE)</f>
        <v>0.01</v>
      </c>
      <c r="M1525" s="3">
        <v>4</v>
      </c>
      <c r="N1525" s="3">
        <v>2</v>
      </c>
      <c r="O1525" s="3">
        <v>1</v>
      </c>
      <c r="P1525" s="3">
        <v>5</v>
      </c>
      <c r="Q1525" s="3">
        <v>1</v>
      </c>
    </row>
    <row r="1526" spans="1:17">
      <c r="A1526" t="s">
        <v>1429</v>
      </c>
      <c r="B1526" s="3" t="s">
        <v>1064</v>
      </c>
      <c r="C1526" s="3" t="s">
        <v>1065</v>
      </c>
      <c r="D1526" s="3" t="s">
        <v>11</v>
      </c>
      <c r="E1526" s="3" t="s">
        <v>12</v>
      </c>
      <c r="F1526" s="3">
        <v>0.14799999999999999</v>
      </c>
      <c r="G1526" s="74">
        <f>F1526*VLOOKUP(D1526,GWPs!$B$3:$C$6,2,FALSE)</f>
        <v>0.14799999999999999</v>
      </c>
      <c r="H1526" s="3">
        <v>0</v>
      </c>
      <c r="I1526" s="74">
        <f>H1526*VLOOKUP(D1526,GWPs!$B$3:$C$6,2,FALSE)</f>
        <v>0</v>
      </c>
      <c r="J1526" s="3">
        <v>0.14799999999999999</v>
      </c>
      <c r="K1526" s="74">
        <f>J1526*VLOOKUP(D1526,GWPs!$B$3:$C$6,2,FALSE)</f>
        <v>0.14799999999999999</v>
      </c>
      <c r="M1526" s="3">
        <v>3</v>
      </c>
      <c r="N1526" s="3">
        <v>2</v>
      </c>
      <c r="O1526" s="3">
        <v>1</v>
      </c>
      <c r="P1526" s="3">
        <v>3</v>
      </c>
      <c r="Q1526" s="3">
        <v>1</v>
      </c>
    </row>
    <row r="1527" spans="1:17">
      <c r="A1527" t="s">
        <v>1429</v>
      </c>
      <c r="B1527" s="3" t="s">
        <v>1064</v>
      </c>
      <c r="C1527" s="3" t="s">
        <v>1065</v>
      </c>
      <c r="D1527" s="3" t="s">
        <v>13</v>
      </c>
      <c r="E1527" s="3" t="s">
        <v>12</v>
      </c>
      <c r="F1527" s="3">
        <v>1E-3</v>
      </c>
      <c r="G1527" s="74">
        <f>F1527*VLOOKUP(D1527,GWPs!$B$3:$C$6,2,FALSE)</f>
        <v>2.8000000000000001E-2</v>
      </c>
      <c r="H1527" s="3">
        <v>0</v>
      </c>
      <c r="I1527" s="74">
        <f>H1527*VLOOKUP(D1527,GWPs!$B$3:$C$6,2,FALSE)</f>
        <v>0</v>
      </c>
      <c r="J1527" s="3">
        <v>1E-3</v>
      </c>
      <c r="K1527" s="74">
        <f>J1527*VLOOKUP(D1527,GWPs!$B$3:$C$6,2,FALSE)</f>
        <v>2.8000000000000001E-2</v>
      </c>
      <c r="M1527" s="3">
        <v>3</v>
      </c>
      <c r="N1527" s="3">
        <v>2</v>
      </c>
      <c r="O1527" s="3">
        <v>1</v>
      </c>
      <c r="P1527" s="3">
        <v>1</v>
      </c>
      <c r="Q1527" s="3">
        <v>1</v>
      </c>
    </row>
    <row r="1528" spans="1:17">
      <c r="A1528" t="s">
        <v>1429</v>
      </c>
      <c r="B1528" s="3" t="s">
        <v>1064</v>
      </c>
      <c r="C1528" s="3" t="s">
        <v>1065</v>
      </c>
      <c r="D1528" s="3" t="s">
        <v>14</v>
      </c>
      <c r="E1528" s="3" t="s">
        <v>12</v>
      </c>
      <c r="F1528" s="3">
        <v>0</v>
      </c>
      <c r="G1528" s="74">
        <f>F1528*VLOOKUP(D1528,GWPs!$B$3:$C$6,2,FALSE)</f>
        <v>0</v>
      </c>
      <c r="H1528" s="3">
        <v>0</v>
      </c>
      <c r="I1528" s="74">
        <f>H1528*VLOOKUP(D1528,GWPs!$B$3:$C$6,2,FALSE)</f>
        <v>0</v>
      </c>
      <c r="J1528" s="3">
        <v>0</v>
      </c>
      <c r="K1528" s="74">
        <f>J1528*VLOOKUP(D1528,GWPs!$B$3:$C$6,2,FALSE)</f>
        <v>0</v>
      </c>
      <c r="M1528" s="3">
        <v>4</v>
      </c>
      <c r="N1528" s="3">
        <v>2</v>
      </c>
      <c r="O1528" s="3">
        <v>1</v>
      </c>
      <c r="P1528" s="3">
        <v>3</v>
      </c>
      <c r="Q1528" s="3">
        <v>1</v>
      </c>
    </row>
    <row r="1529" spans="1:17">
      <c r="A1529" t="s">
        <v>1429</v>
      </c>
      <c r="B1529" s="3" t="s">
        <v>1064</v>
      </c>
      <c r="C1529" s="3" t="s">
        <v>1065</v>
      </c>
      <c r="D1529" s="3" t="s">
        <v>15</v>
      </c>
      <c r="E1529" s="3" t="s">
        <v>16</v>
      </c>
      <c r="F1529" s="3">
        <v>4.0000000000000001E-3</v>
      </c>
      <c r="G1529" s="74">
        <f>F1529*VLOOKUP(D1529,GWPs!$B$3:$C$6,2,FALSE)</f>
        <v>4.0000000000000001E-3</v>
      </c>
      <c r="H1529" s="3">
        <v>0</v>
      </c>
      <c r="I1529" s="74">
        <f>H1529*VLOOKUP(D1529,GWPs!$B$3:$C$6,2,FALSE)</f>
        <v>0</v>
      </c>
      <c r="J1529" s="3">
        <v>4.0000000000000001E-3</v>
      </c>
      <c r="K1529" s="74">
        <f>J1529*VLOOKUP(D1529,GWPs!$B$3:$C$6,2,FALSE)</f>
        <v>4.0000000000000001E-3</v>
      </c>
      <c r="M1529" s="3">
        <v>4</v>
      </c>
      <c r="N1529" s="3">
        <v>2</v>
      </c>
      <c r="O1529" s="3">
        <v>1</v>
      </c>
      <c r="P1529" s="3">
        <v>5</v>
      </c>
      <c r="Q1529" s="3">
        <v>1</v>
      </c>
    </row>
    <row r="1530" spans="1:17">
      <c r="A1530" t="s">
        <v>1429</v>
      </c>
      <c r="B1530" s="3" t="s">
        <v>1066</v>
      </c>
      <c r="C1530" s="3" t="s">
        <v>1067</v>
      </c>
      <c r="D1530" s="3" t="s">
        <v>11</v>
      </c>
      <c r="E1530" s="3" t="s">
        <v>12</v>
      </c>
      <c r="F1530" s="3">
        <v>0.13300000000000001</v>
      </c>
      <c r="G1530" s="74">
        <f>F1530*VLOOKUP(D1530,GWPs!$B$3:$C$6,2,FALSE)</f>
        <v>0.13300000000000001</v>
      </c>
      <c r="H1530" s="3">
        <v>0</v>
      </c>
      <c r="I1530" s="74">
        <f>H1530*VLOOKUP(D1530,GWPs!$B$3:$C$6,2,FALSE)</f>
        <v>0</v>
      </c>
      <c r="J1530" s="3">
        <v>0.13300000000000001</v>
      </c>
      <c r="K1530" s="74">
        <f>J1530*VLOOKUP(D1530,GWPs!$B$3:$C$6,2,FALSE)</f>
        <v>0.13300000000000001</v>
      </c>
      <c r="M1530" s="3">
        <v>3</v>
      </c>
      <c r="N1530" s="3">
        <v>2</v>
      </c>
      <c r="O1530" s="3">
        <v>1</v>
      </c>
      <c r="P1530" s="3">
        <v>3</v>
      </c>
      <c r="Q1530" s="3">
        <v>1</v>
      </c>
    </row>
    <row r="1531" spans="1:17">
      <c r="A1531" t="s">
        <v>1429</v>
      </c>
      <c r="B1531" s="3" t="s">
        <v>1066</v>
      </c>
      <c r="C1531" s="3" t="s">
        <v>1067</v>
      </c>
      <c r="D1531" s="3" t="s">
        <v>13</v>
      </c>
      <c r="E1531" s="3" t="s">
        <v>12</v>
      </c>
      <c r="F1531" s="3">
        <v>1E-3</v>
      </c>
      <c r="G1531" s="74">
        <f>F1531*VLOOKUP(D1531,GWPs!$B$3:$C$6,2,FALSE)</f>
        <v>2.8000000000000001E-2</v>
      </c>
      <c r="H1531" s="3">
        <v>0</v>
      </c>
      <c r="I1531" s="74">
        <f>H1531*VLOOKUP(D1531,GWPs!$B$3:$C$6,2,FALSE)</f>
        <v>0</v>
      </c>
      <c r="J1531" s="3">
        <v>1E-3</v>
      </c>
      <c r="K1531" s="74">
        <f>J1531*VLOOKUP(D1531,GWPs!$B$3:$C$6,2,FALSE)</f>
        <v>2.8000000000000001E-2</v>
      </c>
      <c r="M1531" s="3">
        <v>3</v>
      </c>
      <c r="N1531" s="3">
        <v>2</v>
      </c>
      <c r="O1531" s="3">
        <v>1</v>
      </c>
      <c r="P1531" s="3">
        <v>1</v>
      </c>
      <c r="Q1531" s="3">
        <v>1</v>
      </c>
    </row>
    <row r="1532" spans="1:17">
      <c r="A1532" t="s">
        <v>1429</v>
      </c>
      <c r="B1532" s="3" t="s">
        <v>1066</v>
      </c>
      <c r="C1532" s="3" t="s">
        <v>1067</v>
      </c>
      <c r="D1532" s="3" t="s">
        <v>14</v>
      </c>
      <c r="E1532" s="3" t="s">
        <v>12</v>
      </c>
      <c r="F1532" s="3">
        <v>0</v>
      </c>
      <c r="G1532" s="74">
        <f>F1532*VLOOKUP(D1532,GWPs!$B$3:$C$6,2,FALSE)</f>
        <v>0</v>
      </c>
      <c r="H1532" s="3">
        <v>0</v>
      </c>
      <c r="I1532" s="74">
        <f>H1532*VLOOKUP(D1532,GWPs!$B$3:$C$6,2,FALSE)</f>
        <v>0</v>
      </c>
      <c r="J1532" s="3">
        <v>0</v>
      </c>
      <c r="K1532" s="74">
        <f>J1532*VLOOKUP(D1532,GWPs!$B$3:$C$6,2,FALSE)</f>
        <v>0</v>
      </c>
      <c r="M1532" s="3">
        <v>3</v>
      </c>
      <c r="N1532" s="3">
        <v>2</v>
      </c>
      <c r="O1532" s="3">
        <v>1</v>
      </c>
      <c r="P1532" s="3">
        <v>3</v>
      </c>
      <c r="Q1532" s="3">
        <v>1</v>
      </c>
    </row>
    <row r="1533" spans="1:17">
      <c r="A1533" t="s">
        <v>1429</v>
      </c>
      <c r="B1533" s="3" t="s">
        <v>1066</v>
      </c>
      <c r="C1533" s="3" t="s">
        <v>1067</v>
      </c>
      <c r="D1533" s="3" t="s">
        <v>15</v>
      </c>
      <c r="E1533" s="3" t="s">
        <v>16</v>
      </c>
      <c r="F1533" s="3">
        <v>3.0000000000000001E-3</v>
      </c>
      <c r="G1533" s="74">
        <f>F1533*VLOOKUP(D1533,GWPs!$B$3:$C$6,2,FALSE)</f>
        <v>3.0000000000000001E-3</v>
      </c>
      <c r="H1533" s="3">
        <v>0</v>
      </c>
      <c r="I1533" s="74">
        <f>H1533*VLOOKUP(D1533,GWPs!$B$3:$C$6,2,FALSE)</f>
        <v>0</v>
      </c>
      <c r="J1533" s="3">
        <v>3.0000000000000001E-3</v>
      </c>
      <c r="K1533" s="74">
        <f>J1533*VLOOKUP(D1533,GWPs!$B$3:$C$6,2,FALSE)</f>
        <v>3.0000000000000001E-3</v>
      </c>
      <c r="M1533" s="3">
        <v>3</v>
      </c>
      <c r="N1533" s="3">
        <v>2</v>
      </c>
      <c r="O1533" s="3">
        <v>1</v>
      </c>
      <c r="P1533" s="3">
        <v>3</v>
      </c>
      <c r="Q1533" s="3">
        <v>1</v>
      </c>
    </row>
    <row r="1534" spans="1:17">
      <c r="A1534" t="s">
        <v>1430</v>
      </c>
      <c r="B1534" s="3" t="s">
        <v>1068</v>
      </c>
      <c r="C1534" s="3" t="s">
        <v>1069</v>
      </c>
      <c r="D1534" s="3" t="s">
        <v>11</v>
      </c>
      <c r="E1534" s="3" t="s">
        <v>12</v>
      </c>
      <c r="F1534" s="3">
        <v>9.2999999999999999E-2</v>
      </c>
      <c r="G1534" s="74">
        <f>F1534*VLOOKUP(D1534,GWPs!$B$3:$C$6,2,FALSE)</f>
        <v>9.2999999999999999E-2</v>
      </c>
      <c r="H1534" s="3">
        <v>0</v>
      </c>
      <c r="I1534" s="74">
        <f>H1534*VLOOKUP(D1534,GWPs!$B$3:$C$6,2,FALSE)</f>
        <v>0</v>
      </c>
      <c r="J1534" s="3">
        <v>9.2999999999999999E-2</v>
      </c>
      <c r="K1534" s="74">
        <f>J1534*VLOOKUP(D1534,GWPs!$B$3:$C$6,2,FALSE)</f>
        <v>9.2999999999999999E-2</v>
      </c>
      <c r="M1534" s="3">
        <v>3</v>
      </c>
      <c r="N1534" s="3">
        <v>2</v>
      </c>
      <c r="O1534" s="3">
        <v>1</v>
      </c>
      <c r="P1534" s="3">
        <v>3</v>
      </c>
      <c r="Q1534" s="3">
        <v>1</v>
      </c>
    </row>
    <row r="1535" spans="1:17">
      <c r="A1535" t="s">
        <v>1430</v>
      </c>
      <c r="B1535" s="3" t="s">
        <v>1068</v>
      </c>
      <c r="C1535" s="3" t="s">
        <v>1069</v>
      </c>
      <c r="D1535" s="3" t="s">
        <v>13</v>
      </c>
      <c r="E1535" s="3" t="s">
        <v>12</v>
      </c>
      <c r="F1535" s="3">
        <v>0</v>
      </c>
      <c r="G1535" s="74">
        <f>F1535*VLOOKUP(D1535,GWPs!$B$3:$C$6,2,FALSE)</f>
        <v>0</v>
      </c>
      <c r="H1535" s="3">
        <v>0</v>
      </c>
      <c r="I1535" s="74">
        <f>H1535*VLOOKUP(D1535,GWPs!$B$3:$C$6,2,FALSE)</f>
        <v>0</v>
      </c>
      <c r="J1535" s="3">
        <v>0</v>
      </c>
      <c r="K1535" s="74">
        <f>J1535*VLOOKUP(D1535,GWPs!$B$3:$C$6,2,FALSE)</f>
        <v>0</v>
      </c>
      <c r="M1535" s="3">
        <v>3</v>
      </c>
      <c r="N1535" s="3">
        <v>2</v>
      </c>
      <c r="O1535" s="3">
        <v>1</v>
      </c>
      <c r="P1535" s="3">
        <v>1</v>
      </c>
      <c r="Q1535" s="3">
        <v>1</v>
      </c>
    </row>
    <row r="1536" spans="1:17">
      <c r="A1536" t="s">
        <v>1430</v>
      </c>
      <c r="B1536" s="3" t="s">
        <v>1068</v>
      </c>
      <c r="C1536" s="3" t="s">
        <v>1069</v>
      </c>
      <c r="D1536" s="3" t="s">
        <v>14</v>
      </c>
      <c r="E1536" s="3" t="s">
        <v>12</v>
      </c>
      <c r="F1536" s="3">
        <v>0</v>
      </c>
      <c r="G1536" s="74">
        <f>F1536*VLOOKUP(D1536,GWPs!$B$3:$C$6,2,FALSE)</f>
        <v>0</v>
      </c>
      <c r="H1536" s="3">
        <v>0</v>
      </c>
      <c r="I1536" s="74">
        <f>H1536*VLOOKUP(D1536,GWPs!$B$3:$C$6,2,FALSE)</f>
        <v>0</v>
      </c>
      <c r="J1536" s="3">
        <v>0</v>
      </c>
      <c r="K1536" s="74">
        <f>J1536*VLOOKUP(D1536,GWPs!$B$3:$C$6,2,FALSE)</f>
        <v>0</v>
      </c>
      <c r="M1536" s="3">
        <v>3</v>
      </c>
      <c r="N1536" s="3">
        <v>2</v>
      </c>
      <c r="O1536" s="3">
        <v>1</v>
      </c>
      <c r="P1536" s="3">
        <v>3</v>
      </c>
      <c r="Q1536" s="3">
        <v>1</v>
      </c>
    </row>
    <row r="1537" spans="1:17">
      <c r="A1537" t="s">
        <v>1430</v>
      </c>
      <c r="B1537" s="3" t="s">
        <v>1068</v>
      </c>
      <c r="C1537" s="3" t="s">
        <v>1069</v>
      </c>
      <c r="D1537" s="3" t="s">
        <v>15</v>
      </c>
      <c r="E1537" s="3" t="s">
        <v>16</v>
      </c>
      <c r="F1537" s="3">
        <v>5.0000000000000001E-3</v>
      </c>
      <c r="G1537" s="74">
        <f>F1537*VLOOKUP(D1537,GWPs!$B$3:$C$6,2,FALSE)</f>
        <v>5.0000000000000001E-3</v>
      </c>
      <c r="H1537" s="3">
        <v>0</v>
      </c>
      <c r="I1537" s="74">
        <f>H1537*VLOOKUP(D1537,GWPs!$B$3:$C$6,2,FALSE)</f>
        <v>0</v>
      </c>
      <c r="J1537" s="3">
        <v>5.0000000000000001E-3</v>
      </c>
      <c r="K1537" s="74">
        <f>J1537*VLOOKUP(D1537,GWPs!$B$3:$C$6,2,FALSE)</f>
        <v>5.0000000000000001E-3</v>
      </c>
      <c r="M1537" s="3">
        <v>3</v>
      </c>
      <c r="N1537" s="3">
        <v>2</v>
      </c>
      <c r="O1537" s="3">
        <v>1</v>
      </c>
      <c r="P1537" s="3">
        <v>2</v>
      </c>
      <c r="Q1537" s="3">
        <v>1</v>
      </c>
    </row>
    <row r="1538" spans="1:17">
      <c r="A1538" t="s">
        <v>1430</v>
      </c>
      <c r="B1538" s="3" t="s">
        <v>1070</v>
      </c>
      <c r="C1538" s="3" t="s">
        <v>1071</v>
      </c>
      <c r="D1538" s="3" t="s">
        <v>11</v>
      </c>
      <c r="E1538" s="3" t="s">
        <v>12</v>
      </c>
      <c r="F1538" s="3">
        <v>0.122</v>
      </c>
      <c r="G1538" s="74">
        <f>F1538*VLOOKUP(D1538,GWPs!$B$3:$C$6,2,FALSE)</f>
        <v>0.122</v>
      </c>
      <c r="H1538" s="3">
        <v>0</v>
      </c>
      <c r="I1538" s="74">
        <f>H1538*VLOOKUP(D1538,GWPs!$B$3:$C$6,2,FALSE)</f>
        <v>0</v>
      </c>
      <c r="J1538" s="3">
        <v>0.122</v>
      </c>
      <c r="K1538" s="74">
        <f>J1538*VLOOKUP(D1538,GWPs!$B$3:$C$6,2,FALSE)</f>
        <v>0.122</v>
      </c>
      <c r="M1538" s="3">
        <v>3</v>
      </c>
      <c r="N1538" s="3">
        <v>2</v>
      </c>
      <c r="O1538" s="3">
        <v>1</v>
      </c>
      <c r="P1538" s="3">
        <v>3</v>
      </c>
      <c r="Q1538" s="3">
        <v>1</v>
      </c>
    </row>
    <row r="1539" spans="1:17">
      <c r="A1539" t="s">
        <v>1430</v>
      </c>
      <c r="B1539" s="3" t="s">
        <v>1070</v>
      </c>
      <c r="C1539" s="3" t="s">
        <v>1071</v>
      </c>
      <c r="D1539" s="3" t="s">
        <v>13</v>
      </c>
      <c r="E1539" s="3" t="s">
        <v>12</v>
      </c>
      <c r="F1539" s="3">
        <v>1E-3</v>
      </c>
      <c r="G1539" s="74">
        <f>F1539*VLOOKUP(D1539,GWPs!$B$3:$C$6,2,FALSE)</f>
        <v>2.8000000000000001E-2</v>
      </c>
      <c r="H1539" s="3">
        <v>0</v>
      </c>
      <c r="I1539" s="74">
        <f>H1539*VLOOKUP(D1539,GWPs!$B$3:$C$6,2,FALSE)</f>
        <v>0</v>
      </c>
      <c r="J1539" s="3">
        <v>1E-3</v>
      </c>
      <c r="K1539" s="74">
        <f>J1539*VLOOKUP(D1539,GWPs!$B$3:$C$6,2,FALSE)</f>
        <v>2.8000000000000001E-2</v>
      </c>
      <c r="M1539" s="3">
        <v>3</v>
      </c>
      <c r="N1539" s="3">
        <v>2</v>
      </c>
      <c r="O1539" s="3">
        <v>1</v>
      </c>
      <c r="P1539" s="3">
        <v>1</v>
      </c>
      <c r="Q1539" s="3">
        <v>1</v>
      </c>
    </row>
    <row r="1540" spans="1:17">
      <c r="A1540" t="s">
        <v>1430</v>
      </c>
      <c r="B1540" s="3" t="s">
        <v>1070</v>
      </c>
      <c r="C1540" s="3" t="s">
        <v>1071</v>
      </c>
      <c r="D1540" s="3" t="s">
        <v>14</v>
      </c>
      <c r="E1540" s="3" t="s">
        <v>12</v>
      </c>
      <c r="F1540" s="3">
        <v>0</v>
      </c>
      <c r="G1540" s="74">
        <f>F1540*VLOOKUP(D1540,GWPs!$B$3:$C$6,2,FALSE)</f>
        <v>0</v>
      </c>
      <c r="H1540" s="3">
        <v>0</v>
      </c>
      <c r="I1540" s="74">
        <f>H1540*VLOOKUP(D1540,GWPs!$B$3:$C$6,2,FALSE)</f>
        <v>0</v>
      </c>
      <c r="J1540" s="3">
        <v>0</v>
      </c>
      <c r="K1540" s="74">
        <f>J1540*VLOOKUP(D1540,GWPs!$B$3:$C$6,2,FALSE)</f>
        <v>0</v>
      </c>
      <c r="M1540" s="3">
        <v>3</v>
      </c>
      <c r="N1540" s="3">
        <v>2</v>
      </c>
      <c r="O1540" s="3">
        <v>1</v>
      </c>
      <c r="P1540" s="3">
        <v>3</v>
      </c>
      <c r="Q1540" s="3">
        <v>1</v>
      </c>
    </row>
    <row r="1541" spans="1:17">
      <c r="A1541" t="s">
        <v>1430</v>
      </c>
      <c r="B1541" s="3" t="s">
        <v>1070</v>
      </c>
      <c r="C1541" s="3" t="s">
        <v>1071</v>
      </c>
      <c r="D1541" s="3" t="s">
        <v>15</v>
      </c>
      <c r="E1541" s="3" t="s">
        <v>16</v>
      </c>
      <c r="F1541" s="3">
        <v>2.1999999999999999E-2</v>
      </c>
      <c r="G1541" s="74">
        <f>F1541*VLOOKUP(D1541,GWPs!$B$3:$C$6,2,FALSE)</f>
        <v>2.1999999999999999E-2</v>
      </c>
      <c r="H1541" s="3">
        <v>0</v>
      </c>
      <c r="I1541" s="74">
        <f>H1541*VLOOKUP(D1541,GWPs!$B$3:$C$6,2,FALSE)</f>
        <v>0</v>
      </c>
      <c r="J1541" s="3">
        <v>2.1999999999999999E-2</v>
      </c>
      <c r="K1541" s="74">
        <f>J1541*VLOOKUP(D1541,GWPs!$B$3:$C$6,2,FALSE)</f>
        <v>2.1999999999999999E-2</v>
      </c>
      <c r="M1541" s="3">
        <v>4</v>
      </c>
      <c r="N1541" s="3">
        <v>2</v>
      </c>
      <c r="O1541" s="3">
        <v>1</v>
      </c>
      <c r="P1541" s="3">
        <v>5</v>
      </c>
      <c r="Q1541" s="3">
        <v>1</v>
      </c>
    </row>
    <row r="1542" spans="1:17">
      <c r="A1542" t="s">
        <v>1429</v>
      </c>
      <c r="B1542" s="3" t="s">
        <v>1072</v>
      </c>
      <c r="C1542" s="3" t="s">
        <v>1073</v>
      </c>
      <c r="D1542" s="3" t="s">
        <v>11</v>
      </c>
      <c r="E1542" s="3" t="s">
        <v>12</v>
      </c>
      <c r="F1542" s="3">
        <v>9.7000000000000003E-2</v>
      </c>
      <c r="G1542" s="74">
        <f>F1542*VLOOKUP(D1542,GWPs!$B$3:$C$6,2,FALSE)</f>
        <v>9.7000000000000003E-2</v>
      </c>
      <c r="H1542" s="3">
        <v>0</v>
      </c>
      <c r="I1542" s="74">
        <f>H1542*VLOOKUP(D1542,GWPs!$B$3:$C$6,2,FALSE)</f>
        <v>0</v>
      </c>
      <c r="J1542" s="3">
        <v>9.7000000000000003E-2</v>
      </c>
      <c r="K1542" s="74">
        <f>J1542*VLOOKUP(D1542,GWPs!$B$3:$C$6,2,FALSE)</f>
        <v>9.7000000000000003E-2</v>
      </c>
      <c r="M1542" s="3">
        <v>3</v>
      </c>
      <c r="N1542" s="3">
        <v>2</v>
      </c>
      <c r="O1542" s="3">
        <v>1</v>
      </c>
      <c r="P1542" s="3">
        <v>3</v>
      </c>
      <c r="Q1542" s="3">
        <v>1</v>
      </c>
    </row>
    <row r="1543" spans="1:17">
      <c r="A1543" t="s">
        <v>1429</v>
      </c>
      <c r="B1543" s="3" t="s">
        <v>1072</v>
      </c>
      <c r="C1543" s="3" t="s">
        <v>1073</v>
      </c>
      <c r="D1543" s="3" t="s">
        <v>13</v>
      </c>
      <c r="E1543" s="3" t="s">
        <v>12</v>
      </c>
      <c r="F1543" s="3">
        <v>0</v>
      </c>
      <c r="G1543" s="74">
        <f>F1543*VLOOKUP(D1543,GWPs!$B$3:$C$6,2,FALSE)</f>
        <v>0</v>
      </c>
      <c r="H1543" s="3">
        <v>0</v>
      </c>
      <c r="I1543" s="74">
        <f>H1543*VLOOKUP(D1543,GWPs!$B$3:$C$6,2,FALSE)</f>
        <v>0</v>
      </c>
      <c r="J1543" s="3">
        <v>0</v>
      </c>
      <c r="K1543" s="74">
        <f>J1543*VLOOKUP(D1543,GWPs!$B$3:$C$6,2,FALSE)</f>
        <v>0</v>
      </c>
      <c r="M1543" s="3">
        <v>3</v>
      </c>
      <c r="N1543" s="3">
        <v>2</v>
      </c>
      <c r="O1543" s="3">
        <v>1</v>
      </c>
      <c r="P1543" s="3">
        <v>1</v>
      </c>
      <c r="Q1543" s="3">
        <v>1</v>
      </c>
    </row>
    <row r="1544" spans="1:17">
      <c r="A1544" t="s">
        <v>1429</v>
      </c>
      <c r="B1544" s="3" t="s">
        <v>1072</v>
      </c>
      <c r="C1544" s="3" t="s">
        <v>1073</v>
      </c>
      <c r="D1544" s="3" t="s">
        <v>14</v>
      </c>
      <c r="E1544" s="3" t="s">
        <v>12</v>
      </c>
      <c r="F1544" s="3">
        <v>0</v>
      </c>
      <c r="G1544" s="74">
        <f>F1544*VLOOKUP(D1544,GWPs!$B$3:$C$6,2,FALSE)</f>
        <v>0</v>
      </c>
      <c r="H1544" s="3">
        <v>0</v>
      </c>
      <c r="I1544" s="74">
        <f>H1544*VLOOKUP(D1544,GWPs!$B$3:$C$6,2,FALSE)</f>
        <v>0</v>
      </c>
      <c r="J1544" s="3">
        <v>0</v>
      </c>
      <c r="K1544" s="74">
        <f>J1544*VLOOKUP(D1544,GWPs!$B$3:$C$6,2,FALSE)</f>
        <v>0</v>
      </c>
      <c r="M1544" s="3">
        <v>3</v>
      </c>
      <c r="N1544" s="3">
        <v>2</v>
      </c>
      <c r="O1544" s="3">
        <v>1</v>
      </c>
      <c r="P1544" s="3">
        <v>3</v>
      </c>
      <c r="Q1544" s="3">
        <v>1</v>
      </c>
    </row>
    <row r="1545" spans="1:17">
      <c r="A1545" t="s">
        <v>1429</v>
      </c>
      <c r="B1545" s="3" t="s">
        <v>1072</v>
      </c>
      <c r="C1545" s="3" t="s">
        <v>1073</v>
      </c>
      <c r="D1545" s="3" t="s">
        <v>15</v>
      </c>
      <c r="E1545" s="3" t="s">
        <v>16</v>
      </c>
      <c r="F1545" s="3">
        <v>3.0000000000000001E-3</v>
      </c>
      <c r="G1545" s="74">
        <f>F1545*VLOOKUP(D1545,GWPs!$B$3:$C$6,2,FALSE)</f>
        <v>3.0000000000000001E-3</v>
      </c>
      <c r="H1545" s="3">
        <v>0</v>
      </c>
      <c r="I1545" s="74">
        <f>H1545*VLOOKUP(D1545,GWPs!$B$3:$C$6,2,FALSE)</f>
        <v>0</v>
      </c>
      <c r="J1545" s="3">
        <v>3.0000000000000001E-3</v>
      </c>
      <c r="K1545" s="74">
        <f>J1545*VLOOKUP(D1545,GWPs!$B$3:$C$6,2,FALSE)</f>
        <v>3.0000000000000001E-3</v>
      </c>
      <c r="M1545" s="3">
        <v>4</v>
      </c>
      <c r="N1545" s="3">
        <v>2</v>
      </c>
      <c r="O1545" s="3">
        <v>1</v>
      </c>
      <c r="P1545" s="3">
        <v>4</v>
      </c>
      <c r="Q1545" s="3">
        <v>1</v>
      </c>
    </row>
    <row r="1546" spans="1:17">
      <c r="A1546" t="s">
        <v>1429</v>
      </c>
      <c r="B1546" s="3" t="s">
        <v>1074</v>
      </c>
      <c r="C1546" s="3" t="s">
        <v>1075</v>
      </c>
      <c r="D1546" s="3" t="s">
        <v>11</v>
      </c>
      <c r="E1546" s="3" t="s">
        <v>12</v>
      </c>
      <c r="F1546" s="3">
        <v>0.121</v>
      </c>
      <c r="G1546" s="74">
        <f>F1546*VLOOKUP(D1546,GWPs!$B$3:$C$6,2,FALSE)</f>
        <v>0.121</v>
      </c>
      <c r="H1546" s="3">
        <v>0</v>
      </c>
      <c r="I1546" s="74">
        <f>H1546*VLOOKUP(D1546,GWPs!$B$3:$C$6,2,FALSE)</f>
        <v>0</v>
      </c>
      <c r="J1546" s="3">
        <v>0.121</v>
      </c>
      <c r="K1546" s="74">
        <f>J1546*VLOOKUP(D1546,GWPs!$B$3:$C$6,2,FALSE)</f>
        <v>0.121</v>
      </c>
      <c r="M1546" s="3">
        <v>3</v>
      </c>
      <c r="N1546" s="3">
        <v>2</v>
      </c>
      <c r="O1546" s="3">
        <v>1</v>
      </c>
      <c r="P1546" s="3">
        <v>3</v>
      </c>
      <c r="Q1546" s="3">
        <v>1</v>
      </c>
    </row>
    <row r="1547" spans="1:17">
      <c r="A1547" t="s">
        <v>1429</v>
      </c>
      <c r="B1547" s="3" t="s">
        <v>1074</v>
      </c>
      <c r="C1547" s="3" t="s">
        <v>1075</v>
      </c>
      <c r="D1547" s="3" t="s">
        <v>13</v>
      </c>
      <c r="E1547" s="3" t="s">
        <v>12</v>
      </c>
      <c r="F1547" s="3">
        <v>1E-3</v>
      </c>
      <c r="G1547" s="74">
        <f>F1547*VLOOKUP(D1547,GWPs!$B$3:$C$6,2,FALSE)</f>
        <v>2.8000000000000001E-2</v>
      </c>
      <c r="H1547" s="3">
        <v>0</v>
      </c>
      <c r="I1547" s="74">
        <f>H1547*VLOOKUP(D1547,GWPs!$B$3:$C$6,2,FALSE)</f>
        <v>0</v>
      </c>
      <c r="J1547" s="3">
        <v>1E-3</v>
      </c>
      <c r="K1547" s="74">
        <f>J1547*VLOOKUP(D1547,GWPs!$B$3:$C$6,2,FALSE)</f>
        <v>2.8000000000000001E-2</v>
      </c>
      <c r="M1547" s="3">
        <v>3</v>
      </c>
      <c r="N1547" s="3">
        <v>2</v>
      </c>
      <c r="O1547" s="3">
        <v>1</v>
      </c>
      <c r="P1547" s="3">
        <v>1</v>
      </c>
      <c r="Q1547" s="3">
        <v>1</v>
      </c>
    </row>
    <row r="1548" spans="1:17">
      <c r="A1548" t="s">
        <v>1429</v>
      </c>
      <c r="B1548" s="3" t="s">
        <v>1074</v>
      </c>
      <c r="C1548" s="3" t="s">
        <v>1075</v>
      </c>
      <c r="D1548" s="3" t="s">
        <v>14</v>
      </c>
      <c r="E1548" s="3" t="s">
        <v>12</v>
      </c>
      <c r="F1548" s="3">
        <v>0</v>
      </c>
      <c r="G1548" s="74">
        <f>F1548*VLOOKUP(D1548,GWPs!$B$3:$C$6,2,FALSE)</f>
        <v>0</v>
      </c>
      <c r="H1548" s="3">
        <v>0</v>
      </c>
      <c r="I1548" s="74">
        <f>H1548*VLOOKUP(D1548,GWPs!$B$3:$C$6,2,FALSE)</f>
        <v>0</v>
      </c>
      <c r="J1548" s="3">
        <v>0</v>
      </c>
      <c r="K1548" s="74">
        <f>J1548*VLOOKUP(D1548,GWPs!$B$3:$C$6,2,FALSE)</f>
        <v>0</v>
      </c>
      <c r="M1548" s="3">
        <v>3</v>
      </c>
      <c r="N1548" s="3">
        <v>2</v>
      </c>
      <c r="O1548" s="3">
        <v>1</v>
      </c>
      <c r="P1548" s="3">
        <v>3</v>
      </c>
      <c r="Q1548" s="3">
        <v>1</v>
      </c>
    </row>
    <row r="1549" spans="1:17">
      <c r="A1549" t="s">
        <v>1429</v>
      </c>
      <c r="B1549" s="3" t="s">
        <v>1074</v>
      </c>
      <c r="C1549" s="3" t="s">
        <v>1075</v>
      </c>
      <c r="D1549" s="3" t="s">
        <v>15</v>
      </c>
      <c r="E1549" s="3" t="s">
        <v>16</v>
      </c>
      <c r="F1549" s="3">
        <v>2E-3</v>
      </c>
      <c r="G1549" s="74">
        <f>F1549*VLOOKUP(D1549,GWPs!$B$3:$C$6,2,FALSE)</f>
        <v>2E-3</v>
      </c>
      <c r="H1549" s="3">
        <v>0</v>
      </c>
      <c r="I1549" s="74">
        <f>H1549*VLOOKUP(D1549,GWPs!$B$3:$C$6,2,FALSE)</f>
        <v>0</v>
      </c>
      <c r="J1549" s="3">
        <v>2E-3</v>
      </c>
      <c r="K1549" s="74">
        <f>J1549*VLOOKUP(D1549,GWPs!$B$3:$C$6,2,FALSE)</f>
        <v>2E-3</v>
      </c>
      <c r="M1549" s="3">
        <v>4</v>
      </c>
      <c r="N1549" s="3">
        <v>2</v>
      </c>
      <c r="O1549" s="3">
        <v>1</v>
      </c>
      <c r="P1549" s="3">
        <v>4</v>
      </c>
      <c r="Q1549" s="3">
        <v>1</v>
      </c>
    </row>
    <row r="1550" spans="1:17">
      <c r="A1550" t="s">
        <v>1429</v>
      </c>
      <c r="B1550" s="3" t="s">
        <v>1076</v>
      </c>
      <c r="C1550" s="3" t="s">
        <v>1077</v>
      </c>
      <c r="D1550" s="3" t="s">
        <v>11</v>
      </c>
      <c r="E1550" s="3" t="s">
        <v>12</v>
      </c>
      <c r="F1550" s="3">
        <v>3.6999999999999998E-2</v>
      </c>
      <c r="G1550" s="74">
        <f>F1550*VLOOKUP(D1550,GWPs!$B$3:$C$6,2,FALSE)</f>
        <v>3.6999999999999998E-2</v>
      </c>
      <c r="H1550" s="3">
        <v>0</v>
      </c>
      <c r="I1550" s="74">
        <f>H1550*VLOOKUP(D1550,GWPs!$B$3:$C$6,2,FALSE)</f>
        <v>0</v>
      </c>
      <c r="J1550" s="3">
        <v>3.6999999999999998E-2</v>
      </c>
      <c r="K1550" s="74">
        <f>J1550*VLOOKUP(D1550,GWPs!$B$3:$C$6,2,FALSE)</f>
        <v>3.6999999999999998E-2</v>
      </c>
      <c r="M1550" s="3">
        <v>3</v>
      </c>
      <c r="N1550" s="3">
        <v>2</v>
      </c>
      <c r="O1550" s="3">
        <v>1</v>
      </c>
      <c r="P1550" s="3">
        <v>3</v>
      </c>
      <c r="Q1550" s="3">
        <v>1</v>
      </c>
    </row>
    <row r="1551" spans="1:17">
      <c r="A1551" t="s">
        <v>1429</v>
      </c>
      <c r="B1551" s="3" t="s">
        <v>1076</v>
      </c>
      <c r="C1551" s="3" t="s">
        <v>1077</v>
      </c>
      <c r="D1551" s="3" t="s">
        <v>13</v>
      </c>
      <c r="E1551" s="3" t="s">
        <v>12</v>
      </c>
      <c r="F1551" s="3">
        <v>0</v>
      </c>
      <c r="G1551" s="74">
        <f>F1551*VLOOKUP(D1551,GWPs!$B$3:$C$6,2,FALSE)</f>
        <v>0</v>
      </c>
      <c r="H1551" s="3">
        <v>0</v>
      </c>
      <c r="I1551" s="74">
        <f>H1551*VLOOKUP(D1551,GWPs!$B$3:$C$6,2,FALSE)</f>
        <v>0</v>
      </c>
      <c r="J1551" s="3">
        <v>0</v>
      </c>
      <c r="K1551" s="74">
        <f>J1551*VLOOKUP(D1551,GWPs!$B$3:$C$6,2,FALSE)</f>
        <v>0</v>
      </c>
      <c r="M1551" s="3">
        <v>4</v>
      </c>
      <c r="N1551" s="3">
        <v>2</v>
      </c>
      <c r="O1551" s="3">
        <v>1</v>
      </c>
      <c r="P1551" s="3">
        <v>1</v>
      </c>
      <c r="Q1551" s="3">
        <v>1</v>
      </c>
    </row>
    <row r="1552" spans="1:17">
      <c r="A1552" t="s">
        <v>1429</v>
      </c>
      <c r="B1552" s="3" t="s">
        <v>1076</v>
      </c>
      <c r="C1552" s="3" t="s">
        <v>1077</v>
      </c>
      <c r="D1552" s="3" t="s">
        <v>14</v>
      </c>
      <c r="E1552" s="3" t="s">
        <v>12</v>
      </c>
      <c r="F1552" s="3">
        <v>0</v>
      </c>
      <c r="G1552" s="74">
        <f>F1552*VLOOKUP(D1552,GWPs!$B$3:$C$6,2,FALSE)</f>
        <v>0</v>
      </c>
      <c r="H1552" s="3">
        <v>0</v>
      </c>
      <c r="I1552" s="74">
        <f>H1552*VLOOKUP(D1552,GWPs!$B$3:$C$6,2,FALSE)</f>
        <v>0</v>
      </c>
      <c r="J1552" s="3">
        <v>0</v>
      </c>
      <c r="K1552" s="74">
        <f>J1552*VLOOKUP(D1552,GWPs!$B$3:$C$6,2,FALSE)</f>
        <v>0</v>
      </c>
      <c r="M1552" s="3">
        <v>4</v>
      </c>
      <c r="N1552" s="3">
        <v>2</v>
      </c>
      <c r="O1552" s="3">
        <v>1</v>
      </c>
      <c r="P1552" s="3">
        <v>3</v>
      </c>
      <c r="Q1552" s="3">
        <v>1</v>
      </c>
    </row>
    <row r="1553" spans="1:17">
      <c r="A1553" t="s">
        <v>1429</v>
      </c>
      <c r="B1553" s="3" t="s">
        <v>1076</v>
      </c>
      <c r="C1553" s="3" t="s">
        <v>1077</v>
      </c>
      <c r="D1553" s="3" t="s">
        <v>15</v>
      </c>
      <c r="E1553" s="3" t="s">
        <v>16</v>
      </c>
      <c r="F1553" s="3">
        <v>1E-3</v>
      </c>
      <c r="G1553" s="74">
        <f>F1553*VLOOKUP(D1553,GWPs!$B$3:$C$6,2,FALSE)</f>
        <v>1E-3</v>
      </c>
      <c r="H1553" s="3">
        <v>0</v>
      </c>
      <c r="I1553" s="74">
        <f>H1553*VLOOKUP(D1553,GWPs!$B$3:$C$6,2,FALSE)</f>
        <v>0</v>
      </c>
      <c r="J1553" s="3">
        <v>1E-3</v>
      </c>
      <c r="K1553" s="74">
        <f>J1553*VLOOKUP(D1553,GWPs!$B$3:$C$6,2,FALSE)</f>
        <v>1E-3</v>
      </c>
      <c r="M1553" s="3">
        <v>4</v>
      </c>
      <c r="N1553" s="3">
        <v>2</v>
      </c>
      <c r="O1553" s="3">
        <v>1</v>
      </c>
      <c r="P1553" s="3">
        <v>4</v>
      </c>
      <c r="Q1553" s="3">
        <v>1</v>
      </c>
    </row>
    <row r="1554" spans="1:17">
      <c r="A1554" t="s">
        <v>1430</v>
      </c>
      <c r="B1554" s="3" t="s">
        <v>1078</v>
      </c>
      <c r="C1554" s="3" t="s">
        <v>1079</v>
      </c>
      <c r="D1554" s="3" t="s">
        <v>11</v>
      </c>
      <c r="E1554" s="3" t="s">
        <v>12</v>
      </c>
      <c r="F1554" s="3">
        <v>0.17</v>
      </c>
      <c r="G1554" s="74">
        <f>F1554*VLOOKUP(D1554,GWPs!$B$3:$C$6,2,FALSE)</f>
        <v>0.17</v>
      </c>
      <c r="H1554" s="3">
        <v>0</v>
      </c>
      <c r="I1554" s="74">
        <f>H1554*VLOOKUP(D1554,GWPs!$B$3:$C$6,2,FALSE)</f>
        <v>0</v>
      </c>
      <c r="J1554" s="3">
        <v>0.17</v>
      </c>
      <c r="K1554" s="74">
        <f>J1554*VLOOKUP(D1554,GWPs!$B$3:$C$6,2,FALSE)</f>
        <v>0.17</v>
      </c>
      <c r="M1554" s="3">
        <v>3</v>
      </c>
      <c r="N1554" s="3">
        <v>2</v>
      </c>
      <c r="O1554" s="3">
        <v>1</v>
      </c>
      <c r="P1554" s="3">
        <v>3</v>
      </c>
      <c r="Q1554" s="3">
        <v>1</v>
      </c>
    </row>
    <row r="1555" spans="1:17">
      <c r="A1555" t="s">
        <v>1430</v>
      </c>
      <c r="B1555" s="3" t="s">
        <v>1078</v>
      </c>
      <c r="C1555" s="3" t="s">
        <v>1079</v>
      </c>
      <c r="D1555" s="3" t="s">
        <v>13</v>
      </c>
      <c r="E1555" s="3" t="s">
        <v>12</v>
      </c>
      <c r="F1555" s="3">
        <v>1E-3</v>
      </c>
      <c r="G1555" s="74">
        <f>F1555*VLOOKUP(D1555,GWPs!$B$3:$C$6,2,FALSE)</f>
        <v>2.8000000000000001E-2</v>
      </c>
      <c r="H1555" s="3">
        <v>0</v>
      </c>
      <c r="I1555" s="74">
        <f>H1555*VLOOKUP(D1555,GWPs!$B$3:$C$6,2,FALSE)</f>
        <v>0</v>
      </c>
      <c r="J1555" s="3">
        <v>1E-3</v>
      </c>
      <c r="K1555" s="74">
        <f>J1555*VLOOKUP(D1555,GWPs!$B$3:$C$6,2,FALSE)</f>
        <v>2.8000000000000001E-2</v>
      </c>
      <c r="M1555" s="3">
        <v>3</v>
      </c>
      <c r="N1555" s="3">
        <v>2</v>
      </c>
      <c r="O1555" s="3">
        <v>1</v>
      </c>
      <c r="P1555" s="3">
        <v>1</v>
      </c>
      <c r="Q1555" s="3">
        <v>1</v>
      </c>
    </row>
    <row r="1556" spans="1:17">
      <c r="A1556" t="s">
        <v>1430</v>
      </c>
      <c r="B1556" s="3" t="s">
        <v>1078</v>
      </c>
      <c r="C1556" s="3" t="s">
        <v>1079</v>
      </c>
      <c r="D1556" s="3" t="s">
        <v>14</v>
      </c>
      <c r="E1556" s="3" t="s">
        <v>12</v>
      </c>
      <c r="F1556" s="3">
        <v>0</v>
      </c>
      <c r="G1556" s="74">
        <f>F1556*VLOOKUP(D1556,GWPs!$B$3:$C$6,2,FALSE)</f>
        <v>0</v>
      </c>
      <c r="H1556" s="3">
        <v>0</v>
      </c>
      <c r="I1556" s="74">
        <f>H1556*VLOOKUP(D1556,GWPs!$B$3:$C$6,2,FALSE)</f>
        <v>0</v>
      </c>
      <c r="J1556" s="3">
        <v>0</v>
      </c>
      <c r="K1556" s="74">
        <f>J1556*VLOOKUP(D1556,GWPs!$B$3:$C$6,2,FALSE)</f>
        <v>0</v>
      </c>
      <c r="M1556" s="3">
        <v>3</v>
      </c>
      <c r="N1556" s="3">
        <v>2</v>
      </c>
      <c r="O1556" s="3">
        <v>1</v>
      </c>
      <c r="P1556" s="3">
        <v>2</v>
      </c>
      <c r="Q1556" s="3">
        <v>1</v>
      </c>
    </row>
    <row r="1557" spans="1:17">
      <c r="A1557" t="s">
        <v>1430</v>
      </c>
      <c r="B1557" s="3" t="s">
        <v>1078</v>
      </c>
      <c r="C1557" s="3" t="s">
        <v>1079</v>
      </c>
      <c r="D1557" s="3" t="s">
        <v>15</v>
      </c>
      <c r="E1557" s="3" t="s">
        <v>16</v>
      </c>
      <c r="F1557" s="3">
        <v>3.0000000000000001E-3</v>
      </c>
      <c r="G1557" s="74">
        <f>F1557*VLOOKUP(D1557,GWPs!$B$3:$C$6,2,FALSE)</f>
        <v>3.0000000000000001E-3</v>
      </c>
      <c r="H1557" s="3">
        <v>0</v>
      </c>
      <c r="I1557" s="74">
        <f>H1557*VLOOKUP(D1557,GWPs!$B$3:$C$6,2,FALSE)</f>
        <v>0</v>
      </c>
      <c r="J1557" s="3">
        <v>3.0000000000000001E-3</v>
      </c>
      <c r="K1557" s="74">
        <f>J1557*VLOOKUP(D1557,GWPs!$B$3:$C$6,2,FALSE)</f>
        <v>3.0000000000000001E-3</v>
      </c>
      <c r="M1557" s="3">
        <v>4</v>
      </c>
      <c r="N1557" s="3">
        <v>2</v>
      </c>
      <c r="O1557" s="3">
        <v>1</v>
      </c>
      <c r="P1557" s="3">
        <v>4</v>
      </c>
      <c r="Q1557" s="3">
        <v>1</v>
      </c>
    </row>
    <row r="1558" spans="1:17">
      <c r="A1558" t="s">
        <v>1429</v>
      </c>
      <c r="B1558" s="3" t="s">
        <v>1080</v>
      </c>
      <c r="C1558" s="3" t="s">
        <v>1081</v>
      </c>
      <c r="D1558" s="3" t="s">
        <v>11</v>
      </c>
      <c r="E1558" s="3" t="s">
        <v>12</v>
      </c>
      <c r="F1558" s="3">
        <v>0.11</v>
      </c>
      <c r="G1558" s="74">
        <f>F1558*VLOOKUP(D1558,GWPs!$B$3:$C$6,2,FALSE)</f>
        <v>0.11</v>
      </c>
      <c r="H1558" s="3">
        <v>0</v>
      </c>
      <c r="I1558" s="74">
        <f>H1558*VLOOKUP(D1558,GWPs!$B$3:$C$6,2,FALSE)</f>
        <v>0</v>
      </c>
      <c r="J1558" s="3">
        <v>0.11</v>
      </c>
      <c r="K1558" s="74">
        <f>J1558*VLOOKUP(D1558,GWPs!$B$3:$C$6,2,FALSE)</f>
        <v>0.11</v>
      </c>
      <c r="M1558" s="3">
        <v>3</v>
      </c>
      <c r="N1558" s="3">
        <v>2</v>
      </c>
      <c r="O1558" s="3">
        <v>1</v>
      </c>
      <c r="P1558" s="3">
        <v>3</v>
      </c>
      <c r="Q1558" s="3">
        <v>1</v>
      </c>
    </row>
    <row r="1559" spans="1:17">
      <c r="A1559" t="s">
        <v>1429</v>
      </c>
      <c r="B1559" s="3" t="s">
        <v>1080</v>
      </c>
      <c r="C1559" s="3" t="s">
        <v>1081</v>
      </c>
      <c r="D1559" s="3" t="s">
        <v>13</v>
      </c>
      <c r="E1559" s="3" t="s">
        <v>12</v>
      </c>
      <c r="F1559" s="3">
        <v>1E-3</v>
      </c>
      <c r="G1559" s="74">
        <f>F1559*VLOOKUP(D1559,GWPs!$B$3:$C$6,2,FALSE)</f>
        <v>2.8000000000000001E-2</v>
      </c>
      <c r="H1559" s="3">
        <v>0</v>
      </c>
      <c r="I1559" s="74">
        <f>H1559*VLOOKUP(D1559,GWPs!$B$3:$C$6,2,FALSE)</f>
        <v>0</v>
      </c>
      <c r="J1559" s="3">
        <v>1E-3</v>
      </c>
      <c r="K1559" s="74">
        <f>J1559*VLOOKUP(D1559,GWPs!$B$3:$C$6,2,FALSE)</f>
        <v>2.8000000000000001E-2</v>
      </c>
      <c r="M1559" s="3">
        <v>3</v>
      </c>
      <c r="N1559" s="3">
        <v>2</v>
      </c>
      <c r="O1559" s="3">
        <v>1</v>
      </c>
      <c r="P1559" s="3">
        <v>1</v>
      </c>
      <c r="Q1559" s="3">
        <v>1</v>
      </c>
    </row>
    <row r="1560" spans="1:17">
      <c r="A1560" t="s">
        <v>1429</v>
      </c>
      <c r="B1560" s="3" t="s">
        <v>1080</v>
      </c>
      <c r="C1560" s="3" t="s">
        <v>1081</v>
      </c>
      <c r="D1560" s="3" t="s">
        <v>14</v>
      </c>
      <c r="E1560" s="3" t="s">
        <v>12</v>
      </c>
      <c r="F1560" s="3">
        <v>0</v>
      </c>
      <c r="G1560" s="74">
        <f>F1560*VLOOKUP(D1560,GWPs!$B$3:$C$6,2,FALSE)</f>
        <v>0</v>
      </c>
      <c r="H1560" s="3">
        <v>0</v>
      </c>
      <c r="I1560" s="74">
        <f>H1560*VLOOKUP(D1560,GWPs!$B$3:$C$6,2,FALSE)</f>
        <v>0</v>
      </c>
      <c r="J1560" s="3">
        <v>0</v>
      </c>
      <c r="K1560" s="74">
        <f>J1560*VLOOKUP(D1560,GWPs!$B$3:$C$6,2,FALSE)</f>
        <v>0</v>
      </c>
      <c r="M1560" s="3">
        <v>3</v>
      </c>
      <c r="N1560" s="3">
        <v>2</v>
      </c>
      <c r="O1560" s="3">
        <v>1</v>
      </c>
      <c r="P1560" s="3">
        <v>3</v>
      </c>
      <c r="Q1560" s="3">
        <v>1</v>
      </c>
    </row>
    <row r="1561" spans="1:17">
      <c r="A1561" t="s">
        <v>1429</v>
      </c>
      <c r="B1561" s="3" t="s">
        <v>1080</v>
      </c>
      <c r="C1561" s="3" t="s">
        <v>1081</v>
      </c>
      <c r="D1561" s="3" t="s">
        <v>15</v>
      </c>
      <c r="E1561" s="3" t="s">
        <v>16</v>
      </c>
      <c r="F1561" s="3">
        <v>3.0000000000000001E-3</v>
      </c>
      <c r="G1561" s="74">
        <f>F1561*VLOOKUP(D1561,GWPs!$B$3:$C$6,2,FALSE)</f>
        <v>3.0000000000000001E-3</v>
      </c>
      <c r="H1561" s="3">
        <v>0</v>
      </c>
      <c r="I1561" s="74">
        <f>H1561*VLOOKUP(D1561,GWPs!$B$3:$C$6,2,FALSE)</f>
        <v>0</v>
      </c>
      <c r="J1561" s="3">
        <v>3.0000000000000001E-3</v>
      </c>
      <c r="K1561" s="74">
        <f>J1561*VLOOKUP(D1561,GWPs!$B$3:$C$6,2,FALSE)</f>
        <v>3.0000000000000001E-3</v>
      </c>
      <c r="M1561" s="3">
        <v>4</v>
      </c>
      <c r="N1561" s="3">
        <v>2</v>
      </c>
      <c r="O1561" s="3">
        <v>1</v>
      </c>
      <c r="P1561" s="3">
        <v>4</v>
      </c>
      <c r="Q1561" s="3">
        <v>1</v>
      </c>
    </row>
    <row r="1562" spans="1:17">
      <c r="A1562" t="s">
        <v>1429</v>
      </c>
      <c r="B1562" s="3" t="s">
        <v>1082</v>
      </c>
      <c r="C1562" s="3" t="s">
        <v>1083</v>
      </c>
      <c r="D1562" s="3" t="s">
        <v>11</v>
      </c>
      <c r="E1562" s="3" t="s">
        <v>12</v>
      </c>
      <c r="F1562" s="3">
        <v>0.219</v>
      </c>
      <c r="G1562" s="74">
        <f>F1562*VLOOKUP(D1562,GWPs!$B$3:$C$6,2,FALSE)</f>
        <v>0.219</v>
      </c>
      <c r="H1562" s="3">
        <v>0</v>
      </c>
      <c r="I1562" s="74">
        <f>H1562*VLOOKUP(D1562,GWPs!$B$3:$C$6,2,FALSE)</f>
        <v>0</v>
      </c>
      <c r="J1562" s="3">
        <v>0.219</v>
      </c>
      <c r="K1562" s="74">
        <f>J1562*VLOOKUP(D1562,GWPs!$B$3:$C$6,2,FALSE)</f>
        <v>0.219</v>
      </c>
      <c r="M1562" s="3">
        <v>3</v>
      </c>
      <c r="N1562" s="3">
        <v>2</v>
      </c>
      <c r="O1562" s="3">
        <v>1</v>
      </c>
      <c r="P1562" s="3">
        <v>3</v>
      </c>
      <c r="Q1562" s="3">
        <v>1</v>
      </c>
    </row>
    <row r="1563" spans="1:17">
      <c r="A1563" t="s">
        <v>1429</v>
      </c>
      <c r="B1563" s="3" t="s">
        <v>1082</v>
      </c>
      <c r="C1563" s="3" t="s">
        <v>1083</v>
      </c>
      <c r="D1563" s="3" t="s">
        <v>13</v>
      </c>
      <c r="E1563" s="3" t="s">
        <v>12</v>
      </c>
      <c r="F1563" s="3">
        <v>1E-3</v>
      </c>
      <c r="G1563" s="74">
        <f>F1563*VLOOKUP(D1563,GWPs!$B$3:$C$6,2,FALSE)</f>
        <v>2.8000000000000001E-2</v>
      </c>
      <c r="H1563" s="3">
        <v>0</v>
      </c>
      <c r="I1563" s="74">
        <f>H1563*VLOOKUP(D1563,GWPs!$B$3:$C$6,2,FALSE)</f>
        <v>0</v>
      </c>
      <c r="J1563" s="3">
        <v>1E-3</v>
      </c>
      <c r="K1563" s="74">
        <f>J1563*VLOOKUP(D1563,GWPs!$B$3:$C$6,2,FALSE)</f>
        <v>2.8000000000000001E-2</v>
      </c>
      <c r="M1563" s="3">
        <v>3</v>
      </c>
      <c r="N1563" s="3">
        <v>2</v>
      </c>
      <c r="O1563" s="3">
        <v>1</v>
      </c>
      <c r="P1563" s="3">
        <v>1</v>
      </c>
      <c r="Q1563" s="3">
        <v>1</v>
      </c>
    </row>
    <row r="1564" spans="1:17">
      <c r="A1564" t="s">
        <v>1429</v>
      </c>
      <c r="B1564" s="3" t="s">
        <v>1082</v>
      </c>
      <c r="C1564" s="3" t="s">
        <v>1083</v>
      </c>
      <c r="D1564" s="3" t="s">
        <v>14</v>
      </c>
      <c r="E1564" s="3" t="s">
        <v>12</v>
      </c>
      <c r="F1564" s="3">
        <v>0</v>
      </c>
      <c r="G1564" s="74">
        <f>F1564*VLOOKUP(D1564,GWPs!$B$3:$C$6,2,FALSE)</f>
        <v>0</v>
      </c>
      <c r="H1564" s="3">
        <v>0</v>
      </c>
      <c r="I1564" s="74">
        <f>H1564*VLOOKUP(D1564,GWPs!$B$3:$C$6,2,FALSE)</f>
        <v>0</v>
      </c>
      <c r="J1564" s="3">
        <v>0</v>
      </c>
      <c r="K1564" s="74">
        <f>J1564*VLOOKUP(D1564,GWPs!$B$3:$C$6,2,FALSE)</f>
        <v>0</v>
      </c>
      <c r="M1564" s="3">
        <v>4</v>
      </c>
      <c r="N1564" s="3">
        <v>2</v>
      </c>
      <c r="O1564" s="3">
        <v>1</v>
      </c>
      <c r="P1564" s="3">
        <v>3</v>
      </c>
      <c r="Q1564" s="3">
        <v>1</v>
      </c>
    </row>
    <row r="1565" spans="1:17">
      <c r="A1565" t="s">
        <v>1429</v>
      </c>
      <c r="B1565" s="3" t="s">
        <v>1082</v>
      </c>
      <c r="C1565" s="3" t="s">
        <v>1083</v>
      </c>
      <c r="D1565" s="3" t="s">
        <v>15</v>
      </c>
      <c r="E1565" s="3" t="s">
        <v>16</v>
      </c>
      <c r="F1565" s="3">
        <v>5.0000000000000001E-3</v>
      </c>
      <c r="G1565" s="74">
        <f>F1565*VLOOKUP(D1565,GWPs!$B$3:$C$6,2,FALSE)</f>
        <v>5.0000000000000001E-3</v>
      </c>
      <c r="H1565" s="3">
        <v>0</v>
      </c>
      <c r="I1565" s="74">
        <f>H1565*VLOOKUP(D1565,GWPs!$B$3:$C$6,2,FALSE)</f>
        <v>0</v>
      </c>
      <c r="J1565" s="3">
        <v>5.0000000000000001E-3</v>
      </c>
      <c r="K1565" s="74">
        <f>J1565*VLOOKUP(D1565,GWPs!$B$3:$C$6,2,FALSE)</f>
        <v>5.0000000000000001E-3</v>
      </c>
      <c r="M1565" s="3">
        <v>4</v>
      </c>
      <c r="N1565" s="3">
        <v>2</v>
      </c>
      <c r="O1565" s="3">
        <v>1</v>
      </c>
      <c r="P1565" s="3">
        <v>4</v>
      </c>
      <c r="Q1565" s="3">
        <v>1</v>
      </c>
    </row>
    <row r="1566" spans="1:17">
      <c r="A1566" t="s">
        <v>1429</v>
      </c>
      <c r="B1566" s="3" t="s">
        <v>1084</v>
      </c>
      <c r="C1566" s="3" t="s">
        <v>1085</v>
      </c>
      <c r="D1566" s="3" t="s">
        <v>11</v>
      </c>
      <c r="E1566" s="3" t="s">
        <v>12</v>
      </c>
      <c r="F1566" s="3">
        <v>7.2999999999999995E-2</v>
      </c>
      <c r="G1566" s="74">
        <f>F1566*VLOOKUP(D1566,GWPs!$B$3:$C$6,2,FALSE)</f>
        <v>7.2999999999999995E-2</v>
      </c>
      <c r="H1566" s="3">
        <v>0</v>
      </c>
      <c r="I1566" s="74">
        <f>H1566*VLOOKUP(D1566,GWPs!$B$3:$C$6,2,FALSE)</f>
        <v>0</v>
      </c>
      <c r="J1566" s="3">
        <v>7.2999999999999995E-2</v>
      </c>
      <c r="K1566" s="74">
        <f>J1566*VLOOKUP(D1566,GWPs!$B$3:$C$6,2,FALSE)</f>
        <v>7.2999999999999995E-2</v>
      </c>
      <c r="M1566" s="3">
        <v>3</v>
      </c>
      <c r="N1566" s="3">
        <v>2</v>
      </c>
      <c r="O1566" s="3">
        <v>1</v>
      </c>
      <c r="P1566" s="3">
        <v>3</v>
      </c>
      <c r="Q1566" s="3">
        <v>1</v>
      </c>
    </row>
    <row r="1567" spans="1:17">
      <c r="A1567" t="s">
        <v>1429</v>
      </c>
      <c r="B1567" s="3" t="s">
        <v>1084</v>
      </c>
      <c r="C1567" s="3" t="s">
        <v>1085</v>
      </c>
      <c r="D1567" s="3" t="s">
        <v>13</v>
      </c>
      <c r="E1567" s="3" t="s">
        <v>12</v>
      </c>
      <c r="F1567" s="3">
        <v>0</v>
      </c>
      <c r="G1567" s="74">
        <f>F1567*VLOOKUP(D1567,GWPs!$B$3:$C$6,2,FALSE)</f>
        <v>0</v>
      </c>
      <c r="H1567" s="3">
        <v>0</v>
      </c>
      <c r="I1567" s="74">
        <f>H1567*VLOOKUP(D1567,GWPs!$B$3:$C$6,2,FALSE)</f>
        <v>0</v>
      </c>
      <c r="J1567" s="3">
        <v>0</v>
      </c>
      <c r="K1567" s="74">
        <f>J1567*VLOOKUP(D1567,GWPs!$B$3:$C$6,2,FALSE)</f>
        <v>0</v>
      </c>
      <c r="M1567" s="3">
        <v>3</v>
      </c>
      <c r="N1567" s="3">
        <v>2</v>
      </c>
      <c r="O1567" s="3">
        <v>1</v>
      </c>
      <c r="P1567" s="3">
        <v>1</v>
      </c>
      <c r="Q1567" s="3">
        <v>1</v>
      </c>
    </row>
    <row r="1568" spans="1:17">
      <c r="A1568" t="s">
        <v>1429</v>
      </c>
      <c r="B1568" s="3" t="s">
        <v>1084</v>
      </c>
      <c r="C1568" s="3" t="s">
        <v>1085</v>
      </c>
      <c r="D1568" s="3" t="s">
        <v>14</v>
      </c>
      <c r="E1568" s="3" t="s">
        <v>12</v>
      </c>
      <c r="F1568" s="3">
        <v>0</v>
      </c>
      <c r="G1568" s="74">
        <f>F1568*VLOOKUP(D1568,GWPs!$B$3:$C$6,2,FALSE)</f>
        <v>0</v>
      </c>
      <c r="H1568" s="3">
        <v>0</v>
      </c>
      <c r="I1568" s="74">
        <f>H1568*VLOOKUP(D1568,GWPs!$B$3:$C$6,2,FALSE)</f>
        <v>0</v>
      </c>
      <c r="J1568" s="3">
        <v>0</v>
      </c>
      <c r="K1568" s="74">
        <f>J1568*VLOOKUP(D1568,GWPs!$B$3:$C$6,2,FALSE)</f>
        <v>0</v>
      </c>
      <c r="M1568" s="3">
        <v>3</v>
      </c>
      <c r="N1568" s="3">
        <v>2</v>
      </c>
      <c r="O1568" s="3">
        <v>1</v>
      </c>
      <c r="P1568" s="3">
        <v>3</v>
      </c>
      <c r="Q1568" s="3">
        <v>1</v>
      </c>
    </row>
    <row r="1569" spans="1:17">
      <c r="A1569" t="s">
        <v>1429</v>
      </c>
      <c r="B1569" s="3" t="s">
        <v>1084</v>
      </c>
      <c r="C1569" s="3" t="s">
        <v>1085</v>
      </c>
      <c r="D1569" s="3" t="s">
        <v>15</v>
      </c>
      <c r="E1569" s="3" t="s">
        <v>16</v>
      </c>
      <c r="F1569" s="3">
        <v>1E-3</v>
      </c>
      <c r="G1569" s="74">
        <f>F1569*VLOOKUP(D1569,GWPs!$B$3:$C$6,2,FALSE)</f>
        <v>1E-3</v>
      </c>
      <c r="H1569" s="3">
        <v>0</v>
      </c>
      <c r="I1569" s="74">
        <f>H1569*VLOOKUP(D1569,GWPs!$B$3:$C$6,2,FALSE)</f>
        <v>0</v>
      </c>
      <c r="J1569" s="3">
        <v>1E-3</v>
      </c>
      <c r="K1569" s="74">
        <f>J1569*VLOOKUP(D1569,GWPs!$B$3:$C$6,2,FALSE)</f>
        <v>1E-3</v>
      </c>
      <c r="M1569" s="3">
        <v>4</v>
      </c>
      <c r="N1569" s="3">
        <v>2</v>
      </c>
      <c r="O1569" s="3">
        <v>1</v>
      </c>
      <c r="P1569" s="3">
        <v>4</v>
      </c>
      <c r="Q1569" s="3">
        <v>1</v>
      </c>
    </row>
    <row r="1570" spans="1:17">
      <c r="A1570" t="s">
        <v>1429</v>
      </c>
      <c r="B1570" s="3" t="s">
        <v>1086</v>
      </c>
      <c r="C1570" s="3" t="s">
        <v>1087</v>
      </c>
      <c r="D1570" s="3" t="s">
        <v>11</v>
      </c>
      <c r="E1570" s="3" t="s">
        <v>12</v>
      </c>
      <c r="F1570" s="3">
        <v>0.127</v>
      </c>
      <c r="G1570" s="74">
        <f>F1570*VLOOKUP(D1570,GWPs!$B$3:$C$6,2,FALSE)</f>
        <v>0.127</v>
      </c>
      <c r="H1570" s="3">
        <v>0</v>
      </c>
      <c r="I1570" s="74">
        <f>H1570*VLOOKUP(D1570,GWPs!$B$3:$C$6,2,FALSE)</f>
        <v>0</v>
      </c>
      <c r="J1570" s="3">
        <v>0.127</v>
      </c>
      <c r="K1570" s="74">
        <f>J1570*VLOOKUP(D1570,GWPs!$B$3:$C$6,2,FALSE)</f>
        <v>0.127</v>
      </c>
      <c r="M1570" s="3">
        <v>3</v>
      </c>
      <c r="N1570" s="3">
        <v>2</v>
      </c>
      <c r="O1570" s="3">
        <v>1</v>
      </c>
      <c r="P1570" s="3">
        <v>3</v>
      </c>
      <c r="Q1570" s="3">
        <v>1</v>
      </c>
    </row>
    <row r="1571" spans="1:17">
      <c r="A1571" t="s">
        <v>1429</v>
      </c>
      <c r="B1571" s="3" t="s">
        <v>1086</v>
      </c>
      <c r="C1571" s="3" t="s">
        <v>1087</v>
      </c>
      <c r="D1571" s="3" t="s">
        <v>13</v>
      </c>
      <c r="E1571" s="3" t="s">
        <v>12</v>
      </c>
      <c r="F1571" s="3">
        <v>1E-3</v>
      </c>
      <c r="G1571" s="74">
        <f>F1571*VLOOKUP(D1571,GWPs!$B$3:$C$6,2,FALSE)</f>
        <v>2.8000000000000001E-2</v>
      </c>
      <c r="H1571" s="3">
        <v>0</v>
      </c>
      <c r="I1571" s="74">
        <f>H1571*VLOOKUP(D1571,GWPs!$B$3:$C$6,2,FALSE)</f>
        <v>0</v>
      </c>
      <c r="J1571" s="3">
        <v>1E-3</v>
      </c>
      <c r="K1571" s="74">
        <f>J1571*VLOOKUP(D1571,GWPs!$B$3:$C$6,2,FALSE)</f>
        <v>2.8000000000000001E-2</v>
      </c>
      <c r="M1571" s="3">
        <v>3</v>
      </c>
      <c r="N1571" s="3">
        <v>2</v>
      </c>
      <c r="O1571" s="3">
        <v>1</v>
      </c>
      <c r="P1571" s="3">
        <v>1</v>
      </c>
      <c r="Q1571" s="3">
        <v>1</v>
      </c>
    </row>
    <row r="1572" spans="1:17">
      <c r="A1572" t="s">
        <v>1429</v>
      </c>
      <c r="B1572" s="3" t="s">
        <v>1086</v>
      </c>
      <c r="C1572" s="3" t="s">
        <v>1087</v>
      </c>
      <c r="D1572" s="3" t="s">
        <v>14</v>
      </c>
      <c r="E1572" s="3" t="s">
        <v>12</v>
      </c>
      <c r="F1572" s="3">
        <v>0</v>
      </c>
      <c r="G1572" s="74">
        <f>F1572*VLOOKUP(D1572,GWPs!$B$3:$C$6,2,FALSE)</f>
        <v>0</v>
      </c>
      <c r="H1572" s="3">
        <v>0</v>
      </c>
      <c r="I1572" s="74">
        <f>H1572*VLOOKUP(D1572,GWPs!$B$3:$C$6,2,FALSE)</f>
        <v>0</v>
      </c>
      <c r="J1572" s="3">
        <v>0</v>
      </c>
      <c r="K1572" s="74">
        <f>J1572*VLOOKUP(D1572,GWPs!$B$3:$C$6,2,FALSE)</f>
        <v>0</v>
      </c>
      <c r="M1572" s="3">
        <v>4</v>
      </c>
      <c r="N1572" s="3">
        <v>2</v>
      </c>
      <c r="O1572" s="3">
        <v>1</v>
      </c>
      <c r="P1572" s="3">
        <v>3</v>
      </c>
      <c r="Q1572" s="3">
        <v>1</v>
      </c>
    </row>
    <row r="1573" spans="1:17">
      <c r="A1573" t="s">
        <v>1429</v>
      </c>
      <c r="B1573" s="3" t="s">
        <v>1086</v>
      </c>
      <c r="C1573" s="3" t="s">
        <v>1087</v>
      </c>
      <c r="D1573" s="3" t="s">
        <v>15</v>
      </c>
      <c r="E1573" s="3" t="s">
        <v>16</v>
      </c>
      <c r="F1573" s="3">
        <v>8.9999999999999993E-3</v>
      </c>
      <c r="G1573" s="74">
        <f>F1573*VLOOKUP(D1573,GWPs!$B$3:$C$6,2,FALSE)</f>
        <v>8.9999999999999993E-3</v>
      </c>
      <c r="H1573" s="3">
        <v>0</v>
      </c>
      <c r="I1573" s="74">
        <f>H1573*VLOOKUP(D1573,GWPs!$B$3:$C$6,2,FALSE)</f>
        <v>0</v>
      </c>
      <c r="J1573" s="3">
        <v>8.9999999999999993E-3</v>
      </c>
      <c r="K1573" s="74">
        <f>J1573*VLOOKUP(D1573,GWPs!$B$3:$C$6,2,FALSE)</f>
        <v>8.9999999999999993E-3</v>
      </c>
      <c r="M1573" s="3">
        <v>4</v>
      </c>
      <c r="N1573" s="3">
        <v>2</v>
      </c>
      <c r="O1573" s="3">
        <v>1</v>
      </c>
      <c r="P1573" s="3">
        <v>5</v>
      </c>
      <c r="Q1573" s="3">
        <v>1</v>
      </c>
    </row>
    <row r="1574" spans="1:17">
      <c r="A1574" t="s">
        <v>1429</v>
      </c>
      <c r="B1574" s="3" t="s">
        <v>1088</v>
      </c>
      <c r="C1574" s="3" t="s">
        <v>1089</v>
      </c>
      <c r="D1574" s="3" t="s">
        <v>11</v>
      </c>
      <c r="E1574" s="3" t="s">
        <v>12</v>
      </c>
      <c r="F1574" s="3">
        <v>0</v>
      </c>
      <c r="G1574" s="74">
        <f>F1574*VLOOKUP(D1574,GWPs!$B$3:$C$6,2,FALSE)</f>
        <v>0</v>
      </c>
      <c r="H1574" s="3">
        <v>0</v>
      </c>
      <c r="I1574" s="74">
        <f>H1574*VLOOKUP(D1574,GWPs!$B$3:$C$6,2,FALSE)</f>
        <v>0</v>
      </c>
      <c r="J1574" s="3">
        <v>0</v>
      </c>
      <c r="K1574" s="74">
        <f>J1574*VLOOKUP(D1574,GWPs!$B$3:$C$6,2,FALSE)</f>
        <v>0</v>
      </c>
      <c r="M1574" s="3">
        <v>4</v>
      </c>
      <c r="N1574" s="3">
        <v>2</v>
      </c>
      <c r="O1574" s="3">
        <v>1</v>
      </c>
      <c r="P1574" s="3">
        <v>5</v>
      </c>
      <c r="Q1574" s="3">
        <v>1</v>
      </c>
    </row>
    <row r="1575" spans="1:17">
      <c r="A1575" t="s">
        <v>1429</v>
      </c>
      <c r="B1575" s="3" t="s">
        <v>1088</v>
      </c>
      <c r="C1575" s="3" t="s">
        <v>1089</v>
      </c>
      <c r="D1575" s="3" t="s">
        <v>13</v>
      </c>
      <c r="E1575" s="3" t="s">
        <v>12</v>
      </c>
      <c r="F1575" s="3">
        <v>0</v>
      </c>
      <c r="G1575" s="74">
        <f>F1575*VLOOKUP(D1575,GWPs!$B$3:$C$6,2,FALSE)</f>
        <v>0</v>
      </c>
      <c r="H1575" s="3">
        <v>0</v>
      </c>
      <c r="I1575" s="74">
        <f>H1575*VLOOKUP(D1575,GWPs!$B$3:$C$6,2,FALSE)</f>
        <v>0</v>
      </c>
      <c r="J1575" s="3">
        <v>0</v>
      </c>
      <c r="K1575" s="74">
        <f>J1575*VLOOKUP(D1575,GWPs!$B$3:$C$6,2,FALSE)</f>
        <v>0</v>
      </c>
      <c r="M1575" s="3">
        <v>4</v>
      </c>
      <c r="N1575" s="3">
        <v>2</v>
      </c>
      <c r="O1575" s="3">
        <v>1</v>
      </c>
      <c r="P1575" s="3">
        <v>5</v>
      </c>
      <c r="Q1575" s="3">
        <v>1</v>
      </c>
    </row>
    <row r="1576" spans="1:17">
      <c r="A1576" t="s">
        <v>1429</v>
      </c>
      <c r="B1576" s="3" t="s">
        <v>1088</v>
      </c>
      <c r="C1576" s="3" t="s">
        <v>1089</v>
      </c>
      <c r="D1576" s="3" t="s">
        <v>14</v>
      </c>
      <c r="E1576" s="3" t="s">
        <v>12</v>
      </c>
      <c r="F1576" s="3">
        <v>0</v>
      </c>
      <c r="G1576" s="74">
        <f>F1576*VLOOKUP(D1576,GWPs!$B$3:$C$6,2,FALSE)</f>
        <v>0</v>
      </c>
      <c r="H1576" s="3">
        <v>0</v>
      </c>
      <c r="I1576" s="74">
        <f>H1576*VLOOKUP(D1576,GWPs!$B$3:$C$6,2,FALSE)</f>
        <v>0</v>
      </c>
      <c r="J1576" s="3">
        <v>0</v>
      </c>
      <c r="K1576" s="74">
        <f>J1576*VLOOKUP(D1576,GWPs!$B$3:$C$6,2,FALSE)</f>
        <v>0</v>
      </c>
      <c r="M1576" s="3">
        <v>4</v>
      </c>
      <c r="N1576" s="3">
        <v>2</v>
      </c>
      <c r="O1576" s="3">
        <v>1</v>
      </c>
      <c r="P1576" s="3">
        <v>5</v>
      </c>
      <c r="Q1576" s="3">
        <v>1</v>
      </c>
    </row>
    <row r="1577" spans="1:17">
      <c r="A1577" t="s">
        <v>1429</v>
      </c>
      <c r="B1577" s="3" t="s">
        <v>1088</v>
      </c>
      <c r="C1577" s="3" t="s">
        <v>1089</v>
      </c>
      <c r="D1577" s="3" t="s">
        <v>15</v>
      </c>
      <c r="E1577" s="3" t="s">
        <v>16</v>
      </c>
      <c r="F1577" s="3">
        <v>0</v>
      </c>
      <c r="G1577" s="74">
        <f>F1577*VLOOKUP(D1577,GWPs!$B$3:$C$6,2,FALSE)</f>
        <v>0</v>
      </c>
      <c r="H1577" s="3">
        <v>0</v>
      </c>
      <c r="I1577" s="74">
        <f>H1577*VLOOKUP(D1577,GWPs!$B$3:$C$6,2,FALSE)</f>
        <v>0</v>
      </c>
      <c r="J1577" s="3">
        <v>0</v>
      </c>
      <c r="K1577" s="74">
        <f>J1577*VLOOKUP(D1577,GWPs!$B$3:$C$6,2,FALSE)</f>
        <v>0</v>
      </c>
      <c r="M1577" s="3">
        <v>4</v>
      </c>
      <c r="N1577" s="3">
        <v>2</v>
      </c>
      <c r="O1577" s="3">
        <v>1</v>
      </c>
      <c r="P1577" s="3">
        <v>5</v>
      </c>
      <c r="Q1577" s="3">
        <v>1</v>
      </c>
    </row>
  </sheetData>
  <autoFilter ref="A1:K1577"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FFFF00"/>
  </sheetPr>
  <dimension ref="A1:AF1577"/>
  <sheetViews>
    <sheetView topLeftCell="S1" zoomScale="70" zoomScaleNormal="70" workbookViewId="0">
      <selection activeCell="AF2" sqref="AF2"/>
    </sheetView>
  </sheetViews>
  <sheetFormatPr defaultRowHeight="14.25"/>
  <cols>
    <col min="1" max="1" width="14.625" customWidth="1"/>
    <col min="2" max="2" width="15.125" bestFit="1" customWidth="1"/>
    <col min="3" max="3" width="45.375" customWidth="1"/>
    <col min="4" max="4" width="46.875" customWidth="1"/>
    <col min="5" max="5" width="13.375" bestFit="1" customWidth="1"/>
    <col min="6" max="6" width="29.625" bestFit="1" customWidth="1"/>
    <col min="7" max="7" width="39.875" bestFit="1" customWidth="1"/>
    <col min="8" max="8" width="20.375" style="92" customWidth="1"/>
    <col min="9" max="9" width="35.125" bestFit="1" customWidth="1"/>
    <col min="10" max="10" width="20.375" style="92" customWidth="1"/>
    <col min="11" max="11" width="37.125" bestFit="1" customWidth="1"/>
    <col min="12" max="12" width="20.375" style="92" customWidth="1"/>
    <col min="23" max="23" width="30.25" style="4" customWidth="1"/>
    <col min="24" max="24" width="17.125" bestFit="1" customWidth="1"/>
    <col min="25" max="25" width="16.875" style="416" bestFit="1" customWidth="1"/>
    <col min="26" max="26" width="13.25" bestFit="1" customWidth="1"/>
    <col min="27" max="27" width="15.125" bestFit="1" customWidth="1"/>
    <col min="28" max="28" width="15.625" style="464" customWidth="1"/>
    <col min="29" max="29" width="21.5" customWidth="1"/>
    <col min="30" max="30" width="58.875" customWidth="1"/>
    <col min="31" max="31" width="30.5" style="4" customWidth="1"/>
    <col min="32" max="32" width="29.125" style="4" customWidth="1"/>
  </cols>
  <sheetData>
    <row r="1" spans="1:32" s="72" customFormat="1" ht="90" customHeight="1">
      <c r="A1" s="72" t="s">
        <v>4224</v>
      </c>
      <c r="B1" s="404" t="s">
        <v>308</v>
      </c>
      <c r="C1" s="404" t="s">
        <v>4225</v>
      </c>
      <c r="D1" s="404" t="s">
        <v>4226</v>
      </c>
      <c r="E1" s="404" t="s">
        <v>1</v>
      </c>
      <c r="F1" s="404" t="s">
        <v>2</v>
      </c>
      <c r="G1" s="404" t="s">
        <v>3</v>
      </c>
      <c r="H1" s="410" t="s">
        <v>2179</v>
      </c>
      <c r="I1" s="404" t="s">
        <v>4</v>
      </c>
      <c r="J1" s="411" t="s">
        <v>2180</v>
      </c>
      <c r="K1" s="404" t="s">
        <v>5</v>
      </c>
      <c r="L1" s="412" t="s">
        <v>181</v>
      </c>
      <c r="M1" s="404"/>
      <c r="N1" s="404" t="s">
        <v>6</v>
      </c>
      <c r="O1" s="404" t="s">
        <v>7</v>
      </c>
      <c r="P1" s="404" t="s">
        <v>8</v>
      </c>
      <c r="Q1" s="404" t="s">
        <v>9</v>
      </c>
      <c r="R1" s="404" t="s">
        <v>10</v>
      </c>
      <c r="S1" s="404"/>
      <c r="T1" s="404"/>
      <c r="W1" s="318" t="s">
        <v>309</v>
      </c>
      <c r="X1" s="225" t="s">
        <v>308</v>
      </c>
      <c r="Y1" s="417" t="s">
        <v>1092</v>
      </c>
      <c r="Z1" s="226" t="s">
        <v>2181</v>
      </c>
      <c r="AA1" s="226" t="s">
        <v>2182</v>
      </c>
      <c r="AB1" s="465" t="s">
        <v>4229</v>
      </c>
      <c r="AC1" s="4" t="s">
        <v>3658</v>
      </c>
      <c r="AD1" s="124" t="s">
        <v>3659</v>
      </c>
      <c r="AE1" s="126" t="s">
        <v>156</v>
      </c>
      <c r="AF1" s="126" t="s">
        <v>3660</v>
      </c>
    </row>
    <row r="2" spans="1:32">
      <c r="A2" t="str">
        <f>_xlfn.IFNA(IF(VLOOKUP(C2,'2016_Detail_Commodity_v1.0'!C:C,1,FALSE)=C2,"No change"),"Name changed")</f>
        <v>No change</v>
      </c>
      <c r="B2" t="s">
        <v>310</v>
      </c>
      <c r="C2" t="s">
        <v>311</v>
      </c>
      <c r="E2" t="s">
        <v>3653</v>
      </c>
      <c r="F2" t="s">
        <v>12</v>
      </c>
      <c r="G2">
        <v>0.56899999999999995</v>
      </c>
      <c r="H2" s="413">
        <f>G2*VLOOKUP(E2,GWPs!$B$3:$C$6,2,FALSE)</f>
        <v>0.56899999999999995</v>
      </c>
      <c r="I2">
        <v>0.109</v>
      </c>
      <c r="J2" s="413">
        <f>I2*VLOOKUP(E2,GWPs!$B$3:$C$6,2,FALSE)</f>
        <v>0.109</v>
      </c>
      <c r="K2">
        <v>0.67900000000000005</v>
      </c>
      <c r="L2" s="413">
        <f>K2*VLOOKUP(E2,GWPs!$B$3:$C$6,2,FALSE)</f>
        <v>0.67900000000000005</v>
      </c>
      <c r="N2">
        <v>3</v>
      </c>
      <c r="O2">
        <v>2</v>
      </c>
      <c r="P2">
        <v>1</v>
      </c>
      <c r="Q2">
        <v>4</v>
      </c>
      <c r="R2">
        <v>1</v>
      </c>
      <c r="W2" s="226" t="s">
        <v>564</v>
      </c>
      <c r="X2" s="70" t="s">
        <v>563</v>
      </c>
      <c r="Y2" s="414">
        <v>0.30100000000000005</v>
      </c>
      <c r="Z2" s="70">
        <v>0.22600000000000001</v>
      </c>
      <c r="AA2" s="70">
        <v>0.10299999999999999</v>
      </c>
      <c r="AB2" s="464" t="s">
        <v>4230</v>
      </c>
      <c r="AC2" s="415">
        <f>IFERROR(AA2/Y2,"")</f>
        <v>0.34219269102990024</v>
      </c>
      <c r="AD2" s="226" t="e">
        <f ca="1">_xlfn.XLOOKUP(X2,'USEEIO metadata'!$C$2:$C$393,'USEEIO metadata'!$H$2:$H$393)</f>
        <v>#NAME?</v>
      </c>
      <c r="AE2" s="226" t="e">
        <f ca="1">_xlfn.XLOOKUP(X2,'USEEIO metadata'!$C$2:$C$393,'USEEIO metadata'!$F$2:$F$393)</f>
        <v>#NAME?</v>
      </c>
      <c r="AF2" s="226" t="e">
        <f ca="1">_xlfn.XLOOKUP(X2,'USEEIO metadata'!$C$2:$C$393,'USEEIO metadata'!$G$2:$G$393)</f>
        <v>#NAME?</v>
      </c>
    </row>
    <row r="3" spans="1:32" ht="28.5">
      <c r="A3" t="str">
        <f>_xlfn.IFNA(IF(VLOOKUP(C3,'2016_Detail_Commodity_v1.0'!C:C,1,FALSE)=C3,"No change"),"Name changed")</f>
        <v>No change</v>
      </c>
      <c r="B3" t="s">
        <v>310</v>
      </c>
      <c r="C3" t="s">
        <v>311</v>
      </c>
      <c r="E3" t="s">
        <v>3654</v>
      </c>
      <c r="F3" t="s">
        <v>12</v>
      </c>
      <c r="G3">
        <v>2E-3</v>
      </c>
      <c r="H3" s="413">
        <f>G3*VLOOKUP(E3,GWPs!$B$3:$C$6,2,FALSE)</f>
        <v>5.6000000000000001E-2</v>
      </c>
      <c r="I3">
        <v>1E-3</v>
      </c>
      <c r="J3" s="413">
        <f>I3*VLOOKUP(E3,GWPs!$B$3:$C$6,2,FALSE)</f>
        <v>2.8000000000000001E-2</v>
      </c>
      <c r="K3">
        <v>3.0000000000000001E-3</v>
      </c>
      <c r="L3" s="413">
        <f>K3*VLOOKUP(E3,GWPs!$B$3:$C$6,2,FALSE)</f>
        <v>8.4000000000000005E-2</v>
      </c>
      <c r="N3">
        <v>4</v>
      </c>
      <c r="O3">
        <v>2</v>
      </c>
      <c r="P3">
        <v>1</v>
      </c>
      <c r="Q3">
        <v>1</v>
      </c>
      <c r="R3">
        <v>1</v>
      </c>
      <c r="W3" s="226" t="s">
        <v>966</v>
      </c>
      <c r="X3" s="70" t="s">
        <v>965</v>
      </c>
      <c r="Y3" s="414">
        <v>5.1999999999999998E-2</v>
      </c>
      <c r="Z3" s="70">
        <v>5.1999999999999998E-2</v>
      </c>
      <c r="AA3" s="70">
        <v>0</v>
      </c>
      <c r="AB3" s="464" t="s">
        <v>4230</v>
      </c>
      <c r="AC3" s="415">
        <f t="shared" ref="AC3:AC66" si="0">IFERROR(AA3/Y3,"")</f>
        <v>0</v>
      </c>
      <c r="AD3" s="226" t="e">
        <f ca="1">_xlfn.XLOOKUP(X3,'USEEIO metadata'!$C$2:$C$393,'USEEIO metadata'!$H$2:$H$393)</f>
        <v>#NAME?</v>
      </c>
      <c r="AE3" s="226" t="e">
        <f ca="1">_xlfn.XLOOKUP(X3,'USEEIO metadata'!$C$2:$C$393,'USEEIO metadata'!$F$2:$F$393)</f>
        <v>#NAME?</v>
      </c>
      <c r="AF3" s="226" t="e">
        <f ca="1">_xlfn.XLOOKUP(X3,'USEEIO metadata'!$C$2:$C$393,'USEEIO metadata'!$G$2:$G$393)</f>
        <v>#NAME?</v>
      </c>
    </row>
    <row r="4" spans="1:32">
      <c r="A4" t="str">
        <f>_xlfn.IFNA(IF(VLOOKUP(C4,'2016_Detail_Commodity_v1.0'!C:C,1,FALSE)=C4,"No change"),"Name changed")</f>
        <v>No change</v>
      </c>
      <c r="B4" t="s">
        <v>310</v>
      </c>
      <c r="C4" t="s">
        <v>311</v>
      </c>
      <c r="E4" t="s">
        <v>3655</v>
      </c>
      <c r="F4" t="s">
        <v>12</v>
      </c>
      <c r="G4">
        <v>3.0000000000000001E-3</v>
      </c>
      <c r="H4" s="413">
        <f>G4*VLOOKUP(E4,GWPs!$B$3:$C$6,2,FALSE)</f>
        <v>0.79500000000000004</v>
      </c>
      <c r="I4">
        <v>0</v>
      </c>
      <c r="J4" s="413">
        <f>I4*VLOOKUP(E4,GWPs!$B$3:$C$6,2,FALSE)</f>
        <v>0</v>
      </c>
      <c r="K4">
        <v>3.0000000000000001E-3</v>
      </c>
      <c r="L4" s="413">
        <f>K4*VLOOKUP(E4,GWPs!$B$3:$C$6,2,FALSE)</f>
        <v>0.79500000000000004</v>
      </c>
      <c r="N4">
        <v>4</v>
      </c>
      <c r="O4">
        <v>2</v>
      </c>
      <c r="P4">
        <v>1</v>
      </c>
      <c r="Q4">
        <v>4</v>
      </c>
      <c r="R4">
        <v>1</v>
      </c>
      <c r="W4" s="226" t="s">
        <v>520</v>
      </c>
      <c r="X4" s="70" t="s">
        <v>519</v>
      </c>
      <c r="Y4" s="414">
        <v>0.76500000000000001</v>
      </c>
      <c r="Z4" s="70">
        <v>0.7330000000000001</v>
      </c>
      <c r="AA4" s="70">
        <v>3.2000000000000001E-2</v>
      </c>
      <c r="AB4" s="464" t="s">
        <v>4231</v>
      </c>
      <c r="AC4" s="415">
        <f t="shared" si="0"/>
        <v>4.1830065359477121E-2</v>
      </c>
      <c r="AD4" s="226" t="e">
        <f ca="1">_xlfn.XLOOKUP(X4,'USEEIO metadata'!$C$2:$C$393,'USEEIO metadata'!$H$2:$H$393)</f>
        <v>#NAME?</v>
      </c>
      <c r="AE4" s="226" t="e">
        <f ca="1">_xlfn.XLOOKUP(X4,'USEEIO metadata'!$C$2:$C$393,'USEEIO metadata'!$F$2:$F$393)</f>
        <v>#NAME?</v>
      </c>
      <c r="AF4" s="226" t="e">
        <f ca="1">_xlfn.XLOOKUP(X4,'USEEIO metadata'!$C$2:$C$393,'USEEIO metadata'!$G$2:$G$393)</f>
        <v>#NAME?</v>
      </c>
    </row>
    <row r="5" spans="1:32">
      <c r="A5" t="str">
        <f>_xlfn.IFNA(IF(VLOOKUP(C5,'2016_Detail_Commodity_v1.0'!C:C,1,FALSE)=C5,"No change"),"Name changed")</f>
        <v>No change</v>
      </c>
      <c r="B5" t="s">
        <v>310</v>
      </c>
      <c r="C5" t="s">
        <v>311</v>
      </c>
      <c r="E5" t="s">
        <v>15</v>
      </c>
      <c r="F5" t="s">
        <v>16</v>
      </c>
      <c r="G5">
        <v>3.0000000000000001E-3</v>
      </c>
      <c r="H5" s="413">
        <f>G5*VLOOKUP(E5,GWPs!$B$3:$C$6,2,FALSE)</f>
        <v>3.0000000000000001E-3</v>
      </c>
      <c r="I5">
        <v>0</v>
      </c>
      <c r="J5" s="413">
        <f>I5*VLOOKUP(E5,GWPs!$B$3:$C$6,2,FALSE)</f>
        <v>0</v>
      </c>
      <c r="K5">
        <v>3.0000000000000001E-3</v>
      </c>
      <c r="L5" s="413">
        <f>K5*VLOOKUP(E5,GWPs!$B$3:$C$6,2,FALSE)</f>
        <v>3.0000000000000001E-3</v>
      </c>
      <c r="N5">
        <v>4</v>
      </c>
      <c r="O5">
        <v>2</v>
      </c>
      <c r="P5">
        <v>1</v>
      </c>
      <c r="Q5">
        <v>4</v>
      </c>
      <c r="R5">
        <v>1</v>
      </c>
      <c r="W5" s="226" t="s">
        <v>984</v>
      </c>
      <c r="X5" s="70" t="s">
        <v>983</v>
      </c>
      <c r="Y5" s="414">
        <v>0.12000000000000001</v>
      </c>
      <c r="Z5" s="70">
        <v>0.12000000000000001</v>
      </c>
      <c r="AA5" s="70">
        <v>0</v>
      </c>
      <c r="AB5" s="464" t="s">
        <v>4230</v>
      </c>
      <c r="AC5" s="415">
        <f t="shared" si="0"/>
        <v>0</v>
      </c>
      <c r="AD5" s="226" t="e">
        <f ca="1">_xlfn.XLOOKUP(X5,'USEEIO metadata'!$C$2:$C$393,'USEEIO metadata'!$H$2:$H$393)</f>
        <v>#NAME?</v>
      </c>
      <c r="AE5" s="226" t="e">
        <f ca="1">_xlfn.XLOOKUP(X5,'USEEIO metadata'!$C$2:$C$393,'USEEIO metadata'!$F$2:$F$393)</f>
        <v>#NAME?</v>
      </c>
      <c r="AF5" s="226" t="e">
        <f ca="1">_xlfn.XLOOKUP(X5,'USEEIO metadata'!$C$2:$C$393,'USEEIO metadata'!$G$2:$G$393)</f>
        <v>#NAME?</v>
      </c>
    </row>
    <row r="6" spans="1:32">
      <c r="A6" t="str">
        <f>_xlfn.IFNA(IF(VLOOKUP(C6,'2016_Detail_Commodity_v1.0'!C:C,1,FALSE)=C6,"No change"),"Name changed")</f>
        <v>No change</v>
      </c>
      <c r="B6" t="s">
        <v>312</v>
      </c>
      <c r="C6" t="s">
        <v>313</v>
      </c>
      <c r="E6" t="s">
        <v>3653</v>
      </c>
      <c r="F6" t="s">
        <v>12</v>
      </c>
      <c r="G6">
        <v>1.4610000000000001</v>
      </c>
      <c r="H6" s="413">
        <f>G6*VLOOKUP(E6,GWPs!$B$3:$C$6,2,FALSE)</f>
        <v>1.4610000000000001</v>
      </c>
      <c r="I6">
        <v>0.14899999999999999</v>
      </c>
      <c r="J6" s="413">
        <f>I6*VLOOKUP(E6,GWPs!$B$3:$C$6,2,FALSE)</f>
        <v>0.14899999999999999</v>
      </c>
      <c r="K6">
        <v>1.609</v>
      </c>
      <c r="L6" s="413">
        <f>K6*VLOOKUP(E6,GWPs!$B$3:$C$6,2,FALSE)</f>
        <v>1.609</v>
      </c>
      <c r="N6">
        <v>4</v>
      </c>
      <c r="O6">
        <v>2</v>
      </c>
      <c r="P6">
        <v>1</v>
      </c>
      <c r="Q6">
        <v>4</v>
      </c>
      <c r="R6">
        <v>1</v>
      </c>
      <c r="W6" s="226" t="s">
        <v>335</v>
      </c>
      <c r="X6" s="70" t="s">
        <v>334</v>
      </c>
      <c r="Y6" s="414">
        <v>0.41</v>
      </c>
      <c r="Z6" s="70">
        <v>0.41</v>
      </c>
      <c r="AA6" s="70">
        <v>0</v>
      </c>
      <c r="AB6" s="464" t="s">
        <v>4230</v>
      </c>
      <c r="AC6" s="415">
        <f t="shared" si="0"/>
        <v>0</v>
      </c>
      <c r="AD6" s="226" t="e">
        <f ca="1">_xlfn.XLOOKUP(X6,'USEEIO metadata'!$C$2:$C$393,'USEEIO metadata'!$H$2:$H$393)</f>
        <v>#NAME?</v>
      </c>
      <c r="AE6" s="226" t="e">
        <f ca="1">_xlfn.XLOOKUP(X6,'USEEIO metadata'!$C$2:$C$393,'USEEIO metadata'!$F$2:$F$393)</f>
        <v>#NAME?</v>
      </c>
      <c r="AF6" s="226" t="e">
        <f ca="1">_xlfn.XLOOKUP(X6,'USEEIO metadata'!$C$2:$C$393,'USEEIO metadata'!$G$2:$G$393)</f>
        <v>#NAME?</v>
      </c>
    </row>
    <row r="7" spans="1:32">
      <c r="A7" t="str">
        <f>_xlfn.IFNA(IF(VLOOKUP(C7,'2016_Detail_Commodity_v1.0'!C:C,1,FALSE)=C7,"No change"),"Name changed")</f>
        <v>No change</v>
      </c>
      <c r="B7" t="s">
        <v>312</v>
      </c>
      <c r="C7" t="s">
        <v>313</v>
      </c>
      <c r="E7" t="s">
        <v>3654</v>
      </c>
      <c r="F7" t="s">
        <v>12</v>
      </c>
      <c r="G7">
        <v>1.2999999999999999E-2</v>
      </c>
      <c r="H7" s="413">
        <f>G7*VLOOKUP(E7,GWPs!$B$3:$C$6,2,FALSE)</f>
        <v>0.36399999999999999</v>
      </c>
      <c r="I7">
        <v>2E-3</v>
      </c>
      <c r="J7" s="413">
        <f>I7*VLOOKUP(E7,GWPs!$B$3:$C$6,2,FALSE)</f>
        <v>5.6000000000000001E-2</v>
      </c>
      <c r="K7">
        <v>1.4999999999999999E-2</v>
      </c>
      <c r="L7" s="413">
        <f>K7*VLOOKUP(E7,GWPs!$B$3:$C$6,2,FALSE)</f>
        <v>0.42</v>
      </c>
      <c r="N7">
        <v>3</v>
      </c>
      <c r="O7">
        <v>2</v>
      </c>
      <c r="P7">
        <v>1</v>
      </c>
      <c r="Q7">
        <v>1</v>
      </c>
      <c r="R7">
        <v>1</v>
      </c>
      <c r="W7" s="226" t="s">
        <v>672</v>
      </c>
      <c r="X7" s="70" t="s">
        <v>671</v>
      </c>
      <c r="Y7" s="414">
        <v>0.249</v>
      </c>
      <c r="Z7" s="70">
        <v>0.22</v>
      </c>
      <c r="AA7" s="70">
        <v>2.8000000000000001E-2</v>
      </c>
      <c r="AB7" s="464" t="s">
        <v>4230</v>
      </c>
      <c r="AC7" s="415">
        <f t="shared" si="0"/>
        <v>0.11244979919678715</v>
      </c>
      <c r="AD7" s="226" t="e">
        <f ca="1">_xlfn.XLOOKUP(X7,'USEEIO metadata'!$C$2:$C$393,'USEEIO metadata'!$H$2:$H$393)</f>
        <v>#NAME?</v>
      </c>
      <c r="AE7" s="226" t="e">
        <f ca="1">_xlfn.XLOOKUP(X7,'USEEIO metadata'!$C$2:$C$393,'USEEIO metadata'!$F$2:$F$393)</f>
        <v>#NAME?</v>
      </c>
      <c r="AF7" s="226" t="e">
        <f ca="1">_xlfn.XLOOKUP(X7,'USEEIO metadata'!$C$2:$C$393,'USEEIO metadata'!$G$2:$G$393)</f>
        <v>#NAME?</v>
      </c>
    </row>
    <row r="8" spans="1:32" ht="28.5">
      <c r="A8" t="str">
        <f>_xlfn.IFNA(IF(VLOOKUP(C8,'2016_Detail_Commodity_v1.0'!C:C,1,FALSE)=C8,"No change"),"Name changed")</f>
        <v>No change</v>
      </c>
      <c r="B8" t="s">
        <v>312</v>
      </c>
      <c r="C8" t="s">
        <v>313</v>
      </c>
      <c r="E8" t="s">
        <v>3655</v>
      </c>
      <c r="F8" t="s">
        <v>12</v>
      </c>
      <c r="G8">
        <v>8.0000000000000002E-3</v>
      </c>
      <c r="H8" s="413">
        <f>G8*VLOOKUP(E8,GWPs!$B$3:$C$6,2,FALSE)</f>
        <v>2.12</v>
      </c>
      <c r="I8">
        <v>0</v>
      </c>
      <c r="J8" s="413">
        <f>I8*VLOOKUP(E8,GWPs!$B$3:$C$6,2,FALSE)</f>
        <v>0</v>
      </c>
      <c r="K8">
        <v>8.0000000000000002E-3</v>
      </c>
      <c r="L8" s="413">
        <f>K8*VLOOKUP(E8,GWPs!$B$3:$C$6,2,FALSE)</f>
        <v>2.12</v>
      </c>
      <c r="N8">
        <v>4</v>
      </c>
      <c r="O8">
        <v>2</v>
      </c>
      <c r="P8">
        <v>1</v>
      </c>
      <c r="Q8">
        <v>4</v>
      </c>
      <c r="R8">
        <v>1</v>
      </c>
      <c r="W8" s="226" t="s">
        <v>654</v>
      </c>
      <c r="X8" s="70" t="s">
        <v>653</v>
      </c>
      <c r="Y8" s="414">
        <v>0.65800000000000003</v>
      </c>
      <c r="Z8" s="70">
        <v>0.60799999999999998</v>
      </c>
      <c r="AA8" s="70">
        <v>0.05</v>
      </c>
      <c r="AB8" s="464" t="s">
        <v>4231</v>
      </c>
      <c r="AC8" s="415">
        <f t="shared" si="0"/>
        <v>7.598784194528875E-2</v>
      </c>
      <c r="AD8" s="226" t="e">
        <f ca="1">_xlfn.XLOOKUP(X8,'USEEIO metadata'!$C$2:$C$393,'USEEIO metadata'!$H$2:$H$393)</f>
        <v>#NAME?</v>
      </c>
      <c r="AE8" s="226" t="e">
        <f ca="1">_xlfn.XLOOKUP(X8,'USEEIO metadata'!$C$2:$C$393,'USEEIO metadata'!$F$2:$F$393)</f>
        <v>#NAME?</v>
      </c>
      <c r="AF8" s="226" t="e">
        <f ca="1">_xlfn.XLOOKUP(X8,'USEEIO metadata'!$C$2:$C$393,'USEEIO metadata'!$G$2:$G$393)</f>
        <v>#NAME?</v>
      </c>
    </row>
    <row r="9" spans="1:32" ht="28.5">
      <c r="A9" t="str">
        <f>_xlfn.IFNA(IF(VLOOKUP(C9,'2016_Detail_Commodity_v1.0'!C:C,1,FALSE)=C9,"No change"),"Name changed")</f>
        <v>No change</v>
      </c>
      <c r="B9" t="s">
        <v>312</v>
      </c>
      <c r="C9" t="s">
        <v>313</v>
      </c>
      <c r="E9" t="s">
        <v>15</v>
      </c>
      <c r="F9" t="s">
        <v>16</v>
      </c>
      <c r="G9">
        <v>4.0000000000000001E-3</v>
      </c>
      <c r="H9" s="413">
        <f>G9*VLOOKUP(E9,GWPs!$B$3:$C$6,2,FALSE)</f>
        <v>4.0000000000000001E-3</v>
      </c>
      <c r="I9">
        <v>0</v>
      </c>
      <c r="J9" s="413">
        <f>I9*VLOOKUP(E9,GWPs!$B$3:$C$6,2,FALSE)</f>
        <v>0</v>
      </c>
      <c r="K9">
        <v>4.0000000000000001E-3</v>
      </c>
      <c r="L9" s="413">
        <f>K9*VLOOKUP(E9,GWPs!$B$3:$C$6,2,FALSE)</f>
        <v>4.0000000000000001E-3</v>
      </c>
      <c r="N9">
        <v>4</v>
      </c>
      <c r="O9">
        <v>2</v>
      </c>
      <c r="P9">
        <v>1</v>
      </c>
      <c r="Q9">
        <v>4</v>
      </c>
      <c r="R9">
        <v>1</v>
      </c>
      <c r="W9" s="226" t="s">
        <v>1400</v>
      </c>
      <c r="X9" s="70" t="s">
        <v>649</v>
      </c>
      <c r="Y9" s="414">
        <v>0.29400000000000004</v>
      </c>
      <c r="Z9" s="70">
        <v>0.26</v>
      </c>
      <c r="AA9" s="70">
        <v>3.4000000000000002E-2</v>
      </c>
      <c r="AB9" s="464" t="s">
        <v>4230</v>
      </c>
      <c r="AC9" s="415">
        <f t="shared" si="0"/>
        <v>0.11564625850340135</v>
      </c>
      <c r="AD9" s="226" t="e">
        <f ca="1">_xlfn.XLOOKUP(X9,'USEEIO metadata'!$C$2:$C$393,'USEEIO metadata'!$H$2:$H$393)</f>
        <v>#NAME?</v>
      </c>
      <c r="AE9" s="226" t="e">
        <f ca="1">_xlfn.XLOOKUP(X9,'USEEIO metadata'!$C$2:$C$393,'USEEIO metadata'!$F$2:$F$393)</f>
        <v>#NAME?</v>
      </c>
      <c r="AF9" s="226" t="e">
        <f ca="1">_xlfn.XLOOKUP(X9,'USEEIO metadata'!$C$2:$C$393,'USEEIO metadata'!$G$2:$G$393)</f>
        <v>#NAME?</v>
      </c>
    </row>
    <row r="10" spans="1:32">
      <c r="A10" t="str">
        <f>_xlfn.IFNA(IF(VLOOKUP(C10,'2016_Detail_Commodity_v1.0'!C:C,1,FALSE)=C10,"No change"),"Name changed")</f>
        <v>No change</v>
      </c>
      <c r="B10" t="s">
        <v>314</v>
      </c>
      <c r="C10" t="s">
        <v>315</v>
      </c>
      <c r="E10" t="s">
        <v>3653</v>
      </c>
      <c r="F10" t="s">
        <v>12</v>
      </c>
      <c r="G10">
        <v>0.20300000000000001</v>
      </c>
      <c r="H10" s="413">
        <f>G10*VLOOKUP(E10,GWPs!$B$3:$C$6,2,FALSE)</f>
        <v>0.20300000000000001</v>
      </c>
      <c r="I10">
        <v>0.09</v>
      </c>
      <c r="J10" s="413">
        <f>I10*VLOOKUP(E10,GWPs!$B$3:$C$6,2,FALSE)</f>
        <v>0.09</v>
      </c>
      <c r="K10">
        <v>0.29199999999999998</v>
      </c>
      <c r="L10" s="413">
        <f>K10*VLOOKUP(E10,GWPs!$B$3:$C$6,2,FALSE)</f>
        <v>0.29199999999999998</v>
      </c>
      <c r="N10">
        <v>3</v>
      </c>
      <c r="O10">
        <v>2</v>
      </c>
      <c r="P10">
        <v>1</v>
      </c>
      <c r="Q10">
        <v>4</v>
      </c>
      <c r="R10">
        <v>1</v>
      </c>
      <c r="W10" s="226" t="s">
        <v>884</v>
      </c>
      <c r="X10" s="70" t="s">
        <v>883</v>
      </c>
      <c r="Y10" s="414">
        <v>0.96299999999999997</v>
      </c>
      <c r="Z10" s="70">
        <v>0.96299999999999997</v>
      </c>
      <c r="AA10" s="70">
        <v>0</v>
      </c>
      <c r="AB10" s="464" t="s">
        <v>4230</v>
      </c>
      <c r="AC10" s="415">
        <f t="shared" si="0"/>
        <v>0</v>
      </c>
      <c r="AD10" s="226" t="e">
        <f ca="1">_xlfn.XLOOKUP(X10,'USEEIO metadata'!$C$2:$C$393,'USEEIO metadata'!$H$2:$H$393)</f>
        <v>#NAME?</v>
      </c>
      <c r="AE10" s="226" t="e">
        <f ca="1">_xlfn.XLOOKUP(X10,'USEEIO metadata'!$C$2:$C$393,'USEEIO metadata'!$F$2:$F$393)</f>
        <v>#NAME?</v>
      </c>
      <c r="AF10" s="226" t="e">
        <f ca="1">_xlfn.XLOOKUP(X10,'USEEIO metadata'!$C$2:$C$393,'USEEIO metadata'!$G$2:$G$393)</f>
        <v>#NAME?</v>
      </c>
    </row>
    <row r="11" spans="1:32">
      <c r="A11" t="str">
        <f>_xlfn.IFNA(IF(VLOOKUP(C11,'2016_Detail_Commodity_v1.0'!C:C,1,FALSE)=C11,"No change"),"Name changed")</f>
        <v>No change</v>
      </c>
      <c r="B11" t="s">
        <v>314</v>
      </c>
      <c r="C11" t="s">
        <v>315</v>
      </c>
      <c r="E11" t="s">
        <v>3654</v>
      </c>
      <c r="F11" t="s">
        <v>12</v>
      </c>
      <c r="G11">
        <v>1E-3</v>
      </c>
      <c r="H11" s="413">
        <f>G11*VLOOKUP(E11,GWPs!$B$3:$C$6,2,FALSE)</f>
        <v>2.8000000000000001E-2</v>
      </c>
      <c r="I11">
        <v>1E-3</v>
      </c>
      <c r="J11" s="413">
        <f>I11*VLOOKUP(E11,GWPs!$B$3:$C$6,2,FALSE)</f>
        <v>2.8000000000000001E-2</v>
      </c>
      <c r="K11">
        <v>1E-3</v>
      </c>
      <c r="L11" s="413">
        <f>K11*VLOOKUP(E11,GWPs!$B$3:$C$6,2,FALSE)</f>
        <v>2.8000000000000001E-2</v>
      </c>
      <c r="N11">
        <v>4</v>
      </c>
      <c r="O11">
        <v>2</v>
      </c>
      <c r="P11">
        <v>1</v>
      </c>
      <c r="Q11">
        <v>1</v>
      </c>
      <c r="R11">
        <v>1</v>
      </c>
      <c r="W11" s="226" t="s">
        <v>17</v>
      </c>
      <c r="X11" s="70" t="s">
        <v>789</v>
      </c>
      <c r="Y11" s="414">
        <v>0.16900000000000001</v>
      </c>
      <c r="Z11" s="70">
        <v>0.13</v>
      </c>
      <c r="AA11" s="70">
        <v>1.0999999999999999E-2</v>
      </c>
      <c r="AB11" s="464" t="s">
        <v>4230</v>
      </c>
      <c r="AC11" s="415">
        <f t="shared" si="0"/>
        <v>6.508875739644969E-2</v>
      </c>
      <c r="AD11" s="226" t="e">
        <f ca="1">_xlfn.XLOOKUP(X11,'USEEIO metadata'!$C$2:$C$393,'USEEIO metadata'!$H$2:$H$393)</f>
        <v>#NAME?</v>
      </c>
      <c r="AE11" s="226" t="e">
        <f ca="1">_xlfn.XLOOKUP(X11,'USEEIO metadata'!$C$2:$C$393,'USEEIO metadata'!$F$2:$F$393)</f>
        <v>#NAME?</v>
      </c>
      <c r="AF11" s="226" t="e">
        <f ca="1">_xlfn.XLOOKUP(X11,'USEEIO metadata'!$C$2:$C$393,'USEEIO metadata'!$G$2:$G$393)</f>
        <v>#NAME?</v>
      </c>
    </row>
    <row r="12" spans="1:32">
      <c r="A12" t="str">
        <f>_xlfn.IFNA(IF(VLOOKUP(C12,'2016_Detail_Commodity_v1.0'!C:C,1,FALSE)=C12,"No change"),"Name changed")</f>
        <v>No change</v>
      </c>
      <c r="B12" t="s">
        <v>314</v>
      </c>
      <c r="C12" t="s">
        <v>315</v>
      </c>
      <c r="E12" t="s">
        <v>3655</v>
      </c>
      <c r="F12" t="s">
        <v>12</v>
      </c>
      <c r="G12">
        <v>1E-3</v>
      </c>
      <c r="H12" s="413">
        <f>G12*VLOOKUP(E12,GWPs!$B$3:$C$6,2,FALSE)</f>
        <v>0.26500000000000001</v>
      </c>
      <c r="I12">
        <v>0</v>
      </c>
      <c r="J12" s="413">
        <f>I12*VLOOKUP(E12,GWPs!$B$3:$C$6,2,FALSE)</f>
        <v>0</v>
      </c>
      <c r="K12">
        <v>1E-3</v>
      </c>
      <c r="L12" s="413">
        <f>K12*VLOOKUP(E12,GWPs!$B$3:$C$6,2,FALSE)</f>
        <v>0.26500000000000001</v>
      </c>
      <c r="N12">
        <v>4</v>
      </c>
      <c r="O12">
        <v>2</v>
      </c>
      <c r="P12">
        <v>1</v>
      </c>
      <c r="Q12">
        <v>4</v>
      </c>
      <c r="R12">
        <v>1</v>
      </c>
      <c r="W12" s="226" t="s">
        <v>791</v>
      </c>
      <c r="X12" s="70" t="s">
        <v>790</v>
      </c>
      <c r="Y12" s="414">
        <v>0.107</v>
      </c>
      <c r="Z12" s="70">
        <v>9.8000000000000004E-2</v>
      </c>
      <c r="AA12" s="70">
        <v>8.9999999999999993E-3</v>
      </c>
      <c r="AB12" s="464" t="s">
        <v>4230</v>
      </c>
      <c r="AC12" s="415">
        <f t="shared" si="0"/>
        <v>8.4112149532710276E-2</v>
      </c>
      <c r="AD12" s="226" t="e">
        <f ca="1">_xlfn.XLOOKUP(X12,'USEEIO metadata'!$C$2:$C$393,'USEEIO metadata'!$H$2:$H$393)</f>
        <v>#NAME?</v>
      </c>
      <c r="AE12" s="226" t="e">
        <f ca="1">_xlfn.XLOOKUP(X12,'USEEIO metadata'!$C$2:$C$393,'USEEIO metadata'!$F$2:$F$393)</f>
        <v>#NAME?</v>
      </c>
      <c r="AF12" s="226" t="e">
        <f ca="1">_xlfn.XLOOKUP(X12,'USEEIO metadata'!$C$2:$C$393,'USEEIO metadata'!$G$2:$G$393)</f>
        <v>#NAME?</v>
      </c>
    </row>
    <row r="13" spans="1:32" ht="28.5">
      <c r="A13" t="str">
        <f>_xlfn.IFNA(IF(VLOOKUP(C13,'2016_Detail_Commodity_v1.0'!C:C,1,FALSE)=C13,"No change"),"Name changed")</f>
        <v>No change</v>
      </c>
      <c r="B13" t="s">
        <v>314</v>
      </c>
      <c r="C13" t="s">
        <v>315</v>
      </c>
      <c r="E13" t="s">
        <v>15</v>
      </c>
      <c r="F13" t="s">
        <v>16</v>
      </c>
      <c r="G13">
        <v>3.0000000000000001E-3</v>
      </c>
      <c r="H13" s="413">
        <f>G13*VLOOKUP(E13,GWPs!$B$3:$C$6,2,FALSE)</f>
        <v>3.0000000000000001E-3</v>
      </c>
      <c r="I13">
        <v>0</v>
      </c>
      <c r="J13" s="413">
        <f>I13*VLOOKUP(E13,GWPs!$B$3:$C$6,2,FALSE)</f>
        <v>0</v>
      </c>
      <c r="K13">
        <v>3.0000000000000001E-3</v>
      </c>
      <c r="L13" s="413">
        <f>K13*VLOOKUP(E13,GWPs!$B$3:$C$6,2,FALSE)</f>
        <v>3.0000000000000001E-3</v>
      </c>
      <c r="N13">
        <v>4</v>
      </c>
      <c r="O13">
        <v>2</v>
      </c>
      <c r="P13">
        <v>1</v>
      </c>
      <c r="Q13">
        <v>4</v>
      </c>
      <c r="R13">
        <v>1</v>
      </c>
      <c r="W13" s="226" t="s">
        <v>478</v>
      </c>
      <c r="X13" s="70" t="s">
        <v>477</v>
      </c>
      <c r="Y13" s="414">
        <v>0.54900000000000004</v>
      </c>
      <c r="Z13" s="70">
        <v>0.46700000000000003</v>
      </c>
      <c r="AA13" s="70">
        <v>5.3999999999999999E-2</v>
      </c>
      <c r="AB13" s="464" t="s">
        <v>4231</v>
      </c>
      <c r="AC13" s="415">
        <f t="shared" si="0"/>
        <v>9.8360655737704902E-2</v>
      </c>
      <c r="AD13" s="226" t="e">
        <f ca="1">_xlfn.XLOOKUP(X13,'USEEIO metadata'!$C$2:$C$393,'USEEIO metadata'!$H$2:$H$393)</f>
        <v>#NAME?</v>
      </c>
      <c r="AE13" s="226" t="e">
        <f ca="1">_xlfn.XLOOKUP(X13,'USEEIO metadata'!$C$2:$C$393,'USEEIO metadata'!$F$2:$F$393)</f>
        <v>#NAME?</v>
      </c>
      <c r="AF13" s="226" t="e">
        <f ca="1">_xlfn.XLOOKUP(X13,'USEEIO metadata'!$C$2:$C$393,'USEEIO metadata'!$G$2:$G$393)</f>
        <v>#NAME?</v>
      </c>
    </row>
    <row r="14" spans="1:32">
      <c r="A14" t="str">
        <f>_xlfn.IFNA(IF(VLOOKUP(C14,'2016_Detail_Commodity_v1.0'!C:C,1,FALSE)=C14,"No change"),"Name changed")</f>
        <v>No change</v>
      </c>
      <c r="B14" t="s">
        <v>316</v>
      </c>
      <c r="C14" t="s">
        <v>317</v>
      </c>
      <c r="E14" t="s">
        <v>3653</v>
      </c>
      <c r="F14" t="s">
        <v>12</v>
      </c>
      <c r="G14">
        <v>0.19400000000000001</v>
      </c>
      <c r="H14" s="413">
        <f>G14*VLOOKUP(E14,GWPs!$B$3:$C$6,2,FALSE)</f>
        <v>0.19400000000000001</v>
      </c>
      <c r="I14">
        <v>7.8E-2</v>
      </c>
      <c r="J14" s="413">
        <f>I14*VLOOKUP(E14,GWPs!$B$3:$C$6,2,FALSE)</f>
        <v>7.8E-2</v>
      </c>
      <c r="K14">
        <v>0.27100000000000002</v>
      </c>
      <c r="L14" s="413">
        <f>K14*VLOOKUP(E14,GWPs!$B$3:$C$6,2,FALSE)</f>
        <v>0.27100000000000002</v>
      </c>
      <c r="N14">
        <v>4</v>
      </c>
      <c r="O14">
        <v>2</v>
      </c>
      <c r="P14">
        <v>1</v>
      </c>
      <c r="Q14">
        <v>4</v>
      </c>
      <c r="R14">
        <v>1</v>
      </c>
      <c r="W14" s="226" t="s">
        <v>1065</v>
      </c>
      <c r="X14" s="70" t="s">
        <v>1064</v>
      </c>
      <c r="Y14" s="414">
        <v>0.17499999999999999</v>
      </c>
      <c r="Z14" s="70">
        <v>0.17499999999999999</v>
      </c>
      <c r="AA14" s="70">
        <v>0</v>
      </c>
      <c r="AB14" s="464" t="s">
        <v>4230</v>
      </c>
      <c r="AC14" s="415">
        <f t="shared" si="0"/>
        <v>0</v>
      </c>
      <c r="AD14" s="226" t="e">
        <f ca="1">_xlfn.XLOOKUP(X14,'USEEIO metadata'!$C$2:$C$393,'USEEIO metadata'!$H$2:$H$393)</f>
        <v>#NAME?</v>
      </c>
      <c r="AE14" s="226" t="e">
        <f ca="1">_xlfn.XLOOKUP(X14,'USEEIO metadata'!$C$2:$C$393,'USEEIO metadata'!$F$2:$F$393)</f>
        <v>#NAME?</v>
      </c>
      <c r="AF14" s="226" t="e">
        <f ca="1">_xlfn.XLOOKUP(X14,'USEEIO metadata'!$C$2:$C$393,'USEEIO metadata'!$G$2:$G$393)</f>
        <v>#NAME?</v>
      </c>
    </row>
    <row r="15" spans="1:32">
      <c r="A15" t="str">
        <f>_xlfn.IFNA(IF(VLOOKUP(C15,'2016_Detail_Commodity_v1.0'!C:C,1,FALSE)=C15,"No change"),"Name changed")</f>
        <v>No change</v>
      </c>
      <c r="B15" t="s">
        <v>316</v>
      </c>
      <c r="C15" t="s">
        <v>317</v>
      </c>
      <c r="E15" t="s">
        <v>3654</v>
      </c>
      <c r="F15" t="s">
        <v>12</v>
      </c>
      <c r="G15">
        <v>1E-3</v>
      </c>
      <c r="H15" s="413">
        <f>G15*VLOOKUP(E15,GWPs!$B$3:$C$6,2,FALSE)</f>
        <v>2.8000000000000001E-2</v>
      </c>
      <c r="I15">
        <v>1E-3</v>
      </c>
      <c r="J15" s="413">
        <f>I15*VLOOKUP(E15,GWPs!$B$3:$C$6,2,FALSE)</f>
        <v>2.8000000000000001E-2</v>
      </c>
      <c r="K15">
        <v>1E-3</v>
      </c>
      <c r="L15" s="413">
        <f>K15*VLOOKUP(E15,GWPs!$B$3:$C$6,2,FALSE)</f>
        <v>2.8000000000000001E-2</v>
      </c>
      <c r="N15">
        <v>4</v>
      </c>
      <c r="O15">
        <v>2</v>
      </c>
      <c r="P15">
        <v>1</v>
      </c>
      <c r="Q15">
        <v>1</v>
      </c>
      <c r="R15">
        <v>1</v>
      </c>
      <c r="W15" s="226" t="s">
        <v>428</v>
      </c>
      <c r="X15" s="70" t="s">
        <v>427</v>
      </c>
      <c r="Y15" s="414">
        <v>0.45300000000000001</v>
      </c>
      <c r="Z15" s="70">
        <v>0.38800000000000001</v>
      </c>
      <c r="AA15" s="70">
        <v>6.5000000000000002E-2</v>
      </c>
      <c r="AB15" s="464" t="s">
        <v>4230</v>
      </c>
      <c r="AC15" s="415">
        <f t="shared" si="0"/>
        <v>0.14348785871964681</v>
      </c>
      <c r="AD15" s="226" t="e">
        <f ca="1">_xlfn.XLOOKUP(X15,'USEEIO metadata'!$C$2:$C$393,'USEEIO metadata'!$H$2:$H$393)</f>
        <v>#NAME?</v>
      </c>
      <c r="AE15" s="226" t="e">
        <f ca="1">_xlfn.XLOOKUP(X15,'USEEIO metadata'!$C$2:$C$393,'USEEIO metadata'!$F$2:$F$393)</f>
        <v>#NAME?</v>
      </c>
      <c r="AF15" s="226" t="e">
        <f ca="1">_xlfn.XLOOKUP(X15,'USEEIO metadata'!$C$2:$C$393,'USEEIO metadata'!$G$2:$G$393)</f>
        <v>#NAME?</v>
      </c>
    </row>
    <row r="16" spans="1:32" ht="28.5">
      <c r="A16" t="str">
        <f>_xlfn.IFNA(IF(VLOOKUP(C16,'2016_Detail_Commodity_v1.0'!C:C,1,FALSE)=C16,"No change"),"Name changed")</f>
        <v>No change</v>
      </c>
      <c r="B16" t="s">
        <v>316</v>
      </c>
      <c r="C16" t="s">
        <v>317</v>
      </c>
      <c r="E16" t="s">
        <v>3655</v>
      </c>
      <c r="F16" t="s">
        <v>12</v>
      </c>
      <c r="G16">
        <v>1E-3</v>
      </c>
      <c r="H16" s="413">
        <f>G16*VLOOKUP(E16,GWPs!$B$3:$C$6,2,FALSE)</f>
        <v>0.26500000000000001</v>
      </c>
      <c r="I16">
        <v>0</v>
      </c>
      <c r="J16" s="413">
        <f>I16*VLOOKUP(E16,GWPs!$B$3:$C$6,2,FALSE)</f>
        <v>0</v>
      </c>
      <c r="K16">
        <v>1E-3</v>
      </c>
      <c r="L16" s="413">
        <f>K16*VLOOKUP(E16,GWPs!$B$3:$C$6,2,FALSE)</f>
        <v>0.26500000000000001</v>
      </c>
      <c r="N16">
        <v>4</v>
      </c>
      <c r="O16">
        <v>2</v>
      </c>
      <c r="P16">
        <v>1</v>
      </c>
      <c r="Q16">
        <v>4</v>
      </c>
      <c r="R16">
        <v>1</v>
      </c>
      <c r="W16" s="226" t="s">
        <v>596</v>
      </c>
      <c r="X16" s="70" t="s">
        <v>595</v>
      </c>
      <c r="Y16" s="414">
        <v>0.64800000000000002</v>
      </c>
      <c r="Z16" s="70">
        <v>0.62200000000000011</v>
      </c>
      <c r="AA16" s="70">
        <v>2.7E-2</v>
      </c>
      <c r="AB16" s="464" t="s">
        <v>4230</v>
      </c>
      <c r="AC16" s="415">
        <f t="shared" si="0"/>
        <v>4.1666666666666664E-2</v>
      </c>
      <c r="AD16" s="226" t="e">
        <f ca="1">_xlfn.XLOOKUP(X16,'USEEIO metadata'!$C$2:$C$393,'USEEIO metadata'!$H$2:$H$393)</f>
        <v>#NAME?</v>
      </c>
      <c r="AE16" s="226" t="e">
        <f ca="1">_xlfn.XLOOKUP(X16,'USEEIO metadata'!$C$2:$C$393,'USEEIO metadata'!$F$2:$F$393)</f>
        <v>#NAME?</v>
      </c>
      <c r="AF16" s="226" t="e">
        <f ca="1">_xlfn.XLOOKUP(X16,'USEEIO metadata'!$C$2:$C$393,'USEEIO metadata'!$G$2:$G$393)</f>
        <v>#NAME?</v>
      </c>
    </row>
    <row r="17" spans="1:32">
      <c r="A17" t="str">
        <f>_xlfn.IFNA(IF(VLOOKUP(C17,'2016_Detail_Commodity_v1.0'!C:C,1,FALSE)=C17,"No change"),"Name changed")</f>
        <v>No change</v>
      </c>
      <c r="B17" t="s">
        <v>316</v>
      </c>
      <c r="C17" t="s">
        <v>317</v>
      </c>
      <c r="E17" t="s">
        <v>15</v>
      </c>
      <c r="F17" t="s">
        <v>16</v>
      </c>
      <c r="G17">
        <v>2E-3</v>
      </c>
      <c r="H17" s="413">
        <f>G17*VLOOKUP(E17,GWPs!$B$3:$C$6,2,FALSE)</f>
        <v>2E-3</v>
      </c>
      <c r="I17">
        <v>0</v>
      </c>
      <c r="J17" s="413">
        <f>I17*VLOOKUP(E17,GWPs!$B$3:$C$6,2,FALSE)</f>
        <v>0</v>
      </c>
      <c r="K17">
        <v>2E-3</v>
      </c>
      <c r="L17" s="413">
        <f>K17*VLOOKUP(E17,GWPs!$B$3:$C$6,2,FALSE)</f>
        <v>2E-3</v>
      </c>
      <c r="N17">
        <v>3</v>
      </c>
      <c r="O17">
        <v>2</v>
      </c>
      <c r="P17">
        <v>1</v>
      </c>
      <c r="Q17">
        <v>4</v>
      </c>
      <c r="R17">
        <v>1</v>
      </c>
      <c r="W17" s="226" t="s">
        <v>1030</v>
      </c>
      <c r="X17" s="70" t="s">
        <v>1029</v>
      </c>
      <c r="Y17" s="414">
        <v>0.19</v>
      </c>
      <c r="Z17" s="70">
        <v>0.19</v>
      </c>
      <c r="AA17" s="70">
        <v>0</v>
      </c>
      <c r="AB17" s="464" t="s">
        <v>4231</v>
      </c>
      <c r="AC17" s="415">
        <f t="shared" si="0"/>
        <v>0</v>
      </c>
      <c r="AD17" s="226" t="e">
        <f ca="1">_xlfn.XLOOKUP(X17,'USEEIO metadata'!$C$2:$C$393,'USEEIO metadata'!$H$2:$H$393)</f>
        <v>#NAME?</v>
      </c>
      <c r="AE17" s="226" t="e">
        <f ca="1">_xlfn.XLOOKUP(X17,'USEEIO metadata'!$C$2:$C$393,'USEEIO metadata'!$F$2:$F$393)</f>
        <v>#NAME?</v>
      </c>
      <c r="AF17" s="226" t="e">
        <f ca="1">_xlfn.XLOOKUP(X17,'USEEIO metadata'!$C$2:$C$393,'USEEIO metadata'!$G$2:$G$393)</f>
        <v>#NAME?</v>
      </c>
    </row>
    <row r="18" spans="1:32" ht="28.5">
      <c r="A18" t="str">
        <f>_xlfn.IFNA(IF(VLOOKUP(C18,'2016_Detail_Commodity_v1.0'!C:C,1,FALSE)=C18,"No change"),"Name changed")</f>
        <v>No change</v>
      </c>
      <c r="B18" t="s">
        <v>318</v>
      </c>
      <c r="C18" t="s">
        <v>319</v>
      </c>
      <c r="E18" t="s">
        <v>3653</v>
      </c>
      <c r="F18" t="s">
        <v>12</v>
      </c>
      <c r="G18">
        <v>0.54700000000000004</v>
      </c>
      <c r="H18" s="413">
        <f>G18*VLOOKUP(E18,GWPs!$B$3:$C$6,2,FALSE)</f>
        <v>0.54700000000000004</v>
      </c>
      <c r="I18">
        <v>0.16900000000000001</v>
      </c>
      <c r="J18" s="413">
        <f>I18*VLOOKUP(E18,GWPs!$B$3:$C$6,2,FALSE)</f>
        <v>0.16900000000000001</v>
      </c>
      <c r="K18">
        <v>0.71599999999999997</v>
      </c>
      <c r="L18" s="413">
        <f>K18*VLOOKUP(E18,GWPs!$B$3:$C$6,2,FALSE)</f>
        <v>0.71599999999999997</v>
      </c>
      <c r="N18">
        <v>4</v>
      </c>
      <c r="O18">
        <v>2</v>
      </c>
      <c r="P18">
        <v>1</v>
      </c>
      <c r="Q18">
        <v>4</v>
      </c>
      <c r="R18">
        <v>1</v>
      </c>
      <c r="W18" s="226" t="s">
        <v>630</v>
      </c>
      <c r="X18" s="70" t="s">
        <v>629</v>
      </c>
      <c r="Y18" s="414">
        <v>0.23200000000000001</v>
      </c>
      <c r="Z18" s="70">
        <v>0.13500000000000001</v>
      </c>
      <c r="AA18" s="70">
        <v>6.9000000000000006E-2</v>
      </c>
      <c r="AB18" s="464" t="s">
        <v>4230</v>
      </c>
      <c r="AC18" s="415">
        <f t="shared" si="0"/>
        <v>0.29741379310344829</v>
      </c>
      <c r="AD18" s="226" t="e">
        <f ca="1">_xlfn.XLOOKUP(X18,'USEEIO metadata'!$C$2:$C$393,'USEEIO metadata'!$H$2:$H$393)</f>
        <v>#NAME?</v>
      </c>
      <c r="AE18" s="226" t="e">
        <f ca="1">_xlfn.XLOOKUP(X18,'USEEIO metadata'!$C$2:$C$393,'USEEIO metadata'!$F$2:$F$393)</f>
        <v>#NAME?</v>
      </c>
      <c r="AF18" s="226" t="e">
        <f ca="1">_xlfn.XLOOKUP(X18,'USEEIO metadata'!$C$2:$C$393,'USEEIO metadata'!$G$2:$G$393)</f>
        <v>#NAME?</v>
      </c>
    </row>
    <row r="19" spans="1:32">
      <c r="A19" t="str">
        <f>_xlfn.IFNA(IF(VLOOKUP(C19,'2016_Detail_Commodity_v1.0'!C:C,1,FALSE)=C19,"No change"),"Name changed")</f>
        <v>No change</v>
      </c>
      <c r="B19" t="s">
        <v>318</v>
      </c>
      <c r="C19" t="s">
        <v>319</v>
      </c>
      <c r="E19" t="s">
        <v>3654</v>
      </c>
      <c r="F19" t="s">
        <v>12</v>
      </c>
      <c r="G19">
        <v>1E-3</v>
      </c>
      <c r="H19" s="413">
        <f>G19*VLOOKUP(E19,GWPs!$B$3:$C$6,2,FALSE)</f>
        <v>2.8000000000000001E-2</v>
      </c>
      <c r="I19">
        <v>1E-3</v>
      </c>
      <c r="J19" s="413">
        <f>I19*VLOOKUP(E19,GWPs!$B$3:$C$6,2,FALSE)</f>
        <v>2.8000000000000001E-2</v>
      </c>
      <c r="K19">
        <v>2E-3</v>
      </c>
      <c r="L19" s="413">
        <f>K19*VLOOKUP(E19,GWPs!$B$3:$C$6,2,FALSE)</f>
        <v>5.6000000000000001E-2</v>
      </c>
      <c r="N19">
        <v>4</v>
      </c>
      <c r="O19">
        <v>2</v>
      </c>
      <c r="P19">
        <v>1</v>
      </c>
      <c r="Q19">
        <v>1</v>
      </c>
      <c r="R19">
        <v>1</v>
      </c>
      <c r="W19" s="226" t="s">
        <v>1053</v>
      </c>
      <c r="X19" s="70" t="s">
        <v>1052</v>
      </c>
      <c r="Y19" s="414">
        <v>0.153</v>
      </c>
      <c r="Z19" s="70">
        <v>0.153</v>
      </c>
      <c r="AA19" s="70">
        <v>0</v>
      </c>
      <c r="AB19" s="464" t="s">
        <v>4230</v>
      </c>
      <c r="AC19" s="415">
        <f t="shared" si="0"/>
        <v>0</v>
      </c>
      <c r="AD19" s="226" t="e">
        <f ca="1">_xlfn.XLOOKUP(X19,'USEEIO metadata'!$C$2:$C$393,'USEEIO metadata'!$H$2:$H$393)</f>
        <v>#NAME?</v>
      </c>
      <c r="AE19" s="226" t="e">
        <f ca="1">_xlfn.XLOOKUP(X19,'USEEIO metadata'!$C$2:$C$393,'USEEIO metadata'!$F$2:$F$393)</f>
        <v>#NAME?</v>
      </c>
      <c r="AF19" s="226" t="e">
        <f ca="1">_xlfn.XLOOKUP(X19,'USEEIO metadata'!$C$2:$C$393,'USEEIO metadata'!$G$2:$G$393)</f>
        <v>#NAME?</v>
      </c>
    </row>
    <row r="20" spans="1:32">
      <c r="A20" t="str">
        <f>_xlfn.IFNA(IF(VLOOKUP(C20,'2016_Detail_Commodity_v1.0'!C:C,1,FALSE)=C20,"No change"),"Name changed")</f>
        <v>No change</v>
      </c>
      <c r="B20" t="s">
        <v>318</v>
      </c>
      <c r="C20" t="s">
        <v>319</v>
      </c>
      <c r="E20" t="s">
        <v>3655</v>
      </c>
      <c r="F20" t="s">
        <v>12</v>
      </c>
      <c r="G20">
        <v>1E-3</v>
      </c>
      <c r="H20" s="413">
        <f>G20*VLOOKUP(E20,GWPs!$B$3:$C$6,2,FALSE)</f>
        <v>0.26500000000000001</v>
      </c>
      <c r="I20">
        <v>0</v>
      </c>
      <c r="J20" s="413">
        <f>I20*VLOOKUP(E20,GWPs!$B$3:$C$6,2,FALSE)</f>
        <v>0</v>
      </c>
      <c r="K20">
        <v>1E-3</v>
      </c>
      <c r="L20" s="413">
        <f>K20*VLOOKUP(E20,GWPs!$B$3:$C$6,2,FALSE)</f>
        <v>0.26500000000000001</v>
      </c>
      <c r="N20">
        <v>4</v>
      </c>
      <c r="O20">
        <v>2</v>
      </c>
      <c r="P20">
        <v>1</v>
      </c>
      <c r="Q20">
        <v>4</v>
      </c>
      <c r="R20">
        <v>1</v>
      </c>
      <c r="W20" s="226" t="s">
        <v>720</v>
      </c>
      <c r="X20" s="70" t="s">
        <v>719</v>
      </c>
      <c r="Y20" s="414">
        <v>8.7999999999999995E-2</v>
      </c>
      <c r="Z20" s="70">
        <v>6.0999999999999999E-2</v>
      </c>
      <c r="AA20" s="70">
        <v>2.5999999999999999E-2</v>
      </c>
      <c r="AB20" s="464" t="s">
        <v>4231</v>
      </c>
      <c r="AC20" s="415">
        <f t="shared" si="0"/>
        <v>0.29545454545454547</v>
      </c>
      <c r="AD20" s="226" t="e">
        <f ca="1">_xlfn.XLOOKUP(X20,'USEEIO metadata'!$C$2:$C$393,'USEEIO metadata'!$H$2:$H$393)</f>
        <v>#NAME?</v>
      </c>
      <c r="AE20" s="226" t="e">
        <f ca="1">_xlfn.XLOOKUP(X20,'USEEIO metadata'!$C$2:$C$393,'USEEIO metadata'!$F$2:$F$393)</f>
        <v>#NAME?</v>
      </c>
      <c r="AF20" s="226" t="e">
        <f ca="1">_xlfn.XLOOKUP(X20,'USEEIO metadata'!$C$2:$C$393,'USEEIO metadata'!$G$2:$G$393)</f>
        <v>#NAME?</v>
      </c>
    </row>
    <row r="21" spans="1:32" ht="28.5">
      <c r="A21" t="str">
        <f>_xlfn.IFNA(IF(VLOOKUP(C21,'2016_Detail_Commodity_v1.0'!C:C,1,FALSE)=C21,"No change"),"Name changed")</f>
        <v>No change</v>
      </c>
      <c r="B21" t="s">
        <v>318</v>
      </c>
      <c r="C21" t="s">
        <v>319</v>
      </c>
      <c r="E21" t="s">
        <v>15</v>
      </c>
      <c r="F21" t="s">
        <v>16</v>
      </c>
      <c r="G21">
        <v>2E-3</v>
      </c>
      <c r="H21" s="413">
        <f>G21*VLOOKUP(E21,GWPs!$B$3:$C$6,2,FALSE)</f>
        <v>2E-3</v>
      </c>
      <c r="I21">
        <v>0</v>
      </c>
      <c r="J21" s="413">
        <f>I21*VLOOKUP(E21,GWPs!$B$3:$C$6,2,FALSE)</f>
        <v>0</v>
      </c>
      <c r="K21">
        <v>2E-3</v>
      </c>
      <c r="L21" s="413">
        <f>K21*VLOOKUP(E21,GWPs!$B$3:$C$6,2,FALSE)</f>
        <v>2E-3</v>
      </c>
      <c r="N21">
        <v>4</v>
      </c>
      <c r="O21">
        <v>2</v>
      </c>
      <c r="P21">
        <v>1</v>
      </c>
      <c r="Q21">
        <v>4</v>
      </c>
      <c r="R21">
        <v>1</v>
      </c>
      <c r="W21" s="226" t="s">
        <v>329</v>
      </c>
      <c r="X21" s="70" t="s">
        <v>328</v>
      </c>
      <c r="Y21" s="414">
        <v>1.84</v>
      </c>
      <c r="Z21" s="70">
        <v>1.742</v>
      </c>
      <c r="AA21" s="70">
        <v>9.8000000000000004E-2</v>
      </c>
      <c r="AB21" s="464" t="s">
        <v>4230</v>
      </c>
      <c r="AC21" s="415">
        <f t="shared" si="0"/>
        <v>5.3260869565217389E-2</v>
      </c>
      <c r="AD21" s="226" t="e">
        <f ca="1">_xlfn.XLOOKUP(X21,'USEEIO metadata'!$C$2:$C$393,'USEEIO metadata'!$H$2:$H$393)</f>
        <v>#NAME?</v>
      </c>
      <c r="AE21" s="226" t="e">
        <f ca="1">_xlfn.XLOOKUP(X21,'USEEIO metadata'!$C$2:$C$393,'USEEIO metadata'!$F$2:$F$393)</f>
        <v>#NAME?</v>
      </c>
      <c r="AF21" s="226" t="e">
        <f ca="1">_xlfn.XLOOKUP(X21,'USEEIO metadata'!$C$2:$C$393,'USEEIO metadata'!$G$2:$G$393)</f>
        <v>#NAME?</v>
      </c>
    </row>
    <row r="22" spans="1:32" ht="28.5">
      <c r="A22" t="str">
        <f>_xlfn.IFNA(IF(VLOOKUP(C22,'2016_Detail_Commodity_v1.0'!C:C,1,FALSE)=C22,"No change"),"Name changed")</f>
        <v>No change</v>
      </c>
      <c r="B22" t="s">
        <v>320</v>
      </c>
      <c r="C22" t="s">
        <v>321</v>
      </c>
      <c r="E22" t="s">
        <v>3653</v>
      </c>
      <c r="F22" t="s">
        <v>12</v>
      </c>
      <c r="G22">
        <v>0.54700000000000004</v>
      </c>
      <c r="H22" s="413">
        <f>G22*VLOOKUP(E22,GWPs!$B$3:$C$6,2,FALSE)</f>
        <v>0.54700000000000004</v>
      </c>
      <c r="I22">
        <v>0.125</v>
      </c>
      <c r="J22" s="413">
        <f>I22*VLOOKUP(E22,GWPs!$B$3:$C$6,2,FALSE)</f>
        <v>0.125</v>
      </c>
      <c r="K22">
        <v>0.67200000000000004</v>
      </c>
      <c r="L22" s="413">
        <f>K22*VLOOKUP(E22,GWPs!$B$3:$C$6,2,FALSE)</f>
        <v>0.67200000000000004</v>
      </c>
      <c r="N22">
        <v>3</v>
      </c>
      <c r="O22">
        <v>2</v>
      </c>
      <c r="P22">
        <v>1</v>
      </c>
      <c r="Q22">
        <v>4</v>
      </c>
      <c r="R22">
        <v>1</v>
      </c>
      <c r="W22" s="226" t="s">
        <v>968</v>
      </c>
      <c r="X22" s="70" t="s">
        <v>967</v>
      </c>
      <c r="Y22" s="414">
        <v>0.11800000000000001</v>
      </c>
      <c r="Z22" s="70">
        <v>0.11800000000000001</v>
      </c>
      <c r="AA22" s="70">
        <v>0</v>
      </c>
      <c r="AB22" s="464" t="s">
        <v>4231</v>
      </c>
      <c r="AC22" s="415">
        <f t="shared" si="0"/>
        <v>0</v>
      </c>
      <c r="AD22" s="226" t="e">
        <f ca="1">_xlfn.XLOOKUP(X22,'USEEIO metadata'!$C$2:$C$393,'USEEIO metadata'!$H$2:$H$393)</f>
        <v>#NAME?</v>
      </c>
      <c r="AE22" s="226" t="e">
        <f ca="1">_xlfn.XLOOKUP(X22,'USEEIO metadata'!$C$2:$C$393,'USEEIO metadata'!$F$2:$F$393)</f>
        <v>#NAME?</v>
      </c>
      <c r="AF22" s="226" t="e">
        <f ca="1">_xlfn.XLOOKUP(X22,'USEEIO metadata'!$C$2:$C$393,'USEEIO metadata'!$G$2:$G$393)</f>
        <v>#NAME?</v>
      </c>
    </row>
    <row r="23" spans="1:32">
      <c r="A23" t="str">
        <f>_xlfn.IFNA(IF(VLOOKUP(C23,'2016_Detail_Commodity_v1.0'!C:C,1,FALSE)=C23,"No change"),"Name changed")</f>
        <v>No change</v>
      </c>
      <c r="B23" t="s">
        <v>320</v>
      </c>
      <c r="C23" t="s">
        <v>321</v>
      </c>
      <c r="E23" t="s">
        <v>3654</v>
      </c>
      <c r="F23" t="s">
        <v>12</v>
      </c>
      <c r="G23">
        <v>2E-3</v>
      </c>
      <c r="H23" s="413">
        <f>G23*VLOOKUP(E23,GWPs!$B$3:$C$6,2,FALSE)</f>
        <v>5.6000000000000001E-2</v>
      </c>
      <c r="I23">
        <v>1E-3</v>
      </c>
      <c r="J23" s="413">
        <f>I23*VLOOKUP(E23,GWPs!$B$3:$C$6,2,FALSE)</f>
        <v>2.8000000000000001E-2</v>
      </c>
      <c r="K23">
        <v>3.0000000000000001E-3</v>
      </c>
      <c r="L23" s="413">
        <f>K23*VLOOKUP(E23,GWPs!$B$3:$C$6,2,FALSE)</f>
        <v>8.4000000000000005E-2</v>
      </c>
      <c r="N23">
        <v>4</v>
      </c>
      <c r="O23">
        <v>2</v>
      </c>
      <c r="P23">
        <v>1</v>
      </c>
      <c r="Q23">
        <v>1</v>
      </c>
      <c r="R23">
        <v>1</v>
      </c>
      <c r="W23" s="226" t="s">
        <v>486</v>
      </c>
      <c r="X23" s="70" t="s">
        <v>485</v>
      </c>
      <c r="Y23" s="414">
        <v>1.3159999999999998</v>
      </c>
      <c r="Z23" s="70">
        <v>1.2749999999999999</v>
      </c>
      <c r="AA23" s="70">
        <v>4.1000000000000002E-2</v>
      </c>
      <c r="AB23" s="464" t="s">
        <v>4230</v>
      </c>
      <c r="AC23" s="415">
        <f t="shared" si="0"/>
        <v>3.1155015197568393E-2</v>
      </c>
      <c r="AD23" s="226" t="e">
        <f ca="1">_xlfn.XLOOKUP(X23,'USEEIO metadata'!$C$2:$C$393,'USEEIO metadata'!$H$2:$H$393)</f>
        <v>#NAME?</v>
      </c>
      <c r="AE23" s="226" t="e">
        <f ca="1">_xlfn.XLOOKUP(X23,'USEEIO metadata'!$C$2:$C$393,'USEEIO metadata'!$F$2:$F$393)</f>
        <v>#NAME?</v>
      </c>
      <c r="AF23" s="226" t="e">
        <f ca="1">_xlfn.XLOOKUP(X23,'USEEIO metadata'!$C$2:$C$393,'USEEIO metadata'!$G$2:$G$393)</f>
        <v>#NAME?</v>
      </c>
    </row>
    <row r="24" spans="1:32">
      <c r="A24" t="str">
        <f>_xlfn.IFNA(IF(VLOOKUP(C24,'2016_Detail_Commodity_v1.0'!C:C,1,FALSE)=C24,"No change"),"Name changed")</f>
        <v>No change</v>
      </c>
      <c r="B24" t="s">
        <v>320</v>
      </c>
      <c r="C24" t="s">
        <v>321</v>
      </c>
      <c r="E24" t="s">
        <v>3655</v>
      </c>
      <c r="F24" t="s">
        <v>12</v>
      </c>
      <c r="G24">
        <v>3.0000000000000001E-3</v>
      </c>
      <c r="H24" s="413">
        <f>G24*VLOOKUP(E24,GWPs!$B$3:$C$6,2,FALSE)</f>
        <v>0.79500000000000004</v>
      </c>
      <c r="I24">
        <v>0</v>
      </c>
      <c r="J24" s="413">
        <f>I24*VLOOKUP(E24,GWPs!$B$3:$C$6,2,FALSE)</f>
        <v>0</v>
      </c>
      <c r="K24">
        <v>3.0000000000000001E-3</v>
      </c>
      <c r="L24" s="413">
        <f>K24*VLOOKUP(E24,GWPs!$B$3:$C$6,2,FALSE)</f>
        <v>0.79500000000000004</v>
      </c>
      <c r="N24">
        <v>4</v>
      </c>
      <c r="O24">
        <v>2</v>
      </c>
      <c r="P24">
        <v>1</v>
      </c>
      <c r="Q24">
        <v>4</v>
      </c>
      <c r="R24">
        <v>1</v>
      </c>
      <c r="W24" s="226" t="s">
        <v>488</v>
      </c>
      <c r="X24" s="70" t="s">
        <v>487</v>
      </c>
      <c r="Y24" s="414">
        <v>1.0289999999999999</v>
      </c>
      <c r="Z24" s="70">
        <v>0.96299999999999997</v>
      </c>
      <c r="AA24" s="70">
        <v>3.9E-2</v>
      </c>
      <c r="AB24" s="464" t="s">
        <v>4230</v>
      </c>
      <c r="AC24" s="415">
        <f t="shared" si="0"/>
        <v>3.7900874635568516E-2</v>
      </c>
      <c r="AD24" s="226" t="e">
        <f ca="1">_xlfn.XLOOKUP(X24,'USEEIO metadata'!$C$2:$C$393,'USEEIO metadata'!$H$2:$H$393)</f>
        <v>#NAME?</v>
      </c>
      <c r="AE24" s="226" t="e">
        <f ca="1">_xlfn.XLOOKUP(X24,'USEEIO metadata'!$C$2:$C$393,'USEEIO metadata'!$F$2:$F$393)</f>
        <v>#NAME?</v>
      </c>
      <c r="AF24" s="226" t="e">
        <f ca="1">_xlfn.XLOOKUP(X24,'USEEIO metadata'!$C$2:$C$393,'USEEIO metadata'!$G$2:$G$393)</f>
        <v>#NAME?</v>
      </c>
    </row>
    <row r="25" spans="1:32">
      <c r="A25" t="str">
        <f>_xlfn.IFNA(IF(VLOOKUP(C25,'2016_Detail_Commodity_v1.0'!C:C,1,FALSE)=C25,"No change"),"Name changed")</f>
        <v>No change</v>
      </c>
      <c r="B25" t="s">
        <v>320</v>
      </c>
      <c r="C25" t="s">
        <v>321</v>
      </c>
      <c r="E25" t="s">
        <v>15</v>
      </c>
      <c r="F25" t="s">
        <v>16</v>
      </c>
      <c r="G25">
        <v>3.0000000000000001E-3</v>
      </c>
      <c r="H25" s="413">
        <f>G25*VLOOKUP(E25,GWPs!$B$3:$C$6,2,FALSE)</f>
        <v>3.0000000000000001E-3</v>
      </c>
      <c r="I25">
        <v>0</v>
      </c>
      <c r="J25" s="413">
        <f>I25*VLOOKUP(E25,GWPs!$B$3:$C$6,2,FALSE)</f>
        <v>0</v>
      </c>
      <c r="K25">
        <v>3.0000000000000001E-3</v>
      </c>
      <c r="L25" s="413">
        <f>K25*VLOOKUP(E25,GWPs!$B$3:$C$6,2,FALSE)</f>
        <v>3.0000000000000001E-3</v>
      </c>
      <c r="N25">
        <v>4</v>
      </c>
      <c r="O25">
        <v>2</v>
      </c>
      <c r="P25">
        <v>1</v>
      </c>
      <c r="Q25">
        <v>4</v>
      </c>
      <c r="R25">
        <v>1</v>
      </c>
      <c r="W25" s="226" t="s">
        <v>700</v>
      </c>
      <c r="X25" s="70" t="s">
        <v>699</v>
      </c>
      <c r="Y25" s="414">
        <v>0.17199999999999999</v>
      </c>
      <c r="Z25" s="70">
        <v>6.8000000000000005E-2</v>
      </c>
      <c r="AA25" s="70">
        <v>7.5999999999999998E-2</v>
      </c>
      <c r="AB25" s="464" t="s">
        <v>4231</v>
      </c>
      <c r="AC25" s="415">
        <f t="shared" si="0"/>
        <v>0.44186046511627908</v>
      </c>
      <c r="AD25" s="226" t="e">
        <f ca="1">_xlfn.XLOOKUP(X25,'USEEIO metadata'!$C$2:$C$393,'USEEIO metadata'!$H$2:$H$393)</f>
        <v>#NAME?</v>
      </c>
      <c r="AE25" s="226" t="e">
        <f ca="1">_xlfn.XLOOKUP(X25,'USEEIO metadata'!$C$2:$C$393,'USEEIO metadata'!$F$2:$F$393)</f>
        <v>#NAME?</v>
      </c>
      <c r="AF25" s="226" t="e">
        <f ca="1">_xlfn.XLOOKUP(X25,'USEEIO metadata'!$C$2:$C$393,'USEEIO metadata'!$G$2:$G$393)</f>
        <v>#NAME?</v>
      </c>
    </row>
    <row r="26" spans="1:32" ht="28.5">
      <c r="A26" t="str">
        <f>_xlfn.IFNA(IF(VLOOKUP(C26,'2016_Detail_Commodity_v1.0'!C:C,1,FALSE)=C26,"No change"),"Name changed")</f>
        <v>No change</v>
      </c>
      <c r="B26" t="s">
        <v>322</v>
      </c>
      <c r="C26" t="s">
        <v>323</v>
      </c>
      <c r="E26" t="s">
        <v>3653</v>
      </c>
      <c r="F26" t="s">
        <v>12</v>
      </c>
      <c r="G26">
        <v>0.57699999999999996</v>
      </c>
      <c r="H26" s="413">
        <f>G26*VLOOKUP(E26,GWPs!$B$3:$C$6,2,FALSE)</f>
        <v>0.57699999999999996</v>
      </c>
      <c r="I26">
        <v>6.9000000000000006E-2</v>
      </c>
      <c r="J26" s="413">
        <f>I26*VLOOKUP(E26,GWPs!$B$3:$C$6,2,FALSE)</f>
        <v>6.9000000000000006E-2</v>
      </c>
      <c r="K26">
        <v>0.64600000000000002</v>
      </c>
      <c r="L26" s="413">
        <f>K26*VLOOKUP(E26,GWPs!$B$3:$C$6,2,FALSE)</f>
        <v>0.64600000000000002</v>
      </c>
      <c r="N26">
        <v>3</v>
      </c>
      <c r="O26">
        <v>2</v>
      </c>
      <c r="P26">
        <v>1</v>
      </c>
      <c r="Q26">
        <v>4</v>
      </c>
      <c r="R26">
        <v>1</v>
      </c>
      <c r="W26" s="226" t="s">
        <v>712</v>
      </c>
      <c r="X26" s="70" t="s">
        <v>711</v>
      </c>
      <c r="Y26" s="414">
        <v>0.17100000000000001</v>
      </c>
      <c r="Z26" s="70">
        <v>0.11599999999999999</v>
      </c>
      <c r="AA26" s="70">
        <v>2.7E-2</v>
      </c>
      <c r="AB26" s="464" t="s">
        <v>4230</v>
      </c>
      <c r="AC26" s="415">
        <f t="shared" si="0"/>
        <v>0.15789473684210525</v>
      </c>
      <c r="AD26" s="226" t="e">
        <f ca="1">_xlfn.XLOOKUP(X26,'USEEIO metadata'!$C$2:$C$393,'USEEIO metadata'!$H$2:$H$393)</f>
        <v>#NAME?</v>
      </c>
      <c r="AE26" s="226" t="e">
        <f ca="1">_xlfn.XLOOKUP(X26,'USEEIO metadata'!$C$2:$C$393,'USEEIO metadata'!$F$2:$F$393)</f>
        <v>#NAME?</v>
      </c>
      <c r="AF26" s="226" t="e">
        <f ca="1">_xlfn.XLOOKUP(X26,'USEEIO metadata'!$C$2:$C$393,'USEEIO metadata'!$G$2:$G$393)</f>
        <v>#NAME?</v>
      </c>
    </row>
    <row r="27" spans="1:32">
      <c r="A27" t="str">
        <f>_xlfn.IFNA(IF(VLOOKUP(C27,'2016_Detail_Commodity_v1.0'!C:C,1,FALSE)=C27,"No change"),"Name changed")</f>
        <v>No change</v>
      </c>
      <c r="B27" t="s">
        <v>322</v>
      </c>
      <c r="C27" t="s">
        <v>323</v>
      </c>
      <c r="E27" t="s">
        <v>3654</v>
      </c>
      <c r="F27" t="s">
        <v>12</v>
      </c>
      <c r="G27">
        <v>8.4000000000000005E-2</v>
      </c>
      <c r="H27" s="413">
        <f>G27*VLOOKUP(E27,GWPs!$B$3:$C$6,2,FALSE)</f>
        <v>2.3520000000000003</v>
      </c>
      <c r="I27">
        <v>1E-3</v>
      </c>
      <c r="J27" s="413">
        <f>I27*VLOOKUP(E27,GWPs!$B$3:$C$6,2,FALSE)</f>
        <v>2.8000000000000001E-2</v>
      </c>
      <c r="K27">
        <v>8.5000000000000006E-2</v>
      </c>
      <c r="L27" s="413">
        <f>K27*VLOOKUP(E27,GWPs!$B$3:$C$6,2,FALSE)</f>
        <v>2.3800000000000003</v>
      </c>
      <c r="N27">
        <v>3</v>
      </c>
      <c r="O27">
        <v>2</v>
      </c>
      <c r="P27">
        <v>1</v>
      </c>
      <c r="Q27">
        <v>1</v>
      </c>
      <c r="R27">
        <v>1</v>
      </c>
      <c r="W27" s="226" t="s">
        <v>762</v>
      </c>
      <c r="X27" s="70" t="s">
        <v>761</v>
      </c>
      <c r="Y27" s="414">
        <v>0.30200000000000005</v>
      </c>
      <c r="Z27" s="70">
        <v>0.23899999999999999</v>
      </c>
      <c r="AA27" s="70">
        <v>6.4000000000000001E-2</v>
      </c>
      <c r="AB27" s="464" t="s">
        <v>4230</v>
      </c>
      <c r="AC27" s="415">
        <f t="shared" si="0"/>
        <v>0.21192052980132448</v>
      </c>
      <c r="AD27" s="226" t="e">
        <f ca="1">_xlfn.XLOOKUP(X27,'USEEIO metadata'!$C$2:$C$393,'USEEIO metadata'!$H$2:$H$393)</f>
        <v>#NAME?</v>
      </c>
      <c r="AE27" s="226" t="e">
        <f ca="1">_xlfn.XLOOKUP(X27,'USEEIO metadata'!$C$2:$C$393,'USEEIO metadata'!$F$2:$F$393)</f>
        <v>#NAME?</v>
      </c>
      <c r="AF27" s="226" t="e">
        <f ca="1">_xlfn.XLOOKUP(X27,'USEEIO metadata'!$C$2:$C$393,'USEEIO metadata'!$G$2:$G$393)</f>
        <v>#NAME?</v>
      </c>
    </row>
    <row r="28" spans="1:32">
      <c r="A28" t="str">
        <f>_xlfn.IFNA(IF(VLOOKUP(C28,'2016_Detail_Commodity_v1.0'!C:C,1,FALSE)=C28,"No change"),"Name changed")</f>
        <v>No change</v>
      </c>
      <c r="B28" t="s">
        <v>322</v>
      </c>
      <c r="C28" t="s">
        <v>323</v>
      </c>
      <c r="E28" t="s">
        <v>3655</v>
      </c>
      <c r="F28" t="s">
        <v>12</v>
      </c>
      <c r="G28">
        <v>2E-3</v>
      </c>
      <c r="H28" s="413">
        <f>G28*VLOOKUP(E28,GWPs!$B$3:$C$6,2,FALSE)</f>
        <v>0.53</v>
      </c>
      <c r="I28">
        <v>0</v>
      </c>
      <c r="J28" s="413">
        <f>I28*VLOOKUP(E28,GWPs!$B$3:$C$6,2,FALSE)</f>
        <v>0</v>
      </c>
      <c r="K28">
        <v>2E-3</v>
      </c>
      <c r="L28" s="413">
        <f>K28*VLOOKUP(E28,GWPs!$B$3:$C$6,2,FALSE)</f>
        <v>0.53</v>
      </c>
      <c r="N28">
        <v>4</v>
      </c>
      <c r="O28">
        <v>2</v>
      </c>
      <c r="P28">
        <v>1</v>
      </c>
      <c r="Q28">
        <v>3</v>
      </c>
      <c r="R28">
        <v>1</v>
      </c>
      <c r="W28" s="226" t="s">
        <v>624</v>
      </c>
      <c r="X28" s="70" t="s">
        <v>623</v>
      </c>
      <c r="Y28" s="414">
        <v>0.30100000000000005</v>
      </c>
      <c r="Z28" s="70">
        <v>0.27</v>
      </c>
      <c r="AA28" s="70">
        <v>3.1E-2</v>
      </c>
      <c r="AB28" s="464" t="s">
        <v>4230</v>
      </c>
      <c r="AC28" s="415">
        <f t="shared" si="0"/>
        <v>0.10299003322259134</v>
      </c>
      <c r="AD28" s="226" t="e">
        <f ca="1">_xlfn.XLOOKUP(X28,'USEEIO metadata'!$C$2:$C$393,'USEEIO metadata'!$H$2:$H$393)</f>
        <v>#NAME?</v>
      </c>
      <c r="AE28" s="226" t="e">
        <f ca="1">_xlfn.XLOOKUP(X28,'USEEIO metadata'!$C$2:$C$393,'USEEIO metadata'!$F$2:$F$393)</f>
        <v>#NAME?</v>
      </c>
      <c r="AF28" s="226" t="e">
        <f ca="1">_xlfn.XLOOKUP(X28,'USEEIO metadata'!$C$2:$C$393,'USEEIO metadata'!$G$2:$G$393)</f>
        <v>#NAME?</v>
      </c>
    </row>
    <row r="29" spans="1:32" ht="28.5">
      <c r="A29" t="str">
        <f>_xlfn.IFNA(IF(VLOOKUP(C29,'2016_Detail_Commodity_v1.0'!C:C,1,FALSE)=C29,"No change"),"Name changed")</f>
        <v>No change</v>
      </c>
      <c r="B29" t="s">
        <v>322</v>
      </c>
      <c r="C29" t="s">
        <v>323</v>
      </c>
      <c r="E29" t="s">
        <v>15</v>
      </c>
      <c r="F29" t="s">
        <v>16</v>
      </c>
      <c r="G29">
        <v>4.0000000000000001E-3</v>
      </c>
      <c r="H29" s="413">
        <f>G29*VLOOKUP(E29,GWPs!$B$3:$C$6,2,FALSE)</f>
        <v>4.0000000000000001E-3</v>
      </c>
      <c r="I29">
        <v>0</v>
      </c>
      <c r="J29" s="413">
        <f>I29*VLOOKUP(E29,GWPs!$B$3:$C$6,2,FALSE)</f>
        <v>0</v>
      </c>
      <c r="K29">
        <v>4.0000000000000001E-3</v>
      </c>
      <c r="L29" s="413">
        <f>K29*VLOOKUP(E29,GWPs!$B$3:$C$6,2,FALSE)</f>
        <v>4.0000000000000001E-3</v>
      </c>
      <c r="N29">
        <v>4</v>
      </c>
      <c r="O29">
        <v>2</v>
      </c>
      <c r="P29">
        <v>1</v>
      </c>
      <c r="Q29">
        <v>4</v>
      </c>
      <c r="R29">
        <v>1</v>
      </c>
      <c r="W29" s="226" t="s">
        <v>514</v>
      </c>
      <c r="X29" s="70" t="s">
        <v>513</v>
      </c>
      <c r="Y29" s="414">
        <v>0.152</v>
      </c>
      <c r="Z29" s="70">
        <v>8.8000000000000009E-2</v>
      </c>
      <c r="AA29" s="70">
        <v>3.5999999999999997E-2</v>
      </c>
      <c r="AB29" s="464" t="s">
        <v>4231</v>
      </c>
      <c r="AC29" s="415">
        <f t="shared" si="0"/>
        <v>0.23684210526315788</v>
      </c>
      <c r="AD29" s="226" t="e">
        <f ca="1">_xlfn.XLOOKUP(X29,'USEEIO metadata'!$C$2:$C$393,'USEEIO metadata'!$H$2:$H$393)</f>
        <v>#NAME?</v>
      </c>
      <c r="AE29" s="226" t="e">
        <f ca="1">_xlfn.XLOOKUP(X29,'USEEIO metadata'!$C$2:$C$393,'USEEIO metadata'!$F$2:$F$393)</f>
        <v>#NAME?</v>
      </c>
      <c r="AF29" s="226" t="e">
        <f ca="1">_xlfn.XLOOKUP(X29,'USEEIO metadata'!$C$2:$C$393,'USEEIO metadata'!$G$2:$G$393)</f>
        <v>#NAME?</v>
      </c>
    </row>
    <row r="30" spans="1:32">
      <c r="A30" t="str">
        <f>_xlfn.IFNA(IF(VLOOKUP(C30,'2016_Detail_Commodity_v1.0'!C:C,1,FALSE)=C30,"No change"),"Name changed")</f>
        <v>No change</v>
      </c>
      <c r="B30" t="s">
        <v>324</v>
      </c>
      <c r="C30" t="s">
        <v>325</v>
      </c>
      <c r="E30" t="s">
        <v>3653</v>
      </c>
      <c r="F30" t="s">
        <v>12</v>
      </c>
      <c r="G30">
        <v>0.56999999999999995</v>
      </c>
      <c r="H30" s="413">
        <f>G30*VLOOKUP(E30,GWPs!$B$3:$C$6,2,FALSE)</f>
        <v>0.56999999999999995</v>
      </c>
      <c r="I30">
        <v>5.6000000000000001E-2</v>
      </c>
      <c r="J30" s="413">
        <f>I30*VLOOKUP(E30,GWPs!$B$3:$C$6,2,FALSE)</f>
        <v>5.6000000000000001E-2</v>
      </c>
      <c r="K30">
        <v>0.626</v>
      </c>
      <c r="L30" s="413">
        <f>K30*VLOOKUP(E30,GWPs!$B$3:$C$6,2,FALSE)</f>
        <v>0.626</v>
      </c>
      <c r="N30">
        <v>4</v>
      </c>
      <c r="O30">
        <v>2</v>
      </c>
      <c r="P30">
        <v>1</v>
      </c>
      <c r="Q30">
        <v>4</v>
      </c>
      <c r="R30">
        <v>1</v>
      </c>
      <c r="W30" s="226" t="s">
        <v>803</v>
      </c>
      <c r="X30" s="70" t="s">
        <v>802</v>
      </c>
      <c r="Y30" s="414">
        <v>0.23600000000000002</v>
      </c>
      <c r="Z30" s="70">
        <v>0.14000000000000001</v>
      </c>
      <c r="AA30" s="70">
        <v>6.8000000000000005E-2</v>
      </c>
      <c r="AB30" s="464" t="s">
        <v>4230</v>
      </c>
      <c r="AC30" s="415">
        <f t="shared" si="0"/>
        <v>0.28813559322033899</v>
      </c>
      <c r="AD30" s="226" t="e">
        <f ca="1">_xlfn.XLOOKUP(X30,'USEEIO metadata'!$C$2:$C$393,'USEEIO metadata'!$H$2:$H$393)</f>
        <v>#NAME?</v>
      </c>
      <c r="AE30" s="226" t="e">
        <f ca="1">_xlfn.XLOOKUP(X30,'USEEIO metadata'!$C$2:$C$393,'USEEIO metadata'!$F$2:$F$393)</f>
        <v>#NAME?</v>
      </c>
      <c r="AF30" s="226" t="e">
        <f ca="1">_xlfn.XLOOKUP(X30,'USEEIO metadata'!$C$2:$C$393,'USEEIO metadata'!$G$2:$G$393)</f>
        <v>#NAME?</v>
      </c>
    </row>
    <row r="31" spans="1:32">
      <c r="A31" t="str">
        <f>_xlfn.IFNA(IF(VLOOKUP(C31,'2016_Detail_Commodity_v1.0'!C:C,1,FALSE)=C31,"No change"),"Name changed")</f>
        <v>No change</v>
      </c>
      <c r="B31" t="s">
        <v>324</v>
      </c>
      <c r="C31" t="s">
        <v>325</v>
      </c>
      <c r="E31" t="s">
        <v>3654</v>
      </c>
      <c r="F31" t="s">
        <v>12</v>
      </c>
      <c r="G31">
        <v>8.3000000000000004E-2</v>
      </c>
      <c r="H31" s="413">
        <f>G31*VLOOKUP(E31,GWPs!$B$3:$C$6,2,FALSE)</f>
        <v>2.3240000000000003</v>
      </c>
      <c r="I31">
        <v>1E-3</v>
      </c>
      <c r="J31" s="413">
        <f>I31*VLOOKUP(E31,GWPs!$B$3:$C$6,2,FALSE)</f>
        <v>2.8000000000000001E-2</v>
      </c>
      <c r="K31">
        <v>8.3000000000000004E-2</v>
      </c>
      <c r="L31" s="413">
        <f>K31*VLOOKUP(E31,GWPs!$B$3:$C$6,2,FALSE)</f>
        <v>2.3240000000000003</v>
      </c>
      <c r="N31">
        <v>4</v>
      </c>
      <c r="O31">
        <v>2</v>
      </c>
      <c r="P31">
        <v>1</v>
      </c>
      <c r="Q31">
        <v>1</v>
      </c>
      <c r="R31">
        <v>1</v>
      </c>
      <c r="W31" s="226" t="s">
        <v>910</v>
      </c>
      <c r="X31" s="70" t="s">
        <v>909</v>
      </c>
      <c r="Y31" s="414">
        <v>0.16800000000000001</v>
      </c>
      <c r="Z31" s="70">
        <v>8.1000000000000003E-2</v>
      </c>
      <c r="AA31" s="70">
        <v>5.8000000000000003E-2</v>
      </c>
      <c r="AB31" s="464" t="s">
        <v>4230</v>
      </c>
      <c r="AC31" s="415">
        <f t="shared" si="0"/>
        <v>0.34523809523809523</v>
      </c>
      <c r="AD31" s="226" t="e">
        <f ca="1">_xlfn.XLOOKUP(X31,'USEEIO metadata'!$C$2:$C$393,'USEEIO metadata'!$H$2:$H$393)</f>
        <v>#NAME?</v>
      </c>
      <c r="AE31" s="226" t="e">
        <f ca="1">_xlfn.XLOOKUP(X31,'USEEIO metadata'!$C$2:$C$393,'USEEIO metadata'!$F$2:$F$393)</f>
        <v>#NAME?</v>
      </c>
      <c r="AF31" s="226" t="e">
        <f ca="1">_xlfn.XLOOKUP(X31,'USEEIO metadata'!$C$2:$C$393,'USEEIO metadata'!$G$2:$G$393)</f>
        <v>#NAME?</v>
      </c>
    </row>
    <row r="32" spans="1:32" ht="28.5">
      <c r="A32" t="str">
        <f>_xlfn.IFNA(IF(VLOOKUP(C32,'2016_Detail_Commodity_v1.0'!C:C,1,FALSE)=C32,"No change"),"Name changed")</f>
        <v>No change</v>
      </c>
      <c r="B32" t="s">
        <v>324</v>
      </c>
      <c r="C32" t="s">
        <v>325</v>
      </c>
      <c r="E32" t="s">
        <v>3655</v>
      </c>
      <c r="F32" t="s">
        <v>12</v>
      </c>
      <c r="G32">
        <v>4.0000000000000001E-3</v>
      </c>
      <c r="H32" s="413">
        <f>G32*VLOOKUP(E32,GWPs!$B$3:$C$6,2,FALSE)</f>
        <v>1.06</v>
      </c>
      <c r="I32">
        <v>0</v>
      </c>
      <c r="J32" s="413">
        <f>I32*VLOOKUP(E32,GWPs!$B$3:$C$6,2,FALSE)</f>
        <v>0</v>
      </c>
      <c r="K32">
        <v>4.0000000000000001E-3</v>
      </c>
      <c r="L32" s="413">
        <f>K32*VLOOKUP(E32,GWPs!$B$3:$C$6,2,FALSE)</f>
        <v>1.06</v>
      </c>
      <c r="N32">
        <v>4</v>
      </c>
      <c r="O32">
        <v>2</v>
      </c>
      <c r="P32">
        <v>1</v>
      </c>
      <c r="Q32">
        <v>4</v>
      </c>
      <c r="R32">
        <v>1</v>
      </c>
      <c r="W32" s="226" t="s">
        <v>480</v>
      </c>
      <c r="X32" s="70" t="s">
        <v>479</v>
      </c>
      <c r="Y32" s="414">
        <v>0.379</v>
      </c>
      <c r="Z32" s="70">
        <v>0.33</v>
      </c>
      <c r="AA32" s="70">
        <v>4.9000000000000002E-2</v>
      </c>
      <c r="AB32" s="464" t="s">
        <v>4230</v>
      </c>
      <c r="AC32" s="415">
        <f t="shared" si="0"/>
        <v>0.12928759894459102</v>
      </c>
      <c r="AD32" s="226" t="e">
        <f ca="1">_xlfn.XLOOKUP(X32,'USEEIO metadata'!$C$2:$C$393,'USEEIO metadata'!$H$2:$H$393)</f>
        <v>#NAME?</v>
      </c>
      <c r="AE32" s="226" t="e">
        <f ca="1">_xlfn.XLOOKUP(X32,'USEEIO metadata'!$C$2:$C$393,'USEEIO metadata'!$F$2:$F$393)</f>
        <v>#NAME?</v>
      </c>
      <c r="AF32" s="226" t="e">
        <f ca="1">_xlfn.XLOOKUP(X32,'USEEIO metadata'!$C$2:$C$393,'USEEIO metadata'!$G$2:$G$393)</f>
        <v>#NAME?</v>
      </c>
    </row>
    <row r="33" spans="1:32">
      <c r="A33" t="str">
        <f>_xlfn.IFNA(IF(VLOOKUP(C33,'2016_Detail_Commodity_v1.0'!C:C,1,FALSE)=C33,"No change"),"Name changed")</f>
        <v>No change</v>
      </c>
      <c r="B33" t="s">
        <v>324</v>
      </c>
      <c r="C33" t="s">
        <v>325</v>
      </c>
      <c r="E33" t="s">
        <v>15</v>
      </c>
      <c r="F33" t="s">
        <v>16</v>
      </c>
      <c r="G33">
        <v>3.0000000000000001E-3</v>
      </c>
      <c r="H33" s="413">
        <f>G33*VLOOKUP(E33,GWPs!$B$3:$C$6,2,FALSE)</f>
        <v>3.0000000000000001E-3</v>
      </c>
      <c r="I33">
        <v>0</v>
      </c>
      <c r="J33" s="413">
        <f>I33*VLOOKUP(E33,GWPs!$B$3:$C$6,2,FALSE)</f>
        <v>0</v>
      </c>
      <c r="K33">
        <v>3.0000000000000001E-3</v>
      </c>
      <c r="L33" s="413">
        <f>K33*VLOOKUP(E33,GWPs!$B$3:$C$6,2,FALSE)</f>
        <v>3.0000000000000001E-3</v>
      </c>
      <c r="N33">
        <v>4</v>
      </c>
      <c r="O33">
        <v>2</v>
      </c>
      <c r="P33">
        <v>1</v>
      </c>
      <c r="Q33">
        <v>4</v>
      </c>
      <c r="R33">
        <v>1</v>
      </c>
      <c r="W33" s="226" t="s">
        <v>416</v>
      </c>
      <c r="X33" s="70" t="s">
        <v>415</v>
      </c>
      <c r="Y33" s="414">
        <v>0.316</v>
      </c>
      <c r="Z33" s="70">
        <v>0.23300000000000001</v>
      </c>
      <c r="AA33" s="70">
        <v>5.3999999999999999E-2</v>
      </c>
      <c r="AB33" s="464" t="s">
        <v>4231</v>
      </c>
      <c r="AC33" s="415">
        <f t="shared" si="0"/>
        <v>0.17088607594936708</v>
      </c>
      <c r="AD33" s="226" t="e">
        <f ca="1">_xlfn.XLOOKUP(X33,'USEEIO metadata'!$C$2:$C$393,'USEEIO metadata'!$H$2:$H$393)</f>
        <v>#NAME?</v>
      </c>
      <c r="AE33" s="226" t="e">
        <f ca="1">_xlfn.XLOOKUP(X33,'USEEIO metadata'!$C$2:$C$393,'USEEIO metadata'!$F$2:$F$393)</f>
        <v>#NAME?</v>
      </c>
      <c r="AF33" s="226" t="e">
        <f ca="1">_xlfn.XLOOKUP(X33,'USEEIO metadata'!$C$2:$C$393,'USEEIO metadata'!$G$2:$G$393)</f>
        <v>#NAME?</v>
      </c>
    </row>
    <row r="34" spans="1:32">
      <c r="A34" t="str">
        <f>_xlfn.IFNA(IF(VLOOKUP(C34,'2016_Detail_Commodity_v1.0'!C:C,1,FALSE)=C34,"No change"),"Name changed")</f>
        <v>No change</v>
      </c>
      <c r="B34" t="s">
        <v>326</v>
      </c>
      <c r="C34" t="s">
        <v>327</v>
      </c>
      <c r="E34" t="s">
        <v>3653</v>
      </c>
      <c r="F34" t="s">
        <v>12</v>
      </c>
      <c r="G34">
        <v>0.54900000000000004</v>
      </c>
      <c r="H34" s="413">
        <f>G34*VLOOKUP(E34,GWPs!$B$3:$C$6,2,FALSE)</f>
        <v>0.54900000000000004</v>
      </c>
      <c r="I34">
        <v>0.05</v>
      </c>
      <c r="J34" s="413">
        <f>I34*VLOOKUP(E34,GWPs!$B$3:$C$6,2,FALSE)</f>
        <v>0.05</v>
      </c>
      <c r="K34">
        <v>0.59899999999999998</v>
      </c>
      <c r="L34" s="413">
        <f>K34*VLOOKUP(E34,GWPs!$B$3:$C$6,2,FALSE)</f>
        <v>0.59899999999999998</v>
      </c>
      <c r="N34">
        <v>4</v>
      </c>
      <c r="O34">
        <v>2</v>
      </c>
      <c r="P34">
        <v>1</v>
      </c>
      <c r="Q34">
        <v>4</v>
      </c>
      <c r="R34">
        <v>1</v>
      </c>
      <c r="W34" s="226" t="s">
        <v>394</v>
      </c>
      <c r="X34" s="70" t="s">
        <v>393</v>
      </c>
      <c r="Y34" s="414">
        <v>0.42899999999999999</v>
      </c>
      <c r="Z34" s="70">
        <v>0.33300000000000002</v>
      </c>
      <c r="AA34" s="70">
        <v>6.7000000000000004E-2</v>
      </c>
      <c r="AB34" s="464" t="s">
        <v>4231</v>
      </c>
      <c r="AC34" s="415">
        <f t="shared" si="0"/>
        <v>0.15617715617715619</v>
      </c>
      <c r="AD34" s="226" t="e">
        <f ca="1">_xlfn.XLOOKUP(X34,'USEEIO metadata'!$C$2:$C$393,'USEEIO metadata'!$H$2:$H$393)</f>
        <v>#NAME?</v>
      </c>
      <c r="AE34" s="226" t="e">
        <f ca="1">_xlfn.XLOOKUP(X34,'USEEIO metadata'!$C$2:$C$393,'USEEIO metadata'!$F$2:$F$393)</f>
        <v>#NAME?</v>
      </c>
      <c r="AF34" s="226" t="e">
        <f ca="1">_xlfn.XLOOKUP(X34,'USEEIO metadata'!$C$2:$C$393,'USEEIO metadata'!$G$2:$G$393)</f>
        <v>#NAME?</v>
      </c>
    </row>
    <row r="35" spans="1:32">
      <c r="A35" t="str">
        <f>_xlfn.IFNA(IF(VLOOKUP(C35,'2016_Detail_Commodity_v1.0'!C:C,1,FALSE)=C35,"No change"),"Name changed")</f>
        <v>No change</v>
      </c>
      <c r="B35" t="s">
        <v>326</v>
      </c>
      <c r="C35" t="s">
        <v>327</v>
      </c>
      <c r="E35" t="s">
        <v>3654</v>
      </c>
      <c r="F35" t="s">
        <v>12</v>
      </c>
      <c r="G35">
        <v>6.0000000000000001E-3</v>
      </c>
      <c r="H35" s="413">
        <f>G35*VLOOKUP(E35,GWPs!$B$3:$C$6,2,FALSE)</f>
        <v>0.16800000000000001</v>
      </c>
      <c r="I35">
        <v>0</v>
      </c>
      <c r="J35" s="413">
        <f>I35*VLOOKUP(E35,GWPs!$B$3:$C$6,2,FALSE)</f>
        <v>0</v>
      </c>
      <c r="K35">
        <v>6.0000000000000001E-3</v>
      </c>
      <c r="L35" s="413">
        <f>K35*VLOOKUP(E35,GWPs!$B$3:$C$6,2,FALSE)</f>
        <v>0.16800000000000001</v>
      </c>
      <c r="N35">
        <v>3</v>
      </c>
      <c r="O35">
        <v>2</v>
      </c>
      <c r="P35">
        <v>1</v>
      </c>
      <c r="Q35">
        <v>1</v>
      </c>
      <c r="R35">
        <v>1</v>
      </c>
      <c r="W35" s="226" t="s">
        <v>432</v>
      </c>
      <c r="X35" s="70" t="s">
        <v>431</v>
      </c>
      <c r="Y35" s="414">
        <v>0.31900000000000006</v>
      </c>
      <c r="Z35" s="70">
        <v>0.245</v>
      </c>
      <c r="AA35" s="70">
        <v>7.3999999999999996E-2</v>
      </c>
      <c r="AB35" s="464" t="s">
        <v>4230</v>
      </c>
      <c r="AC35" s="415">
        <f t="shared" si="0"/>
        <v>0.23197492163009398</v>
      </c>
      <c r="AD35" s="226" t="e">
        <f ca="1">_xlfn.XLOOKUP(X35,'USEEIO metadata'!$C$2:$C$393,'USEEIO metadata'!$H$2:$H$393)</f>
        <v>#NAME?</v>
      </c>
      <c r="AE35" s="226" t="e">
        <f ca="1">_xlfn.XLOOKUP(X35,'USEEIO metadata'!$C$2:$C$393,'USEEIO metadata'!$F$2:$F$393)</f>
        <v>#NAME?</v>
      </c>
      <c r="AF35" s="226" t="e">
        <f ca="1">_xlfn.XLOOKUP(X35,'USEEIO metadata'!$C$2:$C$393,'USEEIO metadata'!$G$2:$G$393)</f>
        <v>#NAME?</v>
      </c>
    </row>
    <row r="36" spans="1:32" ht="28.5">
      <c r="A36" t="str">
        <f>_xlfn.IFNA(IF(VLOOKUP(C36,'2016_Detail_Commodity_v1.0'!C:C,1,FALSE)=C36,"No change"),"Name changed")</f>
        <v>No change</v>
      </c>
      <c r="B36" t="s">
        <v>326</v>
      </c>
      <c r="C36" t="s">
        <v>327</v>
      </c>
      <c r="E36" t="s">
        <v>3655</v>
      </c>
      <c r="F36" t="s">
        <v>12</v>
      </c>
      <c r="G36">
        <v>1E-3</v>
      </c>
      <c r="H36" s="413">
        <f>G36*VLOOKUP(E36,GWPs!$B$3:$C$6,2,FALSE)</f>
        <v>0.26500000000000001</v>
      </c>
      <c r="I36">
        <v>0</v>
      </c>
      <c r="J36" s="413">
        <f>I36*VLOOKUP(E36,GWPs!$B$3:$C$6,2,FALSE)</f>
        <v>0</v>
      </c>
      <c r="K36">
        <v>1E-3</v>
      </c>
      <c r="L36" s="413">
        <f>K36*VLOOKUP(E36,GWPs!$B$3:$C$6,2,FALSE)</f>
        <v>0.26500000000000001</v>
      </c>
      <c r="N36">
        <v>4</v>
      </c>
      <c r="O36">
        <v>2</v>
      </c>
      <c r="P36">
        <v>1</v>
      </c>
      <c r="Q36">
        <v>3</v>
      </c>
      <c r="R36">
        <v>1</v>
      </c>
      <c r="W36" s="226" t="s">
        <v>872</v>
      </c>
      <c r="X36" s="70" t="s">
        <v>871</v>
      </c>
      <c r="Y36" s="414">
        <v>0.13900000000000001</v>
      </c>
      <c r="Z36" s="70">
        <v>0.13900000000000001</v>
      </c>
      <c r="AA36" s="70">
        <v>0</v>
      </c>
      <c r="AB36" s="464" t="s">
        <v>4230</v>
      </c>
      <c r="AC36" s="415">
        <f t="shared" si="0"/>
        <v>0</v>
      </c>
      <c r="AD36" s="226" t="e">
        <f ca="1">_xlfn.XLOOKUP(X36,'USEEIO metadata'!$C$2:$C$393,'USEEIO metadata'!$H$2:$H$393)</f>
        <v>#NAME?</v>
      </c>
      <c r="AE36" s="226" t="e">
        <f ca="1">_xlfn.XLOOKUP(X36,'USEEIO metadata'!$C$2:$C$393,'USEEIO metadata'!$F$2:$F$393)</f>
        <v>#NAME?</v>
      </c>
      <c r="AF36" s="226" t="e">
        <f ca="1">_xlfn.XLOOKUP(X36,'USEEIO metadata'!$C$2:$C$393,'USEEIO metadata'!$G$2:$G$393)</f>
        <v>#NAME?</v>
      </c>
    </row>
    <row r="37" spans="1:32">
      <c r="A37" t="str">
        <f>_xlfn.IFNA(IF(VLOOKUP(C37,'2016_Detail_Commodity_v1.0'!C:C,1,FALSE)=C37,"No change"),"Name changed")</f>
        <v>No change</v>
      </c>
      <c r="B37" t="s">
        <v>326</v>
      </c>
      <c r="C37" t="s">
        <v>327</v>
      </c>
      <c r="E37" t="s">
        <v>15</v>
      </c>
      <c r="F37" t="s">
        <v>16</v>
      </c>
      <c r="G37">
        <v>5.0000000000000001E-3</v>
      </c>
      <c r="H37" s="413">
        <f>G37*VLOOKUP(E37,GWPs!$B$3:$C$6,2,FALSE)</f>
        <v>5.0000000000000001E-3</v>
      </c>
      <c r="I37">
        <v>0</v>
      </c>
      <c r="J37" s="413">
        <f>I37*VLOOKUP(E37,GWPs!$B$3:$C$6,2,FALSE)</f>
        <v>0</v>
      </c>
      <c r="K37">
        <v>5.0000000000000001E-3</v>
      </c>
      <c r="L37" s="413">
        <f>K37*VLOOKUP(E37,GWPs!$B$3:$C$6,2,FALSE)</f>
        <v>5.0000000000000001E-3</v>
      </c>
      <c r="N37">
        <v>4</v>
      </c>
      <c r="O37">
        <v>2</v>
      </c>
      <c r="P37">
        <v>1</v>
      </c>
      <c r="Q37">
        <v>4</v>
      </c>
      <c r="R37">
        <v>1</v>
      </c>
      <c r="W37" s="226" t="s">
        <v>1006</v>
      </c>
      <c r="X37" s="70" t="s">
        <v>1005</v>
      </c>
      <c r="Y37" s="414">
        <v>0.17899999999999999</v>
      </c>
      <c r="Z37" s="70">
        <v>0.17899999999999999</v>
      </c>
      <c r="AA37" s="70">
        <v>0</v>
      </c>
      <c r="AB37" s="464" t="s">
        <v>4230</v>
      </c>
      <c r="AC37" s="415">
        <f t="shared" si="0"/>
        <v>0</v>
      </c>
      <c r="AD37" s="226" t="e">
        <f ca="1">_xlfn.XLOOKUP(X37,'USEEIO metadata'!$C$2:$C$393,'USEEIO metadata'!$H$2:$H$393)</f>
        <v>#NAME?</v>
      </c>
      <c r="AE37" s="226" t="e">
        <f ca="1">_xlfn.XLOOKUP(X37,'USEEIO metadata'!$C$2:$C$393,'USEEIO metadata'!$F$2:$F$393)</f>
        <v>#NAME?</v>
      </c>
      <c r="AF37" s="226" t="e">
        <f ca="1">_xlfn.XLOOKUP(X37,'USEEIO metadata'!$C$2:$C$393,'USEEIO metadata'!$G$2:$G$393)</f>
        <v>#NAME?</v>
      </c>
    </row>
    <row r="38" spans="1:32">
      <c r="A38" t="str">
        <f>_xlfn.IFNA(IF(VLOOKUP(C38,'2016_Detail_Commodity_v1.0'!C:C,1,FALSE)=C38,"No change"),"Name changed")</f>
        <v>No change</v>
      </c>
      <c r="B38" t="s">
        <v>328</v>
      </c>
      <c r="C38" t="s">
        <v>329</v>
      </c>
      <c r="E38" t="s">
        <v>3653</v>
      </c>
      <c r="F38" t="s">
        <v>12</v>
      </c>
      <c r="G38">
        <v>0.20200000000000001</v>
      </c>
      <c r="H38" s="413">
        <f>G38*VLOOKUP(E38,GWPs!$B$3:$C$6,2,FALSE)</f>
        <v>0.20200000000000001</v>
      </c>
      <c r="I38">
        <v>7.0000000000000007E-2</v>
      </c>
      <c r="J38" s="413">
        <f>I38*VLOOKUP(E38,GWPs!$B$3:$C$6,2,FALSE)</f>
        <v>7.0000000000000007E-2</v>
      </c>
      <c r="K38">
        <v>0.27200000000000002</v>
      </c>
      <c r="L38" s="413">
        <f>K38*VLOOKUP(E38,GWPs!$B$3:$C$6,2,FALSE)</f>
        <v>0.27200000000000002</v>
      </c>
      <c r="N38">
        <v>4</v>
      </c>
      <c r="O38">
        <v>2</v>
      </c>
      <c r="P38">
        <v>1</v>
      </c>
      <c r="Q38">
        <v>4</v>
      </c>
      <c r="R38">
        <v>1</v>
      </c>
      <c r="W38" s="226" t="s">
        <v>1000</v>
      </c>
      <c r="X38" s="70" t="s">
        <v>999</v>
      </c>
      <c r="Y38" s="414">
        <v>0.14300000000000002</v>
      </c>
      <c r="Z38" s="70">
        <v>0.14300000000000002</v>
      </c>
      <c r="AA38" s="70">
        <v>0</v>
      </c>
      <c r="AB38" s="464" t="s">
        <v>4230</v>
      </c>
      <c r="AC38" s="415">
        <f t="shared" si="0"/>
        <v>0</v>
      </c>
      <c r="AD38" s="226" t="e">
        <f ca="1">_xlfn.XLOOKUP(X38,'USEEIO metadata'!$C$2:$C$393,'USEEIO metadata'!$H$2:$H$393)</f>
        <v>#NAME?</v>
      </c>
      <c r="AE38" s="226" t="e">
        <f ca="1">_xlfn.XLOOKUP(X38,'USEEIO metadata'!$C$2:$C$393,'USEEIO metadata'!$F$2:$F$393)</f>
        <v>#NAME?</v>
      </c>
      <c r="AF38" s="226" t="e">
        <f ca="1">_xlfn.XLOOKUP(X38,'USEEIO metadata'!$C$2:$C$393,'USEEIO metadata'!$G$2:$G$393)</f>
        <v>#NAME?</v>
      </c>
    </row>
    <row r="39" spans="1:32" ht="28.5">
      <c r="A39" t="str">
        <f>_xlfn.IFNA(IF(VLOOKUP(C39,'2016_Detail_Commodity_v1.0'!C:C,1,FALSE)=C39,"No change"),"Name changed")</f>
        <v>No change</v>
      </c>
      <c r="B39" t="s">
        <v>328</v>
      </c>
      <c r="C39" t="s">
        <v>329</v>
      </c>
      <c r="E39" t="s">
        <v>3654</v>
      </c>
      <c r="F39" t="s">
        <v>12</v>
      </c>
      <c r="G39">
        <v>3.5999999999999997E-2</v>
      </c>
      <c r="H39" s="413">
        <f>G39*VLOOKUP(E39,GWPs!$B$3:$C$6,2,FALSE)</f>
        <v>1.008</v>
      </c>
      <c r="I39">
        <v>1E-3</v>
      </c>
      <c r="J39" s="413">
        <f>I39*VLOOKUP(E39,GWPs!$B$3:$C$6,2,FALSE)</f>
        <v>2.8000000000000001E-2</v>
      </c>
      <c r="K39">
        <v>3.6999999999999998E-2</v>
      </c>
      <c r="L39" s="413">
        <f>K39*VLOOKUP(E39,GWPs!$B$3:$C$6,2,FALSE)</f>
        <v>1.036</v>
      </c>
      <c r="N39">
        <v>2</v>
      </c>
      <c r="O39">
        <v>2</v>
      </c>
      <c r="P39">
        <v>1</v>
      </c>
      <c r="Q39">
        <v>1</v>
      </c>
      <c r="R39">
        <v>1</v>
      </c>
      <c r="W39" s="226" t="s">
        <v>922</v>
      </c>
      <c r="X39" s="70" t="s">
        <v>921</v>
      </c>
      <c r="Y39" s="414">
        <v>0.114</v>
      </c>
      <c r="Z39" s="70">
        <v>0.114</v>
      </c>
      <c r="AA39" s="70">
        <v>0</v>
      </c>
      <c r="AB39" s="464" t="s">
        <v>4230</v>
      </c>
      <c r="AC39" s="415">
        <f t="shared" si="0"/>
        <v>0</v>
      </c>
      <c r="AD39" s="226" t="e">
        <f ca="1">_xlfn.XLOOKUP(X39,'USEEIO metadata'!$C$2:$C$393,'USEEIO metadata'!$H$2:$H$393)</f>
        <v>#NAME?</v>
      </c>
      <c r="AE39" s="226" t="e">
        <f ca="1">_xlfn.XLOOKUP(X39,'USEEIO metadata'!$C$2:$C$393,'USEEIO metadata'!$F$2:$F$393)</f>
        <v>#NAME?</v>
      </c>
      <c r="AF39" s="226" t="e">
        <f ca="1">_xlfn.XLOOKUP(X39,'USEEIO metadata'!$C$2:$C$393,'USEEIO metadata'!$G$2:$G$393)</f>
        <v>#NAME?</v>
      </c>
    </row>
    <row r="40" spans="1:32">
      <c r="A40" t="str">
        <f>_xlfn.IFNA(IF(VLOOKUP(C40,'2016_Detail_Commodity_v1.0'!C:C,1,FALSE)=C40,"No change"),"Name changed")</f>
        <v>No change</v>
      </c>
      <c r="B40" t="s">
        <v>328</v>
      </c>
      <c r="C40" t="s">
        <v>329</v>
      </c>
      <c r="E40" t="s">
        <v>3655</v>
      </c>
      <c r="F40" t="s">
        <v>12</v>
      </c>
      <c r="G40">
        <v>2E-3</v>
      </c>
      <c r="H40" s="413">
        <f>G40*VLOOKUP(E40,GWPs!$B$3:$C$6,2,FALSE)</f>
        <v>0.53</v>
      </c>
      <c r="I40">
        <v>0</v>
      </c>
      <c r="J40" s="413">
        <f>I40*VLOOKUP(E40,GWPs!$B$3:$C$6,2,FALSE)</f>
        <v>0</v>
      </c>
      <c r="K40">
        <v>2E-3</v>
      </c>
      <c r="L40" s="413">
        <f>K40*VLOOKUP(E40,GWPs!$B$3:$C$6,2,FALSE)</f>
        <v>0.53</v>
      </c>
      <c r="N40">
        <v>4</v>
      </c>
      <c r="O40">
        <v>2</v>
      </c>
      <c r="P40">
        <v>1</v>
      </c>
      <c r="Q40">
        <v>4</v>
      </c>
      <c r="R40">
        <v>1</v>
      </c>
      <c r="W40" s="226" t="s">
        <v>758</v>
      </c>
      <c r="X40" s="70" t="s">
        <v>757</v>
      </c>
      <c r="Y40" s="414">
        <v>0.35099999999999998</v>
      </c>
      <c r="Z40" s="70">
        <v>0.33800000000000002</v>
      </c>
      <c r="AA40" s="70">
        <v>1.2999999999999999E-2</v>
      </c>
      <c r="AB40" s="464" t="s">
        <v>4230</v>
      </c>
      <c r="AC40" s="415">
        <f t="shared" si="0"/>
        <v>3.7037037037037035E-2</v>
      </c>
      <c r="AD40" s="226" t="e">
        <f ca="1">_xlfn.XLOOKUP(X40,'USEEIO metadata'!$C$2:$C$393,'USEEIO metadata'!$H$2:$H$393)</f>
        <v>#NAME?</v>
      </c>
      <c r="AE40" s="226" t="e">
        <f ca="1">_xlfn.XLOOKUP(X40,'USEEIO metadata'!$C$2:$C$393,'USEEIO metadata'!$F$2:$F$393)</f>
        <v>#NAME?</v>
      </c>
      <c r="AF40" s="226" t="e">
        <f ca="1">_xlfn.XLOOKUP(X40,'USEEIO metadata'!$C$2:$C$393,'USEEIO metadata'!$G$2:$G$393)</f>
        <v>#NAME?</v>
      </c>
    </row>
    <row r="41" spans="1:32">
      <c r="A41" t="str">
        <f>_xlfn.IFNA(IF(VLOOKUP(C41,'2016_Detail_Commodity_v1.0'!C:C,1,FALSE)=C41,"No change"),"Name changed")</f>
        <v>No change</v>
      </c>
      <c r="B41" t="s">
        <v>328</v>
      </c>
      <c r="C41" t="s">
        <v>329</v>
      </c>
      <c r="E41" t="s">
        <v>15</v>
      </c>
      <c r="F41" t="s">
        <v>16</v>
      </c>
      <c r="G41">
        <v>2E-3</v>
      </c>
      <c r="H41" s="413">
        <f>G41*VLOOKUP(E41,GWPs!$B$3:$C$6,2,FALSE)</f>
        <v>2E-3</v>
      </c>
      <c r="I41">
        <v>0</v>
      </c>
      <c r="J41" s="413">
        <f>I41*VLOOKUP(E41,GWPs!$B$3:$C$6,2,FALSE)</f>
        <v>0</v>
      </c>
      <c r="K41">
        <v>2E-3</v>
      </c>
      <c r="L41" s="413">
        <f>K41*VLOOKUP(E41,GWPs!$B$3:$C$6,2,FALSE)</f>
        <v>2E-3</v>
      </c>
      <c r="N41">
        <v>4</v>
      </c>
      <c r="O41">
        <v>2</v>
      </c>
      <c r="P41">
        <v>1</v>
      </c>
      <c r="Q41">
        <v>4</v>
      </c>
      <c r="R41">
        <v>1</v>
      </c>
      <c r="W41" s="226" t="s">
        <v>468</v>
      </c>
      <c r="X41" s="70" t="s">
        <v>467</v>
      </c>
      <c r="Y41" s="414">
        <v>0.89</v>
      </c>
      <c r="Z41" s="70">
        <v>0.81200000000000006</v>
      </c>
      <c r="AA41" s="70">
        <v>7.8E-2</v>
      </c>
      <c r="AB41" s="464" t="s">
        <v>4230</v>
      </c>
      <c r="AC41" s="415">
        <f t="shared" si="0"/>
        <v>8.7640449438202248E-2</v>
      </c>
      <c r="AD41" s="226" t="e">
        <f ca="1">_xlfn.XLOOKUP(X41,'USEEIO metadata'!$C$2:$C$393,'USEEIO metadata'!$H$2:$H$393)</f>
        <v>#NAME?</v>
      </c>
      <c r="AE41" s="226" t="e">
        <f ca="1">_xlfn.XLOOKUP(X41,'USEEIO metadata'!$C$2:$C$393,'USEEIO metadata'!$F$2:$F$393)</f>
        <v>#NAME?</v>
      </c>
      <c r="AF41" s="226" t="e">
        <f ca="1">_xlfn.XLOOKUP(X41,'USEEIO metadata'!$C$2:$C$393,'USEEIO metadata'!$G$2:$G$393)</f>
        <v>#NAME?</v>
      </c>
    </row>
    <row r="42" spans="1:32">
      <c r="A42" t="str">
        <f>_xlfn.IFNA(IF(VLOOKUP(C42,'2016_Detail_Commodity_v1.0'!C:C,1,FALSE)=C42,"No change"),"Name changed")</f>
        <v>No change</v>
      </c>
      <c r="B42" t="s">
        <v>330</v>
      </c>
      <c r="C42" t="s">
        <v>331</v>
      </c>
      <c r="E42" t="s">
        <v>3653</v>
      </c>
      <c r="F42" t="s">
        <v>12</v>
      </c>
      <c r="G42">
        <v>0.185</v>
      </c>
      <c r="H42" s="413">
        <f>G42*VLOOKUP(E42,GWPs!$B$3:$C$6,2,FALSE)</f>
        <v>0.185</v>
      </c>
      <c r="I42">
        <v>5.8999999999999997E-2</v>
      </c>
      <c r="J42" s="413">
        <f>I42*VLOOKUP(E42,GWPs!$B$3:$C$6,2,FALSE)</f>
        <v>5.8999999999999997E-2</v>
      </c>
      <c r="K42">
        <v>0.24299999999999999</v>
      </c>
      <c r="L42" s="413">
        <f>K42*VLOOKUP(E42,GWPs!$B$3:$C$6,2,FALSE)</f>
        <v>0.24299999999999999</v>
      </c>
      <c r="N42">
        <v>4</v>
      </c>
      <c r="O42">
        <v>2</v>
      </c>
      <c r="P42">
        <v>1</v>
      </c>
      <c r="Q42">
        <v>4</v>
      </c>
      <c r="R42">
        <v>1</v>
      </c>
      <c r="W42" s="226" t="s">
        <v>470</v>
      </c>
      <c r="X42" s="70" t="s">
        <v>469</v>
      </c>
      <c r="Y42" s="414">
        <v>0.57300000000000006</v>
      </c>
      <c r="Z42" s="70">
        <v>0.54100000000000004</v>
      </c>
      <c r="AA42" s="70">
        <v>3.1E-2</v>
      </c>
      <c r="AB42" s="464" t="s">
        <v>4230</v>
      </c>
      <c r="AC42" s="415">
        <f t="shared" si="0"/>
        <v>5.4101221640488653E-2</v>
      </c>
      <c r="AD42" s="226" t="e">
        <f ca="1">_xlfn.XLOOKUP(X42,'USEEIO metadata'!$C$2:$C$393,'USEEIO metadata'!$H$2:$H$393)</f>
        <v>#NAME?</v>
      </c>
      <c r="AE42" s="226" t="e">
        <f ca="1">_xlfn.XLOOKUP(X42,'USEEIO metadata'!$C$2:$C$393,'USEEIO metadata'!$F$2:$F$393)</f>
        <v>#NAME?</v>
      </c>
      <c r="AF42" s="226" t="e">
        <f ca="1">_xlfn.XLOOKUP(X42,'USEEIO metadata'!$C$2:$C$393,'USEEIO metadata'!$G$2:$G$393)</f>
        <v>#NAME?</v>
      </c>
    </row>
    <row r="43" spans="1:32">
      <c r="A43" t="str">
        <f>_xlfn.IFNA(IF(VLOOKUP(C43,'2016_Detail_Commodity_v1.0'!C:C,1,FALSE)=C43,"No change"),"Name changed")</f>
        <v>No change</v>
      </c>
      <c r="B43" t="s">
        <v>330</v>
      </c>
      <c r="C43" t="s">
        <v>331</v>
      </c>
      <c r="E43" t="s">
        <v>3654</v>
      </c>
      <c r="F43" t="s">
        <v>12</v>
      </c>
      <c r="G43">
        <v>1E-3</v>
      </c>
      <c r="H43" s="413">
        <f>G43*VLOOKUP(E43,GWPs!$B$3:$C$6,2,FALSE)</f>
        <v>2.8000000000000001E-2</v>
      </c>
      <c r="I43">
        <v>0</v>
      </c>
      <c r="J43" s="413">
        <f>I43*VLOOKUP(E43,GWPs!$B$3:$C$6,2,FALSE)</f>
        <v>0</v>
      </c>
      <c r="K43">
        <v>2E-3</v>
      </c>
      <c r="L43" s="413">
        <f>K43*VLOOKUP(E43,GWPs!$B$3:$C$6,2,FALSE)</f>
        <v>5.6000000000000001E-2</v>
      </c>
      <c r="N43">
        <v>3</v>
      </c>
      <c r="O43">
        <v>2</v>
      </c>
      <c r="P43">
        <v>1</v>
      </c>
      <c r="Q43">
        <v>1</v>
      </c>
      <c r="R43">
        <v>1</v>
      </c>
      <c r="W43" s="226" t="s">
        <v>446</v>
      </c>
      <c r="X43" s="70" t="s">
        <v>445</v>
      </c>
      <c r="Y43" s="414">
        <v>0.35100000000000003</v>
      </c>
      <c r="Z43" s="70">
        <v>0.254</v>
      </c>
      <c r="AA43" s="70">
        <v>9.7000000000000003E-2</v>
      </c>
      <c r="AB43" s="464" t="s">
        <v>4231</v>
      </c>
      <c r="AC43" s="415">
        <f t="shared" si="0"/>
        <v>0.27635327635327633</v>
      </c>
      <c r="AD43" s="226" t="e">
        <f ca="1">_xlfn.XLOOKUP(X43,'USEEIO metadata'!$C$2:$C$393,'USEEIO metadata'!$H$2:$H$393)</f>
        <v>#NAME?</v>
      </c>
      <c r="AE43" s="226" t="e">
        <f ca="1">_xlfn.XLOOKUP(X43,'USEEIO metadata'!$C$2:$C$393,'USEEIO metadata'!$F$2:$F$393)</f>
        <v>#NAME?</v>
      </c>
      <c r="AF43" s="226" t="e">
        <f ca="1">_xlfn.XLOOKUP(X43,'USEEIO metadata'!$C$2:$C$393,'USEEIO metadata'!$G$2:$G$393)</f>
        <v>#NAME?</v>
      </c>
    </row>
    <row r="44" spans="1:32">
      <c r="A44" t="str">
        <f>_xlfn.IFNA(IF(VLOOKUP(C44,'2016_Detail_Commodity_v1.0'!C:C,1,FALSE)=C44,"No change"),"Name changed")</f>
        <v>No change</v>
      </c>
      <c r="B44" t="s">
        <v>330</v>
      </c>
      <c r="C44" t="s">
        <v>331</v>
      </c>
      <c r="E44" t="s">
        <v>3655</v>
      </c>
      <c r="F44" t="s">
        <v>12</v>
      </c>
      <c r="G44">
        <v>0</v>
      </c>
      <c r="H44" s="413">
        <f>G44*VLOOKUP(E44,GWPs!$B$3:$C$6,2,FALSE)</f>
        <v>0</v>
      </c>
      <c r="I44">
        <v>0</v>
      </c>
      <c r="J44" s="413">
        <f>I44*VLOOKUP(E44,GWPs!$B$3:$C$6,2,FALSE)</f>
        <v>0</v>
      </c>
      <c r="K44">
        <v>0</v>
      </c>
      <c r="L44" s="413">
        <f>K44*VLOOKUP(E44,GWPs!$B$3:$C$6,2,FALSE)</f>
        <v>0</v>
      </c>
      <c r="N44">
        <v>3</v>
      </c>
      <c r="O44">
        <v>2</v>
      </c>
      <c r="P44">
        <v>1</v>
      </c>
      <c r="Q44">
        <v>3</v>
      </c>
      <c r="R44">
        <v>1</v>
      </c>
      <c r="W44" s="226" t="s">
        <v>588</v>
      </c>
      <c r="X44" s="70" t="s">
        <v>587</v>
      </c>
      <c r="Y44" s="414">
        <v>0.47599999999999998</v>
      </c>
      <c r="Z44" s="70">
        <v>0.45</v>
      </c>
      <c r="AA44" s="70">
        <v>2.5000000000000001E-2</v>
      </c>
      <c r="AB44" s="464" t="s">
        <v>4230</v>
      </c>
      <c r="AC44" s="415">
        <f t="shared" si="0"/>
        <v>5.2521008403361352E-2</v>
      </c>
      <c r="AD44" s="226" t="e">
        <f ca="1">_xlfn.XLOOKUP(X44,'USEEIO metadata'!$C$2:$C$393,'USEEIO metadata'!$H$2:$H$393)</f>
        <v>#NAME?</v>
      </c>
      <c r="AE44" s="226" t="e">
        <f ca="1">_xlfn.XLOOKUP(X44,'USEEIO metadata'!$C$2:$C$393,'USEEIO metadata'!$F$2:$F$393)</f>
        <v>#NAME?</v>
      </c>
      <c r="AF44" s="226" t="e">
        <f ca="1">_xlfn.XLOOKUP(X44,'USEEIO metadata'!$C$2:$C$393,'USEEIO metadata'!$G$2:$G$393)</f>
        <v>#NAME?</v>
      </c>
    </row>
    <row r="45" spans="1:32">
      <c r="A45" t="str">
        <f>_xlfn.IFNA(IF(VLOOKUP(C45,'2016_Detail_Commodity_v1.0'!C:C,1,FALSE)=C45,"No change"),"Name changed")</f>
        <v>No change</v>
      </c>
      <c r="B45" t="s">
        <v>330</v>
      </c>
      <c r="C45" t="s">
        <v>331</v>
      </c>
      <c r="E45" t="s">
        <v>15</v>
      </c>
      <c r="F45" t="s">
        <v>16</v>
      </c>
      <c r="G45">
        <v>2E-3</v>
      </c>
      <c r="H45" s="413">
        <f>G45*VLOOKUP(E45,GWPs!$B$3:$C$6,2,FALSE)</f>
        <v>2E-3</v>
      </c>
      <c r="I45">
        <v>0</v>
      </c>
      <c r="J45" s="413">
        <f>I45*VLOOKUP(E45,GWPs!$B$3:$C$6,2,FALSE)</f>
        <v>0</v>
      </c>
      <c r="K45">
        <v>2E-3</v>
      </c>
      <c r="L45" s="413">
        <f>K45*VLOOKUP(E45,GWPs!$B$3:$C$6,2,FALSE)</f>
        <v>2E-3</v>
      </c>
      <c r="N45">
        <v>4</v>
      </c>
      <c r="O45">
        <v>2</v>
      </c>
      <c r="P45">
        <v>1</v>
      </c>
      <c r="Q45">
        <v>4</v>
      </c>
      <c r="R45">
        <v>1</v>
      </c>
      <c r="W45" s="226" t="s">
        <v>325</v>
      </c>
      <c r="X45" s="70" t="s">
        <v>324</v>
      </c>
      <c r="Y45" s="414">
        <v>4.0129999999999999</v>
      </c>
      <c r="Z45" s="70">
        <v>3.9570000000000003</v>
      </c>
      <c r="AA45" s="70">
        <v>8.4000000000000005E-2</v>
      </c>
      <c r="AB45" s="464" t="s">
        <v>4230</v>
      </c>
      <c r="AC45" s="415">
        <f t="shared" si="0"/>
        <v>2.0931971093944682E-2</v>
      </c>
      <c r="AD45" s="226" t="e">
        <f ca="1">_xlfn.XLOOKUP(X45,'USEEIO metadata'!$C$2:$C$393,'USEEIO metadata'!$H$2:$H$393)</f>
        <v>#NAME?</v>
      </c>
      <c r="AE45" s="226" t="e">
        <f ca="1">_xlfn.XLOOKUP(X45,'USEEIO metadata'!$C$2:$C$393,'USEEIO metadata'!$F$2:$F$393)</f>
        <v>#NAME?</v>
      </c>
      <c r="AF45" s="226" t="e">
        <f ca="1">_xlfn.XLOOKUP(X45,'USEEIO metadata'!$C$2:$C$393,'USEEIO metadata'!$G$2:$G$393)</f>
        <v>#NAME?</v>
      </c>
    </row>
    <row r="46" spans="1:32">
      <c r="A46" t="str">
        <f>_xlfn.IFNA(IF(VLOOKUP(C46,'2016_Detail_Commodity_v1.0'!C:C,1,FALSE)=C46,"No change"),"Name changed")</f>
        <v>No change</v>
      </c>
      <c r="B46" t="s">
        <v>332</v>
      </c>
      <c r="C46" t="s">
        <v>333</v>
      </c>
      <c r="E46" t="s">
        <v>3653</v>
      </c>
      <c r="F46" t="s">
        <v>12</v>
      </c>
      <c r="G46">
        <v>0.26300000000000001</v>
      </c>
      <c r="H46" s="413">
        <f>G46*VLOOKUP(E46,GWPs!$B$3:$C$6,2,FALSE)</f>
        <v>0.26300000000000001</v>
      </c>
      <c r="I46">
        <v>5.0999999999999997E-2</v>
      </c>
      <c r="J46" s="413">
        <f>I46*VLOOKUP(E46,GWPs!$B$3:$C$6,2,FALSE)</f>
        <v>5.0999999999999997E-2</v>
      </c>
      <c r="K46">
        <v>0.313</v>
      </c>
      <c r="L46" s="413">
        <f>K46*VLOOKUP(E46,GWPs!$B$3:$C$6,2,FALSE)</f>
        <v>0.313</v>
      </c>
      <c r="N46">
        <v>4</v>
      </c>
      <c r="O46">
        <v>2</v>
      </c>
      <c r="P46">
        <v>1</v>
      </c>
      <c r="Q46">
        <v>4</v>
      </c>
      <c r="R46">
        <v>1</v>
      </c>
      <c r="W46" s="226" t="s">
        <v>554</v>
      </c>
      <c r="X46" s="70" t="s">
        <v>553</v>
      </c>
      <c r="Y46" s="414">
        <v>4.5839999999999996</v>
      </c>
      <c r="Z46" s="70">
        <v>4.4769999999999994</v>
      </c>
      <c r="AA46" s="70">
        <v>0.107</v>
      </c>
      <c r="AB46" s="464" t="s">
        <v>4230</v>
      </c>
      <c r="AC46" s="415">
        <f t="shared" si="0"/>
        <v>2.3342059336823737E-2</v>
      </c>
      <c r="AD46" s="226" t="e">
        <f ca="1">_xlfn.XLOOKUP(X46,'USEEIO metadata'!$C$2:$C$393,'USEEIO metadata'!$H$2:$H$393)</f>
        <v>#NAME?</v>
      </c>
      <c r="AE46" s="226" t="e">
        <f ca="1">_xlfn.XLOOKUP(X46,'USEEIO metadata'!$C$2:$C$393,'USEEIO metadata'!$F$2:$F$393)</f>
        <v>#NAME?</v>
      </c>
      <c r="AF46" s="226" t="e">
        <f ca="1">_xlfn.XLOOKUP(X46,'USEEIO metadata'!$C$2:$C$393,'USEEIO metadata'!$G$2:$G$393)</f>
        <v>#NAME?</v>
      </c>
    </row>
    <row r="47" spans="1:32">
      <c r="A47" t="str">
        <f>_xlfn.IFNA(IF(VLOOKUP(C47,'2016_Detail_Commodity_v1.0'!C:C,1,FALSE)=C47,"No change"),"Name changed")</f>
        <v>No change</v>
      </c>
      <c r="B47" t="s">
        <v>332</v>
      </c>
      <c r="C47" t="s">
        <v>333</v>
      </c>
      <c r="E47" t="s">
        <v>3654</v>
      </c>
      <c r="F47" t="s">
        <v>12</v>
      </c>
      <c r="G47">
        <v>1E-3</v>
      </c>
      <c r="H47" s="413">
        <f>G47*VLOOKUP(E47,GWPs!$B$3:$C$6,2,FALSE)</f>
        <v>2.8000000000000001E-2</v>
      </c>
      <c r="I47">
        <v>0</v>
      </c>
      <c r="J47" s="413">
        <f>I47*VLOOKUP(E47,GWPs!$B$3:$C$6,2,FALSE)</f>
        <v>0</v>
      </c>
      <c r="K47">
        <v>1E-3</v>
      </c>
      <c r="L47" s="413">
        <f>K47*VLOOKUP(E47,GWPs!$B$3:$C$6,2,FALSE)</f>
        <v>2.8000000000000001E-2</v>
      </c>
      <c r="N47">
        <v>4</v>
      </c>
      <c r="O47">
        <v>2</v>
      </c>
      <c r="P47">
        <v>1</v>
      </c>
      <c r="Q47">
        <v>1</v>
      </c>
      <c r="R47">
        <v>1</v>
      </c>
      <c r="W47" s="226" t="s">
        <v>402</v>
      </c>
      <c r="X47" s="70" t="s">
        <v>401</v>
      </c>
      <c r="Y47" s="414">
        <v>1.651</v>
      </c>
      <c r="Z47" s="70">
        <v>1.6010000000000002</v>
      </c>
      <c r="AA47" s="70">
        <v>0.05</v>
      </c>
      <c r="AB47" s="464" t="s">
        <v>4231</v>
      </c>
      <c r="AC47" s="415">
        <f t="shared" si="0"/>
        <v>3.0284675953967295E-2</v>
      </c>
      <c r="AD47" s="226" t="e">
        <f ca="1">_xlfn.XLOOKUP(X47,'USEEIO metadata'!$C$2:$C$393,'USEEIO metadata'!$H$2:$H$393)</f>
        <v>#NAME?</v>
      </c>
      <c r="AE47" s="226" t="e">
        <f ca="1">_xlfn.XLOOKUP(X47,'USEEIO metadata'!$C$2:$C$393,'USEEIO metadata'!$F$2:$F$393)</f>
        <v>#NAME?</v>
      </c>
      <c r="AF47" s="226" t="e">
        <f ca="1">_xlfn.XLOOKUP(X47,'USEEIO metadata'!$C$2:$C$393,'USEEIO metadata'!$G$2:$G$393)</f>
        <v>#NAME?</v>
      </c>
    </row>
    <row r="48" spans="1:32" ht="71.25">
      <c r="A48" t="str">
        <f>_xlfn.IFNA(IF(VLOOKUP(C48,'2016_Detail_Commodity_v1.0'!C:C,1,FALSE)=C48,"No change"),"Name changed")</f>
        <v>No change</v>
      </c>
      <c r="B48" t="s">
        <v>332</v>
      </c>
      <c r="C48" t="s">
        <v>333</v>
      </c>
      <c r="E48" t="s">
        <v>3655</v>
      </c>
      <c r="F48" t="s">
        <v>12</v>
      </c>
      <c r="G48">
        <v>0</v>
      </c>
      <c r="H48" s="413">
        <f>G48*VLOOKUP(E48,GWPs!$B$3:$C$6,2,FALSE)</f>
        <v>0</v>
      </c>
      <c r="I48">
        <v>0</v>
      </c>
      <c r="J48" s="413">
        <f>I48*VLOOKUP(E48,GWPs!$B$3:$C$6,2,FALSE)</f>
        <v>0</v>
      </c>
      <c r="K48">
        <v>0</v>
      </c>
      <c r="L48" s="413">
        <f>K48*VLOOKUP(E48,GWPs!$B$3:$C$6,2,FALSE)</f>
        <v>0</v>
      </c>
      <c r="N48">
        <v>4</v>
      </c>
      <c r="O48">
        <v>2</v>
      </c>
      <c r="P48">
        <v>1</v>
      </c>
      <c r="Q48">
        <v>3</v>
      </c>
      <c r="R48">
        <v>1</v>
      </c>
      <c r="W48" s="226" t="s">
        <v>3593</v>
      </c>
      <c r="X48" s="70" t="s">
        <v>527</v>
      </c>
      <c r="Y48" s="414">
        <v>0.56800000000000006</v>
      </c>
      <c r="Z48" s="70">
        <v>0.52100000000000002</v>
      </c>
      <c r="AA48" s="70">
        <v>4.5999999999999999E-2</v>
      </c>
      <c r="AB48" s="464" t="s">
        <v>4231</v>
      </c>
      <c r="AC48" s="415">
        <f t="shared" si="0"/>
        <v>8.0985915492957736E-2</v>
      </c>
      <c r="AD48" s="226" t="e">
        <f ca="1">_xlfn.XLOOKUP(X48,'USEEIO metadata'!$C$2:$C$393,'USEEIO metadata'!$H$2:$H$393)</f>
        <v>#NAME?</v>
      </c>
      <c r="AE48" s="226" t="e">
        <f ca="1">_xlfn.XLOOKUP(X48,'USEEIO metadata'!$C$2:$C$393,'USEEIO metadata'!$F$2:$F$393)</f>
        <v>#NAME?</v>
      </c>
      <c r="AF48" s="226" t="e">
        <f ca="1">_xlfn.XLOOKUP(X48,'USEEIO metadata'!$C$2:$C$393,'USEEIO metadata'!$G$2:$G$393)</f>
        <v>#NAME?</v>
      </c>
    </row>
    <row r="49" spans="1:32">
      <c r="A49" t="str">
        <f>_xlfn.IFNA(IF(VLOOKUP(C49,'2016_Detail_Commodity_v1.0'!C:C,1,FALSE)=C49,"No change"),"Name changed")</f>
        <v>No change</v>
      </c>
      <c r="B49" t="s">
        <v>332</v>
      </c>
      <c r="C49" t="s">
        <v>333</v>
      </c>
      <c r="E49" t="s">
        <v>15</v>
      </c>
      <c r="F49" t="s">
        <v>16</v>
      </c>
      <c r="G49">
        <v>2E-3</v>
      </c>
      <c r="H49" s="413">
        <f>G49*VLOOKUP(E49,GWPs!$B$3:$C$6,2,FALSE)</f>
        <v>2E-3</v>
      </c>
      <c r="I49">
        <v>0</v>
      </c>
      <c r="J49" s="413">
        <f>I49*VLOOKUP(E49,GWPs!$B$3:$C$6,2,FALSE)</f>
        <v>0</v>
      </c>
      <c r="K49">
        <v>2E-3</v>
      </c>
      <c r="L49" s="413">
        <f>K49*VLOOKUP(E49,GWPs!$B$3:$C$6,2,FALSE)</f>
        <v>2E-3</v>
      </c>
      <c r="N49">
        <v>3</v>
      </c>
      <c r="O49">
        <v>2</v>
      </c>
      <c r="P49">
        <v>1</v>
      </c>
      <c r="Q49">
        <v>4</v>
      </c>
      <c r="R49">
        <v>1</v>
      </c>
      <c r="W49" s="226" t="s">
        <v>1039</v>
      </c>
      <c r="X49" s="70" t="s">
        <v>1038</v>
      </c>
      <c r="Y49" s="414">
        <v>0.20299999999999999</v>
      </c>
      <c r="Z49" s="70">
        <v>0.20299999999999999</v>
      </c>
      <c r="AA49" s="70">
        <v>0</v>
      </c>
      <c r="AB49" s="464" t="s">
        <v>4230</v>
      </c>
      <c r="AC49" s="415">
        <f t="shared" si="0"/>
        <v>0</v>
      </c>
      <c r="AD49" s="226" t="e">
        <f ca="1">_xlfn.XLOOKUP(X49,'USEEIO metadata'!$C$2:$C$393,'USEEIO metadata'!$H$2:$H$393)</f>
        <v>#NAME?</v>
      </c>
      <c r="AE49" s="226" t="e">
        <f ca="1">_xlfn.XLOOKUP(X49,'USEEIO metadata'!$C$2:$C$393,'USEEIO metadata'!$F$2:$F$393)</f>
        <v>#NAME?</v>
      </c>
      <c r="AF49" s="226" t="e">
        <f ca="1">_xlfn.XLOOKUP(X49,'USEEIO metadata'!$C$2:$C$393,'USEEIO metadata'!$G$2:$G$393)</f>
        <v>#NAME?</v>
      </c>
    </row>
    <row r="50" spans="1:32" ht="28.5">
      <c r="A50" t="str">
        <f>_xlfn.IFNA(IF(VLOOKUP(C50,'2016_Detail_Commodity_v1.0'!C:C,1,FALSE)=C50,"No change"),"Name changed")</f>
        <v>No change</v>
      </c>
      <c r="B50" t="s">
        <v>334</v>
      </c>
      <c r="C50" t="s">
        <v>335</v>
      </c>
      <c r="E50" t="s">
        <v>3653</v>
      </c>
      <c r="F50" t="s">
        <v>12</v>
      </c>
      <c r="G50">
        <v>0.29599999999999999</v>
      </c>
      <c r="H50" s="413">
        <f>G50*VLOOKUP(E50,GWPs!$B$3:$C$6,2,FALSE)</f>
        <v>0.29599999999999999</v>
      </c>
      <c r="I50">
        <v>0</v>
      </c>
      <c r="J50" s="413">
        <f>I50*VLOOKUP(E50,GWPs!$B$3:$C$6,2,FALSE)</f>
        <v>0</v>
      </c>
      <c r="K50">
        <v>0.29599999999999999</v>
      </c>
      <c r="L50" s="413">
        <f>K50*VLOOKUP(E50,GWPs!$B$3:$C$6,2,FALSE)</f>
        <v>0.29599999999999999</v>
      </c>
      <c r="N50">
        <v>3</v>
      </c>
      <c r="O50">
        <v>2</v>
      </c>
      <c r="P50">
        <v>1</v>
      </c>
      <c r="Q50">
        <v>3</v>
      </c>
      <c r="R50">
        <v>1</v>
      </c>
      <c r="W50" s="226" t="s">
        <v>1087</v>
      </c>
      <c r="X50" s="70" t="s">
        <v>1086</v>
      </c>
      <c r="Y50" s="414">
        <v>0.159</v>
      </c>
      <c r="Z50" s="70">
        <v>0.159</v>
      </c>
      <c r="AA50" s="70">
        <v>0</v>
      </c>
      <c r="AB50" s="464" t="s">
        <v>4230</v>
      </c>
      <c r="AC50" s="415">
        <f t="shared" si="0"/>
        <v>0</v>
      </c>
      <c r="AD50" s="226" t="e">
        <f ca="1">_xlfn.XLOOKUP(X50,'USEEIO metadata'!$C$2:$C$393,'USEEIO metadata'!$H$2:$H$393)</f>
        <v>#NAME?</v>
      </c>
      <c r="AE50" s="226" t="e">
        <f ca="1">_xlfn.XLOOKUP(X50,'USEEIO metadata'!$C$2:$C$393,'USEEIO metadata'!$F$2:$F$393)</f>
        <v>#NAME?</v>
      </c>
      <c r="AF50" s="226" t="e">
        <f ca="1">_xlfn.XLOOKUP(X50,'USEEIO metadata'!$C$2:$C$393,'USEEIO metadata'!$G$2:$G$393)</f>
        <v>#NAME?</v>
      </c>
    </row>
    <row r="51" spans="1:32">
      <c r="A51" t="str">
        <f>_xlfn.IFNA(IF(VLOOKUP(C51,'2016_Detail_Commodity_v1.0'!C:C,1,FALSE)=C51,"No change"),"Name changed")</f>
        <v>No change</v>
      </c>
      <c r="B51" t="s">
        <v>334</v>
      </c>
      <c r="C51" t="s">
        <v>335</v>
      </c>
      <c r="E51" t="s">
        <v>3654</v>
      </c>
      <c r="F51" t="s">
        <v>12</v>
      </c>
      <c r="G51">
        <v>4.0000000000000001E-3</v>
      </c>
      <c r="H51" s="413">
        <f>G51*VLOOKUP(E51,GWPs!$B$3:$C$6,2,FALSE)</f>
        <v>0.112</v>
      </c>
      <c r="I51">
        <v>0</v>
      </c>
      <c r="J51" s="413">
        <f>I51*VLOOKUP(E51,GWPs!$B$3:$C$6,2,FALSE)</f>
        <v>0</v>
      </c>
      <c r="K51">
        <v>4.0000000000000001E-3</v>
      </c>
      <c r="L51" s="413">
        <f>K51*VLOOKUP(E51,GWPs!$B$3:$C$6,2,FALSE)</f>
        <v>0.112</v>
      </c>
      <c r="N51">
        <v>3</v>
      </c>
      <c r="O51">
        <v>2</v>
      </c>
      <c r="P51">
        <v>1</v>
      </c>
      <c r="Q51">
        <v>1</v>
      </c>
      <c r="R51">
        <v>1</v>
      </c>
      <c r="W51" s="226" t="s">
        <v>550</v>
      </c>
      <c r="X51" s="70" t="s">
        <v>549</v>
      </c>
      <c r="Y51" s="414">
        <v>0.47</v>
      </c>
      <c r="Z51" s="70">
        <v>0.35600000000000004</v>
      </c>
      <c r="AA51" s="70">
        <v>0.11499999999999999</v>
      </c>
      <c r="AB51" s="464" t="s">
        <v>4230</v>
      </c>
      <c r="AC51" s="415">
        <f t="shared" si="0"/>
        <v>0.24468085106382978</v>
      </c>
      <c r="AD51" s="226" t="e">
        <f ca="1">_xlfn.XLOOKUP(X51,'USEEIO metadata'!$C$2:$C$393,'USEEIO metadata'!$H$2:$H$393)</f>
        <v>#NAME?</v>
      </c>
      <c r="AE51" s="226" t="e">
        <f ca="1">_xlfn.XLOOKUP(X51,'USEEIO metadata'!$C$2:$C$393,'USEEIO metadata'!$F$2:$F$393)</f>
        <v>#NAME?</v>
      </c>
      <c r="AF51" s="226" t="e">
        <f ca="1">_xlfn.XLOOKUP(X51,'USEEIO metadata'!$C$2:$C$393,'USEEIO metadata'!$G$2:$G$393)</f>
        <v>#NAME?</v>
      </c>
    </row>
    <row r="52" spans="1:32">
      <c r="A52" t="str">
        <f>_xlfn.IFNA(IF(VLOOKUP(C52,'2016_Detail_Commodity_v1.0'!C:C,1,FALSE)=C52,"No change"),"Name changed")</f>
        <v>No change</v>
      </c>
      <c r="B52" t="s">
        <v>334</v>
      </c>
      <c r="C52" t="s">
        <v>335</v>
      </c>
      <c r="E52" t="s">
        <v>3655</v>
      </c>
      <c r="F52" t="s">
        <v>12</v>
      </c>
      <c r="G52">
        <v>0</v>
      </c>
      <c r="H52" s="413">
        <f>G52*VLOOKUP(E52,GWPs!$B$3:$C$6,2,FALSE)</f>
        <v>0</v>
      </c>
      <c r="I52">
        <v>0</v>
      </c>
      <c r="J52" s="413">
        <f>I52*VLOOKUP(E52,GWPs!$B$3:$C$6,2,FALSE)</f>
        <v>0</v>
      </c>
      <c r="K52">
        <v>0</v>
      </c>
      <c r="L52" s="413">
        <f>K52*VLOOKUP(E52,GWPs!$B$3:$C$6,2,FALSE)</f>
        <v>0</v>
      </c>
      <c r="N52">
        <v>3</v>
      </c>
      <c r="O52">
        <v>2</v>
      </c>
      <c r="P52">
        <v>1</v>
      </c>
      <c r="Q52">
        <v>2</v>
      </c>
      <c r="R52">
        <v>1</v>
      </c>
      <c r="W52" s="226" t="s">
        <v>452</v>
      </c>
      <c r="X52" s="70" t="s">
        <v>451</v>
      </c>
      <c r="Y52" s="414">
        <v>0.19</v>
      </c>
      <c r="Z52" s="70">
        <v>6.0000000000000005E-2</v>
      </c>
      <c r="AA52" s="70">
        <v>0.10299999999999999</v>
      </c>
      <c r="AB52" s="464" t="s">
        <v>4231</v>
      </c>
      <c r="AC52" s="415">
        <f t="shared" si="0"/>
        <v>0.54210526315789465</v>
      </c>
      <c r="AD52" s="226" t="e">
        <f ca="1">_xlfn.XLOOKUP(X52,'USEEIO metadata'!$C$2:$C$393,'USEEIO metadata'!$H$2:$H$393)</f>
        <v>#NAME?</v>
      </c>
      <c r="AE52" s="226" t="e">
        <f ca="1">_xlfn.XLOOKUP(X52,'USEEIO metadata'!$C$2:$C$393,'USEEIO metadata'!$F$2:$F$393)</f>
        <v>#NAME?</v>
      </c>
      <c r="AF52" s="226" t="e">
        <f ca="1">_xlfn.XLOOKUP(X52,'USEEIO metadata'!$C$2:$C$393,'USEEIO metadata'!$G$2:$G$393)</f>
        <v>#NAME?</v>
      </c>
    </row>
    <row r="53" spans="1:32" ht="28.5">
      <c r="A53" t="str">
        <f>_xlfn.IFNA(IF(VLOOKUP(C53,'2016_Detail_Commodity_v1.0'!C:C,1,FALSE)=C53,"No change"),"Name changed")</f>
        <v>No change</v>
      </c>
      <c r="B53" t="s">
        <v>334</v>
      </c>
      <c r="C53" t="s">
        <v>335</v>
      </c>
      <c r="E53" t="s">
        <v>15</v>
      </c>
      <c r="F53" t="s">
        <v>16</v>
      </c>
      <c r="G53">
        <v>2E-3</v>
      </c>
      <c r="H53" s="413">
        <f>G53*VLOOKUP(E53,GWPs!$B$3:$C$6,2,FALSE)</f>
        <v>2E-3</v>
      </c>
      <c r="I53">
        <v>0</v>
      </c>
      <c r="J53" s="413">
        <f>I53*VLOOKUP(E53,GWPs!$B$3:$C$6,2,FALSE)</f>
        <v>0</v>
      </c>
      <c r="K53">
        <v>2E-3</v>
      </c>
      <c r="L53" s="413">
        <f>K53*VLOOKUP(E53,GWPs!$B$3:$C$6,2,FALSE)</f>
        <v>2E-3</v>
      </c>
      <c r="N53">
        <v>4</v>
      </c>
      <c r="O53">
        <v>2</v>
      </c>
      <c r="P53">
        <v>1</v>
      </c>
      <c r="Q53">
        <v>4</v>
      </c>
      <c r="R53">
        <v>1</v>
      </c>
      <c r="W53" s="226" t="s">
        <v>879</v>
      </c>
      <c r="X53" s="70" t="s">
        <v>878</v>
      </c>
      <c r="Y53" s="414">
        <v>0.23699999999999999</v>
      </c>
      <c r="Z53" s="70">
        <v>0.23699999999999999</v>
      </c>
      <c r="AA53" s="70">
        <v>0</v>
      </c>
      <c r="AB53" s="464" t="s">
        <v>4230</v>
      </c>
      <c r="AC53" s="415">
        <f t="shared" si="0"/>
        <v>0</v>
      </c>
      <c r="AD53" s="226" t="e">
        <f ca="1">_xlfn.XLOOKUP(X53,'USEEIO metadata'!$C$2:$C$393,'USEEIO metadata'!$H$2:$H$393)</f>
        <v>#NAME?</v>
      </c>
      <c r="AE53" s="226" t="e">
        <f ca="1">_xlfn.XLOOKUP(X53,'USEEIO metadata'!$C$2:$C$393,'USEEIO metadata'!$F$2:$F$393)</f>
        <v>#NAME?</v>
      </c>
      <c r="AF53" s="226" t="e">
        <f ca="1">_xlfn.XLOOKUP(X53,'USEEIO metadata'!$C$2:$C$393,'USEEIO metadata'!$G$2:$G$393)</f>
        <v>#NAME?</v>
      </c>
    </row>
    <row r="54" spans="1:32">
      <c r="A54" t="str">
        <f>_xlfn.IFNA(IF(VLOOKUP(C54,'2016_Detail_Commodity_v1.0'!C:C,1,FALSE)=C54,"No change"),"Name changed")</f>
        <v>No change</v>
      </c>
      <c r="B54" t="s">
        <v>336</v>
      </c>
      <c r="C54" t="s">
        <v>337</v>
      </c>
      <c r="E54" t="s">
        <v>3653</v>
      </c>
      <c r="F54" t="s">
        <v>12</v>
      </c>
      <c r="G54">
        <v>0.496</v>
      </c>
      <c r="H54" s="413">
        <f>G54*VLOOKUP(E54,GWPs!$B$3:$C$6,2,FALSE)</f>
        <v>0.496</v>
      </c>
      <c r="I54">
        <v>4.9000000000000002E-2</v>
      </c>
      <c r="J54" s="413">
        <f>I54*VLOOKUP(E54,GWPs!$B$3:$C$6,2,FALSE)</f>
        <v>4.9000000000000002E-2</v>
      </c>
      <c r="K54">
        <v>0.54500000000000004</v>
      </c>
      <c r="L54" s="413">
        <f>K54*VLOOKUP(E54,GWPs!$B$3:$C$6,2,FALSE)</f>
        <v>0.54500000000000004</v>
      </c>
      <c r="N54">
        <v>4</v>
      </c>
      <c r="O54">
        <v>2</v>
      </c>
      <c r="P54">
        <v>1</v>
      </c>
      <c r="Q54">
        <v>3</v>
      </c>
      <c r="R54">
        <v>1</v>
      </c>
      <c r="W54" s="226" t="s">
        <v>339</v>
      </c>
      <c r="X54" s="70" t="s">
        <v>338</v>
      </c>
      <c r="Y54" s="414">
        <v>2.1630000000000003</v>
      </c>
      <c r="Z54" s="70">
        <v>1.909</v>
      </c>
      <c r="AA54" s="70">
        <v>0.254</v>
      </c>
      <c r="AB54" s="464" t="s">
        <v>4230</v>
      </c>
      <c r="AC54" s="415">
        <f t="shared" si="0"/>
        <v>0.11742949607027275</v>
      </c>
      <c r="AD54" s="226" t="e">
        <f ca="1">_xlfn.XLOOKUP(X54,'USEEIO metadata'!$C$2:$C$393,'USEEIO metadata'!$H$2:$H$393)</f>
        <v>#NAME?</v>
      </c>
      <c r="AE54" s="226" t="e">
        <f ca="1">_xlfn.XLOOKUP(X54,'USEEIO metadata'!$C$2:$C$393,'USEEIO metadata'!$F$2:$F$393)</f>
        <v>#NAME?</v>
      </c>
      <c r="AF54" s="226" t="e">
        <f ca="1">_xlfn.XLOOKUP(X54,'USEEIO metadata'!$C$2:$C$393,'USEEIO metadata'!$G$2:$G$393)</f>
        <v>#NAME?</v>
      </c>
    </row>
    <row r="55" spans="1:32">
      <c r="A55" t="str">
        <f>_xlfn.IFNA(IF(VLOOKUP(C55,'2016_Detail_Commodity_v1.0'!C:C,1,FALSE)=C55,"No change"),"Name changed")</f>
        <v>No change</v>
      </c>
      <c r="B55" t="s">
        <v>336</v>
      </c>
      <c r="C55" t="s">
        <v>337</v>
      </c>
      <c r="E55" t="s">
        <v>3654</v>
      </c>
      <c r="F55" t="s">
        <v>12</v>
      </c>
      <c r="G55">
        <v>2.1999999999999999E-2</v>
      </c>
      <c r="H55" s="413">
        <f>G55*VLOOKUP(E55,GWPs!$B$3:$C$6,2,FALSE)</f>
        <v>0.61599999999999999</v>
      </c>
      <c r="I55">
        <v>1E-3</v>
      </c>
      <c r="J55" s="413">
        <f>I55*VLOOKUP(E55,GWPs!$B$3:$C$6,2,FALSE)</f>
        <v>2.8000000000000001E-2</v>
      </c>
      <c r="K55">
        <v>2.3E-2</v>
      </c>
      <c r="L55" s="413">
        <f>K55*VLOOKUP(E55,GWPs!$B$3:$C$6,2,FALSE)</f>
        <v>0.64400000000000002</v>
      </c>
      <c r="N55">
        <v>4</v>
      </c>
      <c r="O55">
        <v>2</v>
      </c>
      <c r="P55">
        <v>1</v>
      </c>
      <c r="Q55">
        <v>1</v>
      </c>
      <c r="R55">
        <v>1</v>
      </c>
      <c r="W55" s="226" t="s">
        <v>422</v>
      </c>
      <c r="X55" s="70" t="s">
        <v>421</v>
      </c>
      <c r="Y55" s="414">
        <v>0.42299999999999999</v>
      </c>
      <c r="Z55" s="70">
        <v>0.33400000000000002</v>
      </c>
      <c r="AA55" s="70">
        <v>6.0999999999999999E-2</v>
      </c>
      <c r="AB55" s="464" t="s">
        <v>4231</v>
      </c>
      <c r="AC55" s="415">
        <f t="shared" si="0"/>
        <v>0.14420803782505912</v>
      </c>
      <c r="AD55" s="226" t="e">
        <f ca="1">_xlfn.XLOOKUP(X55,'USEEIO metadata'!$C$2:$C$393,'USEEIO metadata'!$H$2:$H$393)</f>
        <v>#NAME?</v>
      </c>
      <c r="AE55" s="226" t="e">
        <f ca="1">_xlfn.XLOOKUP(X55,'USEEIO metadata'!$C$2:$C$393,'USEEIO metadata'!$F$2:$F$393)</f>
        <v>#NAME?</v>
      </c>
      <c r="AF55" s="226" t="e">
        <f ca="1">_xlfn.XLOOKUP(X55,'USEEIO metadata'!$C$2:$C$393,'USEEIO metadata'!$G$2:$G$393)</f>
        <v>#NAME?</v>
      </c>
    </row>
    <row r="56" spans="1:32" ht="42.75">
      <c r="A56" t="str">
        <f>_xlfn.IFNA(IF(VLOOKUP(C56,'2016_Detail_Commodity_v1.0'!C:C,1,FALSE)=C56,"No change"),"Name changed")</f>
        <v>No change</v>
      </c>
      <c r="B56" t="s">
        <v>336</v>
      </c>
      <c r="C56" t="s">
        <v>337</v>
      </c>
      <c r="E56" t="s">
        <v>3655</v>
      </c>
      <c r="F56" t="s">
        <v>12</v>
      </c>
      <c r="G56">
        <v>0</v>
      </c>
      <c r="H56" s="413">
        <f>G56*VLOOKUP(E56,GWPs!$B$3:$C$6,2,FALSE)</f>
        <v>0</v>
      </c>
      <c r="I56">
        <v>0</v>
      </c>
      <c r="J56" s="413">
        <f>I56*VLOOKUP(E56,GWPs!$B$3:$C$6,2,FALSE)</f>
        <v>0</v>
      </c>
      <c r="K56">
        <v>0</v>
      </c>
      <c r="L56" s="413">
        <f>K56*VLOOKUP(E56,GWPs!$B$3:$C$6,2,FALSE)</f>
        <v>0</v>
      </c>
      <c r="N56">
        <v>4</v>
      </c>
      <c r="O56">
        <v>2</v>
      </c>
      <c r="P56">
        <v>1</v>
      </c>
      <c r="Q56">
        <v>2</v>
      </c>
      <c r="R56">
        <v>1</v>
      </c>
      <c r="W56" s="226" t="s">
        <v>1014</v>
      </c>
      <c r="X56" s="70" t="s">
        <v>1013</v>
      </c>
      <c r="Y56" s="414">
        <v>0.188</v>
      </c>
      <c r="Z56" s="70">
        <v>0.188</v>
      </c>
      <c r="AA56" s="70">
        <v>0</v>
      </c>
      <c r="AB56" s="464" t="s">
        <v>4230</v>
      </c>
      <c r="AC56" s="415">
        <f t="shared" si="0"/>
        <v>0</v>
      </c>
      <c r="AD56" s="226" t="e">
        <f ca="1">_xlfn.XLOOKUP(X56,'USEEIO metadata'!$C$2:$C$393,'USEEIO metadata'!$H$2:$H$393)</f>
        <v>#NAME?</v>
      </c>
      <c r="AE56" s="226" t="e">
        <f ca="1">_xlfn.XLOOKUP(X56,'USEEIO metadata'!$C$2:$C$393,'USEEIO metadata'!$F$2:$F$393)</f>
        <v>#NAME?</v>
      </c>
      <c r="AF56" s="226" t="e">
        <f ca="1">_xlfn.XLOOKUP(X56,'USEEIO metadata'!$C$2:$C$393,'USEEIO metadata'!$G$2:$G$393)</f>
        <v>#NAME?</v>
      </c>
    </row>
    <row r="57" spans="1:32">
      <c r="A57" t="str">
        <f>_xlfn.IFNA(IF(VLOOKUP(C57,'2016_Detail_Commodity_v1.0'!C:C,1,FALSE)=C57,"No change"),"Name changed")</f>
        <v>No change</v>
      </c>
      <c r="B57" t="s">
        <v>336</v>
      </c>
      <c r="C57" t="s">
        <v>337</v>
      </c>
      <c r="E57" t="s">
        <v>15</v>
      </c>
      <c r="F57" t="s">
        <v>16</v>
      </c>
      <c r="G57">
        <v>4.0000000000000001E-3</v>
      </c>
      <c r="H57" s="413">
        <f>G57*VLOOKUP(E57,GWPs!$B$3:$C$6,2,FALSE)</f>
        <v>4.0000000000000001E-3</v>
      </c>
      <c r="I57">
        <v>0</v>
      </c>
      <c r="J57" s="413">
        <f>I57*VLOOKUP(E57,GWPs!$B$3:$C$6,2,FALSE)</f>
        <v>0</v>
      </c>
      <c r="K57">
        <v>4.0000000000000001E-3</v>
      </c>
      <c r="L57" s="413">
        <f>K57*VLOOKUP(E57,GWPs!$B$3:$C$6,2,FALSE)</f>
        <v>4.0000000000000001E-3</v>
      </c>
      <c r="N57">
        <v>3</v>
      </c>
      <c r="O57">
        <v>2</v>
      </c>
      <c r="P57">
        <v>1</v>
      </c>
      <c r="Q57">
        <v>3</v>
      </c>
      <c r="R57">
        <v>1</v>
      </c>
      <c r="W57" s="226" t="s">
        <v>959</v>
      </c>
      <c r="X57" s="70" t="s">
        <v>958</v>
      </c>
      <c r="Y57" s="414">
        <v>0.157</v>
      </c>
      <c r="Z57" s="70">
        <v>0.157</v>
      </c>
      <c r="AA57" s="70">
        <v>0</v>
      </c>
      <c r="AB57" s="464" t="s">
        <v>4230</v>
      </c>
      <c r="AC57" s="415">
        <f t="shared" si="0"/>
        <v>0</v>
      </c>
      <c r="AD57" s="226" t="e">
        <f ca="1">_xlfn.XLOOKUP(X57,'USEEIO metadata'!$C$2:$C$393,'USEEIO metadata'!$H$2:$H$393)</f>
        <v>#NAME?</v>
      </c>
      <c r="AE57" s="226" t="e">
        <f ca="1">_xlfn.XLOOKUP(X57,'USEEIO metadata'!$C$2:$C$393,'USEEIO metadata'!$F$2:$F$393)</f>
        <v>#NAME?</v>
      </c>
      <c r="AF57" s="226" t="e">
        <f ca="1">_xlfn.XLOOKUP(X57,'USEEIO metadata'!$C$2:$C$393,'USEEIO metadata'!$G$2:$G$393)</f>
        <v>#NAME?</v>
      </c>
    </row>
    <row r="58" spans="1:32">
      <c r="A58" t="str">
        <f>_xlfn.IFNA(IF(VLOOKUP(C58,'2016_Detail_Commodity_v1.0'!C:C,1,FALSE)=C58,"No change"),"Name changed")</f>
        <v>No change</v>
      </c>
      <c r="B58" t="s">
        <v>338</v>
      </c>
      <c r="C58" t="s">
        <v>339</v>
      </c>
      <c r="E58" t="s">
        <v>3653</v>
      </c>
      <c r="F58" t="s">
        <v>12</v>
      </c>
      <c r="G58">
        <v>0.36599999999999999</v>
      </c>
      <c r="H58" s="413">
        <f>G58*VLOOKUP(E58,GWPs!$B$3:$C$6,2,FALSE)</f>
        <v>0.36599999999999999</v>
      </c>
      <c r="I58">
        <v>0.19800000000000001</v>
      </c>
      <c r="J58" s="413">
        <f>I58*VLOOKUP(E58,GWPs!$B$3:$C$6,2,FALSE)</f>
        <v>0.19800000000000001</v>
      </c>
      <c r="K58">
        <v>0.56399999999999995</v>
      </c>
      <c r="L58" s="413">
        <f>K58*VLOOKUP(E58,GWPs!$B$3:$C$6,2,FALSE)</f>
        <v>0.56399999999999995</v>
      </c>
      <c r="N58">
        <v>3</v>
      </c>
      <c r="O58">
        <v>2</v>
      </c>
      <c r="P58">
        <v>1</v>
      </c>
      <c r="Q58">
        <v>4</v>
      </c>
      <c r="R58">
        <v>1</v>
      </c>
      <c r="W58" s="226" t="s">
        <v>1071</v>
      </c>
      <c r="X58" s="70" t="s">
        <v>1070</v>
      </c>
      <c r="Y58" s="414">
        <v>0.13900000000000001</v>
      </c>
      <c r="Z58" s="70">
        <v>0.13900000000000001</v>
      </c>
      <c r="AA58" s="70">
        <v>0</v>
      </c>
      <c r="AB58" s="464" t="s">
        <v>4231</v>
      </c>
      <c r="AC58" s="415">
        <f t="shared" si="0"/>
        <v>0</v>
      </c>
      <c r="AD58" s="226" t="e">
        <f ca="1">_xlfn.XLOOKUP(X58,'USEEIO metadata'!$C$2:$C$393,'USEEIO metadata'!$H$2:$H$393)</f>
        <v>#NAME?</v>
      </c>
      <c r="AE58" s="226" t="e">
        <f ca="1">_xlfn.XLOOKUP(X58,'USEEIO metadata'!$C$2:$C$393,'USEEIO metadata'!$F$2:$F$393)</f>
        <v>#NAME?</v>
      </c>
      <c r="AF58" s="226" t="e">
        <f ca="1">_xlfn.XLOOKUP(X58,'USEEIO metadata'!$C$2:$C$393,'USEEIO metadata'!$G$2:$G$393)</f>
        <v>#NAME?</v>
      </c>
    </row>
    <row r="59" spans="1:32" ht="28.5">
      <c r="A59" t="str">
        <f>_xlfn.IFNA(IF(VLOOKUP(C59,'2016_Detail_Commodity_v1.0'!C:C,1,FALSE)=C59,"No change"),"Name changed")</f>
        <v>No change</v>
      </c>
      <c r="B59" t="s">
        <v>338</v>
      </c>
      <c r="C59" t="s">
        <v>339</v>
      </c>
      <c r="E59" t="s">
        <v>3654</v>
      </c>
      <c r="F59" t="s">
        <v>12</v>
      </c>
      <c r="G59">
        <v>5.5E-2</v>
      </c>
      <c r="H59" s="413">
        <f>G59*VLOOKUP(E59,GWPs!$B$3:$C$6,2,FALSE)</f>
        <v>1.54</v>
      </c>
      <c r="I59">
        <v>2E-3</v>
      </c>
      <c r="J59" s="413">
        <f>I59*VLOOKUP(E59,GWPs!$B$3:$C$6,2,FALSE)</f>
        <v>5.6000000000000001E-2</v>
      </c>
      <c r="K59">
        <v>5.7000000000000002E-2</v>
      </c>
      <c r="L59" s="413">
        <f>K59*VLOOKUP(E59,GWPs!$B$3:$C$6,2,FALSE)</f>
        <v>1.5960000000000001</v>
      </c>
      <c r="N59">
        <v>4</v>
      </c>
      <c r="O59">
        <v>2</v>
      </c>
      <c r="P59">
        <v>1</v>
      </c>
      <c r="Q59">
        <v>1</v>
      </c>
      <c r="R59">
        <v>1</v>
      </c>
      <c r="W59" s="226" t="s">
        <v>370</v>
      </c>
      <c r="X59" s="70" t="s">
        <v>369</v>
      </c>
      <c r="Y59" s="414">
        <v>0.27199999999999996</v>
      </c>
      <c r="Z59" s="70">
        <v>0.27199999999999996</v>
      </c>
      <c r="AA59" s="70">
        <v>0</v>
      </c>
      <c r="AB59" s="464" t="s">
        <v>4230</v>
      </c>
      <c r="AC59" s="415">
        <f t="shared" si="0"/>
        <v>0</v>
      </c>
      <c r="AD59" s="226" t="e">
        <f ca="1">_xlfn.XLOOKUP(X59,'USEEIO metadata'!$C$2:$C$393,'USEEIO metadata'!$H$2:$H$393)</f>
        <v>#NAME?</v>
      </c>
      <c r="AE59" s="226" t="e">
        <f ca="1">_xlfn.XLOOKUP(X59,'USEEIO metadata'!$C$2:$C$393,'USEEIO metadata'!$F$2:$F$393)</f>
        <v>#NAME?</v>
      </c>
      <c r="AF59" s="226" t="e">
        <f ca="1">_xlfn.XLOOKUP(X59,'USEEIO metadata'!$C$2:$C$393,'USEEIO metadata'!$G$2:$G$393)</f>
        <v>#NAME?</v>
      </c>
    </row>
    <row r="60" spans="1:32" ht="28.5">
      <c r="A60" t="str">
        <f>_xlfn.IFNA(IF(VLOOKUP(C60,'2016_Detail_Commodity_v1.0'!C:C,1,FALSE)=C60,"No change"),"Name changed")</f>
        <v>No change</v>
      </c>
      <c r="B60" t="s">
        <v>338</v>
      </c>
      <c r="C60" t="s">
        <v>339</v>
      </c>
      <c r="E60" t="s">
        <v>3655</v>
      </c>
      <c r="F60" t="s">
        <v>12</v>
      </c>
      <c r="G60">
        <v>0</v>
      </c>
      <c r="H60" s="413">
        <f>G60*VLOOKUP(E60,GWPs!$B$3:$C$6,2,FALSE)</f>
        <v>0</v>
      </c>
      <c r="I60">
        <v>0</v>
      </c>
      <c r="J60" s="413">
        <f>I60*VLOOKUP(E60,GWPs!$B$3:$C$6,2,FALSE)</f>
        <v>0</v>
      </c>
      <c r="K60">
        <v>0</v>
      </c>
      <c r="L60" s="413">
        <f>K60*VLOOKUP(E60,GWPs!$B$3:$C$6,2,FALSE)</f>
        <v>0</v>
      </c>
      <c r="N60">
        <v>3</v>
      </c>
      <c r="O60">
        <v>2</v>
      </c>
      <c r="P60">
        <v>1</v>
      </c>
      <c r="Q60">
        <v>2</v>
      </c>
      <c r="R60">
        <v>1</v>
      </c>
      <c r="W60" s="226" t="s">
        <v>754</v>
      </c>
      <c r="X60" s="70" t="s">
        <v>753</v>
      </c>
      <c r="Y60" s="414">
        <v>0.46400000000000002</v>
      </c>
      <c r="Z60" s="70">
        <v>0.43100000000000005</v>
      </c>
      <c r="AA60" s="70">
        <v>3.2000000000000001E-2</v>
      </c>
      <c r="AB60" s="464" t="s">
        <v>4230</v>
      </c>
      <c r="AC60" s="415">
        <f t="shared" si="0"/>
        <v>6.8965517241379309E-2</v>
      </c>
      <c r="AD60" s="226" t="e">
        <f ca="1">_xlfn.XLOOKUP(X60,'USEEIO metadata'!$C$2:$C$393,'USEEIO metadata'!$H$2:$H$393)</f>
        <v>#NAME?</v>
      </c>
      <c r="AE60" s="226" t="e">
        <f ca="1">_xlfn.XLOOKUP(X60,'USEEIO metadata'!$C$2:$C$393,'USEEIO metadata'!$F$2:$F$393)</f>
        <v>#NAME?</v>
      </c>
      <c r="AF60" s="226" t="e">
        <f ca="1">_xlfn.XLOOKUP(X60,'USEEIO metadata'!$C$2:$C$393,'USEEIO metadata'!$G$2:$G$393)</f>
        <v>#NAME?</v>
      </c>
    </row>
    <row r="61" spans="1:32">
      <c r="A61" t="str">
        <f>_xlfn.IFNA(IF(VLOOKUP(C61,'2016_Detail_Commodity_v1.0'!C:C,1,FALSE)=C61,"No change"),"Name changed")</f>
        <v>No change</v>
      </c>
      <c r="B61" t="s">
        <v>338</v>
      </c>
      <c r="C61" t="s">
        <v>339</v>
      </c>
      <c r="E61" t="s">
        <v>15</v>
      </c>
      <c r="F61" t="s">
        <v>16</v>
      </c>
      <c r="G61">
        <v>3.0000000000000001E-3</v>
      </c>
      <c r="H61" s="413">
        <f>G61*VLOOKUP(E61,GWPs!$B$3:$C$6,2,FALSE)</f>
        <v>3.0000000000000001E-3</v>
      </c>
      <c r="I61">
        <v>0</v>
      </c>
      <c r="J61" s="413">
        <f>I61*VLOOKUP(E61,GWPs!$B$3:$C$6,2,FALSE)</f>
        <v>0</v>
      </c>
      <c r="K61">
        <v>3.0000000000000001E-3</v>
      </c>
      <c r="L61" s="413">
        <f>K61*VLOOKUP(E61,GWPs!$B$3:$C$6,2,FALSE)</f>
        <v>3.0000000000000001E-3</v>
      </c>
      <c r="N61">
        <v>3</v>
      </c>
      <c r="O61">
        <v>2</v>
      </c>
      <c r="P61">
        <v>1</v>
      </c>
      <c r="Q61">
        <v>4</v>
      </c>
      <c r="R61">
        <v>1</v>
      </c>
      <c r="W61" s="226" t="s">
        <v>698</v>
      </c>
      <c r="X61" s="70" t="s">
        <v>697</v>
      </c>
      <c r="Y61" s="414">
        <v>0.14500000000000002</v>
      </c>
      <c r="Z61" s="70">
        <v>6.7000000000000004E-2</v>
      </c>
      <c r="AA61" s="70">
        <v>0.05</v>
      </c>
      <c r="AB61" s="464" t="s">
        <v>4230</v>
      </c>
      <c r="AC61" s="415">
        <f t="shared" si="0"/>
        <v>0.34482758620689652</v>
      </c>
      <c r="AD61" s="226" t="e">
        <f ca="1">_xlfn.XLOOKUP(X61,'USEEIO metadata'!$C$2:$C$393,'USEEIO metadata'!$H$2:$H$393)</f>
        <v>#NAME?</v>
      </c>
      <c r="AE61" s="226" t="e">
        <f ca="1">_xlfn.XLOOKUP(X61,'USEEIO metadata'!$C$2:$C$393,'USEEIO metadata'!$F$2:$F$393)</f>
        <v>#NAME?</v>
      </c>
      <c r="AF61" s="226" t="e">
        <f ca="1">_xlfn.XLOOKUP(X61,'USEEIO metadata'!$C$2:$C$393,'USEEIO metadata'!$G$2:$G$393)</f>
        <v>#NAME?</v>
      </c>
    </row>
    <row r="62" spans="1:32" ht="42.75">
      <c r="A62" t="str">
        <f>_xlfn.IFNA(IF(VLOOKUP(C62,'2016_Detail_Commodity_v1.0'!C:C,1,FALSE)=C62,"No change"),"Name changed")</f>
        <v>No change</v>
      </c>
      <c r="B62" t="s">
        <v>340</v>
      </c>
      <c r="C62" t="s">
        <v>341</v>
      </c>
      <c r="E62" t="s">
        <v>3653</v>
      </c>
      <c r="F62" t="s">
        <v>12</v>
      </c>
      <c r="G62">
        <v>1.46</v>
      </c>
      <c r="H62" s="413">
        <f>G62*VLOOKUP(E62,GWPs!$B$3:$C$6,2,FALSE)</f>
        <v>1.46</v>
      </c>
      <c r="I62">
        <v>9.2999999999999999E-2</v>
      </c>
      <c r="J62" s="413">
        <f>I62*VLOOKUP(E62,GWPs!$B$3:$C$6,2,FALSE)</f>
        <v>9.2999999999999999E-2</v>
      </c>
      <c r="K62">
        <v>1.5529999999999999</v>
      </c>
      <c r="L62" s="413">
        <f>K62*VLOOKUP(E62,GWPs!$B$3:$C$6,2,FALSE)</f>
        <v>1.5529999999999999</v>
      </c>
      <c r="N62">
        <v>4</v>
      </c>
      <c r="O62">
        <v>2</v>
      </c>
      <c r="P62">
        <v>1</v>
      </c>
      <c r="Q62">
        <v>4</v>
      </c>
      <c r="R62">
        <v>1</v>
      </c>
      <c r="W62" s="226" t="s">
        <v>1041</v>
      </c>
      <c r="X62" s="70" t="s">
        <v>1040</v>
      </c>
      <c r="Y62" s="414">
        <v>0.25900000000000001</v>
      </c>
      <c r="Z62" s="70">
        <v>0.25900000000000001</v>
      </c>
      <c r="AA62" s="70">
        <v>0</v>
      </c>
      <c r="AB62" s="464" t="s">
        <v>4230</v>
      </c>
      <c r="AC62" s="415">
        <f t="shared" si="0"/>
        <v>0</v>
      </c>
      <c r="AD62" s="226" t="e">
        <f ca="1">_xlfn.XLOOKUP(X62,'USEEIO metadata'!$C$2:$C$393,'USEEIO metadata'!$H$2:$H$393)</f>
        <v>#NAME?</v>
      </c>
      <c r="AE62" s="226" t="e">
        <f ca="1">_xlfn.XLOOKUP(X62,'USEEIO metadata'!$C$2:$C$393,'USEEIO metadata'!$F$2:$F$393)</f>
        <v>#NAME?</v>
      </c>
      <c r="AF62" s="226" t="e">
        <f ca="1">_xlfn.XLOOKUP(X62,'USEEIO metadata'!$C$2:$C$393,'USEEIO metadata'!$G$2:$G$393)</f>
        <v>#NAME?</v>
      </c>
    </row>
    <row r="63" spans="1:32" ht="28.5">
      <c r="A63" t="str">
        <f>_xlfn.IFNA(IF(VLOOKUP(C63,'2016_Detail_Commodity_v1.0'!C:C,1,FALSE)=C63,"No change"),"Name changed")</f>
        <v>No change</v>
      </c>
      <c r="B63" t="s">
        <v>340</v>
      </c>
      <c r="C63" t="s">
        <v>341</v>
      </c>
      <c r="E63" t="s">
        <v>3654</v>
      </c>
      <c r="F63" t="s">
        <v>12</v>
      </c>
      <c r="G63">
        <v>2E-3</v>
      </c>
      <c r="H63" s="413">
        <f>G63*VLOOKUP(E63,GWPs!$B$3:$C$6,2,FALSE)</f>
        <v>5.6000000000000001E-2</v>
      </c>
      <c r="I63">
        <v>1E-3</v>
      </c>
      <c r="J63" s="413">
        <f>I63*VLOOKUP(E63,GWPs!$B$3:$C$6,2,FALSE)</f>
        <v>2.8000000000000001E-2</v>
      </c>
      <c r="K63">
        <v>3.0000000000000001E-3</v>
      </c>
      <c r="L63" s="413">
        <f>K63*VLOOKUP(E63,GWPs!$B$3:$C$6,2,FALSE)</f>
        <v>8.4000000000000005E-2</v>
      </c>
      <c r="N63">
        <v>4</v>
      </c>
      <c r="O63">
        <v>2</v>
      </c>
      <c r="P63">
        <v>1</v>
      </c>
      <c r="Q63">
        <v>1</v>
      </c>
      <c r="R63">
        <v>1</v>
      </c>
      <c r="W63" s="226" t="s">
        <v>992</v>
      </c>
      <c r="X63" s="70" t="s">
        <v>991</v>
      </c>
      <c r="Y63" s="414">
        <v>0.129</v>
      </c>
      <c r="Z63" s="70">
        <v>0.129</v>
      </c>
      <c r="AA63" s="70">
        <v>0</v>
      </c>
      <c r="AB63" s="464" t="s">
        <v>4230</v>
      </c>
      <c r="AC63" s="415">
        <f t="shared" si="0"/>
        <v>0</v>
      </c>
      <c r="AD63" s="226" t="e">
        <f ca="1">_xlfn.XLOOKUP(X63,'USEEIO metadata'!$C$2:$C$393,'USEEIO metadata'!$H$2:$H$393)</f>
        <v>#NAME?</v>
      </c>
      <c r="AE63" s="226" t="e">
        <f ca="1">_xlfn.XLOOKUP(X63,'USEEIO metadata'!$C$2:$C$393,'USEEIO metadata'!$F$2:$F$393)</f>
        <v>#NAME?</v>
      </c>
      <c r="AF63" s="226" t="e">
        <f ca="1">_xlfn.XLOOKUP(X63,'USEEIO metadata'!$C$2:$C$393,'USEEIO metadata'!$G$2:$G$393)</f>
        <v>#NAME?</v>
      </c>
    </row>
    <row r="64" spans="1:32">
      <c r="A64" t="str">
        <f>_xlfn.IFNA(IF(VLOOKUP(C64,'2016_Detail_Commodity_v1.0'!C:C,1,FALSE)=C64,"No change"),"Name changed")</f>
        <v>No change</v>
      </c>
      <c r="B64" t="s">
        <v>340</v>
      </c>
      <c r="C64" t="s">
        <v>341</v>
      </c>
      <c r="E64" t="s">
        <v>3655</v>
      </c>
      <c r="F64" t="s">
        <v>12</v>
      </c>
      <c r="G64">
        <v>0</v>
      </c>
      <c r="H64" s="413">
        <f>G64*VLOOKUP(E64,GWPs!$B$3:$C$6,2,FALSE)</f>
        <v>0</v>
      </c>
      <c r="I64">
        <v>0</v>
      </c>
      <c r="J64" s="413">
        <f>I64*VLOOKUP(E64,GWPs!$B$3:$C$6,2,FALSE)</f>
        <v>0</v>
      </c>
      <c r="K64">
        <v>0</v>
      </c>
      <c r="L64" s="413">
        <f>K64*VLOOKUP(E64,GWPs!$B$3:$C$6,2,FALSE)</f>
        <v>0</v>
      </c>
      <c r="N64">
        <v>3</v>
      </c>
      <c r="O64">
        <v>2</v>
      </c>
      <c r="P64">
        <v>1</v>
      </c>
      <c r="Q64">
        <v>3</v>
      </c>
      <c r="R64">
        <v>1</v>
      </c>
      <c r="W64" s="226" t="s">
        <v>494</v>
      </c>
      <c r="X64" s="70" t="s">
        <v>493</v>
      </c>
      <c r="Y64" s="414">
        <v>1.4259999999999999</v>
      </c>
      <c r="Z64" s="70">
        <v>1.3419999999999999</v>
      </c>
      <c r="AA64" s="70">
        <v>0.112</v>
      </c>
      <c r="AB64" s="464" t="s">
        <v>4231</v>
      </c>
      <c r="AC64" s="415">
        <f t="shared" si="0"/>
        <v>7.8541374474053308E-2</v>
      </c>
      <c r="AD64" s="226" t="e">
        <f ca="1">_xlfn.XLOOKUP(X64,'USEEIO metadata'!$C$2:$C$393,'USEEIO metadata'!$H$2:$H$393)</f>
        <v>#NAME?</v>
      </c>
      <c r="AE64" s="226" t="e">
        <f ca="1">_xlfn.XLOOKUP(X64,'USEEIO metadata'!$C$2:$C$393,'USEEIO metadata'!$F$2:$F$393)</f>
        <v>#NAME?</v>
      </c>
      <c r="AF64" s="226" t="e">
        <f ca="1">_xlfn.XLOOKUP(X64,'USEEIO metadata'!$C$2:$C$393,'USEEIO metadata'!$G$2:$G$393)</f>
        <v>#NAME?</v>
      </c>
    </row>
    <row r="65" spans="1:32" ht="28.5">
      <c r="A65" t="str">
        <f>_xlfn.IFNA(IF(VLOOKUP(C65,'2016_Detail_Commodity_v1.0'!C:C,1,FALSE)=C65,"No change"),"Name changed")</f>
        <v>No change</v>
      </c>
      <c r="B65" t="s">
        <v>340</v>
      </c>
      <c r="C65" t="s">
        <v>341</v>
      </c>
      <c r="E65" t="s">
        <v>15</v>
      </c>
      <c r="F65" t="s">
        <v>16</v>
      </c>
      <c r="G65">
        <v>5.0000000000000001E-3</v>
      </c>
      <c r="H65" s="413">
        <f>G65*VLOOKUP(E65,GWPs!$B$3:$C$6,2,FALSE)</f>
        <v>5.0000000000000001E-3</v>
      </c>
      <c r="I65">
        <v>0</v>
      </c>
      <c r="J65" s="413">
        <f>I65*VLOOKUP(E65,GWPs!$B$3:$C$6,2,FALSE)</f>
        <v>0</v>
      </c>
      <c r="K65">
        <v>5.0000000000000001E-3</v>
      </c>
      <c r="L65" s="413">
        <f>K65*VLOOKUP(E65,GWPs!$B$3:$C$6,2,FALSE)</f>
        <v>5.0000000000000001E-3</v>
      </c>
      <c r="N65">
        <v>3</v>
      </c>
      <c r="O65">
        <v>2</v>
      </c>
      <c r="P65">
        <v>1</v>
      </c>
      <c r="Q65">
        <v>3</v>
      </c>
      <c r="R65">
        <v>1</v>
      </c>
      <c r="W65" s="226" t="s">
        <v>690</v>
      </c>
      <c r="X65" s="70" t="s">
        <v>689</v>
      </c>
      <c r="Y65" s="414">
        <v>0.16900000000000001</v>
      </c>
      <c r="Z65" s="70">
        <v>8.3000000000000004E-2</v>
      </c>
      <c r="AA65" s="70">
        <v>5.8000000000000003E-2</v>
      </c>
      <c r="AB65" s="464" t="s">
        <v>4231</v>
      </c>
      <c r="AC65" s="415">
        <f t="shared" si="0"/>
        <v>0.34319526627218933</v>
      </c>
      <c r="AD65" s="226" t="e">
        <f ca="1">_xlfn.XLOOKUP(X65,'USEEIO metadata'!$C$2:$C$393,'USEEIO metadata'!$H$2:$H$393)</f>
        <v>#NAME?</v>
      </c>
      <c r="AE65" s="226" t="e">
        <f ca="1">_xlfn.XLOOKUP(X65,'USEEIO metadata'!$C$2:$C$393,'USEEIO metadata'!$F$2:$F$393)</f>
        <v>#NAME?</v>
      </c>
      <c r="AF65" s="226" t="e">
        <f ca="1">_xlfn.XLOOKUP(X65,'USEEIO metadata'!$C$2:$C$393,'USEEIO metadata'!$G$2:$G$393)</f>
        <v>#NAME?</v>
      </c>
    </row>
    <row r="66" spans="1:32">
      <c r="A66" t="str">
        <f>_xlfn.IFNA(IF(VLOOKUP(C66,'2016_Detail_Commodity_v1.0'!C:C,1,FALSE)=C66,"No change"),"Name changed")</f>
        <v>No change</v>
      </c>
      <c r="B66" t="s">
        <v>342</v>
      </c>
      <c r="C66" t="s">
        <v>343</v>
      </c>
      <c r="E66" t="s">
        <v>3653</v>
      </c>
      <c r="F66" t="s">
        <v>12</v>
      </c>
      <c r="G66">
        <v>1.367</v>
      </c>
      <c r="H66" s="413">
        <f>G66*VLOOKUP(E66,GWPs!$B$3:$C$6,2,FALSE)</f>
        <v>1.367</v>
      </c>
      <c r="I66">
        <v>0.13100000000000001</v>
      </c>
      <c r="J66" s="413">
        <f>I66*VLOOKUP(E66,GWPs!$B$3:$C$6,2,FALSE)</f>
        <v>0.13100000000000001</v>
      </c>
      <c r="K66">
        <v>1.4990000000000001</v>
      </c>
      <c r="L66" s="413">
        <f>K66*VLOOKUP(E66,GWPs!$B$3:$C$6,2,FALSE)</f>
        <v>1.4990000000000001</v>
      </c>
      <c r="N66">
        <v>4</v>
      </c>
      <c r="O66">
        <v>2</v>
      </c>
      <c r="P66">
        <v>1</v>
      </c>
      <c r="Q66">
        <v>3</v>
      </c>
      <c r="R66">
        <v>1</v>
      </c>
      <c r="W66" s="226" t="s">
        <v>974</v>
      </c>
      <c r="X66" s="70" t="s">
        <v>973</v>
      </c>
      <c r="Y66" s="414">
        <v>6.8000000000000005E-2</v>
      </c>
      <c r="Z66" s="70">
        <v>6.8000000000000005E-2</v>
      </c>
      <c r="AA66" s="70">
        <v>0</v>
      </c>
      <c r="AB66" s="464" t="s">
        <v>4231</v>
      </c>
      <c r="AC66" s="415">
        <f t="shared" si="0"/>
        <v>0</v>
      </c>
      <c r="AD66" s="226" t="e">
        <f ca="1">_xlfn.XLOOKUP(X66,'USEEIO metadata'!$C$2:$C$393,'USEEIO metadata'!$H$2:$H$393)</f>
        <v>#NAME?</v>
      </c>
      <c r="AE66" s="226" t="e">
        <f ca="1">_xlfn.XLOOKUP(X66,'USEEIO metadata'!$C$2:$C$393,'USEEIO metadata'!$F$2:$F$393)</f>
        <v>#NAME?</v>
      </c>
      <c r="AF66" s="226" t="e">
        <f ca="1">_xlfn.XLOOKUP(X66,'USEEIO metadata'!$C$2:$C$393,'USEEIO metadata'!$G$2:$G$393)</f>
        <v>#NAME?</v>
      </c>
    </row>
    <row r="67" spans="1:32" ht="28.5">
      <c r="A67" t="str">
        <f>_xlfn.IFNA(IF(VLOOKUP(C67,'2016_Detail_Commodity_v1.0'!C:C,1,FALSE)=C67,"No change"),"Name changed")</f>
        <v>No change</v>
      </c>
      <c r="B67" t="s">
        <v>342</v>
      </c>
      <c r="C67" t="s">
        <v>343</v>
      </c>
      <c r="E67" t="s">
        <v>3654</v>
      </c>
      <c r="F67" t="s">
        <v>12</v>
      </c>
      <c r="G67">
        <v>3.0000000000000001E-3</v>
      </c>
      <c r="H67" s="413">
        <f>G67*VLOOKUP(E67,GWPs!$B$3:$C$6,2,FALSE)</f>
        <v>8.4000000000000005E-2</v>
      </c>
      <c r="I67">
        <v>1E-3</v>
      </c>
      <c r="J67" s="413">
        <f>I67*VLOOKUP(E67,GWPs!$B$3:$C$6,2,FALSE)</f>
        <v>2.8000000000000001E-2</v>
      </c>
      <c r="K67">
        <v>4.0000000000000001E-3</v>
      </c>
      <c r="L67" s="413">
        <f>K67*VLOOKUP(E67,GWPs!$B$3:$C$6,2,FALSE)</f>
        <v>0.112</v>
      </c>
      <c r="N67">
        <v>4</v>
      </c>
      <c r="O67">
        <v>2</v>
      </c>
      <c r="P67">
        <v>1</v>
      </c>
      <c r="Q67">
        <v>1</v>
      </c>
      <c r="R67">
        <v>1</v>
      </c>
      <c r="W67" s="226" t="s">
        <v>692</v>
      </c>
      <c r="X67" s="70" t="s">
        <v>691</v>
      </c>
      <c r="Y67" s="414">
        <v>0.19900000000000001</v>
      </c>
      <c r="Z67" s="70">
        <v>0.12100000000000001</v>
      </c>
      <c r="AA67" s="70">
        <v>0.05</v>
      </c>
      <c r="AB67" s="464" t="s">
        <v>4231</v>
      </c>
      <c r="AC67" s="415">
        <f t="shared" ref="AC67:AC130" si="1">IFERROR(AA67/Y67,"")</f>
        <v>0.25125628140703515</v>
      </c>
      <c r="AD67" s="226" t="e">
        <f ca="1">_xlfn.XLOOKUP(X67,'USEEIO metadata'!$C$2:$C$393,'USEEIO metadata'!$H$2:$H$393)</f>
        <v>#NAME?</v>
      </c>
      <c r="AE67" s="226" t="e">
        <f ca="1">_xlfn.XLOOKUP(X67,'USEEIO metadata'!$C$2:$C$393,'USEEIO metadata'!$F$2:$F$393)</f>
        <v>#NAME?</v>
      </c>
      <c r="AF67" s="226" t="e">
        <f ca="1">_xlfn.XLOOKUP(X67,'USEEIO metadata'!$C$2:$C$393,'USEEIO metadata'!$G$2:$G$393)</f>
        <v>#NAME?</v>
      </c>
    </row>
    <row r="68" spans="1:32">
      <c r="A68" t="str">
        <f>_xlfn.IFNA(IF(VLOOKUP(C68,'2016_Detail_Commodity_v1.0'!C:C,1,FALSE)=C68,"No change"),"Name changed")</f>
        <v>No change</v>
      </c>
      <c r="B68" t="s">
        <v>342</v>
      </c>
      <c r="C68" t="s">
        <v>343</v>
      </c>
      <c r="E68" t="s">
        <v>3655</v>
      </c>
      <c r="F68" t="s">
        <v>12</v>
      </c>
      <c r="G68">
        <v>0</v>
      </c>
      <c r="H68" s="413">
        <f>G68*VLOOKUP(E68,GWPs!$B$3:$C$6,2,FALSE)</f>
        <v>0</v>
      </c>
      <c r="I68">
        <v>0</v>
      </c>
      <c r="J68" s="413">
        <f>I68*VLOOKUP(E68,GWPs!$B$3:$C$6,2,FALSE)</f>
        <v>0</v>
      </c>
      <c r="K68">
        <v>0</v>
      </c>
      <c r="L68" s="413">
        <f>K68*VLOOKUP(E68,GWPs!$B$3:$C$6,2,FALSE)</f>
        <v>0</v>
      </c>
      <c r="N68">
        <v>4</v>
      </c>
      <c r="O68">
        <v>2</v>
      </c>
      <c r="P68">
        <v>1</v>
      </c>
      <c r="Q68">
        <v>3</v>
      </c>
      <c r="R68">
        <v>1</v>
      </c>
      <c r="W68" s="226" t="s">
        <v>688</v>
      </c>
      <c r="X68" s="70" t="s">
        <v>687</v>
      </c>
      <c r="Y68" s="414">
        <v>0.109</v>
      </c>
      <c r="Z68" s="70">
        <v>4.2999999999999997E-2</v>
      </c>
      <c r="AA68" s="70">
        <v>6.6000000000000003E-2</v>
      </c>
      <c r="AB68" s="464" t="s">
        <v>4231</v>
      </c>
      <c r="AC68" s="415">
        <f t="shared" si="1"/>
        <v>0.60550458715596334</v>
      </c>
      <c r="AD68" s="226" t="e">
        <f ca="1">_xlfn.XLOOKUP(X68,'USEEIO metadata'!$C$2:$C$393,'USEEIO metadata'!$H$2:$H$393)</f>
        <v>#NAME?</v>
      </c>
      <c r="AE68" s="226" t="e">
        <f ca="1">_xlfn.XLOOKUP(X68,'USEEIO metadata'!$C$2:$C$393,'USEEIO metadata'!$F$2:$F$393)</f>
        <v>#NAME?</v>
      </c>
      <c r="AF68" s="226" t="e">
        <f ca="1">_xlfn.XLOOKUP(X68,'USEEIO metadata'!$C$2:$C$393,'USEEIO metadata'!$G$2:$G$393)</f>
        <v>#NAME?</v>
      </c>
    </row>
    <row r="69" spans="1:32">
      <c r="A69" t="str">
        <f>_xlfn.IFNA(IF(VLOOKUP(C69,'2016_Detail_Commodity_v1.0'!C:C,1,FALSE)=C69,"No change"),"Name changed")</f>
        <v>No change</v>
      </c>
      <c r="B69" t="s">
        <v>342</v>
      </c>
      <c r="C69" t="s">
        <v>343</v>
      </c>
      <c r="E69" t="s">
        <v>15</v>
      </c>
      <c r="F69" t="s">
        <v>16</v>
      </c>
      <c r="G69">
        <v>6.0000000000000001E-3</v>
      </c>
      <c r="H69" s="413">
        <f>G69*VLOOKUP(E69,GWPs!$B$3:$C$6,2,FALSE)</f>
        <v>6.0000000000000001E-3</v>
      </c>
      <c r="I69">
        <v>0</v>
      </c>
      <c r="J69" s="413">
        <f>I69*VLOOKUP(E69,GWPs!$B$3:$C$6,2,FALSE)</f>
        <v>0</v>
      </c>
      <c r="K69">
        <v>6.0000000000000001E-3</v>
      </c>
      <c r="L69" s="413">
        <f>K69*VLOOKUP(E69,GWPs!$B$3:$C$6,2,FALSE)</f>
        <v>6.0000000000000001E-3</v>
      </c>
      <c r="N69">
        <v>3</v>
      </c>
      <c r="O69">
        <v>2</v>
      </c>
      <c r="P69">
        <v>1</v>
      </c>
      <c r="Q69">
        <v>2</v>
      </c>
      <c r="R69">
        <v>1</v>
      </c>
      <c r="W69" s="226" t="s">
        <v>558</v>
      </c>
      <c r="X69" s="70" t="s">
        <v>557</v>
      </c>
      <c r="Y69" s="414">
        <v>0.52100000000000002</v>
      </c>
      <c r="Z69" s="70">
        <v>0.40700000000000003</v>
      </c>
      <c r="AA69" s="70">
        <v>0.11399999999999999</v>
      </c>
      <c r="AB69" s="464" t="s">
        <v>4230</v>
      </c>
      <c r="AC69" s="415">
        <f t="shared" si="1"/>
        <v>0.218809980806142</v>
      </c>
      <c r="AD69" s="226" t="e">
        <f ca="1">_xlfn.XLOOKUP(X69,'USEEIO metadata'!$C$2:$C$393,'USEEIO metadata'!$H$2:$H$393)</f>
        <v>#NAME?</v>
      </c>
      <c r="AE69" s="226" t="e">
        <f ca="1">_xlfn.XLOOKUP(X69,'USEEIO metadata'!$C$2:$C$393,'USEEIO metadata'!$F$2:$F$393)</f>
        <v>#NAME?</v>
      </c>
      <c r="AF69" s="226" t="e">
        <f ca="1">_xlfn.XLOOKUP(X69,'USEEIO metadata'!$C$2:$C$393,'USEEIO metadata'!$G$2:$G$393)</f>
        <v>#NAME?</v>
      </c>
    </row>
    <row r="70" spans="1:32">
      <c r="A70" t="str">
        <f>_xlfn.IFNA(IF(VLOOKUP(C70,'2016_Detail_Commodity_v1.0'!C:C,1,FALSE)=C70,"No change"),"Name changed")</f>
        <v>No change</v>
      </c>
      <c r="B70" t="s">
        <v>344</v>
      </c>
      <c r="C70" t="s">
        <v>345</v>
      </c>
      <c r="E70" t="s">
        <v>3653</v>
      </c>
      <c r="F70" t="s">
        <v>12</v>
      </c>
      <c r="G70">
        <v>0.27</v>
      </c>
      <c r="H70" s="413">
        <f>G70*VLOOKUP(E70,GWPs!$B$3:$C$6,2,FALSE)</f>
        <v>0.27</v>
      </c>
      <c r="I70">
        <v>9.7000000000000003E-2</v>
      </c>
      <c r="J70" s="413">
        <f>I70*VLOOKUP(E70,GWPs!$B$3:$C$6,2,FALSE)</f>
        <v>9.7000000000000003E-2</v>
      </c>
      <c r="K70">
        <v>0.36699999999999999</v>
      </c>
      <c r="L70" s="413">
        <f>K70*VLOOKUP(E70,GWPs!$B$3:$C$6,2,FALSE)</f>
        <v>0.36699999999999999</v>
      </c>
      <c r="N70">
        <v>3</v>
      </c>
      <c r="O70">
        <v>2</v>
      </c>
      <c r="P70">
        <v>1</v>
      </c>
      <c r="Q70">
        <v>4</v>
      </c>
      <c r="R70">
        <v>1</v>
      </c>
      <c r="W70" s="226" t="s">
        <v>636</v>
      </c>
      <c r="X70" s="70" t="s">
        <v>635</v>
      </c>
      <c r="Y70" s="414">
        <v>0.27200000000000002</v>
      </c>
      <c r="Z70" s="70">
        <v>0.23400000000000001</v>
      </c>
      <c r="AA70" s="70">
        <v>3.7999999999999999E-2</v>
      </c>
      <c r="AB70" s="464" t="s">
        <v>4230</v>
      </c>
      <c r="AC70" s="415">
        <f t="shared" si="1"/>
        <v>0.13970588235294115</v>
      </c>
      <c r="AD70" s="226" t="e">
        <f ca="1">_xlfn.XLOOKUP(X70,'USEEIO metadata'!$C$2:$C$393,'USEEIO metadata'!$H$2:$H$393)</f>
        <v>#NAME?</v>
      </c>
      <c r="AE70" s="226" t="e">
        <f ca="1">_xlfn.XLOOKUP(X70,'USEEIO metadata'!$C$2:$C$393,'USEEIO metadata'!$F$2:$F$393)</f>
        <v>#NAME?</v>
      </c>
      <c r="AF70" s="226" t="e">
        <f ca="1">_xlfn.XLOOKUP(X70,'USEEIO metadata'!$C$2:$C$393,'USEEIO metadata'!$G$2:$G$393)</f>
        <v>#NAME?</v>
      </c>
    </row>
    <row r="71" spans="1:32" ht="28.5">
      <c r="A71" t="str">
        <f>_xlfn.IFNA(IF(VLOOKUP(C71,'2016_Detail_Commodity_v1.0'!C:C,1,FALSE)=C71,"No change"),"Name changed")</f>
        <v>No change</v>
      </c>
      <c r="B71" t="s">
        <v>344</v>
      </c>
      <c r="C71" t="s">
        <v>345</v>
      </c>
      <c r="E71" t="s">
        <v>3654</v>
      </c>
      <c r="F71" t="s">
        <v>12</v>
      </c>
      <c r="G71">
        <v>1E-3</v>
      </c>
      <c r="H71" s="413">
        <f>G71*VLOOKUP(E71,GWPs!$B$3:$C$6,2,FALSE)</f>
        <v>2.8000000000000001E-2</v>
      </c>
      <c r="I71">
        <v>1E-3</v>
      </c>
      <c r="J71" s="413">
        <f>I71*VLOOKUP(E71,GWPs!$B$3:$C$6,2,FALSE)</f>
        <v>2.8000000000000001E-2</v>
      </c>
      <c r="K71">
        <v>2E-3</v>
      </c>
      <c r="L71" s="413">
        <f>K71*VLOOKUP(E71,GWPs!$B$3:$C$6,2,FALSE)</f>
        <v>5.6000000000000001E-2</v>
      </c>
      <c r="N71">
        <v>4</v>
      </c>
      <c r="O71">
        <v>2</v>
      </c>
      <c r="P71">
        <v>1</v>
      </c>
      <c r="Q71">
        <v>1</v>
      </c>
      <c r="R71">
        <v>1</v>
      </c>
      <c r="W71" s="226" t="s">
        <v>961</v>
      </c>
      <c r="X71" s="70" t="s">
        <v>960</v>
      </c>
      <c r="Y71" s="414">
        <v>0.17</v>
      </c>
      <c r="Z71" s="70">
        <v>0.17</v>
      </c>
      <c r="AA71" s="70">
        <v>0</v>
      </c>
      <c r="AB71" s="464" t="s">
        <v>4230</v>
      </c>
      <c r="AC71" s="415">
        <f t="shared" si="1"/>
        <v>0</v>
      </c>
      <c r="AD71" s="226" t="e">
        <f ca="1">_xlfn.XLOOKUP(X71,'USEEIO metadata'!$C$2:$C$393,'USEEIO metadata'!$H$2:$H$393)</f>
        <v>#NAME?</v>
      </c>
      <c r="AE71" s="226" t="e">
        <f ca="1">_xlfn.XLOOKUP(X71,'USEEIO metadata'!$C$2:$C$393,'USEEIO metadata'!$F$2:$F$393)</f>
        <v>#NAME?</v>
      </c>
      <c r="AF71" s="226" t="e">
        <f ca="1">_xlfn.XLOOKUP(X71,'USEEIO metadata'!$C$2:$C$393,'USEEIO metadata'!$G$2:$G$393)</f>
        <v>#NAME?</v>
      </c>
    </row>
    <row r="72" spans="1:32" ht="28.5">
      <c r="A72" t="str">
        <f>_xlfn.IFNA(IF(VLOOKUP(C72,'2016_Detail_Commodity_v1.0'!C:C,1,FALSE)=C72,"No change"),"Name changed")</f>
        <v>No change</v>
      </c>
      <c r="B72" t="s">
        <v>344</v>
      </c>
      <c r="C72" t="s">
        <v>345</v>
      </c>
      <c r="E72" t="s">
        <v>3655</v>
      </c>
      <c r="F72" t="s">
        <v>12</v>
      </c>
      <c r="G72">
        <v>0</v>
      </c>
      <c r="H72" s="413">
        <f>G72*VLOOKUP(E72,GWPs!$B$3:$C$6,2,FALSE)</f>
        <v>0</v>
      </c>
      <c r="I72">
        <v>0</v>
      </c>
      <c r="J72" s="413">
        <f>I72*VLOOKUP(E72,GWPs!$B$3:$C$6,2,FALSE)</f>
        <v>0</v>
      </c>
      <c r="K72">
        <v>0</v>
      </c>
      <c r="L72" s="413">
        <f>K72*VLOOKUP(E72,GWPs!$B$3:$C$6,2,FALSE)</f>
        <v>0</v>
      </c>
      <c r="N72">
        <v>4</v>
      </c>
      <c r="O72">
        <v>2</v>
      </c>
      <c r="P72">
        <v>1</v>
      </c>
      <c r="Q72">
        <v>3</v>
      </c>
      <c r="R72">
        <v>1</v>
      </c>
      <c r="W72" s="226" t="s">
        <v>418</v>
      </c>
      <c r="X72" s="70" t="s">
        <v>417</v>
      </c>
      <c r="Y72" s="414">
        <v>0.72400000000000009</v>
      </c>
      <c r="Z72" s="70">
        <v>0.65700000000000003</v>
      </c>
      <c r="AA72" s="70">
        <v>6.7000000000000004E-2</v>
      </c>
      <c r="AB72" s="464" t="s">
        <v>4231</v>
      </c>
      <c r="AC72" s="415">
        <f t="shared" si="1"/>
        <v>9.2541436464088397E-2</v>
      </c>
      <c r="AD72" s="226" t="e">
        <f ca="1">_xlfn.XLOOKUP(X72,'USEEIO metadata'!$C$2:$C$393,'USEEIO metadata'!$H$2:$H$393)</f>
        <v>#NAME?</v>
      </c>
      <c r="AE72" s="226" t="e">
        <f ca="1">_xlfn.XLOOKUP(X72,'USEEIO metadata'!$C$2:$C$393,'USEEIO metadata'!$F$2:$F$393)</f>
        <v>#NAME?</v>
      </c>
      <c r="AF72" s="226" t="e">
        <f ca="1">_xlfn.XLOOKUP(X72,'USEEIO metadata'!$C$2:$C$393,'USEEIO metadata'!$G$2:$G$393)</f>
        <v>#NAME?</v>
      </c>
    </row>
    <row r="73" spans="1:32" ht="28.5">
      <c r="A73" t="str">
        <f>_xlfn.IFNA(IF(VLOOKUP(C73,'2016_Detail_Commodity_v1.0'!C:C,1,FALSE)=C73,"No change"),"Name changed")</f>
        <v>No change</v>
      </c>
      <c r="B73" t="s">
        <v>344</v>
      </c>
      <c r="C73" t="s">
        <v>345</v>
      </c>
      <c r="E73" t="s">
        <v>15</v>
      </c>
      <c r="F73" t="s">
        <v>16</v>
      </c>
      <c r="G73">
        <v>4.0000000000000001E-3</v>
      </c>
      <c r="H73" s="413">
        <f>G73*VLOOKUP(E73,GWPs!$B$3:$C$6,2,FALSE)</f>
        <v>4.0000000000000001E-3</v>
      </c>
      <c r="I73">
        <v>0</v>
      </c>
      <c r="J73" s="413">
        <f>I73*VLOOKUP(E73,GWPs!$B$3:$C$6,2,FALSE)</f>
        <v>0</v>
      </c>
      <c r="K73">
        <v>4.0000000000000001E-3</v>
      </c>
      <c r="L73" s="413">
        <f>K73*VLOOKUP(E73,GWPs!$B$3:$C$6,2,FALSE)</f>
        <v>4.0000000000000001E-3</v>
      </c>
      <c r="N73">
        <v>4</v>
      </c>
      <c r="O73">
        <v>2</v>
      </c>
      <c r="P73">
        <v>1</v>
      </c>
      <c r="Q73">
        <v>4</v>
      </c>
      <c r="R73">
        <v>1</v>
      </c>
      <c r="W73" s="226" t="s">
        <v>1621</v>
      </c>
      <c r="X73" s="70" t="s">
        <v>581</v>
      </c>
      <c r="Y73" s="414">
        <v>0.83800000000000008</v>
      </c>
      <c r="Z73" s="70">
        <v>0.80500000000000005</v>
      </c>
      <c r="AA73" s="70">
        <v>3.2000000000000001E-2</v>
      </c>
      <c r="AB73" s="464" t="s">
        <v>4230</v>
      </c>
      <c r="AC73" s="415">
        <f t="shared" si="1"/>
        <v>3.8186157517899756E-2</v>
      </c>
      <c r="AD73" s="226" t="e">
        <f ca="1">_xlfn.XLOOKUP(X73,'USEEIO metadata'!$C$2:$C$393,'USEEIO metadata'!$H$2:$H$393)</f>
        <v>#NAME?</v>
      </c>
      <c r="AE73" s="226" t="e">
        <f ca="1">_xlfn.XLOOKUP(X73,'USEEIO metadata'!$C$2:$C$393,'USEEIO metadata'!$F$2:$F$393)</f>
        <v>#NAME?</v>
      </c>
      <c r="AF73" s="226" t="e">
        <f ca="1">_xlfn.XLOOKUP(X73,'USEEIO metadata'!$C$2:$C$393,'USEEIO metadata'!$G$2:$G$393)</f>
        <v>#NAME?</v>
      </c>
    </row>
    <row r="74" spans="1:32">
      <c r="A74" t="str">
        <f>_xlfn.IFNA(IF(VLOOKUP(C74,'2016_Detail_Commodity_v1.0'!C:C,1,FALSE)=C74,"No change"),"Name changed")</f>
        <v>No change</v>
      </c>
      <c r="B74" t="s">
        <v>346</v>
      </c>
      <c r="C74" t="s">
        <v>347</v>
      </c>
      <c r="E74" t="s">
        <v>3653</v>
      </c>
      <c r="F74" t="s">
        <v>12</v>
      </c>
      <c r="G74">
        <v>0.52500000000000002</v>
      </c>
      <c r="H74" s="413">
        <f>G74*VLOOKUP(E74,GWPs!$B$3:$C$6,2,FALSE)</f>
        <v>0.52500000000000002</v>
      </c>
      <c r="I74">
        <v>0.16900000000000001</v>
      </c>
      <c r="J74" s="413">
        <f>I74*VLOOKUP(E74,GWPs!$B$3:$C$6,2,FALSE)</f>
        <v>0.16900000000000001</v>
      </c>
      <c r="K74">
        <v>0.69499999999999995</v>
      </c>
      <c r="L74" s="413">
        <f>K74*VLOOKUP(E74,GWPs!$B$3:$C$6,2,FALSE)</f>
        <v>0.69499999999999995</v>
      </c>
      <c r="N74">
        <v>4</v>
      </c>
      <c r="O74">
        <v>2</v>
      </c>
      <c r="P74">
        <v>1</v>
      </c>
      <c r="Q74">
        <v>4</v>
      </c>
      <c r="R74">
        <v>1</v>
      </c>
      <c r="W74" s="226" t="s">
        <v>341</v>
      </c>
      <c r="X74" s="70" t="s">
        <v>340</v>
      </c>
      <c r="Y74" s="414">
        <v>1.6419999999999999</v>
      </c>
      <c r="Z74" s="70">
        <v>1.5209999999999999</v>
      </c>
      <c r="AA74" s="70">
        <v>0.121</v>
      </c>
      <c r="AB74" s="464" t="s">
        <v>4230</v>
      </c>
      <c r="AC74" s="415">
        <f t="shared" si="1"/>
        <v>7.3690621193666261E-2</v>
      </c>
      <c r="AD74" s="226" t="e">
        <f ca="1">_xlfn.XLOOKUP(X74,'USEEIO metadata'!$C$2:$C$393,'USEEIO metadata'!$H$2:$H$393)</f>
        <v>#NAME?</v>
      </c>
      <c r="AE74" s="226" t="e">
        <f ca="1">_xlfn.XLOOKUP(X74,'USEEIO metadata'!$C$2:$C$393,'USEEIO metadata'!$F$2:$F$393)</f>
        <v>#NAME?</v>
      </c>
      <c r="AF74" s="226" t="e">
        <f ca="1">_xlfn.XLOOKUP(X74,'USEEIO metadata'!$C$2:$C$393,'USEEIO metadata'!$G$2:$G$393)</f>
        <v>#NAME?</v>
      </c>
    </row>
    <row r="75" spans="1:32">
      <c r="A75" t="str">
        <f>_xlfn.IFNA(IF(VLOOKUP(C75,'2016_Detail_Commodity_v1.0'!C:C,1,FALSE)=C75,"No change"),"Name changed")</f>
        <v>No change</v>
      </c>
      <c r="B75" t="s">
        <v>346</v>
      </c>
      <c r="C75" t="s">
        <v>347</v>
      </c>
      <c r="E75" t="s">
        <v>3654</v>
      </c>
      <c r="F75" t="s">
        <v>12</v>
      </c>
      <c r="G75">
        <v>2E-3</v>
      </c>
      <c r="H75" s="413">
        <f>G75*VLOOKUP(E75,GWPs!$B$3:$C$6,2,FALSE)</f>
        <v>5.6000000000000001E-2</v>
      </c>
      <c r="I75">
        <v>2E-3</v>
      </c>
      <c r="J75" s="413">
        <f>I75*VLOOKUP(E75,GWPs!$B$3:$C$6,2,FALSE)</f>
        <v>5.6000000000000001E-2</v>
      </c>
      <c r="K75">
        <v>4.0000000000000001E-3</v>
      </c>
      <c r="L75" s="413">
        <f>K75*VLOOKUP(E75,GWPs!$B$3:$C$6,2,FALSE)</f>
        <v>0.112</v>
      </c>
      <c r="N75">
        <v>4</v>
      </c>
      <c r="O75">
        <v>2</v>
      </c>
      <c r="P75">
        <v>1</v>
      </c>
      <c r="Q75">
        <v>1</v>
      </c>
      <c r="R75">
        <v>1</v>
      </c>
      <c r="W75" s="226" t="s">
        <v>388</v>
      </c>
      <c r="X75" s="70" t="s">
        <v>387</v>
      </c>
      <c r="Y75" s="414">
        <v>2.0049999999999999</v>
      </c>
      <c r="Z75" s="70">
        <v>1.94</v>
      </c>
      <c r="AA75" s="70">
        <v>9.2999999999999999E-2</v>
      </c>
      <c r="AB75" s="464" t="s">
        <v>4231</v>
      </c>
      <c r="AC75" s="415">
        <f t="shared" si="1"/>
        <v>4.6384039900249377E-2</v>
      </c>
      <c r="AD75" s="226" t="e">
        <f ca="1">_xlfn.XLOOKUP(X75,'USEEIO metadata'!$C$2:$C$393,'USEEIO metadata'!$H$2:$H$393)</f>
        <v>#NAME?</v>
      </c>
      <c r="AE75" s="226" t="e">
        <f ca="1">_xlfn.XLOOKUP(X75,'USEEIO metadata'!$C$2:$C$393,'USEEIO metadata'!$F$2:$F$393)</f>
        <v>#NAME?</v>
      </c>
      <c r="AF75" s="226" t="e">
        <f ca="1">_xlfn.XLOOKUP(X75,'USEEIO metadata'!$C$2:$C$393,'USEEIO metadata'!$G$2:$G$393)</f>
        <v>#NAME?</v>
      </c>
    </row>
    <row r="76" spans="1:32">
      <c r="A76" t="str">
        <f>_xlfn.IFNA(IF(VLOOKUP(C76,'2016_Detail_Commodity_v1.0'!C:C,1,FALSE)=C76,"No change"),"Name changed")</f>
        <v>No change</v>
      </c>
      <c r="B76" t="s">
        <v>346</v>
      </c>
      <c r="C76" t="s">
        <v>347</v>
      </c>
      <c r="E76" t="s">
        <v>3655</v>
      </c>
      <c r="F76" t="s">
        <v>12</v>
      </c>
      <c r="G76">
        <v>0</v>
      </c>
      <c r="H76" s="413">
        <f>G76*VLOOKUP(E76,GWPs!$B$3:$C$6,2,FALSE)</f>
        <v>0</v>
      </c>
      <c r="I76">
        <v>0</v>
      </c>
      <c r="J76" s="413">
        <f>I76*VLOOKUP(E76,GWPs!$B$3:$C$6,2,FALSE)</f>
        <v>0</v>
      </c>
      <c r="K76">
        <v>0</v>
      </c>
      <c r="L76" s="413">
        <f>K76*VLOOKUP(E76,GWPs!$B$3:$C$6,2,FALSE)</f>
        <v>0</v>
      </c>
      <c r="N76">
        <v>4</v>
      </c>
      <c r="O76">
        <v>2</v>
      </c>
      <c r="P76">
        <v>1</v>
      </c>
      <c r="Q76">
        <v>3</v>
      </c>
      <c r="R76">
        <v>1</v>
      </c>
      <c r="W76" s="226" t="s">
        <v>900</v>
      </c>
      <c r="X76" s="70" t="s">
        <v>899</v>
      </c>
      <c r="Y76" s="414">
        <v>0.49</v>
      </c>
      <c r="Z76" s="70">
        <v>0.49</v>
      </c>
      <c r="AA76" s="70">
        <v>0</v>
      </c>
      <c r="AB76" s="464" t="s">
        <v>4230</v>
      </c>
      <c r="AC76" s="415">
        <f t="shared" si="1"/>
        <v>0</v>
      </c>
      <c r="AD76" s="226" t="e">
        <f ca="1">_xlfn.XLOOKUP(X76,'USEEIO metadata'!$C$2:$C$393,'USEEIO metadata'!$H$2:$H$393)</f>
        <v>#NAME?</v>
      </c>
      <c r="AE76" s="226" t="e">
        <f ca="1">_xlfn.XLOOKUP(X76,'USEEIO metadata'!$C$2:$C$393,'USEEIO metadata'!$F$2:$F$393)</f>
        <v>#NAME?</v>
      </c>
      <c r="AF76" s="226" t="e">
        <f ca="1">_xlfn.XLOOKUP(X76,'USEEIO metadata'!$C$2:$C$393,'USEEIO metadata'!$G$2:$G$393)</f>
        <v>#NAME?</v>
      </c>
    </row>
    <row r="77" spans="1:32">
      <c r="A77" t="str">
        <f>_xlfn.IFNA(IF(VLOOKUP(C77,'2016_Detail_Commodity_v1.0'!C:C,1,FALSE)=C77,"No change"),"Name changed")</f>
        <v>No change</v>
      </c>
      <c r="B77" t="s">
        <v>346</v>
      </c>
      <c r="C77" t="s">
        <v>347</v>
      </c>
      <c r="E77" t="s">
        <v>15</v>
      </c>
      <c r="F77" t="s">
        <v>16</v>
      </c>
      <c r="G77">
        <v>4.0000000000000001E-3</v>
      </c>
      <c r="H77" s="413">
        <f>G77*VLOOKUP(E77,GWPs!$B$3:$C$6,2,FALSE)</f>
        <v>4.0000000000000001E-3</v>
      </c>
      <c r="I77">
        <v>0</v>
      </c>
      <c r="J77" s="413">
        <f>I77*VLOOKUP(E77,GWPs!$B$3:$C$6,2,FALSE)</f>
        <v>0</v>
      </c>
      <c r="K77">
        <v>4.0000000000000001E-3</v>
      </c>
      <c r="L77" s="413">
        <f>K77*VLOOKUP(E77,GWPs!$B$3:$C$6,2,FALSE)</f>
        <v>4.0000000000000001E-3</v>
      </c>
      <c r="N77">
        <v>3</v>
      </c>
      <c r="O77">
        <v>2</v>
      </c>
      <c r="P77">
        <v>1</v>
      </c>
      <c r="Q77">
        <v>4</v>
      </c>
      <c r="R77">
        <v>1</v>
      </c>
      <c r="W77" s="226" t="s">
        <v>448</v>
      </c>
      <c r="X77" s="70" t="s">
        <v>447</v>
      </c>
      <c r="Y77" s="414">
        <v>0.27</v>
      </c>
      <c r="Z77" s="70">
        <v>0.13400000000000001</v>
      </c>
      <c r="AA77" s="70">
        <v>0.13600000000000001</v>
      </c>
      <c r="AB77" s="464" t="s">
        <v>4231</v>
      </c>
      <c r="AC77" s="415">
        <f t="shared" si="1"/>
        <v>0.50370370370370365</v>
      </c>
      <c r="AD77" s="226" t="e">
        <f ca="1">_xlfn.XLOOKUP(X77,'USEEIO metadata'!$C$2:$C$393,'USEEIO metadata'!$H$2:$H$393)</f>
        <v>#NAME?</v>
      </c>
      <c r="AE77" s="226" t="e">
        <f ca="1">_xlfn.XLOOKUP(X77,'USEEIO metadata'!$C$2:$C$393,'USEEIO metadata'!$F$2:$F$393)</f>
        <v>#NAME?</v>
      </c>
      <c r="AF77" s="226" t="e">
        <f ca="1">_xlfn.XLOOKUP(X77,'USEEIO metadata'!$C$2:$C$393,'USEEIO metadata'!$G$2:$G$393)</f>
        <v>#NAME?</v>
      </c>
    </row>
    <row r="78" spans="1:32">
      <c r="A78" t="str">
        <f>_xlfn.IFNA(IF(VLOOKUP(C78,'2016_Detail_Commodity_v1.0'!C:C,1,FALSE)=C78,"No change"),"Name changed")</f>
        <v>No change</v>
      </c>
      <c r="B78" t="s">
        <v>348</v>
      </c>
      <c r="C78" t="s">
        <v>349</v>
      </c>
      <c r="E78" t="s">
        <v>3653</v>
      </c>
      <c r="F78" t="s">
        <v>12</v>
      </c>
      <c r="G78">
        <v>0.35099999999999998</v>
      </c>
      <c r="H78" s="413">
        <f>G78*VLOOKUP(E78,GWPs!$B$3:$C$6,2,FALSE)</f>
        <v>0.35099999999999998</v>
      </c>
      <c r="I78">
        <v>0</v>
      </c>
      <c r="J78" s="413">
        <f>I78*VLOOKUP(E78,GWPs!$B$3:$C$6,2,FALSE)</f>
        <v>0</v>
      </c>
      <c r="K78">
        <v>0.35099999999999998</v>
      </c>
      <c r="L78" s="413">
        <f>K78*VLOOKUP(E78,GWPs!$B$3:$C$6,2,FALSE)</f>
        <v>0.35099999999999998</v>
      </c>
      <c r="N78">
        <v>4</v>
      </c>
      <c r="O78">
        <v>2</v>
      </c>
      <c r="P78">
        <v>1</v>
      </c>
      <c r="Q78">
        <v>4</v>
      </c>
      <c r="R78">
        <v>1</v>
      </c>
      <c r="W78" s="226" t="s">
        <v>972</v>
      </c>
      <c r="X78" s="70" t="s">
        <v>971</v>
      </c>
      <c r="Y78" s="414">
        <v>9.1999999999999998E-2</v>
      </c>
      <c r="Z78" s="70">
        <v>9.1999999999999998E-2</v>
      </c>
      <c r="AA78" s="70">
        <v>0</v>
      </c>
      <c r="AB78" s="464" t="s">
        <v>4231</v>
      </c>
      <c r="AC78" s="415">
        <f t="shared" si="1"/>
        <v>0</v>
      </c>
      <c r="AD78" s="226" t="e">
        <f ca="1">_xlfn.XLOOKUP(X78,'USEEIO metadata'!$C$2:$C$393,'USEEIO metadata'!$H$2:$H$393)</f>
        <v>#NAME?</v>
      </c>
      <c r="AE78" s="226" t="e">
        <f ca="1">_xlfn.XLOOKUP(X78,'USEEIO metadata'!$C$2:$C$393,'USEEIO metadata'!$F$2:$F$393)</f>
        <v>#NAME?</v>
      </c>
      <c r="AF78" s="226" t="e">
        <f ca="1">_xlfn.XLOOKUP(X78,'USEEIO metadata'!$C$2:$C$393,'USEEIO metadata'!$G$2:$G$393)</f>
        <v>#NAME?</v>
      </c>
    </row>
    <row r="79" spans="1:32">
      <c r="A79" t="str">
        <f>_xlfn.IFNA(IF(VLOOKUP(C79,'2016_Detail_Commodity_v1.0'!C:C,1,FALSE)=C79,"No change"),"Name changed")</f>
        <v>No change</v>
      </c>
      <c r="B79" t="s">
        <v>348</v>
      </c>
      <c r="C79" t="s">
        <v>349</v>
      </c>
      <c r="E79" t="s">
        <v>3654</v>
      </c>
      <c r="F79" t="s">
        <v>12</v>
      </c>
      <c r="G79">
        <v>8.0000000000000002E-3</v>
      </c>
      <c r="H79" s="413">
        <f>G79*VLOOKUP(E79,GWPs!$B$3:$C$6,2,FALSE)</f>
        <v>0.224</v>
      </c>
      <c r="I79">
        <v>0</v>
      </c>
      <c r="J79" s="413">
        <f>I79*VLOOKUP(E79,GWPs!$B$3:$C$6,2,FALSE)</f>
        <v>0</v>
      </c>
      <c r="K79">
        <v>8.0000000000000002E-3</v>
      </c>
      <c r="L79" s="413">
        <f>K79*VLOOKUP(E79,GWPs!$B$3:$C$6,2,FALSE)</f>
        <v>0.224</v>
      </c>
      <c r="N79">
        <v>4</v>
      </c>
      <c r="O79">
        <v>2</v>
      </c>
      <c r="P79">
        <v>1</v>
      </c>
      <c r="Q79">
        <v>1</v>
      </c>
      <c r="R79">
        <v>1</v>
      </c>
      <c r="W79" s="226" t="s">
        <v>592</v>
      </c>
      <c r="X79" s="70" t="s">
        <v>591</v>
      </c>
      <c r="Y79" s="414">
        <v>0.80799999999999994</v>
      </c>
      <c r="Z79" s="70">
        <v>0.77800000000000002</v>
      </c>
      <c r="AA79" s="70">
        <v>0.03</v>
      </c>
      <c r="AB79" s="464" t="s">
        <v>4230</v>
      </c>
      <c r="AC79" s="415">
        <f t="shared" si="1"/>
        <v>3.7128712871287127E-2</v>
      </c>
      <c r="AD79" s="226" t="e">
        <f ca="1">_xlfn.XLOOKUP(X79,'USEEIO metadata'!$C$2:$C$393,'USEEIO metadata'!$H$2:$H$393)</f>
        <v>#NAME?</v>
      </c>
      <c r="AE79" s="226" t="e">
        <f ca="1">_xlfn.XLOOKUP(X79,'USEEIO metadata'!$C$2:$C$393,'USEEIO metadata'!$F$2:$F$393)</f>
        <v>#NAME?</v>
      </c>
      <c r="AF79" s="226" t="e">
        <f ca="1">_xlfn.XLOOKUP(X79,'USEEIO metadata'!$C$2:$C$393,'USEEIO metadata'!$G$2:$G$393)</f>
        <v>#NAME?</v>
      </c>
    </row>
    <row r="80" spans="1:32">
      <c r="A80" t="str">
        <f>_xlfn.IFNA(IF(VLOOKUP(C80,'2016_Detail_Commodity_v1.0'!C:C,1,FALSE)=C80,"No change"),"Name changed")</f>
        <v>No change</v>
      </c>
      <c r="B80" t="s">
        <v>348</v>
      </c>
      <c r="C80" t="s">
        <v>349</v>
      </c>
      <c r="E80" t="s">
        <v>3655</v>
      </c>
      <c r="F80" t="s">
        <v>12</v>
      </c>
      <c r="G80">
        <v>0</v>
      </c>
      <c r="H80" s="413">
        <f>G80*VLOOKUP(E80,GWPs!$B$3:$C$6,2,FALSE)</f>
        <v>0</v>
      </c>
      <c r="I80">
        <v>0</v>
      </c>
      <c r="J80" s="413">
        <f>I80*VLOOKUP(E80,GWPs!$B$3:$C$6,2,FALSE)</f>
        <v>0</v>
      </c>
      <c r="K80">
        <v>0</v>
      </c>
      <c r="L80" s="413">
        <f>K80*VLOOKUP(E80,GWPs!$B$3:$C$6,2,FALSE)</f>
        <v>0</v>
      </c>
      <c r="N80">
        <v>4</v>
      </c>
      <c r="O80">
        <v>2</v>
      </c>
      <c r="P80">
        <v>1</v>
      </c>
      <c r="Q80">
        <v>3</v>
      </c>
      <c r="R80">
        <v>1</v>
      </c>
      <c r="W80" s="226" t="s">
        <v>848</v>
      </c>
      <c r="X80" s="70" t="s">
        <v>847</v>
      </c>
      <c r="Y80" s="414">
        <v>0</v>
      </c>
      <c r="Z80" s="70">
        <v>0</v>
      </c>
      <c r="AA80" s="70">
        <v>0</v>
      </c>
      <c r="AB80" s="464" t="s">
        <v>4230</v>
      </c>
      <c r="AC80" s="415" t="str">
        <f t="shared" si="1"/>
        <v/>
      </c>
      <c r="AD80" s="226" t="e">
        <f ca="1">_xlfn.XLOOKUP(X80,'USEEIO metadata'!$C$2:$C$393,'USEEIO metadata'!$H$2:$H$393)</f>
        <v>#NAME?</v>
      </c>
      <c r="AE80" s="226" t="e">
        <f ca="1">_xlfn.XLOOKUP(X80,'USEEIO metadata'!$C$2:$C$393,'USEEIO metadata'!$F$2:$F$393)</f>
        <v>#NAME?</v>
      </c>
      <c r="AF80" s="226" t="e">
        <f ca="1">_xlfn.XLOOKUP(X80,'USEEIO metadata'!$C$2:$C$393,'USEEIO metadata'!$G$2:$G$393)</f>
        <v>#NAME?</v>
      </c>
    </row>
    <row r="81" spans="1:32">
      <c r="A81" t="str">
        <f>_xlfn.IFNA(IF(VLOOKUP(C81,'2016_Detail_Commodity_v1.0'!C:C,1,FALSE)=C81,"No change"),"Name changed")</f>
        <v>No change</v>
      </c>
      <c r="B81" t="s">
        <v>348</v>
      </c>
      <c r="C81" t="s">
        <v>349</v>
      </c>
      <c r="E81" t="s">
        <v>15</v>
      </c>
      <c r="F81" t="s">
        <v>16</v>
      </c>
      <c r="G81">
        <v>3.0000000000000001E-3</v>
      </c>
      <c r="H81" s="413">
        <f>G81*VLOOKUP(E81,GWPs!$B$3:$C$6,2,FALSE)</f>
        <v>3.0000000000000001E-3</v>
      </c>
      <c r="I81">
        <v>0</v>
      </c>
      <c r="J81" s="413">
        <f>I81*VLOOKUP(E81,GWPs!$B$3:$C$6,2,FALSE)</f>
        <v>0</v>
      </c>
      <c r="K81">
        <v>3.0000000000000001E-3</v>
      </c>
      <c r="L81" s="413">
        <f>K81*VLOOKUP(E81,GWPs!$B$3:$C$6,2,FALSE)</f>
        <v>3.0000000000000001E-3</v>
      </c>
      <c r="N81">
        <v>3</v>
      </c>
      <c r="O81">
        <v>2</v>
      </c>
      <c r="P81">
        <v>1</v>
      </c>
      <c r="Q81">
        <v>3</v>
      </c>
      <c r="R81">
        <v>1</v>
      </c>
      <c r="W81" s="226" t="s">
        <v>566</v>
      </c>
      <c r="X81" s="70" t="s">
        <v>565</v>
      </c>
      <c r="Y81" s="414">
        <v>0.32100000000000001</v>
      </c>
      <c r="Z81" s="70">
        <v>0.24399999999999999</v>
      </c>
      <c r="AA81" s="70">
        <v>0.106</v>
      </c>
      <c r="AB81" s="464" t="s">
        <v>4230</v>
      </c>
      <c r="AC81" s="415">
        <f t="shared" si="1"/>
        <v>0.33021806853582553</v>
      </c>
      <c r="AD81" s="226" t="e">
        <f ca="1">_xlfn.XLOOKUP(X81,'USEEIO metadata'!$C$2:$C$393,'USEEIO metadata'!$H$2:$H$393)</f>
        <v>#NAME?</v>
      </c>
      <c r="AE81" s="226" t="e">
        <f ca="1">_xlfn.XLOOKUP(X81,'USEEIO metadata'!$C$2:$C$393,'USEEIO metadata'!$F$2:$F$393)</f>
        <v>#NAME?</v>
      </c>
      <c r="AF81" s="226" t="e">
        <f ca="1">_xlfn.XLOOKUP(X81,'USEEIO metadata'!$C$2:$C$393,'USEEIO metadata'!$G$2:$G$393)</f>
        <v>#NAME?</v>
      </c>
    </row>
    <row r="82" spans="1:32">
      <c r="A82" t="str">
        <f>_xlfn.IFNA(IF(VLOOKUP(C82,'2016_Detail_Commodity_v1.0'!C:C,1,FALSE)=C82,"No change"),"Name changed")</f>
        <v>No change</v>
      </c>
      <c r="B82" t="s">
        <v>350</v>
      </c>
      <c r="C82" t="s">
        <v>351</v>
      </c>
      <c r="E82" t="s">
        <v>3653</v>
      </c>
      <c r="F82" t="s">
        <v>12</v>
      </c>
      <c r="G82">
        <v>0.42499999999999999</v>
      </c>
      <c r="H82" s="413">
        <f>G82*VLOOKUP(E82,GWPs!$B$3:$C$6,2,FALSE)</f>
        <v>0.42499999999999999</v>
      </c>
      <c r="I82">
        <v>0</v>
      </c>
      <c r="J82" s="413">
        <f>I82*VLOOKUP(E82,GWPs!$B$3:$C$6,2,FALSE)</f>
        <v>0</v>
      </c>
      <c r="K82">
        <v>0.42499999999999999</v>
      </c>
      <c r="L82" s="413">
        <f>K82*VLOOKUP(E82,GWPs!$B$3:$C$6,2,FALSE)</f>
        <v>0.42499999999999999</v>
      </c>
      <c r="N82">
        <v>4</v>
      </c>
      <c r="O82">
        <v>2</v>
      </c>
      <c r="P82">
        <v>1</v>
      </c>
      <c r="Q82">
        <v>4</v>
      </c>
      <c r="R82">
        <v>1</v>
      </c>
      <c r="W82" s="226" t="s">
        <v>598</v>
      </c>
      <c r="X82" s="70" t="s">
        <v>597</v>
      </c>
      <c r="Y82" s="414">
        <v>0.28000000000000003</v>
      </c>
      <c r="Z82" s="70">
        <v>0.20300000000000001</v>
      </c>
      <c r="AA82" s="70">
        <v>7.6999999999999999E-2</v>
      </c>
      <c r="AB82" s="464" t="s">
        <v>4230</v>
      </c>
      <c r="AC82" s="415">
        <f t="shared" si="1"/>
        <v>0.27499999999999997</v>
      </c>
      <c r="AD82" s="226" t="e">
        <f ca="1">_xlfn.XLOOKUP(X82,'USEEIO metadata'!$C$2:$C$393,'USEEIO metadata'!$H$2:$H$393)</f>
        <v>#NAME?</v>
      </c>
      <c r="AE82" s="226" t="e">
        <f ca="1">_xlfn.XLOOKUP(X82,'USEEIO metadata'!$C$2:$C$393,'USEEIO metadata'!$F$2:$F$393)</f>
        <v>#NAME?</v>
      </c>
      <c r="AF82" s="226" t="e">
        <f ca="1">_xlfn.XLOOKUP(X82,'USEEIO metadata'!$C$2:$C$393,'USEEIO metadata'!$G$2:$G$393)</f>
        <v>#NAME?</v>
      </c>
    </row>
    <row r="83" spans="1:32" ht="42.75">
      <c r="A83" t="str">
        <f>_xlfn.IFNA(IF(VLOOKUP(C83,'2016_Detail_Commodity_v1.0'!C:C,1,FALSE)=C83,"No change"),"Name changed")</f>
        <v>No change</v>
      </c>
      <c r="B83" t="s">
        <v>350</v>
      </c>
      <c r="C83" t="s">
        <v>351</v>
      </c>
      <c r="E83" t="s">
        <v>3654</v>
      </c>
      <c r="F83" t="s">
        <v>12</v>
      </c>
      <c r="G83">
        <v>8.0000000000000002E-3</v>
      </c>
      <c r="H83" s="413">
        <f>G83*VLOOKUP(E83,GWPs!$B$3:$C$6,2,FALSE)</f>
        <v>0.224</v>
      </c>
      <c r="I83">
        <v>0</v>
      </c>
      <c r="J83" s="413">
        <f>I83*VLOOKUP(E83,GWPs!$B$3:$C$6,2,FALSE)</f>
        <v>0</v>
      </c>
      <c r="K83">
        <v>8.0000000000000002E-3</v>
      </c>
      <c r="L83" s="413">
        <f>K83*VLOOKUP(E83,GWPs!$B$3:$C$6,2,FALSE)</f>
        <v>0.224</v>
      </c>
      <c r="N83">
        <v>4</v>
      </c>
      <c r="O83">
        <v>2</v>
      </c>
      <c r="P83">
        <v>1</v>
      </c>
      <c r="Q83">
        <v>1</v>
      </c>
      <c r="R83">
        <v>1</v>
      </c>
      <c r="W83" s="226" t="s">
        <v>662</v>
      </c>
      <c r="X83" s="70" t="s">
        <v>661</v>
      </c>
      <c r="Y83" s="414">
        <v>0.27700000000000002</v>
      </c>
      <c r="Z83" s="70">
        <v>0.248</v>
      </c>
      <c r="AA83" s="70">
        <v>2.9000000000000001E-2</v>
      </c>
      <c r="AB83" s="464" t="s">
        <v>4230</v>
      </c>
      <c r="AC83" s="415">
        <f t="shared" si="1"/>
        <v>0.10469314079422383</v>
      </c>
      <c r="AD83" s="226" t="e">
        <f ca="1">_xlfn.XLOOKUP(X83,'USEEIO metadata'!$C$2:$C$393,'USEEIO metadata'!$H$2:$H$393)</f>
        <v>#NAME?</v>
      </c>
      <c r="AE83" s="226" t="e">
        <f ca="1">_xlfn.XLOOKUP(X83,'USEEIO metadata'!$C$2:$C$393,'USEEIO metadata'!$F$2:$F$393)</f>
        <v>#NAME?</v>
      </c>
      <c r="AF83" s="226" t="e">
        <f ca="1">_xlfn.XLOOKUP(X83,'USEEIO metadata'!$C$2:$C$393,'USEEIO metadata'!$G$2:$G$393)</f>
        <v>#NAME?</v>
      </c>
    </row>
    <row r="84" spans="1:32">
      <c r="A84" t="str">
        <f>_xlfn.IFNA(IF(VLOOKUP(C84,'2016_Detail_Commodity_v1.0'!C:C,1,FALSE)=C84,"No change"),"Name changed")</f>
        <v>No change</v>
      </c>
      <c r="B84" t="s">
        <v>350</v>
      </c>
      <c r="C84" t="s">
        <v>351</v>
      </c>
      <c r="E84" t="s">
        <v>3655</v>
      </c>
      <c r="F84" t="s">
        <v>12</v>
      </c>
      <c r="G84">
        <v>0</v>
      </c>
      <c r="H84" s="413">
        <f>G84*VLOOKUP(E84,GWPs!$B$3:$C$6,2,FALSE)</f>
        <v>0</v>
      </c>
      <c r="I84">
        <v>0</v>
      </c>
      <c r="J84" s="413">
        <f>I84*VLOOKUP(E84,GWPs!$B$3:$C$6,2,FALSE)</f>
        <v>0</v>
      </c>
      <c r="K84">
        <v>0</v>
      </c>
      <c r="L84" s="413">
        <f>K84*VLOOKUP(E84,GWPs!$B$3:$C$6,2,FALSE)</f>
        <v>0</v>
      </c>
      <c r="N84">
        <v>4</v>
      </c>
      <c r="O84">
        <v>2</v>
      </c>
      <c r="P84">
        <v>1</v>
      </c>
      <c r="Q84">
        <v>3</v>
      </c>
      <c r="R84">
        <v>1</v>
      </c>
      <c r="W84" s="226" t="s">
        <v>323</v>
      </c>
      <c r="X84" s="70" t="s">
        <v>322</v>
      </c>
      <c r="Y84" s="414">
        <v>3.56</v>
      </c>
      <c r="Z84" s="70">
        <v>3.4630000000000005</v>
      </c>
      <c r="AA84" s="70">
        <v>9.7000000000000003E-2</v>
      </c>
      <c r="AB84" s="464" t="s">
        <v>4230</v>
      </c>
      <c r="AC84" s="415">
        <f t="shared" si="1"/>
        <v>2.7247191011235957E-2</v>
      </c>
      <c r="AD84" s="226" t="e">
        <f ca="1">_xlfn.XLOOKUP(X84,'USEEIO metadata'!$C$2:$C$393,'USEEIO metadata'!$H$2:$H$393)</f>
        <v>#NAME?</v>
      </c>
      <c r="AE84" s="226" t="e">
        <f ca="1">_xlfn.XLOOKUP(X84,'USEEIO metadata'!$C$2:$C$393,'USEEIO metadata'!$F$2:$F$393)</f>
        <v>#NAME?</v>
      </c>
      <c r="AF84" s="226" t="e">
        <f ca="1">_xlfn.XLOOKUP(X84,'USEEIO metadata'!$C$2:$C$393,'USEEIO metadata'!$G$2:$G$393)</f>
        <v>#NAME?</v>
      </c>
    </row>
    <row r="85" spans="1:32">
      <c r="A85" t="str">
        <f>_xlfn.IFNA(IF(VLOOKUP(C85,'2016_Detail_Commodity_v1.0'!C:C,1,FALSE)=C85,"No change"),"Name changed")</f>
        <v>No change</v>
      </c>
      <c r="B85" t="s">
        <v>350</v>
      </c>
      <c r="C85" t="s">
        <v>351</v>
      </c>
      <c r="E85" t="s">
        <v>15</v>
      </c>
      <c r="F85" t="s">
        <v>16</v>
      </c>
      <c r="G85">
        <v>4.0000000000000001E-3</v>
      </c>
      <c r="H85" s="413">
        <f>G85*VLOOKUP(E85,GWPs!$B$3:$C$6,2,FALSE)</f>
        <v>4.0000000000000001E-3</v>
      </c>
      <c r="I85">
        <v>0</v>
      </c>
      <c r="J85" s="413">
        <f>I85*VLOOKUP(E85,GWPs!$B$3:$C$6,2,FALSE)</f>
        <v>0</v>
      </c>
      <c r="K85">
        <v>4.0000000000000001E-3</v>
      </c>
      <c r="L85" s="413">
        <f>K85*VLOOKUP(E85,GWPs!$B$3:$C$6,2,FALSE)</f>
        <v>4.0000000000000001E-3</v>
      </c>
      <c r="N85">
        <v>3</v>
      </c>
      <c r="O85">
        <v>2</v>
      </c>
      <c r="P85">
        <v>1</v>
      </c>
      <c r="Q85">
        <v>3</v>
      </c>
      <c r="R85">
        <v>1</v>
      </c>
      <c r="W85" s="226" t="s">
        <v>930</v>
      </c>
      <c r="X85" s="70" t="s">
        <v>929</v>
      </c>
      <c r="Y85" s="414">
        <v>0.17500000000000002</v>
      </c>
      <c r="Z85" s="70">
        <v>0.17500000000000002</v>
      </c>
      <c r="AA85" s="70">
        <v>0</v>
      </c>
      <c r="AB85" s="464" t="s">
        <v>4231</v>
      </c>
      <c r="AC85" s="415">
        <f t="shared" si="1"/>
        <v>0</v>
      </c>
      <c r="AD85" s="226" t="e">
        <f ca="1">_xlfn.XLOOKUP(X85,'USEEIO metadata'!$C$2:$C$393,'USEEIO metadata'!$H$2:$H$393)</f>
        <v>#NAME?</v>
      </c>
      <c r="AE85" s="226" t="e">
        <f ca="1">_xlfn.XLOOKUP(X85,'USEEIO metadata'!$C$2:$C$393,'USEEIO metadata'!$F$2:$F$393)</f>
        <v>#NAME?</v>
      </c>
      <c r="AF85" s="226" t="e">
        <f ca="1">_xlfn.XLOOKUP(X85,'USEEIO metadata'!$C$2:$C$393,'USEEIO metadata'!$G$2:$G$393)</f>
        <v>#NAME?</v>
      </c>
    </row>
    <row r="86" spans="1:32">
      <c r="A86" t="str">
        <f>_xlfn.IFNA(IF(VLOOKUP(C86,'2016_Detail_Commodity_v1.0'!C:C,1,FALSE)=C86,"No change"),"Name changed")</f>
        <v>No change</v>
      </c>
      <c r="B86" t="s">
        <v>352</v>
      </c>
      <c r="C86" t="s">
        <v>353</v>
      </c>
      <c r="E86" t="s">
        <v>3653</v>
      </c>
      <c r="F86" t="s">
        <v>12</v>
      </c>
      <c r="G86">
        <v>3.8620000000000001</v>
      </c>
      <c r="H86" s="413">
        <f>G86*VLOOKUP(E86,GWPs!$B$3:$C$6,2,FALSE)</f>
        <v>3.8620000000000001</v>
      </c>
      <c r="I86">
        <v>0</v>
      </c>
      <c r="J86" s="413">
        <f>I86*VLOOKUP(E86,GWPs!$B$3:$C$6,2,FALSE)</f>
        <v>0</v>
      </c>
      <c r="K86">
        <v>3.8620000000000001</v>
      </c>
      <c r="L86" s="413">
        <f>K86*VLOOKUP(E86,GWPs!$B$3:$C$6,2,FALSE)</f>
        <v>3.8620000000000001</v>
      </c>
      <c r="N86">
        <v>2</v>
      </c>
      <c r="O86">
        <v>2</v>
      </c>
      <c r="P86">
        <v>1</v>
      </c>
      <c r="Q86">
        <v>2</v>
      </c>
      <c r="R86">
        <v>1</v>
      </c>
      <c r="W86" s="226" t="s">
        <v>830</v>
      </c>
      <c r="X86" s="70" t="s">
        <v>829</v>
      </c>
      <c r="Y86" s="414">
        <v>0.217</v>
      </c>
      <c r="Z86" s="70">
        <v>0.159</v>
      </c>
      <c r="AA86" s="70">
        <v>0.03</v>
      </c>
      <c r="AB86" s="464" t="s">
        <v>4230</v>
      </c>
      <c r="AC86" s="415">
        <f t="shared" si="1"/>
        <v>0.13824884792626727</v>
      </c>
      <c r="AD86" s="226" t="e">
        <f ca="1">_xlfn.XLOOKUP(X86,'USEEIO metadata'!$C$2:$C$393,'USEEIO metadata'!$H$2:$H$393)</f>
        <v>#NAME?</v>
      </c>
      <c r="AE86" s="226" t="e">
        <f ca="1">_xlfn.XLOOKUP(X86,'USEEIO metadata'!$C$2:$C$393,'USEEIO metadata'!$F$2:$F$393)</f>
        <v>#NAME?</v>
      </c>
      <c r="AF86" s="226" t="e">
        <f ca="1">_xlfn.XLOOKUP(X86,'USEEIO metadata'!$C$2:$C$393,'USEEIO metadata'!$G$2:$G$393)</f>
        <v>#NAME?</v>
      </c>
    </row>
    <row r="87" spans="1:32">
      <c r="A87" t="str">
        <f>_xlfn.IFNA(IF(VLOOKUP(C87,'2016_Detail_Commodity_v1.0'!C:C,1,FALSE)=C87,"No change"),"Name changed")</f>
        <v>No change</v>
      </c>
      <c r="B87" t="s">
        <v>352</v>
      </c>
      <c r="C87" t="s">
        <v>353</v>
      </c>
      <c r="E87" t="s">
        <v>3654</v>
      </c>
      <c r="F87" t="s">
        <v>12</v>
      </c>
      <c r="G87">
        <v>6.0000000000000001E-3</v>
      </c>
      <c r="H87" s="413">
        <f>G87*VLOOKUP(E87,GWPs!$B$3:$C$6,2,FALSE)</f>
        <v>0.16800000000000001</v>
      </c>
      <c r="I87">
        <v>0</v>
      </c>
      <c r="J87" s="413">
        <f>I87*VLOOKUP(E87,GWPs!$B$3:$C$6,2,FALSE)</f>
        <v>0</v>
      </c>
      <c r="K87">
        <v>6.0000000000000001E-3</v>
      </c>
      <c r="L87" s="413">
        <f>K87*VLOOKUP(E87,GWPs!$B$3:$C$6,2,FALSE)</f>
        <v>0.16800000000000001</v>
      </c>
      <c r="N87">
        <v>4</v>
      </c>
      <c r="O87">
        <v>2</v>
      </c>
      <c r="P87">
        <v>1</v>
      </c>
      <c r="Q87">
        <v>1</v>
      </c>
      <c r="R87">
        <v>1</v>
      </c>
      <c r="W87" s="226" t="s">
        <v>834</v>
      </c>
      <c r="X87" s="70" t="s">
        <v>833</v>
      </c>
      <c r="Y87" s="414">
        <v>0.12200000000000001</v>
      </c>
      <c r="Z87" s="70">
        <v>9.2999999999999999E-2</v>
      </c>
      <c r="AA87" s="70">
        <v>2.8000000000000001E-2</v>
      </c>
      <c r="AB87" s="464" t="s">
        <v>4230</v>
      </c>
      <c r="AC87" s="415">
        <f t="shared" si="1"/>
        <v>0.22950819672131145</v>
      </c>
      <c r="AD87" s="226" t="e">
        <f ca="1">_xlfn.XLOOKUP(X87,'USEEIO metadata'!$C$2:$C$393,'USEEIO metadata'!$H$2:$H$393)</f>
        <v>#NAME?</v>
      </c>
      <c r="AE87" s="226" t="e">
        <f ca="1">_xlfn.XLOOKUP(X87,'USEEIO metadata'!$C$2:$C$393,'USEEIO metadata'!$F$2:$F$393)</f>
        <v>#NAME?</v>
      </c>
      <c r="AF87" s="226" t="e">
        <f ca="1">_xlfn.XLOOKUP(X87,'USEEIO metadata'!$C$2:$C$393,'USEEIO metadata'!$G$2:$G$393)</f>
        <v>#NAME?</v>
      </c>
    </row>
    <row r="88" spans="1:32">
      <c r="A88" t="str">
        <f>_xlfn.IFNA(IF(VLOOKUP(C88,'2016_Detail_Commodity_v1.0'!C:C,1,FALSE)=C88,"No change"),"Name changed")</f>
        <v>No change</v>
      </c>
      <c r="B88" t="s">
        <v>352</v>
      </c>
      <c r="C88" t="s">
        <v>353</v>
      </c>
      <c r="E88" t="s">
        <v>3655</v>
      </c>
      <c r="F88" t="s">
        <v>12</v>
      </c>
      <c r="G88">
        <v>0</v>
      </c>
      <c r="H88" s="413">
        <f>G88*VLOOKUP(E88,GWPs!$B$3:$C$6,2,FALSE)</f>
        <v>0</v>
      </c>
      <c r="I88">
        <v>0</v>
      </c>
      <c r="J88" s="413">
        <f>I88*VLOOKUP(E88,GWPs!$B$3:$C$6,2,FALSE)</f>
        <v>0</v>
      </c>
      <c r="K88">
        <v>0</v>
      </c>
      <c r="L88" s="413">
        <f>K88*VLOOKUP(E88,GWPs!$B$3:$C$6,2,FALSE)</f>
        <v>0</v>
      </c>
      <c r="N88">
        <v>3</v>
      </c>
      <c r="O88">
        <v>2</v>
      </c>
      <c r="P88">
        <v>1</v>
      </c>
      <c r="Q88">
        <v>2</v>
      </c>
      <c r="R88">
        <v>1</v>
      </c>
      <c r="W88" s="226" t="s">
        <v>1020</v>
      </c>
      <c r="X88" s="70" t="s">
        <v>1019</v>
      </c>
      <c r="Y88" s="414">
        <v>9.1999999999999998E-2</v>
      </c>
      <c r="Z88" s="70">
        <v>9.1999999999999998E-2</v>
      </c>
      <c r="AA88" s="70">
        <v>0</v>
      </c>
      <c r="AB88" s="464" t="s">
        <v>4230</v>
      </c>
      <c r="AC88" s="415">
        <f t="shared" si="1"/>
        <v>0</v>
      </c>
      <c r="AD88" s="226" t="e">
        <f ca="1">_xlfn.XLOOKUP(X88,'USEEIO metadata'!$C$2:$C$393,'USEEIO metadata'!$H$2:$H$393)</f>
        <v>#NAME?</v>
      </c>
      <c r="AE88" s="226" t="e">
        <f ca="1">_xlfn.XLOOKUP(X88,'USEEIO metadata'!$C$2:$C$393,'USEEIO metadata'!$F$2:$F$393)</f>
        <v>#NAME?</v>
      </c>
      <c r="AF88" s="226" t="e">
        <f ca="1">_xlfn.XLOOKUP(X88,'USEEIO metadata'!$C$2:$C$393,'USEEIO metadata'!$G$2:$G$393)</f>
        <v>#NAME?</v>
      </c>
    </row>
    <row r="89" spans="1:32">
      <c r="A89" t="str">
        <f>_xlfn.IFNA(IF(VLOOKUP(C89,'2016_Detail_Commodity_v1.0'!C:C,1,FALSE)=C89,"No change"),"Name changed")</f>
        <v>No change</v>
      </c>
      <c r="B89" t="s">
        <v>352</v>
      </c>
      <c r="C89" t="s">
        <v>353</v>
      </c>
      <c r="E89" t="s">
        <v>15</v>
      </c>
      <c r="F89" t="s">
        <v>16</v>
      </c>
      <c r="G89">
        <v>1.2999999999999999E-2</v>
      </c>
      <c r="H89" s="413">
        <f>G89*VLOOKUP(E89,GWPs!$B$3:$C$6,2,FALSE)</f>
        <v>1.2999999999999999E-2</v>
      </c>
      <c r="I89">
        <v>0</v>
      </c>
      <c r="J89" s="413">
        <f>I89*VLOOKUP(E89,GWPs!$B$3:$C$6,2,FALSE)</f>
        <v>0</v>
      </c>
      <c r="K89">
        <v>1.2999999999999999E-2</v>
      </c>
      <c r="L89" s="413">
        <f>K89*VLOOKUP(E89,GWPs!$B$3:$C$6,2,FALSE)</f>
        <v>1.2999999999999999E-2</v>
      </c>
      <c r="N89">
        <v>2</v>
      </c>
      <c r="O89">
        <v>2</v>
      </c>
      <c r="P89">
        <v>1</v>
      </c>
      <c r="Q89">
        <v>2</v>
      </c>
      <c r="R89">
        <v>1</v>
      </c>
      <c r="W89" s="226" t="s">
        <v>345</v>
      </c>
      <c r="X89" s="70" t="s">
        <v>344</v>
      </c>
      <c r="Y89" s="414">
        <v>0.42699999999999999</v>
      </c>
      <c r="Z89" s="70">
        <v>0.30200000000000005</v>
      </c>
      <c r="AA89" s="70">
        <v>0.125</v>
      </c>
      <c r="AB89" s="464" t="s">
        <v>4230</v>
      </c>
      <c r="AC89" s="415">
        <f t="shared" si="1"/>
        <v>0.29274004683840749</v>
      </c>
      <c r="AD89" s="226" t="e">
        <f ca="1">_xlfn.XLOOKUP(X89,'USEEIO metadata'!$C$2:$C$393,'USEEIO metadata'!$H$2:$H$393)</f>
        <v>#NAME?</v>
      </c>
      <c r="AE89" s="226" t="e">
        <f ca="1">_xlfn.XLOOKUP(X89,'USEEIO metadata'!$C$2:$C$393,'USEEIO metadata'!$F$2:$F$393)</f>
        <v>#NAME?</v>
      </c>
      <c r="AF89" s="226" t="e">
        <f ca="1">_xlfn.XLOOKUP(X89,'USEEIO metadata'!$C$2:$C$393,'USEEIO metadata'!$G$2:$G$393)</f>
        <v>#NAME?</v>
      </c>
    </row>
    <row r="90" spans="1:32">
      <c r="A90" t="str">
        <f>_xlfn.IFNA(IF(VLOOKUP(C90,'2016_Detail_Commodity_v1.0'!C:C,1,FALSE)=C90,"No change"),"Name changed")</f>
        <v>No change</v>
      </c>
      <c r="B90" t="s">
        <v>354</v>
      </c>
      <c r="C90" t="s">
        <v>249</v>
      </c>
      <c r="E90" t="s">
        <v>3653</v>
      </c>
      <c r="F90" t="s">
        <v>12</v>
      </c>
      <c r="G90">
        <v>0.50600000000000001</v>
      </c>
      <c r="H90" s="413">
        <f>G90*VLOOKUP(E90,GWPs!$B$3:$C$6,2,FALSE)</f>
        <v>0.50600000000000001</v>
      </c>
      <c r="I90">
        <v>0</v>
      </c>
      <c r="J90" s="413">
        <f>I90*VLOOKUP(E90,GWPs!$B$3:$C$6,2,FALSE)</f>
        <v>0</v>
      </c>
      <c r="K90">
        <v>0.50600000000000001</v>
      </c>
      <c r="L90" s="413">
        <f>K90*VLOOKUP(E90,GWPs!$B$3:$C$6,2,FALSE)</f>
        <v>0.50600000000000001</v>
      </c>
      <c r="N90">
        <v>3</v>
      </c>
      <c r="O90">
        <v>2</v>
      </c>
      <c r="P90">
        <v>1</v>
      </c>
      <c r="Q90">
        <v>2</v>
      </c>
      <c r="R90">
        <v>1</v>
      </c>
      <c r="W90" s="226" t="s">
        <v>942</v>
      </c>
      <c r="X90" s="70" t="s">
        <v>941</v>
      </c>
      <c r="Y90" s="414">
        <v>2.5000000000000001E-2</v>
      </c>
      <c r="Z90" s="70">
        <v>2.5000000000000001E-2</v>
      </c>
      <c r="AA90" s="70">
        <v>0</v>
      </c>
      <c r="AB90" s="464" t="s">
        <v>4230</v>
      </c>
      <c r="AC90" s="415">
        <f t="shared" si="1"/>
        <v>0</v>
      </c>
      <c r="AD90" s="226" t="e">
        <f ca="1">_xlfn.XLOOKUP(X90,'USEEIO metadata'!$C$2:$C$393,'USEEIO metadata'!$H$2:$H$393)</f>
        <v>#NAME?</v>
      </c>
      <c r="AE90" s="226" t="e">
        <f ca="1">_xlfn.XLOOKUP(X90,'USEEIO metadata'!$C$2:$C$393,'USEEIO metadata'!$F$2:$F$393)</f>
        <v>#NAME?</v>
      </c>
      <c r="AF90" s="226" t="e">
        <f ca="1">_xlfn.XLOOKUP(X90,'USEEIO metadata'!$C$2:$C$393,'USEEIO metadata'!$G$2:$G$393)</f>
        <v>#NAME?</v>
      </c>
    </row>
    <row r="91" spans="1:32" ht="28.5">
      <c r="A91" t="str">
        <f>_xlfn.IFNA(IF(VLOOKUP(C91,'2016_Detail_Commodity_v1.0'!C:C,1,FALSE)=C91,"No change"),"Name changed")</f>
        <v>No change</v>
      </c>
      <c r="B91" t="s">
        <v>354</v>
      </c>
      <c r="C91" t="s">
        <v>249</v>
      </c>
      <c r="E91" t="s">
        <v>3654</v>
      </c>
      <c r="F91" t="s">
        <v>12</v>
      </c>
      <c r="G91">
        <v>8.9999999999999993E-3</v>
      </c>
      <c r="H91" s="413">
        <f>G91*VLOOKUP(E91,GWPs!$B$3:$C$6,2,FALSE)</f>
        <v>0.252</v>
      </c>
      <c r="I91">
        <v>0</v>
      </c>
      <c r="J91" s="413">
        <f>I91*VLOOKUP(E91,GWPs!$B$3:$C$6,2,FALSE)</f>
        <v>0</v>
      </c>
      <c r="K91">
        <v>8.9999999999999993E-3</v>
      </c>
      <c r="L91" s="413">
        <f>K91*VLOOKUP(E91,GWPs!$B$3:$C$6,2,FALSE)</f>
        <v>0.252</v>
      </c>
      <c r="N91">
        <v>4</v>
      </c>
      <c r="O91">
        <v>2</v>
      </c>
      <c r="P91">
        <v>1</v>
      </c>
      <c r="Q91">
        <v>1</v>
      </c>
      <c r="R91">
        <v>1</v>
      </c>
      <c r="W91" s="226" t="s">
        <v>912</v>
      </c>
      <c r="X91" s="70" t="s">
        <v>911</v>
      </c>
      <c r="Y91" s="414">
        <v>0.191</v>
      </c>
      <c r="Z91" s="70">
        <v>9.5000000000000001E-2</v>
      </c>
      <c r="AA91" s="70">
        <v>6.8000000000000005E-2</v>
      </c>
      <c r="AB91" s="464" t="s">
        <v>4230</v>
      </c>
      <c r="AC91" s="415">
        <f t="shared" si="1"/>
        <v>0.35602094240837701</v>
      </c>
      <c r="AD91" s="226" t="e">
        <f ca="1">_xlfn.XLOOKUP(X91,'USEEIO metadata'!$C$2:$C$393,'USEEIO metadata'!$H$2:$H$393)</f>
        <v>#NAME?</v>
      </c>
      <c r="AE91" s="226" t="e">
        <f ca="1">_xlfn.XLOOKUP(X91,'USEEIO metadata'!$C$2:$C$393,'USEEIO metadata'!$F$2:$F$393)</f>
        <v>#NAME?</v>
      </c>
      <c r="AF91" s="226" t="e">
        <f ca="1">_xlfn.XLOOKUP(X91,'USEEIO metadata'!$C$2:$C$393,'USEEIO metadata'!$G$2:$G$393)</f>
        <v>#NAME?</v>
      </c>
    </row>
    <row r="92" spans="1:32">
      <c r="A92" t="str">
        <f>_xlfn.IFNA(IF(VLOOKUP(C92,'2016_Detail_Commodity_v1.0'!C:C,1,FALSE)=C92,"No change"),"Name changed")</f>
        <v>No change</v>
      </c>
      <c r="B92" t="s">
        <v>354</v>
      </c>
      <c r="C92" t="s">
        <v>249</v>
      </c>
      <c r="E92" t="s">
        <v>3655</v>
      </c>
      <c r="F92" t="s">
        <v>12</v>
      </c>
      <c r="G92">
        <v>0</v>
      </c>
      <c r="H92" s="413">
        <f>G92*VLOOKUP(E92,GWPs!$B$3:$C$6,2,FALSE)</f>
        <v>0</v>
      </c>
      <c r="I92">
        <v>0</v>
      </c>
      <c r="J92" s="413">
        <f>I92*VLOOKUP(E92,GWPs!$B$3:$C$6,2,FALSE)</f>
        <v>0</v>
      </c>
      <c r="K92">
        <v>0</v>
      </c>
      <c r="L92" s="413">
        <f>K92*VLOOKUP(E92,GWPs!$B$3:$C$6,2,FALSE)</f>
        <v>0</v>
      </c>
      <c r="N92">
        <v>3</v>
      </c>
      <c r="O92">
        <v>2</v>
      </c>
      <c r="P92">
        <v>1</v>
      </c>
      <c r="Q92">
        <v>2</v>
      </c>
      <c r="R92">
        <v>1</v>
      </c>
      <c r="W92" s="226" t="s">
        <v>436</v>
      </c>
      <c r="X92" s="70" t="s">
        <v>435</v>
      </c>
      <c r="Y92" s="414">
        <v>0.437</v>
      </c>
      <c r="Z92" s="70">
        <v>0.33700000000000002</v>
      </c>
      <c r="AA92" s="70">
        <v>7.1999999999999995E-2</v>
      </c>
      <c r="AB92" s="464" t="s">
        <v>4230</v>
      </c>
      <c r="AC92" s="415">
        <f t="shared" si="1"/>
        <v>0.16475972540045766</v>
      </c>
      <c r="AD92" s="226" t="e">
        <f ca="1">_xlfn.XLOOKUP(X92,'USEEIO metadata'!$C$2:$C$393,'USEEIO metadata'!$H$2:$H$393)</f>
        <v>#NAME?</v>
      </c>
      <c r="AE92" s="226" t="e">
        <f ca="1">_xlfn.XLOOKUP(X92,'USEEIO metadata'!$C$2:$C$393,'USEEIO metadata'!$F$2:$F$393)</f>
        <v>#NAME?</v>
      </c>
      <c r="AF92" s="226" t="e">
        <f ca="1">_xlfn.XLOOKUP(X92,'USEEIO metadata'!$C$2:$C$393,'USEEIO metadata'!$G$2:$G$393)</f>
        <v>#NAME?</v>
      </c>
    </row>
    <row r="93" spans="1:32">
      <c r="A93" t="str">
        <f>_xlfn.IFNA(IF(VLOOKUP(C93,'2016_Detail_Commodity_v1.0'!C:C,1,FALSE)=C93,"No change"),"Name changed")</f>
        <v>No change</v>
      </c>
      <c r="B93" t="s">
        <v>354</v>
      </c>
      <c r="C93" t="s">
        <v>249</v>
      </c>
      <c r="E93" t="s">
        <v>15</v>
      </c>
      <c r="F93" t="s">
        <v>16</v>
      </c>
      <c r="G93">
        <v>4.0000000000000001E-3</v>
      </c>
      <c r="H93" s="413">
        <f>G93*VLOOKUP(E93,GWPs!$B$3:$C$6,2,FALSE)</f>
        <v>4.0000000000000001E-3</v>
      </c>
      <c r="I93">
        <v>0</v>
      </c>
      <c r="J93" s="413">
        <f>I93*VLOOKUP(E93,GWPs!$B$3:$C$6,2,FALSE)</f>
        <v>0</v>
      </c>
      <c r="K93">
        <v>4.0000000000000001E-3</v>
      </c>
      <c r="L93" s="413">
        <f>K93*VLOOKUP(E93,GWPs!$B$3:$C$6,2,FALSE)</f>
        <v>4.0000000000000001E-3</v>
      </c>
      <c r="N93">
        <v>4</v>
      </c>
      <c r="O93">
        <v>2</v>
      </c>
      <c r="P93">
        <v>1</v>
      </c>
      <c r="Q93">
        <v>4</v>
      </c>
      <c r="R93">
        <v>1</v>
      </c>
      <c r="W93" s="226" t="s">
        <v>382</v>
      </c>
      <c r="X93" s="70" t="s">
        <v>381</v>
      </c>
      <c r="Y93" s="414">
        <v>0.73199999999999998</v>
      </c>
      <c r="Z93" s="70">
        <v>0.63300000000000001</v>
      </c>
      <c r="AA93" s="70">
        <v>7.0000000000000007E-2</v>
      </c>
      <c r="AB93" s="464" t="s">
        <v>4230</v>
      </c>
      <c r="AC93" s="415">
        <f t="shared" si="1"/>
        <v>9.5628415300546457E-2</v>
      </c>
      <c r="AD93" s="226" t="e">
        <f ca="1">_xlfn.XLOOKUP(X93,'USEEIO metadata'!$C$2:$C$393,'USEEIO metadata'!$H$2:$H$393)</f>
        <v>#NAME?</v>
      </c>
      <c r="AE93" s="226" t="e">
        <f ca="1">_xlfn.XLOOKUP(X93,'USEEIO metadata'!$C$2:$C$393,'USEEIO metadata'!$F$2:$F$393)</f>
        <v>#NAME?</v>
      </c>
      <c r="AF93" s="226" t="e">
        <f ca="1">_xlfn.XLOOKUP(X93,'USEEIO metadata'!$C$2:$C$393,'USEEIO metadata'!$G$2:$G$393)</f>
        <v>#NAME?</v>
      </c>
    </row>
    <row r="94" spans="1:32">
      <c r="A94" t="str">
        <f>_xlfn.IFNA(IF(VLOOKUP(C94,'2016_Detail_Commodity_v1.0'!C:C,1,FALSE)=C94,"No change"),"Name changed")</f>
        <v>No change</v>
      </c>
      <c r="B94" t="s">
        <v>355</v>
      </c>
      <c r="C94" t="s">
        <v>356</v>
      </c>
      <c r="E94" t="s">
        <v>3653</v>
      </c>
      <c r="F94" t="s">
        <v>12</v>
      </c>
      <c r="G94">
        <v>0.33500000000000002</v>
      </c>
      <c r="H94" s="413">
        <f>G94*VLOOKUP(E94,GWPs!$B$3:$C$6,2,FALSE)</f>
        <v>0.33500000000000002</v>
      </c>
      <c r="I94">
        <v>0</v>
      </c>
      <c r="J94" s="413">
        <f>I94*VLOOKUP(E94,GWPs!$B$3:$C$6,2,FALSE)</f>
        <v>0</v>
      </c>
      <c r="K94">
        <v>0.33500000000000002</v>
      </c>
      <c r="L94" s="413">
        <f>K94*VLOOKUP(E94,GWPs!$B$3:$C$6,2,FALSE)</f>
        <v>0.33500000000000002</v>
      </c>
      <c r="N94">
        <v>3</v>
      </c>
      <c r="O94">
        <v>2</v>
      </c>
      <c r="P94">
        <v>1</v>
      </c>
      <c r="Q94">
        <v>3</v>
      </c>
      <c r="R94">
        <v>1</v>
      </c>
      <c r="W94" s="226" t="s">
        <v>840</v>
      </c>
      <c r="X94" s="70" t="s">
        <v>839</v>
      </c>
      <c r="Y94" s="414">
        <v>0.254</v>
      </c>
      <c r="Z94" s="70">
        <v>9.9999999999999992E-2</v>
      </c>
      <c r="AA94" s="70">
        <v>0.154</v>
      </c>
      <c r="AB94" s="464" t="s">
        <v>4230</v>
      </c>
      <c r="AC94" s="415">
        <f t="shared" si="1"/>
        <v>0.60629921259842523</v>
      </c>
      <c r="AD94" s="226" t="e">
        <f ca="1">_xlfn.XLOOKUP(X94,'USEEIO metadata'!$C$2:$C$393,'USEEIO metadata'!$H$2:$H$393)</f>
        <v>#NAME?</v>
      </c>
      <c r="AE94" s="226" t="e">
        <f ca="1">_xlfn.XLOOKUP(X94,'USEEIO metadata'!$C$2:$C$393,'USEEIO metadata'!$F$2:$F$393)</f>
        <v>#NAME?</v>
      </c>
      <c r="AF94" s="226" t="e">
        <f ca="1">_xlfn.XLOOKUP(X94,'USEEIO metadata'!$C$2:$C$393,'USEEIO metadata'!$G$2:$G$393)</f>
        <v>#NAME?</v>
      </c>
    </row>
    <row r="95" spans="1:32" ht="28.5">
      <c r="A95" t="str">
        <f>_xlfn.IFNA(IF(VLOOKUP(C95,'2016_Detail_Commodity_v1.0'!C:C,1,FALSE)=C95,"No change"),"Name changed")</f>
        <v>No change</v>
      </c>
      <c r="B95" t="s">
        <v>355</v>
      </c>
      <c r="C95" t="s">
        <v>356</v>
      </c>
      <c r="E95" t="s">
        <v>3654</v>
      </c>
      <c r="F95" t="s">
        <v>12</v>
      </c>
      <c r="G95">
        <v>8.0000000000000002E-3</v>
      </c>
      <c r="H95" s="413">
        <f>G95*VLOOKUP(E95,GWPs!$B$3:$C$6,2,FALSE)</f>
        <v>0.224</v>
      </c>
      <c r="I95">
        <v>0</v>
      </c>
      <c r="J95" s="413">
        <f>I95*VLOOKUP(E95,GWPs!$B$3:$C$6,2,FALSE)</f>
        <v>0</v>
      </c>
      <c r="K95">
        <v>8.0000000000000002E-3</v>
      </c>
      <c r="L95" s="413">
        <f>K95*VLOOKUP(E95,GWPs!$B$3:$C$6,2,FALSE)</f>
        <v>0.224</v>
      </c>
      <c r="N95">
        <v>4</v>
      </c>
      <c r="O95">
        <v>2</v>
      </c>
      <c r="P95">
        <v>1</v>
      </c>
      <c r="Q95">
        <v>1</v>
      </c>
      <c r="R95">
        <v>1</v>
      </c>
      <c r="W95" s="226" t="s">
        <v>356</v>
      </c>
      <c r="X95" s="70" t="s">
        <v>355</v>
      </c>
      <c r="Y95" s="414">
        <v>0.56800000000000006</v>
      </c>
      <c r="Z95" s="70">
        <v>0.56800000000000006</v>
      </c>
      <c r="AA95" s="70">
        <v>0</v>
      </c>
      <c r="AB95" s="464" t="s">
        <v>4230</v>
      </c>
      <c r="AC95" s="415">
        <f t="shared" si="1"/>
        <v>0</v>
      </c>
      <c r="AD95" s="226" t="e">
        <f ca="1">_xlfn.XLOOKUP(X95,'USEEIO metadata'!$C$2:$C$393,'USEEIO metadata'!$H$2:$H$393)</f>
        <v>#NAME?</v>
      </c>
      <c r="AE95" s="226" t="e">
        <f ca="1">_xlfn.XLOOKUP(X95,'USEEIO metadata'!$C$2:$C$393,'USEEIO metadata'!$F$2:$F$393)</f>
        <v>#NAME?</v>
      </c>
      <c r="AF95" s="226" t="e">
        <f ca="1">_xlfn.XLOOKUP(X95,'USEEIO metadata'!$C$2:$C$393,'USEEIO metadata'!$G$2:$G$393)</f>
        <v>#NAME?</v>
      </c>
    </row>
    <row r="96" spans="1:32">
      <c r="A96" t="str">
        <f>_xlfn.IFNA(IF(VLOOKUP(C96,'2016_Detail_Commodity_v1.0'!C:C,1,FALSE)=C96,"No change"),"Name changed")</f>
        <v>No change</v>
      </c>
      <c r="B96" t="s">
        <v>355</v>
      </c>
      <c r="C96" t="s">
        <v>356</v>
      </c>
      <c r="E96" t="s">
        <v>3655</v>
      </c>
      <c r="F96" t="s">
        <v>12</v>
      </c>
      <c r="G96">
        <v>0</v>
      </c>
      <c r="H96" s="413">
        <f>G96*VLOOKUP(E96,GWPs!$B$3:$C$6,2,FALSE)</f>
        <v>0</v>
      </c>
      <c r="I96">
        <v>0</v>
      </c>
      <c r="J96" s="413">
        <f>I96*VLOOKUP(E96,GWPs!$B$3:$C$6,2,FALSE)</f>
        <v>0</v>
      </c>
      <c r="K96">
        <v>0</v>
      </c>
      <c r="L96" s="413">
        <f>K96*VLOOKUP(E96,GWPs!$B$3:$C$6,2,FALSE)</f>
        <v>0</v>
      </c>
      <c r="N96">
        <v>4</v>
      </c>
      <c r="O96">
        <v>2</v>
      </c>
      <c r="P96">
        <v>1</v>
      </c>
      <c r="Q96">
        <v>1</v>
      </c>
      <c r="R96">
        <v>1</v>
      </c>
      <c r="W96" s="226" t="s">
        <v>860</v>
      </c>
      <c r="X96" s="70" t="s">
        <v>859</v>
      </c>
      <c r="Y96" s="414">
        <v>0.17</v>
      </c>
      <c r="Z96" s="70">
        <v>0.17</v>
      </c>
      <c r="AA96" s="70">
        <v>0</v>
      </c>
      <c r="AB96" s="464" t="s">
        <v>4230</v>
      </c>
      <c r="AC96" s="415">
        <f t="shared" si="1"/>
        <v>0</v>
      </c>
      <c r="AD96" s="226" t="e">
        <f ca="1">_xlfn.XLOOKUP(X96,'USEEIO metadata'!$C$2:$C$393,'USEEIO metadata'!$H$2:$H$393)</f>
        <v>#NAME?</v>
      </c>
      <c r="AE96" s="226" t="e">
        <f ca="1">_xlfn.XLOOKUP(X96,'USEEIO metadata'!$C$2:$C$393,'USEEIO metadata'!$F$2:$F$393)</f>
        <v>#NAME?</v>
      </c>
      <c r="AF96" s="226" t="e">
        <f ca="1">_xlfn.XLOOKUP(X96,'USEEIO metadata'!$C$2:$C$393,'USEEIO metadata'!$G$2:$G$393)</f>
        <v>#NAME?</v>
      </c>
    </row>
    <row r="97" spans="1:32" ht="28.5">
      <c r="A97" t="str">
        <f>_xlfn.IFNA(IF(VLOOKUP(C97,'2016_Detail_Commodity_v1.0'!C:C,1,FALSE)=C97,"No change"),"Name changed")</f>
        <v>No change</v>
      </c>
      <c r="B97" t="s">
        <v>355</v>
      </c>
      <c r="C97" t="s">
        <v>356</v>
      </c>
      <c r="E97" t="s">
        <v>15</v>
      </c>
      <c r="F97" t="s">
        <v>16</v>
      </c>
      <c r="G97">
        <v>8.9999999999999993E-3</v>
      </c>
      <c r="H97" s="413">
        <f>G97*VLOOKUP(E97,GWPs!$B$3:$C$6,2,FALSE)</f>
        <v>8.9999999999999993E-3</v>
      </c>
      <c r="I97">
        <v>0</v>
      </c>
      <c r="J97" s="413">
        <f>I97*VLOOKUP(E97,GWPs!$B$3:$C$6,2,FALSE)</f>
        <v>0</v>
      </c>
      <c r="K97">
        <v>8.9999999999999993E-3</v>
      </c>
      <c r="L97" s="413">
        <f>K97*VLOOKUP(E97,GWPs!$B$3:$C$6,2,FALSE)</f>
        <v>8.9999999999999993E-3</v>
      </c>
      <c r="N97">
        <v>4</v>
      </c>
      <c r="O97">
        <v>2</v>
      </c>
      <c r="P97">
        <v>1</v>
      </c>
      <c r="Q97">
        <v>4</v>
      </c>
      <c r="R97">
        <v>1</v>
      </c>
      <c r="W97" s="226" t="s">
        <v>404</v>
      </c>
      <c r="X97" s="70" t="s">
        <v>403</v>
      </c>
      <c r="Y97" s="414">
        <v>1.3559999999999999</v>
      </c>
      <c r="Z97" s="70">
        <v>1.2730000000000001</v>
      </c>
      <c r="AA97" s="70">
        <v>5.5E-2</v>
      </c>
      <c r="AB97" s="464" t="s">
        <v>4231</v>
      </c>
      <c r="AC97" s="415">
        <f t="shared" si="1"/>
        <v>4.0560471976401183E-2</v>
      </c>
      <c r="AD97" s="226" t="e">
        <f ca="1">_xlfn.XLOOKUP(X97,'USEEIO metadata'!$C$2:$C$393,'USEEIO metadata'!$H$2:$H$393)</f>
        <v>#NAME?</v>
      </c>
      <c r="AE97" s="226" t="e">
        <f ca="1">_xlfn.XLOOKUP(X97,'USEEIO metadata'!$C$2:$C$393,'USEEIO metadata'!$F$2:$F$393)</f>
        <v>#NAME?</v>
      </c>
      <c r="AF97" s="226" t="e">
        <f ca="1">_xlfn.XLOOKUP(X97,'USEEIO metadata'!$C$2:$C$393,'USEEIO metadata'!$G$2:$G$393)</f>
        <v>#NAME?</v>
      </c>
    </row>
    <row r="98" spans="1:32">
      <c r="A98" t="str">
        <f>_xlfn.IFNA(IF(VLOOKUP(C98,'2016_Detail_Commodity_v1.0'!C:C,1,FALSE)=C98,"No change"),"Name changed")</f>
        <v>Name changed</v>
      </c>
      <c r="B98" t="s">
        <v>357</v>
      </c>
      <c r="C98" t="s">
        <v>1389</v>
      </c>
      <c r="D98" t="s">
        <v>358</v>
      </c>
      <c r="E98" t="s">
        <v>3653</v>
      </c>
      <c r="F98" t="s">
        <v>12</v>
      </c>
      <c r="G98">
        <v>0.35399999999999998</v>
      </c>
      <c r="H98" s="413">
        <f>G98*VLOOKUP(E98,GWPs!$B$3:$C$6,2,FALSE)</f>
        <v>0.35399999999999998</v>
      </c>
      <c r="I98">
        <v>0</v>
      </c>
      <c r="J98" s="413">
        <f>I98*VLOOKUP(E98,GWPs!$B$3:$C$6,2,FALSE)</f>
        <v>0</v>
      </c>
      <c r="K98">
        <v>0.35399999999999998</v>
      </c>
      <c r="L98" s="413">
        <f>K98*VLOOKUP(E98,GWPs!$B$3:$C$6,2,FALSE)</f>
        <v>0.35399999999999998</v>
      </c>
      <c r="N98">
        <v>3</v>
      </c>
      <c r="O98">
        <v>2</v>
      </c>
      <c r="P98">
        <v>1</v>
      </c>
      <c r="Q98">
        <v>4</v>
      </c>
      <c r="R98">
        <v>1</v>
      </c>
      <c r="W98" s="226" t="s">
        <v>1079</v>
      </c>
      <c r="X98" s="70" t="s">
        <v>1078</v>
      </c>
      <c r="Y98" s="414">
        <v>0.193</v>
      </c>
      <c r="Z98" s="70">
        <v>0.193</v>
      </c>
      <c r="AA98" s="70">
        <v>0</v>
      </c>
      <c r="AB98" s="464" t="s">
        <v>4231</v>
      </c>
      <c r="AC98" s="415">
        <f t="shared" si="1"/>
        <v>0</v>
      </c>
      <c r="AD98" s="226" t="e">
        <f ca="1">_xlfn.XLOOKUP(X98,'USEEIO metadata'!$C$2:$C$393,'USEEIO metadata'!$H$2:$H$393)</f>
        <v>#NAME?</v>
      </c>
      <c r="AE98" s="226" t="e">
        <f ca="1">_xlfn.XLOOKUP(X98,'USEEIO metadata'!$C$2:$C$393,'USEEIO metadata'!$F$2:$F$393)</f>
        <v>#NAME?</v>
      </c>
      <c r="AF98" s="226" t="e">
        <f ca="1">_xlfn.XLOOKUP(X98,'USEEIO metadata'!$C$2:$C$393,'USEEIO metadata'!$G$2:$G$393)</f>
        <v>#NAME?</v>
      </c>
    </row>
    <row r="99" spans="1:32">
      <c r="A99" t="str">
        <f>_xlfn.IFNA(IF(VLOOKUP(C99,'2016_Detail_Commodity_v1.0'!C:C,1,FALSE)=C99,"No change"),"Name changed")</f>
        <v>Name changed</v>
      </c>
      <c r="B99" t="s">
        <v>357</v>
      </c>
      <c r="C99" t="s">
        <v>1389</v>
      </c>
      <c r="D99" t="s">
        <v>358</v>
      </c>
      <c r="E99" t="s">
        <v>3654</v>
      </c>
      <c r="F99" t="s">
        <v>12</v>
      </c>
      <c r="G99">
        <v>1E-3</v>
      </c>
      <c r="H99" s="413">
        <f>G99*VLOOKUP(E99,GWPs!$B$3:$C$6,2,FALSE)</f>
        <v>2.8000000000000001E-2</v>
      </c>
      <c r="I99">
        <v>0</v>
      </c>
      <c r="J99" s="413">
        <f>I99*VLOOKUP(E99,GWPs!$B$3:$C$6,2,FALSE)</f>
        <v>0</v>
      </c>
      <c r="K99">
        <v>1E-3</v>
      </c>
      <c r="L99" s="413">
        <f>K99*VLOOKUP(E99,GWPs!$B$3:$C$6,2,FALSE)</f>
        <v>2.8000000000000001E-2</v>
      </c>
      <c r="N99">
        <v>4</v>
      </c>
      <c r="O99">
        <v>2</v>
      </c>
      <c r="P99">
        <v>1</v>
      </c>
      <c r="Q99">
        <v>1</v>
      </c>
      <c r="R99">
        <v>1</v>
      </c>
      <c r="W99" s="226" t="s">
        <v>353</v>
      </c>
      <c r="X99" s="70" t="s">
        <v>352</v>
      </c>
      <c r="Y99" s="414">
        <v>4.0430000000000001</v>
      </c>
      <c r="Z99" s="70">
        <v>4.0430000000000001</v>
      </c>
      <c r="AA99" s="70">
        <v>0</v>
      </c>
      <c r="AB99" s="464" t="s">
        <v>4230</v>
      </c>
      <c r="AC99" s="415">
        <f t="shared" si="1"/>
        <v>0</v>
      </c>
      <c r="AD99" s="226" t="e">
        <f ca="1">_xlfn.XLOOKUP(X99,'USEEIO metadata'!$C$2:$C$393,'USEEIO metadata'!$H$2:$H$393)</f>
        <v>#NAME?</v>
      </c>
      <c r="AE99" s="226" t="e">
        <f ca="1">_xlfn.XLOOKUP(X99,'USEEIO metadata'!$C$2:$C$393,'USEEIO metadata'!$F$2:$F$393)</f>
        <v>#NAME?</v>
      </c>
      <c r="AF99" s="226" t="e">
        <f ca="1">_xlfn.XLOOKUP(X99,'USEEIO metadata'!$C$2:$C$393,'USEEIO metadata'!$G$2:$G$393)</f>
        <v>#NAME?</v>
      </c>
    </row>
    <row r="100" spans="1:32">
      <c r="A100" t="str">
        <f>_xlfn.IFNA(IF(VLOOKUP(C100,'2016_Detail_Commodity_v1.0'!C:C,1,FALSE)=C100,"No change"),"Name changed")</f>
        <v>Name changed</v>
      </c>
      <c r="B100" t="s">
        <v>357</v>
      </c>
      <c r="C100" t="s">
        <v>1389</v>
      </c>
      <c r="D100" t="s">
        <v>358</v>
      </c>
      <c r="E100" t="s">
        <v>3655</v>
      </c>
      <c r="F100" t="s">
        <v>12</v>
      </c>
      <c r="G100">
        <v>0</v>
      </c>
      <c r="H100" s="413">
        <f>G100*VLOOKUP(E100,GWPs!$B$3:$C$6,2,FALSE)</f>
        <v>0</v>
      </c>
      <c r="I100">
        <v>0</v>
      </c>
      <c r="J100" s="413">
        <f>I100*VLOOKUP(E100,GWPs!$B$3:$C$6,2,FALSE)</f>
        <v>0</v>
      </c>
      <c r="K100">
        <v>0</v>
      </c>
      <c r="L100" s="413">
        <f>K100*VLOOKUP(E100,GWPs!$B$3:$C$6,2,FALSE)</f>
        <v>0</v>
      </c>
      <c r="N100">
        <v>3</v>
      </c>
      <c r="O100">
        <v>2</v>
      </c>
      <c r="P100">
        <v>1</v>
      </c>
      <c r="Q100">
        <v>3</v>
      </c>
      <c r="R100">
        <v>1</v>
      </c>
      <c r="W100" s="226" t="s">
        <v>3594</v>
      </c>
      <c r="X100" s="70" t="s">
        <v>707</v>
      </c>
      <c r="Y100" s="414">
        <v>0.16700000000000001</v>
      </c>
      <c r="Z100" s="70">
        <v>7.2000000000000008E-2</v>
      </c>
      <c r="AA100" s="70">
        <v>6.7000000000000004E-2</v>
      </c>
      <c r="AB100" s="464" t="s">
        <v>4231</v>
      </c>
      <c r="AC100" s="415">
        <f t="shared" si="1"/>
        <v>0.40119760479041916</v>
      </c>
      <c r="AD100" s="226" t="e">
        <f ca="1">_xlfn.XLOOKUP(X100,'USEEIO metadata'!$C$2:$C$393,'USEEIO metadata'!$H$2:$H$393)</f>
        <v>#NAME?</v>
      </c>
      <c r="AE100" s="226" t="e">
        <f ca="1">_xlfn.XLOOKUP(X100,'USEEIO metadata'!$C$2:$C$393,'USEEIO metadata'!$F$2:$F$393)</f>
        <v>#NAME?</v>
      </c>
      <c r="AF100" s="226" t="e">
        <f ca="1">_xlfn.XLOOKUP(X100,'USEEIO metadata'!$C$2:$C$393,'USEEIO metadata'!$G$2:$G$393)</f>
        <v>#NAME?</v>
      </c>
    </row>
    <row r="101" spans="1:32" ht="28.5">
      <c r="A101" t="str">
        <f>_xlfn.IFNA(IF(VLOOKUP(C101,'2016_Detail_Commodity_v1.0'!C:C,1,FALSE)=C101,"No change"),"Name changed")</f>
        <v>Name changed</v>
      </c>
      <c r="B101" t="s">
        <v>357</v>
      </c>
      <c r="C101" t="s">
        <v>1389</v>
      </c>
      <c r="D101" t="s">
        <v>358</v>
      </c>
      <c r="E101" t="s">
        <v>15</v>
      </c>
      <c r="F101" t="s">
        <v>16</v>
      </c>
      <c r="G101">
        <v>3.9E-2</v>
      </c>
      <c r="H101" s="413">
        <f>G101*VLOOKUP(E101,GWPs!$B$3:$C$6,2,FALSE)</f>
        <v>3.9E-2</v>
      </c>
      <c r="I101">
        <v>0</v>
      </c>
      <c r="J101" s="413">
        <f>I101*VLOOKUP(E101,GWPs!$B$3:$C$6,2,FALSE)</f>
        <v>0</v>
      </c>
      <c r="K101">
        <v>3.9E-2</v>
      </c>
      <c r="L101" s="413">
        <f>K101*VLOOKUP(E101,GWPs!$B$3:$C$6,2,FALSE)</f>
        <v>3.9E-2</v>
      </c>
      <c r="N101">
        <v>4</v>
      </c>
      <c r="O101">
        <v>2</v>
      </c>
      <c r="P101">
        <v>1</v>
      </c>
      <c r="Q101">
        <v>5</v>
      </c>
      <c r="R101">
        <v>1</v>
      </c>
      <c r="W101" s="226" t="s">
        <v>1069</v>
      </c>
      <c r="X101" s="70" t="s">
        <v>1068</v>
      </c>
      <c r="Y101" s="414">
        <v>9.7000000000000003E-2</v>
      </c>
      <c r="Z101" s="70">
        <v>9.7000000000000003E-2</v>
      </c>
      <c r="AA101" s="70">
        <v>0</v>
      </c>
      <c r="AB101" s="464" t="s">
        <v>4231</v>
      </c>
      <c r="AC101" s="415">
        <f t="shared" si="1"/>
        <v>0</v>
      </c>
      <c r="AD101" s="226" t="e">
        <f ca="1">_xlfn.XLOOKUP(X101,'USEEIO metadata'!$C$2:$C$393,'USEEIO metadata'!$H$2:$H$393)</f>
        <v>#NAME?</v>
      </c>
      <c r="AE101" s="226" t="e">
        <f ca="1">_xlfn.XLOOKUP(X101,'USEEIO metadata'!$C$2:$C$393,'USEEIO metadata'!$F$2:$F$393)</f>
        <v>#NAME?</v>
      </c>
      <c r="AF101" s="226" t="e">
        <f ca="1">_xlfn.XLOOKUP(X101,'USEEIO metadata'!$C$2:$C$393,'USEEIO metadata'!$G$2:$G$393)</f>
        <v>#NAME?</v>
      </c>
    </row>
    <row r="102" spans="1:32" ht="71.25">
      <c r="A102" t="str">
        <f>_xlfn.IFNA(IF(VLOOKUP(C102,'2016_Detail_Commodity_v1.0'!C:C,1,FALSE)=C102,"No change"),"Name changed")</f>
        <v>Name changed</v>
      </c>
      <c r="B102" t="s">
        <v>359</v>
      </c>
      <c r="C102" t="s">
        <v>1390</v>
      </c>
      <c r="D102" t="s">
        <v>360</v>
      </c>
      <c r="E102" t="s">
        <v>3653</v>
      </c>
      <c r="F102" t="s">
        <v>12</v>
      </c>
      <c r="G102">
        <v>0.28199999999999997</v>
      </c>
      <c r="H102" s="413">
        <f>G102*VLOOKUP(E102,GWPs!$B$3:$C$6,2,FALSE)</f>
        <v>0.28199999999999997</v>
      </c>
      <c r="I102">
        <v>0</v>
      </c>
      <c r="J102" s="413">
        <f>I102*VLOOKUP(E102,GWPs!$B$3:$C$6,2,FALSE)</f>
        <v>0</v>
      </c>
      <c r="K102">
        <v>0.28199999999999997</v>
      </c>
      <c r="L102" s="413">
        <f>K102*VLOOKUP(E102,GWPs!$B$3:$C$6,2,FALSE)</f>
        <v>0.28199999999999997</v>
      </c>
      <c r="N102">
        <v>3</v>
      </c>
      <c r="O102">
        <v>2</v>
      </c>
      <c r="P102">
        <v>1</v>
      </c>
      <c r="Q102">
        <v>4</v>
      </c>
      <c r="R102">
        <v>1</v>
      </c>
      <c r="W102" s="226" t="s">
        <v>706</v>
      </c>
      <c r="X102" s="70" t="s">
        <v>705</v>
      </c>
      <c r="Y102" s="414">
        <v>0.20700000000000002</v>
      </c>
      <c r="Z102" s="70">
        <v>0.152</v>
      </c>
      <c r="AA102" s="70">
        <v>2.5999999999999999E-2</v>
      </c>
      <c r="AB102" s="464" t="s">
        <v>4231</v>
      </c>
      <c r="AC102" s="415">
        <f t="shared" si="1"/>
        <v>0.12560386473429949</v>
      </c>
      <c r="AD102" s="226" t="e">
        <f ca="1">_xlfn.XLOOKUP(X102,'USEEIO metadata'!$C$2:$C$393,'USEEIO metadata'!$H$2:$H$393)</f>
        <v>#NAME?</v>
      </c>
      <c r="AE102" s="226" t="e">
        <f ca="1">_xlfn.XLOOKUP(X102,'USEEIO metadata'!$C$2:$C$393,'USEEIO metadata'!$F$2:$F$393)</f>
        <v>#NAME?</v>
      </c>
      <c r="AF102" s="226" t="e">
        <f ca="1">_xlfn.XLOOKUP(X102,'USEEIO metadata'!$C$2:$C$393,'USEEIO metadata'!$G$2:$G$393)</f>
        <v>#NAME?</v>
      </c>
    </row>
    <row r="103" spans="1:32" ht="28.5">
      <c r="A103" t="str">
        <f>_xlfn.IFNA(IF(VLOOKUP(C103,'2016_Detail_Commodity_v1.0'!C:C,1,FALSE)=C103,"No change"),"Name changed")</f>
        <v>Name changed</v>
      </c>
      <c r="B103" t="s">
        <v>359</v>
      </c>
      <c r="C103" t="s">
        <v>1390</v>
      </c>
      <c r="D103" t="s">
        <v>360</v>
      </c>
      <c r="E103" t="s">
        <v>3654</v>
      </c>
      <c r="F103" t="s">
        <v>12</v>
      </c>
      <c r="G103">
        <v>1E-3</v>
      </c>
      <c r="H103" s="413">
        <f>G103*VLOOKUP(E103,GWPs!$B$3:$C$6,2,FALSE)</f>
        <v>2.8000000000000001E-2</v>
      </c>
      <c r="I103">
        <v>0</v>
      </c>
      <c r="J103" s="413">
        <f>I103*VLOOKUP(E103,GWPs!$B$3:$C$6,2,FALSE)</f>
        <v>0</v>
      </c>
      <c r="K103">
        <v>1E-3</v>
      </c>
      <c r="L103" s="413">
        <f>K103*VLOOKUP(E103,GWPs!$B$3:$C$6,2,FALSE)</f>
        <v>2.8000000000000001E-2</v>
      </c>
      <c r="N103">
        <v>4</v>
      </c>
      <c r="O103">
        <v>2</v>
      </c>
      <c r="P103">
        <v>1</v>
      </c>
      <c r="Q103">
        <v>1</v>
      </c>
      <c r="R103">
        <v>1</v>
      </c>
      <c r="W103" s="226" t="s">
        <v>1012</v>
      </c>
      <c r="X103" s="70" t="s">
        <v>1011</v>
      </c>
      <c r="Y103" s="414">
        <v>0.154</v>
      </c>
      <c r="Z103" s="70">
        <v>0.154</v>
      </c>
      <c r="AA103" s="70">
        <v>0</v>
      </c>
      <c r="AB103" s="464" t="s">
        <v>4230</v>
      </c>
      <c r="AC103" s="415">
        <f t="shared" si="1"/>
        <v>0</v>
      </c>
      <c r="AD103" s="226" t="e">
        <f ca="1">_xlfn.XLOOKUP(X103,'USEEIO metadata'!$C$2:$C$393,'USEEIO metadata'!$H$2:$H$393)</f>
        <v>#NAME?</v>
      </c>
      <c r="AE103" s="226" t="e">
        <f ca="1">_xlfn.XLOOKUP(X103,'USEEIO metadata'!$C$2:$C$393,'USEEIO metadata'!$F$2:$F$393)</f>
        <v>#NAME?</v>
      </c>
      <c r="AF103" s="226" t="e">
        <f ca="1">_xlfn.XLOOKUP(X103,'USEEIO metadata'!$C$2:$C$393,'USEEIO metadata'!$G$2:$G$393)</f>
        <v>#NAME?</v>
      </c>
    </row>
    <row r="104" spans="1:32">
      <c r="A104" t="str">
        <f>_xlfn.IFNA(IF(VLOOKUP(C104,'2016_Detail_Commodity_v1.0'!C:C,1,FALSE)=C104,"No change"),"Name changed")</f>
        <v>Name changed</v>
      </c>
      <c r="B104" t="s">
        <v>359</v>
      </c>
      <c r="C104" t="s">
        <v>1390</v>
      </c>
      <c r="D104" t="s">
        <v>360</v>
      </c>
      <c r="E104" t="s">
        <v>3655</v>
      </c>
      <c r="F104" t="s">
        <v>12</v>
      </c>
      <c r="G104">
        <v>0</v>
      </c>
      <c r="H104" s="413">
        <f>G104*VLOOKUP(E104,GWPs!$B$3:$C$6,2,FALSE)</f>
        <v>0</v>
      </c>
      <c r="I104">
        <v>0</v>
      </c>
      <c r="J104" s="413">
        <f>I104*VLOOKUP(E104,GWPs!$B$3:$C$6,2,FALSE)</f>
        <v>0</v>
      </c>
      <c r="K104">
        <v>0</v>
      </c>
      <c r="L104" s="413">
        <f>K104*VLOOKUP(E104,GWPs!$B$3:$C$6,2,FALSE)</f>
        <v>0</v>
      </c>
      <c r="N104">
        <v>3</v>
      </c>
      <c r="O104">
        <v>2</v>
      </c>
      <c r="P104">
        <v>1</v>
      </c>
      <c r="Q104">
        <v>3</v>
      </c>
      <c r="R104">
        <v>1</v>
      </c>
      <c r="W104" s="226" t="s">
        <v>998</v>
      </c>
      <c r="X104" s="70" t="s">
        <v>997</v>
      </c>
      <c r="Y104" s="414">
        <v>3.4000000000000002E-2</v>
      </c>
      <c r="Z104" s="70">
        <v>3.4000000000000002E-2</v>
      </c>
      <c r="AA104" s="70">
        <v>0</v>
      </c>
      <c r="AB104" s="464" t="s">
        <v>4230</v>
      </c>
      <c r="AC104" s="415">
        <f t="shared" si="1"/>
        <v>0</v>
      </c>
      <c r="AD104" s="226" t="e">
        <f ca="1">_xlfn.XLOOKUP(X104,'USEEIO metadata'!$C$2:$C$393,'USEEIO metadata'!$H$2:$H$393)</f>
        <v>#NAME?</v>
      </c>
      <c r="AE104" s="226" t="e">
        <f ca="1">_xlfn.XLOOKUP(X104,'USEEIO metadata'!$C$2:$C$393,'USEEIO metadata'!$F$2:$F$393)</f>
        <v>#NAME?</v>
      </c>
      <c r="AF104" s="226" t="e">
        <f ca="1">_xlfn.XLOOKUP(X104,'USEEIO metadata'!$C$2:$C$393,'USEEIO metadata'!$G$2:$G$393)</f>
        <v>#NAME?</v>
      </c>
    </row>
    <row r="105" spans="1:32" ht="28.5">
      <c r="A105" t="str">
        <f>_xlfn.IFNA(IF(VLOOKUP(C105,'2016_Detail_Commodity_v1.0'!C:C,1,FALSE)=C105,"No change"),"Name changed")</f>
        <v>Name changed</v>
      </c>
      <c r="B105" t="s">
        <v>359</v>
      </c>
      <c r="C105" t="s">
        <v>1390</v>
      </c>
      <c r="D105" t="s">
        <v>360</v>
      </c>
      <c r="E105" t="s">
        <v>15</v>
      </c>
      <c r="F105" t="s">
        <v>16</v>
      </c>
      <c r="G105">
        <v>0.04</v>
      </c>
      <c r="H105" s="413">
        <f>G105*VLOOKUP(E105,GWPs!$B$3:$C$6,2,FALSE)</f>
        <v>0.04</v>
      </c>
      <c r="I105">
        <v>0</v>
      </c>
      <c r="J105" s="413">
        <f>I105*VLOOKUP(E105,GWPs!$B$3:$C$6,2,FALSE)</f>
        <v>0</v>
      </c>
      <c r="K105">
        <v>0.04</v>
      </c>
      <c r="L105" s="413">
        <f>K105*VLOOKUP(E105,GWPs!$B$3:$C$6,2,FALSE)</f>
        <v>0.04</v>
      </c>
      <c r="N105">
        <v>4</v>
      </c>
      <c r="O105">
        <v>2</v>
      </c>
      <c r="P105">
        <v>1</v>
      </c>
      <c r="Q105">
        <v>5</v>
      </c>
      <c r="R105">
        <v>1</v>
      </c>
      <c r="W105" s="226" t="s">
        <v>980</v>
      </c>
      <c r="X105" s="70" t="s">
        <v>979</v>
      </c>
      <c r="Y105" s="414">
        <v>7.1000000000000008E-2</v>
      </c>
      <c r="Z105" s="70">
        <v>7.1000000000000008E-2</v>
      </c>
      <c r="AA105" s="70">
        <v>0</v>
      </c>
      <c r="AB105" s="464" t="s">
        <v>4231</v>
      </c>
      <c r="AC105" s="415">
        <f t="shared" si="1"/>
        <v>0</v>
      </c>
      <c r="AD105" s="226" t="e">
        <f ca="1">_xlfn.XLOOKUP(X105,'USEEIO metadata'!$C$2:$C$393,'USEEIO metadata'!$H$2:$H$393)</f>
        <v>#NAME?</v>
      </c>
      <c r="AE105" s="226" t="e">
        <f ca="1">_xlfn.XLOOKUP(X105,'USEEIO metadata'!$C$2:$C$393,'USEEIO metadata'!$F$2:$F$393)</f>
        <v>#NAME?</v>
      </c>
      <c r="AF105" s="226" t="e">
        <f ca="1">_xlfn.XLOOKUP(X105,'USEEIO metadata'!$C$2:$C$393,'USEEIO metadata'!$G$2:$G$393)</f>
        <v>#NAME?</v>
      </c>
    </row>
    <row r="106" spans="1:32" ht="28.5">
      <c r="A106" t="str">
        <f>_xlfn.IFNA(IF(VLOOKUP(C106,'2016_Detail_Commodity_v1.0'!C:C,1,FALSE)=C106,"No change"),"Name changed")</f>
        <v>Name changed</v>
      </c>
      <c r="B106" t="s">
        <v>361</v>
      </c>
      <c r="C106" t="s">
        <v>1391</v>
      </c>
      <c r="D106" t="s">
        <v>362</v>
      </c>
      <c r="E106" t="s">
        <v>3653</v>
      </c>
      <c r="F106" t="s">
        <v>12</v>
      </c>
      <c r="G106">
        <v>0.216</v>
      </c>
      <c r="H106" s="413">
        <f>G106*VLOOKUP(E106,GWPs!$B$3:$C$6,2,FALSE)</f>
        <v>0.216</v>
      </c>
      <c r="I106">
        <v>0</v>
      </c>
      <c r="J106" s="413">
        <f>I106*VLOOKUP(E106,GWPs!$B$3:$C$6,2,FALSE)</f>
        <v>0</v>
      </c>
      <c r="K106">
        <v>0.216</v>
      </c>
      <c r="L106" s="413">
        <f>K106*VLOOKUP(E106,GWPs!$B$3:$C$6,2,FALSE)</f>
        <v>0.216</v>
      </c>
      <c r="N106">
        <v>3</v>
      </c>
      <c r="O106">
        <v>2</v>
      </c>
      <c r="P106">
        <v>1</v>
      </c>
      <c r="Q106">
        <v>4</v>
      </c>
      <c r="R106">
        <v>1</v>
      </c>
      <c r="W106" s="226" t="s">
        <v>726</v>
      </c>
      <c r="X106" s="70" t="s">
        <v>725</v>
      </c>
      <c r="Y106" s="414">
        <v>0.13100000000000001</v>
      </c>
      <c r="Z106" s="70">
        <v>0.106</v>
      </c>
      <c r="AA106" s="70">
        <v>2.5000000000000001E-2</v>
      </c>
      <c r="AB106" s="464" t="s">
        <v>4230</v>
      </c>
      <c r="AC106" s="415">
        <f t="shared" si="1"/>
        <v>0.19083969465648856</v>
      </c>
      <c r="AD106" s="226" t="e">
        <f ca="1">_xlfn.XLOOKUP(X106,'USEEIO metadata'!$C$2:$C$393,'USEEIO metadata'!$H$2:$H$393)</f>
        <v>#NAME?</v>
      </c>
      <c r="AE106" s="226" t="e">
        <f ca="1">_xlfn.XLOOKUP(X106,'USEEIO metadata'!$C$2:$C$393,'USEEIO metadata'!$F$2:$F$393)</f>
        <v>#NAME?</v>
      </c>
      <c r="AF106" s="226" t="e">
        <f ca="1">_xlfn.XLOOKUP(X106,'USEEIO metadata'!$C$2:$C$393,'USEEIO metadata'!$G$2:$G$393)</f>
        <v>#NAME?</v>
      </c>
    </row>
    <row r="107" spans="1:32">
      <c r="A107" t="str">
        <f>_xlfn.IFNA(IF(VLOOKUP(C107,'2016_Detail_Commodity_v1.0'!C:C,1,FALSE)=C107,"No change"),"Name changed")</f>
        <v>Name changed</v>
      </c>
      <c r="B107" t="s">
        <v>361</v>
      </c>
      <c r="C107" t="s">
        <v>1391</v>
      </c>
      <c r="D107" t="s">
        <v>362</v>
      </c>
      <c r="E107" t="s">
        <v>3654</v>
      </c>
      <c r="F107" t="s">
        <v>12</v>
      </c>
      <c r="G107">
        <v>1E-3</v>
      </c>
      <c r="H107" s="413">
        <f>G107*VLOOKUP(E107,GWPs!$B$3:$C$6,2,FALSE)</f>
        <v>2.8000000000000001E-2</v>
      </c>
      <c r="I107">
        <v>0</v>
      </c>
      <c r="J107" s="413">
        <f>I107*VLOOKUP(E107,GWPs!$B$3:$C$6,2,FALSE)</f>
        <v>0</v>
      </c>
      <c r="K107">
        <v>1E-3</v>
      </c>
      <c r="L107" s="413">
        <f>K107*VLOOKUP(E107,GWPs!$B$3:$C$6,2,FALSE)</f>
        <v>2.8000000000000001E-2</v>
      </c>
      <c r="N107">
        <v>4</v>
      </c>
      <c r="O107">
        <v>2</v>
      </c>
      <c r="P107">
        <v>1</v>
      </c>
      <c r="Q107">
        <v>1</v>
      </c>
      <c r="R107">
        <v>1</v>
      </c>
      <c r="W107" s="226" t="s">
        <v>442</v>
      </c>
      <c r="X107" s="70" t="s">
        <v>441</v>
      </c>
      <c r="Y107" s="414">
        <v>0.63200000000000001</v>
      </c>
      <c r="Z107" s="70">
        <v>0.54900000000000004</v>
      </c>
      <c r="AA107" s="70">
        <v>5.5E-2</v>
      </c>
      <c r="AB107" s="464" t="s">
        <v>4231</v>
      </c>
      <c r="AC107" s="415">
        <f t="shared" si="1"/>
        <v>8.7025316455696208E-2</v>
      </c>
      <c r="AD107" s="226" t="e">
        <f ca="1">_xlfn.XLOOKUP(X107,'USEEIO metadata'!$C$2:$C$393,'USEEIO metadata'!$H$2:$H$393)</f>
        <v>#NAME?</v>
      </c>
      <c r="AE107" s="226" t="e">
        <f ca="1">_xlfn.XLOOKUP(X107,'USEEIO metadata'!$C$2:$C$393,'USEEIO metadata'!$F$2:$F$393)</f>
        <v>#NAME?</v>
      </c>
      <c r="AF107" s="226" t="e">
        <f ca="1">_xlfn.XLOOKUP(X107,'USEEIO metadata'!$C$2:$C$393,'USEEIO metadata'!$G$2:$G$393)</f>
        <v>#NAME?</v>
      </c>
    </row>
    <row r="108" spans="1:32">
      <c r="A108" t="str">
        <f>_xlfn.IFNA(IF(VLOOKUP(C108,'2016_Detail_Commodity_v1.0'!C:C,1,FALSE)=C108,"No change"),"Name changed")</f>
        <v>Name changed</v>
      </c>
      <c r="B108" t="s">
        <v>361</v>
      </c>
      <c r="C108" t="s">
        <v>1391</v>
      </c>
      <c r="D108" t="s">
        <v>362</v>
      </c>
      <c r="E108" t="s">
        <v>3655</v>
      </c>
      <c r="F108" t="s">
        <v>12</v>
      </c>
      <c r="G108">
        <v>0</v>
      </c>
      <c r="H108" s="413">
        <f>G108*VLOOKUP(E108,GWPs!$B$3:$C$6,2,FALSE)</f>
        <v>0</v>
      </c>
      <c r="I108">
        <v>0</v>
      </c>
      <c r="J108" s="413">
        <f>I108*VLOOKUP(E108,GWPs!$B$3:$C$6,2,FALSE)</f>
        <v>0</v>
      </c>
      <c r="K108">
        <v>0</v>
      </c>
      <c r="L108" s="413">
        <f>K108*VLOOKUP(E108,GWPs!$B$3:$C$6,2,FALSE)</f>
        <v>0</v>
      </c>
      <c r="N108">
        <v>3</v>
      </c>
      <c r="O108">
        <v>2</v>
      </c>
      <c r="P108">
        <v>1</v>
      </c>
      <c r="Q108">
        <v>2</v>
      </c>
      <c r="R108">
        <v>1</v>
      </c>
      <c r="W108" s="226" t="s">
        <v>626</v>
      </c>
      <c r="X108" s="70" t="s">
        <v>625</v>
      </c>
      <c r="Y108" s="414">
        <v>0.41699999999999998</v>
      </c>
      <c r="Z108" s="70">
        <v>0.35300000000000004</v>
      </c>
      <c r="AA108" s="70">
        <v>3.5999999999999997E-2</v>
      </c>
      <c r="AB108" s="464" t="s">
        <v>4230</v>
      </c>
      <c r="AC108" s="415">
        <f t="shared" si="1"/>
        <v>8.6330935251798552E-2</v>
      </c>
      <c r="AD108" s="226" t="e">
        <f ca="1">_xlfn.XLOOKUP(X108,'USEEIO metadata'!$C$2:$C$393,'USEEIO metadata'!$H$2:$H$393)</f>
        <v>#NAME?</v>
      </c>
      <c r="AE108" s="226" t="e">
        <f ca="1">_xlfn.XLOOKUP(X108,'USEEIO metadata'!$C$2:$C$393,'USEEIO metadata'!$F$2:$F$393)</f>
        <v>#NAME?</v>
      </c>
      <c r="AF108" s="226" t="e">
        <f ca="1">_xlfn.XLOOKUP(X108,'USEEIO metadata'!$C$2:$C$393,'USEEIO metadata'!$G$2:$G$393)</f>
        <v>#NAME?</v>
      </c>
    </row>
    <row r="109" spans="1:32">
      <c r="A109" t="str">
        <f>_xlfn.IFNA(IF(VLOOKUP(C109,'2016_Detail_Commodity_v1.0'!C:C,1,FALSE)=C109,"No change"),"Name changed")</f>
        <v>Name changed</v>
      </c>
      <c r="B109" t="s">
        <v>361</v>
      </c>
      <c r="C109" t="s">
        <v>1391</v>
      </c>
      <c r="D109" t="s">
        <v>362</v>
      </c>
      <c r="E109" t="s">
        <v>15</v>
      </c>
      <c r="F109" t="s">
        <v>16</v>
      </c>
      <c r="G109">
        <v>4.2000000000000003E-2</v>
      </c>
      <c r="H109" s="413">
        <f>G109*VLOOKUP(E109,GWPs!$B$3:$C$6,2,FALSE)</f>
        <v>4.2000000000000003E-2</v>
      </c>
      <c r="I109">
        <v>0</v>
      </c>
      <c r="J109" s="413">
        <f>I109*VLOOKUP(E109,GWPs!$B$3:$C$6,2,FALSE)</f>
        <v>0</v>
      </c>
      <c r="K109">
        <v>4.2000000000000003E-2</v>
      </c>
      <c r="L109" s="413">
        <f>K109*VLOOKUP(E109,GWPs!$B$3:$C$6,2,FALSE)</f>
        <v>4.2000000000000003E-2</v>
      </c>
      <c r="N109">
        <v>4</v>
      </c>
      <c r="O109">
        <v>2</v>
      </c>
      <c r="P109">
        <v>1</v>
      </c>
      <c r="Q109">
        <v>5</v>
      </c>
      <c r="R109">
        <v>1</v>
      </c>
      <c r="W109" s="226" t="s">
        <v>996</v>
      </c>
      <c r="X109" s="70" t="s">
        <v>995</v>
      </c>
      <c r="Y109" s="414">
        <v>0.23599999999999999</v>
      </c>
      <c r="Z109" s="70">
        <v>0.23599999999999999</v>
      </c>
      <c r="AA109" s="70">
        <v>0</v>
      </c>
      <c r="AB109" s="464" t="s">
        <v>4230</v>
      </c>
      <c r="AC109" s="415">
        <f t="shared" si="1"/>
        <v>0</v>
      </c>
      <c r="AD109" s="226" t="e">
        <f ca="1">_xlfn.XLOOKUP(X109,'USEEIO metadata'!$C$2:$C$393,'USEEIO metadata'!$H$2:$H$393)</f>
        <v>#NAME?</v>
      </c>
      <c r="AE109" s="226" t="e">
        <f ca="1">_xlfn.XLOOKUP(X109,'USEEIO metadata'!$C$2:$C$393,'USEEIO metadata'!$F$2:$F$393)</f>
        <v>#NAME?</v>
      </c>
      <c r="AF109" s="226" t="e">
        <f ca="1">_xlfn.XLOOKUP(X109,'USEEIO metadata'!$C$2:$C$393,'USEEIO metadata'!$G$2:$G$393)</f>
        <v>#NAME?</v>
      </c>
    </row>
    <row r="110" spans="1:32">
      <c r="A110" t="str">
        <f>_xlfn.IFNA(IF(VLOOKUP(C110,'2016_Detail_Commodity_v1.0'!C:C,1,FALSE)=C110,"No change"),"Name changed")</f>
        <v>Name changed</v>
      </c>
      <c r="B110" t="s">
        <v>363</v>
      </c>
      <c r="C110" t="s">
        <v>1392</v>
      </c>
      <c r="D110" t="s">
        <v>364</v>
      </c>
      <c r="E110" t="s">
        <v>3653</v>
      </c>
      <c r="F110" t="s">
        <v>12</v>
      </c>
      <c r="G110">
        <v>0.28499999999999998</v>
      </c>
      <c r="H110" s="413">
        <f>G110*VLOOKUP(E110,GWPs!$B$3:$C$6,2,FALSE)</f>
        <v>0.28499999999999998</v>
      </c>
      <c r="I110">
        <v>0</v>
      </c>
      <c r="J110" s="413">
        <f>I110*VLOOKUP(E110,GWPs!$B$3:$C$6,2,FALSE)</f>
        <v>0</v>
      </c>
      <c r="K110">
        <v>0.28499999999999998</v>
      </c>
      <c r="L110" s="413">
        <f>K110*VLOOKUP(E110,GWPs!$B$3:$C$6,2,FALSE)</f>
        <v>0.28499999999999998</v>
      </c>
      <c r="N110">
        <v>3</v>
      </c>
      <c r="O110">
        <v>2</v>
      </c>
      <c r="P110">
        <v>1</v>
      </c>
      <c r="Q110">
        <v>3</v>
      </c>
      <c r="R110">
        <v>1</v>
      </c>
      <c r="W110" s="226" t="s">
        <v>632</v>
      </c>
      <c r="X110" s="70" t="s">
        <v>631</v>
      </c>
      <c r="Y110" s="414">
        <v>0.29200000000000004</v>
      </c>
      <c r="Z110" s="70">
        <v>0.251</v>
      </c>
      <c r="AA110" s="70">
        <v>4.1000000000000002E-2</v>
      </c>
      <c r="AB110" s="464" t="s">
        <v>4230</v>
      </c>
      <c r="AC110" s="415">
        <f t="shared" si="1"/>
        <v>0.14041095890410957</v>
      </c>
      <c r="AD110" s="226" t="e">
        <f ca="1">_xlfn.XLOOKUP(X110,'USEEIO metadata'!$C$2:$C$393,'USEEIO metadata'!$H$2:$H$393)</f>
        <v>#NAME?</v>
      </c>
      <c r="AE110" s="226" t="e">
        <f ca="1">_xlfn.XLOOKUP(X110,'USEEIO metadata'!$C$2:$C$393,'USEEIO metadata'!$F$2:$F$393)</f>
        <v>#NAME?</v>
      </c>
      <c r="AF110" s="226" t="e">
        <f ca="1">_xlfn.XLOOKUP(X110,'USEEIO metadata'!$C$2:$C$393,'USEEIO metadata'!$G$2:$G$393)</f>
        <v>#NAME?</v>
      </c>
    </row>
    <row r="111" spans="1:32">
      <c r="A111" t="str">
        <f>_xlfn.IFNA(IF(VLOOKUP(C111,'2016_Detail_Commodity_v1.0'!C:C,1,FALSE)=C111,"No change"),"Name changed")</f>
        <v>Name changed</v>
      </c>
      <c r="B111" t="s">
        <v>363</v>
      </c>
      <c r="C111" t="s">
        <v>1392</v>
      </c>
      <c r="D111" t="s">
        <v>364</v>
      </c>
      <c r="E111" t="s">
        <v>3654</v>
      </c>
      <c r="F111" t="s">
        <v>12</v>
      </c>
      <c r="G111">
        <v>1E-3</v>
      </c>
      <c r="H111" s="413">
        <f>G111*VLOOKUP(E111,GWPs!$B$3:$C$6,2,FALSE)</f>
        <v>2.8000000000000001E-2</v>
      </c>
      <c r="I111">
        <v>0</v>
      </c>
      <c r="J111" s="413">
        <f>I111*VLOOKUP(E111,GWPs!$B$3:$C$6,2,FALSE)</f>
        <v>0</v>
      </c>
      <c r="K111">
        <v>1E-3</v>
      </c>
      <c r="L111" s="413">
        <f>K111*VLOOKUP(E111,GWPs!$B$3:$C$6,2,FALSE)</f>
        <v>2.8000000000000001E-2</v>
      </c>
      <c r="N111">
        <v>4</v>
      </c>
      <c r="O111">
        <v>2</v>
      </c>
      <c r="P111">
        <v>1</v>
      </c>
      <c r="Q111">
        <v>1</v>
      </c>
      <c r="R111">
        <v>1</v>
      </c>
      <c r="W111" s="226" t="s">
        <v>506</v>
      </c>
      <c r="X111" s="70" t="s">
        <v>505</v>
      </c>
      <c r="Y111" s="414">
        <v>2.323</v>
      </c>
      <c r="Z111" s="70">
        <v>2.206</v>
      </c>
      <c r="AA111" s="70">
        <v>0.11699999999999999</v>
      </c>
      <c r="AB111" s="464" t="s">
        <v>4230</v>
      </c>
      <c r="AC111" s="415">
        <f t="shared" si="1"/>
        <v>5.0365906155832973E-2</v>
      </c>
      <c r="AD111" s="226" t="e">
        <f ca="1">_xlfn.XLOOKUP(X111,'USEEIO metadata'!$C$2:$C$393,'USEEIO metadata'!$H$2:$H$393)</f>
        <v>#NAME?</v>
      </c>
      <c r="AE111" s="226" t="e">
        <f ca="1">_xlfn.XLOOKUP(X111,'USEEIO metadata'!$C$2:$C$393,'USEEIO metadata'!$F$2:$F$393)</f>
        <v>#NAME?</v>
      </c>
      <c r="AF111" s="226" t="e">
        <f ca="1">_xlfn.XLOOKUP(X111,'USEEIO metadata'!$C$2:$C$393,'USEEIO metadata'!$G$2:$G$393)</f>
        <v>#NAME?</v>
      </c>
    </row>
    <row r="112" spans="1:32">
      <c r="A112" t="str">
        <f>_xlfn.IFNA(IF(VLOOKUP(C112,'2016_Detail_Commodity_v1.0'!C:C,1,FALSE)=C112,"No change"),"Name changed")</f>
        <v>Name changed</v>
      </c>
      <c r="B112" t="s">
        <v>363</v>
      </c>
      <c r="C112" t="s">
        <v>1392</v>
      </c>
      <c r="D112" t="s">
        <v>364</v>
      </c>
      <c r="E112" t="s">
        <v>3655</v>
      </c>
      <c r="F112" t="s">
        <v>12</v>
      </c>
      <c r="G112">
        <v>0</v>
      </c>
      <c r="H112" s="413">
        <f>G112*VLOOKUP(E112,GWPs!$B$3:$C$6,2,FALSE)</f>
        <v>0</v>
      </c>
      <c r="I112">
        <v>0</v>
      </c>
      <c r="J112" s="413">
        <f>I112*VLOOKUP(E112,GWPs!$B$3:$C$6,2,FALSE)</f>
        <v>0</v>
      </c>
      <c r="K112">
        <v>0</v>
      </c>
      <c r="L112" s="413">
        <f>K112*VLOOKUP(E112,GWPs!$B$3:$C$6,2,FALSE)</f>
        <v>0</v>
      </c>
      <c r="N112">
        <v>3</v>
      </c>
      <c r="O112">
        <v>2</v>
      </c>
      <c r="P112">
        <v>1</v>
      </c>
      <c r="Q112">
        <v>3</v>
      </c>
      <c r="R112">
        <v>1</v>
      </c>
      <c r="W112" s="226" t="s">
        <v>440</v>
      </c>
      <c r="X112" s="70" t="s">
        <v>439</v>
      </c>
      <c r="Y112" s="414">
        <v>0.78399999999999992</v>
      </c>
      <c r="Z112" s="70">
        <v>0.73799999999999999</v>
      </c>
      <c r="AA112" s="70">
        <v>4.5999999999999999E-2</v>
      </c>
      <c r="AB112" s="464" t="s">
        <v>4230</v>
      </c>
      <c r="AC112" s="415">
        <f t="shared" si="1"/>
        <v>5.8673469387755105E-2</v>
      </c>
      <c r="AD112" s="226" t="e">
        <f ca="1">_xlfn.XLOOKUP(X112,'USEEIO metadata'!$C$2:$C$393,'USEEIO metadata'!$H$2:$H$393)</f>
        <v>#NAME?</v>
      </c>
      <c r="AE112" s="226" t="e">
        <f ca="1">_xlfn.XLOOKUP(X112,'USEEIO metadata'!$C$2:$C$393,'USEEIO metadata'!$F$2:$F$393)</f>
        <v>#NAME?</v>
      </c>
      <c r="AF112" s="226" t="e">
        <f ca="1">_xlfn.XLOOKUP(X112,'USEEIO metadata'!$C$2:$C$393,'USEEIO metadata'!$G$2:$G$393)</f>
        <v>#NAME?</v>
      </c>
    </row>
    <row r="113" spans="1:32">
      <c r="A113" t="str">
        <f>_xlfn.IFNA(IF(VLOOKUP(C113,'2016_Detail_Commodity_v1.0'!C:C,1,FALSE)=C113,"No change"),"Name changed")</f>
        <v>Name changed</v>
      </c>
      <c r="B113" t="s">
        <v>363</v>
      </c>
      <c r="C113" t="s">
        <v>1392</v>
      </c>
      <c r="D113" t="s">
        <v>364</v>
      </c>
      <c r="E113" t="s">
        <v>15</v>
      </c>
      <c r="F113" t="s">
        <v>16</v>
      </c>
      <c r="G113">
        <v>1.9E-2</v>
      </c>
      <c r="H113" s="413">
        <f>G113*VLOOKUP(E113,GWPs!$B$3:$C$6,2,FALSE)</f>
        <v>1.9E-2</v>
      </c>
      <c r="I113">
        <v>0</v>
      </c>
      <c r="J113" s="413">
        <f>I113*VLOOKUP(E113,GWPs!$B$3:$C$6,2,FALSE)</f>
        <v>0</v>
      </c>
      <c r="K113">
        <v>1.9E-2</v>
      </c>
      <c r="L113" s="413">
        <f>K113*VLOOKUP(E113,GWPs!$B$3:$C$6,2,FALSE)</f>
        <v>1.9E-2</v>
      </c>
      <c r="N113">
        <v>4</v>
      </c>
      <c r="O113">
        <v>2</v>
      </c>
      <c r="P113">
        <v>1</v>
      </c>
      <c r="Q113">
        <v>5</v>
      </c>
      <c r="R113">
        <v>1</v>
      </c>
      <c r="W113" s="226" t="s">
        <v>444</v>
      </c>
      <c r="X113" s="70" t="s">
        <v>443</v>
      </c>
      <c r="Y113" s="414">
        <v>0.58800000000000008</v>
      </c>
      <c r="Z113" s="70">
        <v>0.54400000000000004</v>
      </c>
      <c r="AA113" s="70">
        <v>4.4999999999999998E-2</v>
      </c>
      <c r="AB113" s="464" t="s">
        <v>4230</v>
      </c>
      <c r="AC113" s="415">
        <f t="shared" si="1"/>
        <v>7.6530612244897947E-2</v>
      </c>
      <c r="AD113" s="226" t="e">
        <f ca="1">_xlfn.XLOOKUP(X113,'USEEIO metadata'!$C$2:$C$393,'USEEIO metadata'!$H$2:$H$393)</f>
        <v>#NAME?</v>
      </c>
      <c r="AE113" s="226" t="e">
        <f ca="1">_xlfn.XLOOKUP(X113,'USEEIO metadata'!$C$2:$C$393,'USEEIO metadata'!$F$2:$F$393)</f>
        <v>#NAME?</v>
      </c>
      <c r="AF113" s="226" t="e">
        <f ca="1">_xlfn.XLOOKUP(X113,'USEEIO metadata'!$C$2:$C$393,'USEEIO metadata'!$G$2:$G$393)</f>
        <v>#NAME?</v>
      </c>
    </row>
    <row r="114" spans="1:32">
      <c r="A114" t="str">
        <f>_xlfn.IFNA(IF(VLOOKUP(C114,'2016_Detail_Commodity_v1.0'!C:C,1,FALSE)=C114,"No change"),"Name changed")</f>
        <v>Name changed</v>
      </c>
      <c r="B114" t="s">
        <v>365</v>
      </c>
      <c r="C114" t="s">
        <v>1393</v>
      </c>
      <c r="D114" t="s">
        <v>366</v>
      </c>
      <c r="E114" t="s">
        <v>3653</v>
      </c>
      <c r="F114" t="s">
        <v>12</v>
      </c>
      <c r="G114">
        <v>0.314</v>
      </c>
      <c r="H114" s="413">
        <f>G114*VLOOKUP(E114,GWPs!$B$3:$C$6,2,FALSE)</f>
        <v>0.314</v>
      </c>
      <c r="I114">
        <v>0</v>
      </c>
      <c r="J114" s="413">
        <f>I114*VLOOKUP(E114,GWPs!$B$3:$C$6,2,FALSE)</f>
        <v>0</v>
      </c>
      <c r="K114">
        <v>0.314</v>
      </c>
      <c r="L114" s="413">
        <f>K114*VLOOKUP(E114,GWPs!$B$3:$C$6,2,FALSE)</f>
        <v>0.314</v>
      </c>
      <c r="N114">
        <v>3</v>
      </c>
      <c r="O114">
        <v>2</v>
      </c>
      <c r="P114">
        <v>1</v>
      </c>
      <c r="Q114">
        <v>4</v>
      </c>
      <c r="R114">
        <v>1</v>
      </c>
      <c r="W114" s="226" t="s">
        <v>424</v>
      </c>
      <c r="X114" s="70" t="s">
        <v>423</v>
      </c>
      <c r="Y114" s="414">
        <v>0.44400000000000001</v>
      </c>
      <c r="Z114" s="70">
        <v>0.41599999999999998</v>
      </c>
      <c r="AA114" s="70">
        <v>2.8000000000000001E-2</v>
      </c>
      <c r="AB114" s="464" t="s">
        <v>4231</v>
      </c>
      <c r="AC114" s="415">
        <f t="shared" si="1"/>
        <v>6.3063063063063057E-2</v>
      </c>
      <c r="AD114" s="226" t="e">
        <f ca="1">_xlfn.XLOOKUP(X114,'USEEIO metadata'!$C$2:$C$393,'USEEIO metadata'!$H$2:$H$393)</f>
        <v>#NAME?</v>
      </c>
      <c r="AE114" s="226" t="e">
        <f ca="1">_xlfn.XLOOKUP(X114,'USEEIO metadata'!$C$2:$C$393,'USEEIO metadata'!$F$2:$F$393)</f>
        <v>#NAME?</v>
      </c>
      <c r="AF114" s="226" t="e">
        <f ca="1">_xlfn.XLOOKUP(X114,'USEEIO metadata'!$C$2:$C$393,'USEEIO metadata'!$G$2:$G$393)</f>
        <v>#NAME?</v>
      </c>
    </row>
    <row r="115" spans="1:32">
      <c r="A115" t="str">
        <f>_xlfn.IFNA(IF(VLOOKUP(C115,'2016_Detail_Commodity_v1.0'!C:C,1,FALSE)=C115,"No change"),"Name changed")</f>
        <v>Name changed</v>
      </c>
      <c r="B115" t="s">
        <v>365</v>
      </c>
      <c r="C115" t="s">
        <v>1393</v>
      </c>
      <c r="D115" t="s">
        <v>366</v>
      </c>
      <c r="E115" t="s">
        <v>3654</v>
      </c>
      <c r="F115" t="s">
        <v>12</v>
      </c>
      <c r="G115">
        <v>4.0000000000000001E-3</v>
      </c>
      <c r="H115" s="413">
        <f>G115*VLOOKUP(E115,GWPs!$B$3:$C$6,2,FALSE)</f>
        <v>0.112</v>
      </c>
      <c r="I115">
        <v>0</v>
      </c>
      <c r="J115" s="413">
        <f>I115*VLOOKUP(E115,GWPs!$B$3:$C$6,2,FALSE)</f>
        <v>0</v>
      </c>
      <c r="K115">
        <v>4.0000000000000001E-3</v>
      </c>
      <c r="L115" s="413">
        <f>K115*VLOOKUP(E115,GWPs!$B$3:$C$6,2,FALSE)</f>
        <v>0.112</v>
      </c>
      <c r="N115">
        <v>4</v>
      </c>
      <c r="O115">
        <v>2</v>
      </c>
      <c r="P115">
        <v>1</v>
      </c>
      <c r="Q115">
        <v>1</v>
      </c>
      <c r="R115">
        <v>1</v>
      </c>
      <c r="W115" s="226" t="s">
        <v>386</v>
      </c>
      <c r="X115" s="70" t="s">
        <v>385</v>
      </c>
      <c r="Y115" s="414">
        <v>1.48</v>
      </c>
      <c r="Z115" s="70">
        <v>1.4129999999999998</v>
      </c>
      <c r="AA115" s="70">
        <v>9.5000000000000001E-2</v>
      </c>
      <c r="AB115" s="464" t="s">
        <v>4230</v>
      </c>
      <c r="AC115" s="415">
        <f t="shared" si="1"/>
        <v>6.4189189189189186E-2</v>
      </c>
      <c r="AD115" s="226" t="e">
        <f ca="1">_xlfn.XLOOKUP(X115,'USEEIO metadata'!$C$2:$C$393,'USEEIO metadata'!$H$2:$H$393)</f>
        <v>#NAME?</v>
      </c>
      <c r="AE115" s="226" t="e">
        <f ca="1">_xlfn.XLOOKUP(X115,'USEEIO metadata'!$C$2:$C$393,'USEEIO metadata'!$F$2:$F$393)</f>
        <v>#NAME?</v>
      </c>
      <c r="AF115" s="226" t="e">
        <f ca="1">_xlfn.XLOOKUP(X115,'USEEIO metadata'!$C$2:$C$393,'USEEIO metadata'!$G$2:$G$393)</f>
        <v>#NAME?</v>
      </c>
    </row>
    <row r="116" spans="1:32" ht="28.5">
      <c r="A116" t="str">
        <f>_xlfn.IFNA(IF(VLOOKUP(C116,'2016_Detail_Commodity_v1.0'!C:C,1,FALSE)=C116,"No change"),"Name changed")</f>
        <v>Name changed</v>
      </c>
      <c r="B116" t="s">
        <v>365</v>
      </c>
      <c r="C116" t="s">
        <v>1393</v>
      </c>
      <c r="D116" t="s">
        <v>366</v>
      </c>
      <c r="E116" t="s">
        <v>3655</v>
      </c>
      <c r="F116" t="s">
        <v>12</v>
      </c>
      <c r="G116">
        <v>0</v>
      </c>
      <c r="H116" s="413">
        <f>G116*VLOOKUP(E116,GWPs!$B$3:$C$6,2,FALSE)</f>
        <v>0</v>
      </c>
      <c r="I116">
        <v>0</v>
      </c>
      <c r="J116" s="413">
        <f>I116*VLOOKUP(E116,GWPs!$B$3:$C$6,2,FALSE)</f>
        <v>0</v>
      </c>
      <c r="K116">
        <v>0</v>
      </c>
      <c r="L116" s="413">
        <f>K116*VLOOKUP(E116,GWPs!$B$3:$C$6,2,FALSE)</f>
        <v>0</v>
      </c>
      <c r="N116">
        <v>3</v>
      </c>
      <c r="O116">
        <v>2</v>
      </c>
      <c r="P116">
        <v>1</v>
      </c>
      <c r="Q116">
        <v>2</v>
      </c>
      <c r="R116">
        <v>1</v>
      </c>
      <c r="W116" s="226" t="s">
        <v>716</v>
      </c>
      <c r="X116" s="70" t="s">
        <v>715</v>
      </c>
      <c r="Y116" s="414">
        <v>7.0000000000000007E-2</v>
      </c>
      <c r="Z116" s="70">
        <v>4.4999999999999998E-2</v>
      </c>
      <c r="AA116" s="70">
        <v>2.5000000000000001E-2</v>
      </c>
      <c r="AB116" s="464" t="s">
        <v>4230</v>
      </c>
      <c r="AC116" s="415">
        <f t="shared" si="1"/>
        <v>0.35714285714285715</v>
      </c>
      <c r="AD116" s="226" t="e">
        <f ca="1">_xlfn.XLOOKUP(X116,'USEEIO metadata'!$C$2:$C$393,'USEEIO metadata'!$H$2:$H$393)</f>
        <v>#NAME?</v>
      </c>
      <c r="AE116" s="226" t="e">
        <f ca="1">_xlfn.XLOOKUP(X116,'USEEIO metadata'!$C$2:$C$393,'USEEIO metadata'!$F$2:$F$393)</f>
        <v>#NAME?</v>
      </c>
      <c r="AF116" s="226" t="e">
        <f ca="1">_xlfn.XLOOKUP(X116,'USEEIO metadata'!$C$2:$C$393,'USEEIO metadata'!$G$2:$G$393)</f>
        <v>#NAME?</v>
      </c>
    </row>
    <row r="117" spans="1:32">
      <c r="A117" t="str">
        <f>_xlfn.IFNA(IF(VLOOKUP(C117,'2016_Detail_Commodity_v1.0'!C:C,1,FALSE)=C117,"No change"),"Name changed")</f>
        <v>Name changed</v>
      </c>
      <c r="B117" t="s">
        <v>365</v>
      </c>
      <c r="C117" t="s">
        <v>1393</v>
      </c>
      <c r="D117" t="s">
        <v>366</v>
      </c>
      <c r="E117" t="s">
        <v>15</v>
      </c>
      <c r="F117" t="s">
        <v>16</v>
      </c>
      <c r="G117">
        <v>1.0999999999999999E-2</v>
      </c>
      <c r="H117" s="413">
        <f>G117*VLOOKUP(E117,GWPs!$B$3:$C$6,2,FALSE)</f>
        <v>1.0999999999999999E-2</v>
      </c>
      <c r="I117">
        <v>0</v>
      </c>
      <c r="J117" s="413">
        <f>I117*VLOOKUP(E117,GWPs!$B$3:$C$6,2,FALSE)</f>
        <v>0</v>
      </c>
      <c r="K117">
        <v>1.0999999999999999E-2</v>
      </c>
      <c r="L117" s="413">
        <f>K117*VLOOKUP(E117,GWPs!$B$3:$C$6,2,FALSE)</f>
        <v>1.0999999999999999E-2</v>
      </c>
      <c r="N117">
        <v>4</v>
      </c>
      <c r="O117">
        <v>2</v>
      </c>
      <c r="P117">
        <v>1</v>
      </c>
      <c r="Q117">
        <v>5</v>
      </c>
      <c r="R117">
        <v>1</v>
      </c>
      <c r="W117" s="226" t="s">
        <v>406</v>
      </c>
      <c r="X117" s="70" t="s">
        <v>405</v>
      </c>
      <c r="Y117" s="414">
        <v>1.365</v>
      </c>
      <c r="Z117" s="70">
        <v>1.2809999999999999</v>
      </c>
      <c r="AA117" s="70">
        <v>5.6000000000000001E-2</v>
      </c>
      <c r="AB117" s="464" t="s">
        <v>4231</v>
      </c>
      <c r="AC117" s="415">
        <f t="shared" si="1"/>
        <v>4.1025641025641026E-2</v>
      </c>
      <c r="AD117" s="226" t="e">
        <f ca="1">_xlfn.XLOOKUP(X117,'USEEIO metadata'!$C$2:$C$393,'USEEIO metadata'!$H$2:$H$393)</f>
        <v>#NAME?</v>
      </c>
      <c r="AE117" s="226" t="e">
        <f ca="1">_xlfn.XLOOKUP(X117,'USEEIO metadata'!$C$2:$C$393,'USEEIO metadata'!$F$2:$F$393)</f>
        <v>#NAME?</v>
      </c>
      <c r="AF117" s="226" t="e">
        <f ca="1">_xlfn.XLOOKUP(X117,'USEEIO metadata'!$C$2:$C$393,'USEEIO metadata'!$G$2:$G$393)</f>
        <v>#NAME?</v>
      </c>
    </row>
    <row r="118" spans="1:32">
      <c r="A118" t="str">
        <f>_xlfn.IFNA(IF(VLOOKUP(C118,'2016_Detail_Commodity_v1.0'!C:C,1,FALSE)=C118,"No change"),"Name changed")</f>
        <v>Name changed</v>
      </c>
      <c r="B118" t="s">
        <v>367</v>
      </c>
      <c r="C118" t="s">
        <v>1394</v>
      </c>
      <c r="D118" t="s">
        <v>368</v>
      </c>
      <c r="E118" t="s">
        <v>3653</v>
      </c>
      <c r="F118" t="s">
        <v>12</v>
      </c>
      <c r="G118">
        <v>0.19900000000000001</v>
      </c>
      <c r="H118" s="413">
        <f>G118*VLOOKUP(E118,GWPs!$B$3:$C$6,2,FALSE)</f>
        <v>0.19900000000000001</v>
      </c>
      <c r="I118">
        <v>0</v>
      </c>
      <c r="J118" s="413">
        <f>I118*VLOOKUP(E118,GWPs!$B$3:$C$6,2,FALSE)</f>
        <v>0</v>
      </c>
      <c r="K118">
        <v>0.19900000000000001</v>
      </c>
      <c r="L118" s="413">
        <f>K118*VLOOKUP(E118,GWPs!$B$3:$C$6,2,FALSE)</f>
        <v>0.19900000000000001</v>
      </c>
      <c r="N118">
        <v>3</v>
      </c>
      <c r="O118">
        <v>2</v>
      </c>
      <c r="P118">
        <v>1</v>
      </c>
      <c r="Q118">
        <v>3</v>
      </c>
      <c r="R118">
        <v>1</v>
      </c>
      <c r="W118" s="226" t="s">
        <v>19</v>
      </c>
      <c r="X118" s="70" t="s">
        <v>873</v>
      </c>
      <c r="Y118" s="414">
        <v>0.28000000000000003</v>
      </c>
      <c r="Z118" s="70">
        <v>0.28000000000000003</v>
      </c>
      <c r="AA118" s="70">
        <v>0</v>
      </c>
      <c r="AB118" s="464" t="s">
        <v>4230</v>
      </c>
      <c r="AC118" s="415">
        <f t="shared" si="1"/>
        <v>0</v>
      </c>
      <c r="AD118" s="226" t="e">
        <f ca="1">_xlfn.XLOOKUP(X118,'USEEIO metadata'!$C$2:$C$393,'USEEIO metadata'!$H$2:$H$393)</f>
        <v>#NAME?</v>
      </c>
      <c r="AE118" s="226" t="e">
        <f ca="1">_xlfn.XLOOKUP(X118,'USEEIO metadata'!$C$2:$C$393,'USEEIO metadata'!$F$2:$F$393)</f>
        <v>#NAME?</v>
      </c>
      <c r="AF118" s="226" t="e">
        <f ca="1">_xlfn.XLOOKUP(X118,'USEEIO metadata'!$C$2:$C$393,'USEEIO metadata'!$G$2:$G$393)</f>
        <v>#NAME?</v>
      </c>
    </row>
    <row r="119" spans="1:32">
      <c r="A119" t="str">
        <f>_xlfn.IFNA(IF(VLOOKUP(C119,'2016_Detail_Commodity_v1.0'!C:C,1,FALSE)=C119,"No change"),"Name changed")</f>
        <v>Name changed</v>
      </c>
      <c r="B119" t="s">
        <v>367</v>
      </c>
      <c r="C119" t="s">
        <v>1394</v>
      </c>
      <c r="D119" t="s">
        <v>368</v>
      </c>
      <c r="E119" t="s">
        <v>3654</v>
      </c>
      <c r="F119" t="s">
        <v>12</v>
      </c>
      <c r="G119">
        <v>1E-3</v>
      </c>
      <c r="H119" s="413">
        <f>G119*VLOOKUP(E119,GWPs!$B$3:$C$6,2,FALSE)</f>
        <v>2.8000000000000001E-2</v>
      </c>
      <c r="I119">
        <v>0</v>
      </c>
      <c r="J119" s="413">
        <f>I119*VLOOKUP(E119,GWPs!$B$3:$C$6,2,FALSE)</f>
        <v>0</v>
      </c>
      <c r="K119">
        <v>1E-3</v>
      </c>
      <c r="L119" s="413">
        <f>K119*VLOOKUP(E119,GWPs!$B$3:$C$6,2,FALSE)</f>
        <v>2.8000000000000001E-2</v>
      </c>
      <c r="N119">
        <v>4</v>
      </c>
      <c r="O119">
        <v>2</v>
      </c>
      <c r="P119">
        <v>1</v>
      </c>
      <c r="Q119">
        <v>1</v>
      </c>
      <c r="R119">
        <v>1</v>
      </c>
      <c r="W119" s="226" t="s">
        <v>317</v>
      </c>
      <c r="X119" s="70" t="s">
        <v>316</v>
      </c>
      <c r="Y119" s="414">
        <v>0.56600000000000006</v>
      </c>
      <c r="Z119" s="70">
        <v>0.48899999999999999</v>
      </c>
      <c r="AA119" s="70">
        <v>0.106</v>
      </c>
      <c r="AB119" s="464" t="s">
        <v>4231</v>
      </c>
      <c r="AC119" s="415">
        <f t="shared" si="1"/>
        <v>0.18727915194346287</v>
      </c>
      <c r="AD119" s="226" t="e">
        <f ca="1">_xlfn.XLOOKUP(X119,'USEEIO metadata'!$C$2:$C$393,'USEEIO metadata'!$H$2:$H$393)</f>
        <v>#NAME?</v>
      </c>
      <c r="AE119" s="226" t="e">
        <f ca="1">_xlfn.XLOOKUP(X119,'USEEIO metadata'!$C$2:$C$393,'USEEIO metadata'!$F$2:$F$393)</f>
        <v>#NAME?</v>
      </c>
      <c r="AF119" s="226" t="e">
        <f ca="1">_xlfn.XLOOKUP(X119,'USEEIO metadata'!$C$2:$C$393,'USEEIO metadata'!$G$2:$G$393)</f>
        <v>#NAME?</v>
      </c>
    </row>
    <row r="120" spans="1:32" ht="28.5">
      <c r="A120" t="str">
        <f>_xlfn.IFNA(IF(VLOOKUP(C120,'2016_Detail_Commodity_v1.0'!C:C,1,FALSE)=C120,"No change"),"Name changed")</f>
        <v>Name changed</v>
      </c>
      <c r="B120" t="s">
        <v>367</v>
      </c>
      <c r="C120" t="s">
        <v>1394</v>
      </c>
      <c r="D120" t="s">
        <v>368</v>
      </c>
      <c r="E120" t="s">
        <v>3655</v>
      </c>
      <c r="F120" t="s">
        <v>12</v>
      </c>
      <c r="G120">
        <v>0</v>
      </c>
      <c r="H120" s="413">
        <f>G120*VLOOKUP(E120,GWPs!$B$3:$C$6,2,FALSE)</f>
        <v>0</v>
      </c>
      <c r="I120">
        <v>0</v>
      </c>
      <c r="J120" s="413">
        <f>I120*VLOOKUP(E120,GWPs!$B$3:$C$6,2,FALSE)</f>
        <v>0</v>
      </c>
      <c r="K120">
        <v>0</v>
      </c>
      <c r="L120" s="413">
        <f>K120*VLOOKUP(E120,GWPs!$B$3:$C$6,2,FALSE)</f>
        <v>0</v>
      </c>
      <c r="N120">
        <v>3</v>
      </c>
      <c r="O120">
        <v>2</v>
      </c>
      <c r="P120">
        <v>1</v>
      </c>
      <c r="Q120">
        <v>2</v>
      </c>
      <c r="R120">
        <v>1</v>
      </c>
      <c r="W120" s="226" t="s">
        <v>311</v>
      </c>
      <c r="X120" s="70" t="s">
        <v>310</v>
      </c>
      <c r="Y120" s="414">
        <v>1.5609999999999999</v>
      </c>
      <c r="Z120" s="70">
        <v>1.4229999999999998</v>
      </c>
      <c r="AA120" s="70">
        <v>0.13700000000000001</v>
      </c>
      <c r="AB120" s="464" t="s">
        <v>4230</v>
      </c>
      <c r="AC120" s="415">
        <f t="shared" si="1"/>
        <v>8.77642536835362E-2</v>
      </c>
      <c r="AD120" s="226" t="e">
        <f ca="1">_xlfn.XLOOKUP(X120,'USEEIO metadata'!$C$2:$C$393,'USEEIO metadata'!$H$2:$H$393)</f>
        <v>#NAME?</v>
      </c>
      <c r="AE120" s="226" t="e">
        <f ca="1">_xlfn.XLOOKUP(X120,'USEEIO metadata'!$C$2:$C$393,'USEEIO metadata'!$F$2:$F$393)</f>
        <v>#NAME?</v>
      </c>
      <c r="AF120" s="226" t="e">
        <f ca="1">_xlfn.XLOOKUP(X120,'USEEIO metadata'!$C$2:$C$393,'USEEIO metadata'!$G$2:$G$393)</f>
        <v>#NAME?</v>
      </c>
    </row>
    <row r="121" spans="1:32" ht="28.5">
      <c r="A121" t="str">
        <f>_xlfn.IFNA(IF(VLOOKUP(C121,'2016_Detail_Commodity_v1.0'!C:C,1,FALSE)=C121,"No change"),"Name changed")</f>
        <v>Name changed</v>
      </c>
      <c r="B121" t="s">
        <v>367</v>
      </c>
      <c r="C121" t="s">
        <v>1394</v>
      </c>
      <c r="D121" t="s">
        <v>368</v>
      </c>
      <c r="E121" t="s">
        <v>15</v>
      </c>
      <c r="F121" t="s">
        <v>16</v>
      </c>
      <c r="G121">
        <v>3.6999999999999998E-2</v>
      </c>
      <c r="H121" s="413">
        <f>G121*VLOOKUP(E121,GWPs!$B$3:$C$6,2,FALSE)</f>
        <v>3.6999999999999998E-2</v>
      </c>
      <c r="I121">
        <v>0</v>
      </c>
      <c r="J121" s="413">
        <f>I121*VLOOKUP(E121,GWPs!$B$3:$C$6,2,FALSE)</f>
        <v>0</v>
      </c>
      <c r="K121">
        <v>3.6999999999999998E-2</v>
      </c>
      <c r="L121" s="413">
        <f>K121*VLOOKUP(E121,GWPs!$B$3:$C$6,2,FALSE)</f>
        <v>3.6999999999999998E-2</v>
      </c>
      <c r="N121">
        <v>4</v>
      </c>
      <c r="O121">
        <v>2</v>
      </c>
      <c r="P121">
        <v>1</v>
      </c>
      <c r="Q121">
        <v>5</v>
      </c>
      <c r="R121">
        <v>1</v>
      </c>
      <c r="W121" s="226" t="s">
        <v>315</v>
      </c>
      <c r="X121" s="70" t="s">
        <v>314</v>
      </c>
      <c r="Y121" s="414">
        <v>0.58799999999999997</v>
      </c>
      <c r="Z121" s="70">
        <v>0.499</v>
      </c>
      <c r="AA121" s="70">
        <v>0.11799999999999999</v>
      </c>
      <c r="AB121" s="464" t="s">
        <v>4231</v>
      </c>
      <c r="AC121" s="415">
        <f t="shared" si="1"/>
        <v>0.20068027210884354</v>
      </c>
      <c r="AD121" s="226" t="e">
        <f ca="1">_xlfn.XLOOKUP(X121,'USEEIO metadata'!$C$2:$C$393,'USEEIO metadata'!$H$2:$H$393)</f>
        <v>#NAME?</v>
      </c>
      <c r="AE121" s="226" t="e">
        <f ca="1">_xlfn.XLOOKUP(X121,'USEEIO metadata'!$C$2:$C$393,'USEEIO metadata'!$F$2:$F$393)</f>
        <v>#NAME?</v>
      </c>
      <c r="AF121" s="226" t="e">
        <f ca="1">_xlfn.XLOOKUP(X121,'USEEIO metadata'!$C$2:$C$393,'USEEIO metadata'!$G$2:$G$393)</f>
        <v>#NAME?</v>
      </c>
    </row>
    <row r="122" spans="1:32" ht="28.5">
      <c r="A122" t="str">
        <f>_xlfn.IFNA(IF(VLOOKUP(C122,'2016_Detail_Commodity_v1.0'!C:C,1,FALSE)=C122,"No change"),"Name changed")</f>
        <v>No change</v>
      </c>
      <c r="B122" t="s">
        <v>369</v>
      </c>
      <c r="C122" t="s">
        <v>370</v>
      </c>
      <c r="E122" t="s">
        <v>3653</v>
      </c>
      <c r="F122" t="s">
        <v>12</v>
      </c>
      <c r="G122">
        <v>0.20699999999999999</v>
      </c>
      <c r="H122" s="413">
        <f>G122*VLOOKUP(E122,GWPs!$B$3:$C$6,2,FALSE)</f>
        <v>0.20699999999999999</v>
      </c>
      <c r="I122">
        <v>0</v>
      </c>
      <c r="J122" s="413">
        <f>I122*VLOOKUP(E122,GWPs!$B$3:$C$6,2,FALSE)</f>
        <v>0</v>
      </c>
      <c r="K122">
        <v>0.20699999999999999</v>
      </c>
      <c r="L122" s="413">
        <f>K122*VLOOKUP(E122,GWPs!$B$3:$C$6,2,FALSE)</f>
        <v>0.20699999999999999</v>
      </c>
      <c r="N122">
        <v>3</v>
      </c>
      <c r="O122">
        <v>2</v>
      </c>
      <c r="P122">
        <v>1</v>
      </c>
      <c r="Q122">
        <v>3</v>
      </c>
      <c r="R122">
        <v>1</v>
      </c>
      <c r="W122" s="226" t="s">
        <v>313</v>
      </c>
      <c r="X122" s="70" t="s">
        <v>312</v>
      </c>
      <c r="Y122" s="414">
        <v>4.1529999999999996</v>
      </c>
      <c r="Z122" s="70">
        <v>3.9490000000000003</v>
      </c>
      <c r="AA122" s="70">
        <v>0.20499999999999999</v>
      </c>
      <c r="AB122" s="464" t="s">
        <v>4230</v>
      </c>
      <c r="AC122" s="415">
        <f t="shared" si="1"/>
        <v>4.9361907055140861E-2</v>
      </c>
      <c r="AD122" s="226" t="e">
        <f ca="1">_xlfn.XLOOKUP(X122,'USEEIO metadata'!$C$2:$C$393,'USEEIO metadata'!$H$2:$H$393)</f>
        <v>#NAME?</v>
      </c>
      <c r="AE122" s="226" t="e">
        <f ca="1">_xlfn.XLOOKUP(X122,'USEEIO metadata'!$C$2:$C$393,'USEEIO metadata'!$F$2:$F$393)</f>
        <v>#NAME?</v>
      </c>
      <c r="AF122" s="226" t="e">
        <f ca="1">_xlfn.XLOOKUP(X122,'USEEIO metadata'!$C$2:$C$393,'USEEIO metadata'!$G$2:$G$393)</f>
        <v>#NAME?</v>
      </c>
    </row>
    <row r="123" spans="1:32">
      <c r="A123" t="str">
        <f>_xlfn.IFNA(IF(VLOOKUP(C123,'2016_Detail_Commodity_v1.0'!C:C,1,FALSE)=C123,"No change"),"Name changed")</f>
        <v>No change</v>
      </c>
      <c r="B123" t="s">
        <v>369</v>
      </c>
      <c r="C123" t="s">
        <v>370</v>
      </c>
      <c r="E123" t="s">
        <v>3654</v>
      </c>
      <c r="F123" t="s">
        <v>12</v>
      </c>
      <c r="G123">
        <v>1E-3</v>
      </c>
      <c r="H123" s="413">
        <f>G123*VLOOKUP(E123,GWPs!$B$3:$C$6,2,FALSE)</f>
        <v>2.8000000000000001E-2</v>
      </c>
      <c r="I123">
        <v>0</v>
      </c>
      <c r="J123" s="413">
        <f>I123*VLOOKUP(E123,GWPs!$B$3:$C$6,2,FALSE)</f>
        <v>0</v>
      </c>
      <c r="K123">
        <v>1E-3</v>
      </c>
      <c r="L123" s="413">
        <f>K123*VLOOKUP(E123,GWPs!$B$3:$C$6,2,FALSE)</f>
        <v>2.8000000000000001E-2</v>
      </c>
      <c r="N123">
        <v>4</v>
      </c>
      <c r="O123">
        <v>2</v>
      </c>
      <c r="P123">
        <v>1</v>
      </c>
      <c r="Q123">
        <v>1</v>
      </c>
      <c r="R123">
        <v>1</v>
      </c>
      <c r="W123" s="226" t="s">
        <v>398</v>
      </c>
      <c r="X123" s="70" t="s">
        <v>397</v>
      </c>
      <c r="Y123" s="414">
        <v>0.82800000000000007</v>
      </c>
      <c r="Z123" s="70">
        <v>0.76200000000000001</v>
      </c>
      <c r="AA123" s="70">
        <v>6.6000000000000003E-2</v>
      </c>
      <c r="AB123" s="464" t="s">
        <v>4231</v>
      </c>
      <c r="AC123" s="415">
        <f t="shared" si="1"/>
        <v>7.9710144927536225E-2</v>
      </c>
      <c r="AD123" s="226" t="e">
        <f ca="1">_xlfn.XLOOKUP(X123,'USEEIO metadata'!$C$2:$C$393,'USEEIO metadata'!$H$2:$H$393)</f>
        <v>#NAME?</v>
      </c>
      <c r="AE123" s="226" t="e">
        <f ca="1">_xlfn.XLOOKUP(X123,'USEEIO metadata'!$C$2:$C$393,'USEEIO metadata'!$F$2:$F$393)</f>
        <v>#NAME?</v>
      </c>
      <c r="AF123" s="226" t="e">
        <f ca="1">_xlfn.XLOOKUP(X123,'USEEIO metadata'!$C$2:$C$393,'USEEIO metadata'!$G$2:$G$393)</f>
        <v>#NAME?</v>
      </c>
    </row>
    <row r="124" spans="1:32">
      <c r="A124" t="str">
        <f>_xlfn.IFNA(IF(VLOOKUP(C124,'2016_Detail_Commodity_v1.0'!C:C,1,FALSE)=C124,"No change"),"Name changed")</f>
        <v>No change</v>
      </c>
      <c r="B124" t="s">
        <v>369</v>
      </c>
      <c r="C124" t="s">
        <v>370</v>
      </c>
      <c r="E124" t="s">
        <v>3655</v>
      </c>
      <c r="F124" t="s">
        <v>12</v>
      </c>
      <c r="G124">
        <v>0</v>
      </c>
      <c r="H124" s="413">
        <f>G124*VLOOKUP(E124,GWPs!$B$3:$C$6,2,FALSE)</f>
        <v>0</v>
      </c>
      <c r="I124">
        <v>0</v>
      </c>
      <c r="J124" s="413">
        <f>I124*VLOOKUP(E124,GWPs!$B$3:$C$6,2,FALSE)</f>
        <v>0</v>
      </c>
      <c r="K124">
        <v>0</v>
      </c>
      <c r="L124" s="413">
        <f>K124*VLOOKUP(E124,GWPs!$B$3:$C$6,2,FALSE)</f>
        <v>0</v>
      </c>
      <c r="N124">
        <v>3</v>
      </c>
      <c r="O124">
        <v>2</v>
      </c>
      <c r="P124">
        <v>1</v>
      </c>
      <c r="Q124">
        <v>2</v>
      </c>
      <c r="R124">
        <v>1</v>
      </c>
      <c r="W124" s="226" t="s">
        <v>400</v>
      </c>
      <c r="X124" s="70" t="s">
        <v>399</v>
      </c>
      <c r="Y124" s="414">
        <v>0.55600000000000005</v>
      </c>
      <c r="Z124" s="70">
        <v>0.495</v>
      </c>
      <c r="AA124" s="70">
        <v>6.0999999999999999E-2</v>
      </c>
      <c r="AB124" s="464" t="s">
        <v>4231</v>
      </c>
      <c r="AC124" s="415">
        <f t="shared" si="1"/>
        <v>0.10971223021582732</v>
      </c>
      <c r="AD124" s="226" t="e">
        <f ca="1">_xlfn.XLOOKUP(X124,'USEEIO metadata'!$C$2:$C$393,'USEEIO metadata'!$H$2:$H$393)</f>
        <v>#NAME?</v>
      </c>
      <c r="AE124" s="226" t="e">
        <f ca="1">_xlfn.XLOOKUP(X124,'USEEIO metadata'!$C$2:$C$393,'USEEIO metadata'!$F$2:$F$393)</f>
        <v>#NAME?</v>
      </c>
      <c r="AF124" s="226" t="e">
        <f ca="1">_xlfn.XLOOKUP(X124,'USEEIO metadata'!$C$2:$C$393,'USEEIO metadata'!$G$2:$G$393)</f>
        <v>#NAME?</v>
      </c>
    </row>
    <row r="125" spans="1:32">
      <c r="A125" t="str">
        <f>_xlfn.IFNA(IF(VLOOKUP(C125,'2016_Detail_Commodity_v1.0'!C:C,1,FALSE)=C125,"No change"),"Name changed")</f>
        <v>No change</v>
      </c>
      <c r="B125" t="s">
        <v>369</v>
      </c>
      <c r="C125" t="s">
        <v>370</v>
      </c>
      <c r="E125" t="s">
        <v>15</v>
      </c>
      <c r="F125" t="s">
        <v>16</v>
      </c>
      <c r="G125">
        <v>3.6999999999999998E-2</v>
      </c>
      <c r="H125" s="413">
        <f>G125*VLOOKUP(E125,GWPs!$B$3:$C$6,2,FALSE)</f>
        <v>3.6999999999999998E-2</v>
      </c>
      <c r="I125">
        <v>0</v>
      </c>
      <c r="J125" s="413">
        <f>I125*VLOOKUP(E125,GWPs!$B$3:$C$6,2,FALSE)</f>
        <v>0</v>
      </c>
      <c r="K125">
        <v>3.6999999999999998E-2</v>
      </c>
      <c r="L125" s="413">
        <f>K125*VLOOKUP(E125,GWPs!$B$3:$C$6,2,FALSE)</f>
        <v>3.6999999999999998E-2</v>
      </c>
      <c r="N125">
        <v>4</v>
      </c>
      <c r="O125">
        <v>2</v>
      </c>
      <c r="P125">
        <v>1</v>
      </c>
      <c r="Q125">
        <v>5</v>
      </c>
      <c r="R125">
        <v>1</v>
      </c>
      <c r="W125" s="226" t="s">
        <v>1061</v>
      </c>
      <c r="X125" s="70" t="s">
        <v>1060</v>
      </c>
      <c r="Y125" s="414">
        <v>0.26100000000000001</v>
      </c>
      <c r="Z125" s="70">
        <v>0.26100000000000001</v>
      </c>
      <c r="AA125" s="70">
        <v>0</v>
      </c>
      <c r="AB125" s="464" t="s">
        <v>4230</v>
      </c>
      <c r="AC125" s="415">
        <f t="shared" si="1"/>
        <v>0</v>
      </c>
      <c r="AD125" s="226" t="e">
        <f ca="1">_xlfn.XLOOKUP(X125,'USEEIO metadata'!$C$2:$C$393,'USEEIO metadata'!$H$2:$H$393)</f>
        <v>#NAME?</v>
      </c>
      <c r="AE125" s="226" t="e">
        <f ca="1">_xlfn.XLOOKUP(X125,'USEEIO metadata'!$C$2:$C$393,'USEEIO metadata'!$F$2:$F$393)</f>
        <v>#NAME?</v>
      </c>
      <c r="AF125" s="226" t="e">
        <f ca="1">_xlfn.XLOOKUP(X125,'USEEIO metadata'!$C$2:$C$393,'USEEIO metadata'!$G$2:$G$393)</f>
        <v>#NAME?</v>
      </c>
    </row>
    <row r="126" spans="1:32" ht="28.5">
      <c r="A126" t="str">
        <f>_xlfn.IFNA(IF(VLOOKUP(C126,'2016_Detail_Commodity_v1.0'!C:C,1,FALSE)=C126,"No change"),"Name changed")</f>
        <v>Name changed</v>
      </c>
      <c r="B126" t="s">
        <v>371</v>
      </c>
      <c r="C126" t="s">
        <v>1395</v>
      </c>
      <c r="D126" t="s">
        <v>372</v>
      </c>
      <c r="E126" t="s">
        <v>3653</v>
      </c>
      <c r="F126" t="s">
        <v>12</v>
      </c>
      <c r="G126">
        <v>0.37</v>
      </c>
      <c r="H126" s="413">
        <f>G126*VLOOKUP(E126,GWPs!$B$3:$C$6,2,FALSE)</f>
        <v>0.37</v>
      </c>
      <c r="I126">
        <v>0</v>
      </c>
      <c r="J126" s="413">
        <f>I126*VLOOKUP(E126,GWPs!$B$3:$C$6,2,FALSE)</f>
        <v>0</v>
      </c>
      <c r="K126">
        <v>0.37</v>
      </c>
      <c r="L126" s="413">
        <f>K126*VLOOKUP(E126,GWPs!$B$3:$C$6,2,FALSE)</f>
        <v>0.37</v>
      </c>
      <c r="N126">
        <v>4</v>
      </c>
      <c r="O126">
        <v>2</v>
      </c>
      <c r="P126">
        <v>1</v>
      </c>
      <c r="Q126">
        <v>4</v>
      </c>
      <c r="R126">
        <v>1</v>
      </c>
      <c r="W126" s="226" t="s">
        <v>948</v>
      </c>
      <c r="X126" s="70" t="s">
        <v>947</v>
      </c>
      <c r="Y126" s="414">
        <v>0.17399999999999999</v>
      </c>
      <c r="Z126" s="70">
        <v>0.17399999999999999</v>
      </c>
      <c r="AA126" s="70">
        <v>0</v>
      </c>
      <c r="AB126" s="464" t="s">
        <v>4230</v>
      </c>
      <c r="AC126" s="415">
        <f t="shared" si="1"/>
        <v>0</v>
      </c>
      <c r="AD126" s="226" t="e">
        <f ca="1">_xlfn.XLOOKUP(X126,'USEEIO metadata'!$C$2:$C$393,'USEEIO metadata'!$H$2:$H$393)</f>
        <v>#NAME?</v>
      </c>
      <c r="AE126" s="226" t="e">
        <f ca="1">_xlfn.XLOOKUP(X126,'USEEIO metadata'!$C$2:$C$393,'USEEIO metadata'!$F$2:$F$393)</f>
        <v>#NAME?</v>
      </c>
      <c r="AF126" s="226" t="e">
        <f ca="1">_xlfn.XLOOKUP(X126,'USEEIO metadata'!$C$2:$C$393,'USEEIO metadata'!$G$2:$G$393)</f>
        <v>#NAME?</v>
      </c>
    </row>
    <row r="127" spans="1:32">
      <c r="A127" t="str">
        <f>_xlfn.IFNA(IF(VLOOKUP(C127,'2016_Detail_Commodity_v1.0'!C:C,1,FALSE)=C127,"No change"),"Name changed")</f>
        <v>Name changed</v>
      </c>
      <c r="B127" t="s">
        <v>371</v>
      </c>
      <c r="C127" t="s">
        <v>1395</v>
      </c>
      <c r="D127" t="s">
        <v>372</v>
      </c>
      <c r="E127" t="s">
        <v>3654</v>
      </c>
      <c r="F127" t="s">
        <v>12</v>
      </c>
      <c r="G127">
        <v>1E-3</v>
      </c>
      <c r="H127" s="413">
        <f>G127*VLOOKUP(E127,GWPs!$B$3:$C$6,2,FALSE)</f>
        <v>2.8000000000000001E-2</v>
      </c>
      <c r="I127">
        <v>0</v>
      </c>
      <c r="J127" s="413">
        <f>I127*VLOOKUP(E127,GWPs!$B$3:$C$6,2,FALSE)</f>
        <v>0</v>
      </c>
      <c r="K127">
        <v>1E-3</v>
      </c>
      <c r="L127" s="413">
        <f>K127*VLOOKUP(E127,GWPs!$B$3:$C$6,2,FALSE)</f>
        <v>2.8000000000000001E-2</v>
      </c>
      <c r="N127">
        <v>4</v>
      </c>
      <c r="O127">
        <v>2</v>
      </c>
      <c r="P127">
        <v>1</v>
      </c>
      <c r="Q127">
        <v>1</v>
      </c>
      <c r="R127">
        <v>1</v>
      </c>
      <c r="W127" s="226" t="s">
        <v>1077</v>
      </c>
      <c r="X127" s="70" t="s">
        <v>1076</v>
      </c>
      <c r="Y127" s="414">
        <v>3.5000000000000003E-2</v>
      </c>
      <c r="Z127" s="70">
        <v>3.5000000000000003E-2</v>
      </c>
      <c r="AA127" s="70">
        <v>0</v>
      </c>
      <c r="AB127" s="464" t="s">
        <v>4230</v>
      </c>
      <c r="AC127" s="415">
        <f t="shared" si="1"/>
        <v>0</v>
      </c>
      <c r="AD127" s="226" t="e">
        <f ca="1">_xlfn.XLOOKUP(X127,'USEEIO metadata'!$C$2:$C$393,'USEEIO metadata'!$H$2:$H$393)</f>
        <v>#NAME?</v>
      </c>
      <c r="AE127" s="226" t="e">
        <f ca="1">_xlfn.XLOOKUP(X127,'USEEIO metadata'!$C$2:$C$393,'USEEIO metadata'!$F$2:$F$393)</f>
        <v>#NAME?</v>
      </c>
      <c r="AF127" s="226" t="e">
        <f ca="1">_xlfn.XLOOKUP(X127,'USEEIO metadata'!$C$2:$C$393,'USEEIO metadata'!$G$2:$G$393)</f>
        <v>#NAME?</v>
      </c>
    </row>
    <row r="128" spans="1:32" ht="28.5">
      <c r="A128" t="str">
        <f>_xlfn.IFNA(IF(VLOOKUP(C128,'2016_Detail_Commodity_v1.0'!C:C,1,FALSE)=C128,"No change"),"Name changed")</f>
        <v>Name changed</v>
      </c>
      <c r="B128" t="s">
        <v>371</v>
      </c>
      <c r="C128" t="s">
        <v>1395</v>
      </c>
      <c r="D128" t="s">
        <v>372</v>
      </c>
      <c r="E128" t="s">
        <v>3655</v>
      </c>
      <c r="F128" t="s">
        <v>12</v>
      </c>
      <c r="G128">
        <v>0</v>
      </c>
      <c r="H128" s="413">
        <f>G128*VLOOKUP(E128,GWPs!$B$3:$C$6,2,FALSE)</f>
        <v>0</v>
      </c>
      <c r="I128">
        <v>0</v>
      </c>
      <c r="J128" s="413">
        <f>I128*VLOOKUP(E128,GWPs!$B$3:$C$6,2,FALSE)</f>
        <v>0</v>
      </c>
      <c r="K128">
        <v>0</v>
      </c>
      <c r="L128" s="413">
        <f>K128*VLOOKUP(E128,GWPs!$B$3:$C$6,2,FALSE)</f>
        <v>0</v>
      </c>
      <c r="N128">
        <v>3</v>
      </c>
      <c r="O128">
        <v>2</v>
      </c>
      <c r="P128">
        <v>1</v>
      </c>
      <c r="Q128">
        <v>3</v>
      </c>
      <c r="R128">
        <v>1</v>
      </c>
      <c r="W128" s="226" t="s">
        <v>1055</v>
      </c>
      <c r="X128" s="70" t="s">
        <v>1054</v>
      </c>
      <c r="Y128" s="414">
        <v>0.222</v>
      </c>
      <c r="Z128" s="70">
        <v>0.222</v>
      </c>
      <c r="AA128" s="70">
        <v>0</v>
      </c>
      <c r="AB128" s="464" t="s">
        <v>4230</v>
      </c>
      <c r="AC128" s="415">
        <f t="shared" si="1"/>
        <v>0</v>
      </c>
      <c r="AD128" s="226" t="e">
        <f ca="1">_xlfn.XLOOKUP(X128,'USEEIO metadata'!$C$2:$C$393,'USEEIO metadata'!$H$2:$H$393)</f>
        <v>#NAME?</v>
      </c>
      <c r="AE128" s="226" t="e">
        <f ca="1">_xlfn.XLOOKUP(X128,'USEEIO metadata'!$C$2:$C$393,'USEEIO metadata'!$F$2:$F$393)</f>
        <v>#NAME?</v>
      </c>
      <c r="AF128" s="226" t="e">
        <f ca="1">_xlfn.XLOOKUP(X128,'USEEIO metadata'!$C$2:$C$393,'USEEIO metadata'!$G$2:$G$393)</f>
        <v>#NAME?</v>
      </c>
    </row>
    <row r="129" spans="1:32" ht="57">
      <c r="A129" t="str">
        <f>_xlfn.IFNA(IF(VLOOKUP(C129,'2016_Detail_Commodity_v1.0'!C:C,1,FALSE)=C129,"No change"),"Name changed")</f>
        <v>Name changed</v>
      </c>
      <c r="B129" t="s">
        <v>371</v>
      </c>
      <c r="C129" t="s">
        <v>1395</v>
      </c>
      <c r="D129" t="s">
        <v>372</v>
      </c>
      <c r="E129" t="s">
        <v>15</v>
      </c>
      <c r="F129" t="s">
        <v>16</v>
      </c>
      <c r="G129">
        <v>1.2999999999999999E-2</v>
      </c>
      <c r="H129" s="413">
        <f>G129*VLOOKUP(E129,GWPs!$B$3:$C$6,2,FALSE)</f>
        <v>1.2999999999999999E-2</v>
      </c>
      <c r="I129">
        <v>0</v>
      </c>
      <c r="J129" s="413">
        <f>I129*VLOOKUP(E129,GWPs!$B$3:$C$6,2,FALSE)</f>
        <v>0</v>
      </c>
      <c r="K129">
        <v>1.2999999999999999E-2</v>
      </c>
      <c r="L129" s="413">
        <f>K129*VLOOKUP(E129,GWPs!$B$3:$C$6,2,FALSE)</f>
        <v>1.2999999999999999E-2</v>
      </c>
      <c r="N129">
        <v>4</v>
      </c>
      <c r="O129">
        <v>2</v>
      </c>
      <c r="P129">
        <v>1</v>
      </c>
      <c r="Q129">
        <v>5</v>
      </c>
      <c r="R129">
        <v>1</v>
      </c>
      <c r="W129" s="226" t="s">
        <v>846</v>
      </c>
      <c r="X129" s="70" t="s">
        <v>845</v>
      </c>
      <c r="Y129" s="414">
        <v>0.27800000000000002</v>
      </c>
      <c r="Z129" s="70">
        <v>0.14100000000000001</v>
      </c>
      <c r="AA129" s="70">
        <v>0.13700000000000001</v>
      </c>
      <c r="AB129" s="464" t="s">
        <v>4230</v>
      </c>
      <c r="AC129" s="415">
        <f t="shared" si="1"/>
        <v>0.49280575539568344</v>
      </c>
      <c r="AD129" s="226" t="e">
        <f ca="1">_xlfn.XLOOKUP(X129,'USEEIO metadata'!$C$2:$C$393,'USEEIO metadata'!$H$2:$H$393)</f>
        <v>#NAME?</v>
      </c>
      <c r="AE129" s="226" t="e">
        <f ca="1">_xlfn.XLOOKUP(X129,'USEEIO metadata'!$C$2:$C$393,'USEEIO metadata'!$F$2:$F$393)</f>
        <v>#NAME?</v>
      </c>
      <c r="AF129" s="226" t="e">
        <f ca="1">_xlfn.XLOOKUP(X129,'USEEIO metadata'!$C$2:$C$393,'USEEIO metadata'!$G$2:$G$393)</f>
        <v>#NAME?</v>
      </c>
    </row>
    <row r="130" spans="1:32">
      <c r="A130" t="str">
        <f>_xlfn.IFNA(IF(VLOOKUP(C130,'2016_Detail_Commodity_v1.0'!C:C,1,FALSE)=C130,"No change"),"Name changed")</f>
        <v>No change</v>
      </c>
      <c r="B130" t="s">
        <v>373</v>
      </c>
      <c r="C130" t="s">
        <v>374</v>
      </c>
      <c r="E130" t="s">
        <v>3653</v>
      </c>
      <c r="F130" t="s">
        <v>12</v>
      </c>
      <c r="G130">
        <v>0.29699999999999999</v>
      </c>
      <c r="H130" s="413">
        <f>G130*VLOOKUP(E130,GWPs!$B$3:$C$6,2,FALSE)</f>
        <v>0.29699999999999999</v>
      </c>
      <c r="I130">
        <v>0</v>
      </c>
      <c r="J130" s="413">
        <f>I130*VLOOKUP(E130,GWPs!$B$3:$C$6,2,FALSE)</f>
        <v>0</v>
      </c>
      <c r="K130">
        <v>0.29699999999999999</v>
      </c>
      <c r="L130" s="413">
        <f>K130*VLOOKUP(E130,GWPs!$B$3:$C$6,2,FALSE)</f>
        <v>0.29699999999999999</v>
      </c>
      <c r="N130">
        <v>3</v>
      </c>
      <c r="O130">
        <v>2</v>
      </c>
      <c r="P130">
        <v>1</v>
      </c>
      <c r="Q130">
        <v>4</v>
      </c>
      <c r="R130">
        <v>1</v>
      </c>
      <c r="W130" s="226" t="s">
        <v>877</v>
      </c>
      <c r="X130" s="70" t="s">
        <v>876</v>
      </c>
      <c r="Y130" s="414">
        <v>0.26</v>
      </c>
      <c r="Z130" s="70">
        <v>0.26</v>
      </c>
      <c r="AA130" s="70">
        <v>0</v>
      </c>
      <c r="AB130" s="464" t="s">
        <v>4230</v>
      </c>
      <c r="AC130" s="415">
        <f t="shared" si="1"/>
        <v>0</v>
      </c>
      <c r="AD130" s="226" t="e">
        <f ca="1">_xlfn.XLOOKUP(X130,'USEEIO metadata'!$C$2:$C$393,'USEEIO metadata'!$H$2:$H$393)</f>
        <v>#NAME?</v>
      </c>
      <c r="AE130" s="226" t="e">
        <f ca="1">_xlfn.XLOOKUP(X130,'USEEIO metadata'!$C$2:$C$393,'USEEIO metadata'!$F$2:$F$393)</f>
        <v>#NAME?</v>
      </c>
      <c r="AF130" s="226" t="e">
        <f ca="1">_xlfn.XLOOKUP(X130,'USEEIO metadata'!$C$2:$C$393,'USEEIO metadata'!$G$2:$G$393)</f>
        <v>#NAME?</v>
      </c>
    </row>
    <row r="131" spans="1:32" ht="28.5">
      <c r="A131" t="str">
        <f>_xlfn.IFNA(IF(VLOOKUP(C131,'2016_Detail_Commodity_v1.0'!C:C,1,FALSE)=C131,"No change"),"Name changed")</f>
        <v>No change</v>
      </c>
      <c r="B131" t="s">
        <v>373</v>
      </c>
      <c r="C131" t="s">
        <v>374</v>
      </c>
      <c r="E131" t="s">
        <v>3654</v>
      </c>
      <c r="F131" t="s">
        <v>12</v>
      </c>
      <c r="G131">
        <v>1E-3</v>
      </c>
      <c r="H131" s="413">
        <f>G131*VLOOKUP(E131,GWPs!$B$3:$C$6,2,FALSE)</f>
        <v>2.8000000000000001E-2</v>
      </c>
      <c r="I131">
        <v>0</v>
      </c>
      <c r="J131" s="413">
        <f>I131*VLOOKUP(E131,GWPs!$B$3:$C$6,2,FALSE)</f>
        <v>0</v>
      </c>
      <c r="K131">
        <v>1E-3</v>
      </c>
      <c r="L131" s="413">
        <f>K131*VLOOKUP(E131,GWPs!$B$3:$C$6,2,FALSE)</f>
        <v>2.8000000000000001E-2</v>
      </c>
      <c r="N131">
        <v>4</v>
      </c>
      <c r="O131">
        <v>2</v>
      </c>
      <c r="P131">
        <v>1</v>
      </c>
      <c r="Q131">
        <v>1</v>
      </c>
      <c r="R131">
        <v>1</v>
      </c>
      <c r="W131" s="226" t="s">
        <v>484</v>
      </c>
      <c r="X131" s="70" t="s">
        <v>483</v>
      </c>
      <c r="Y131" s="414">
        <v>1.121</v>
      </c>
      <c r="Z131" s="70">
        <v>1.0549999999999999</v>
      </c>
      <c r="AA131" s="70">
        <v>6.7000000000000004E-2</v>
      </c>
      <c r="AB131" s="464" t="s">
        <v>4230</v>
      </c>
      <c r="AC131" s="415">
        <f t="shared" ref="AC131:AC194" si="2">IFERROR(AA131/Y131,"")</f>
        <v>5.9768064228367536E-2</v>
      </c>
      <c r="AD131" s="226" t="e">
        <f ca="1">_xlfn.XLOOKUP(X131,'USEEIO metadata'!$C$2:$C$393,'USEEIO metadata'!$H$2:$H$393)</f>
        <v>#NAME?</v>
      </c>
      <c r="AE131" s="226" t="e">
        <f ca="1">_xlfn.XLOOKUP(X131,'USEEIO metadata'!$C$2:$C$393,'USEEIO metadata'!$F$2:$F$393)</f>
        <v>#NAME?</v>
      </c>
      <c r="AF131" s="226" t="e">
        <f ca="1">_xlfn.XLOOKUP(X131,'USEEIO metadata'!$C$2:$C$393,'USEEIO metadata'!$G$2:$G$393)</f>
        <v>#NAME?</v>
      </c>
    </row>
    <row r="132" spans="1:32">
      <c r="A132" t="str">
        <f>_xlfn.IFNA(IF(VLOOKUP(C132,'2016_Detail_Commodity_v1.0'!C:C,1,FALSE)=C132,"No change"),"Name changed")</f>
        <v>No change</v>
      </c>
      <c r="B132" t="s">
        <v>373</v>
      </c>
      <c r="C132" t="s">
        <v>374</v>
      </c>
      <c r="E132" t="s">
        <v>3655</v>
      </c>
      <c r="F132" t="s">
        <v>12</v>
      </c>
      <c r="G132">
        <v>0</v>
      </c>
      <c r="H132" s="413">
        <f>G132*VLOOKUP(E132,GWPs!$B$3:$C$6,2,FALSE)</f>
        <v>0</v>
      </c>
      <c r="I132">
        <v>0</v>
      </c>
      <c r="J132" s="413">
        <f>I132*VLOOKUP(E132,GWPs!$B$3:$C$6,2,FALSE)</f>
        <v>0</v>
      </c>
      <c r="K132">
        <v>0</v>
      </c>
      <c r="L132" s="413">
        <f>K132*VLOOKUP(E132,GWPs!$B$3:$C$6,2,FALSE)</f>
        <v>0</v>
      </c>
      <c r="N132">
        <v>3</v>
      </c>
      <c r="O132">
        <v>2</v>
      </c>
      <c r="P132">
        <v>1</v>
      </c>
      <c r="Q132">
        <v>2</v>
      </c>
      <c r="R132">
        <v>1</v>
      </c>
      <c r="W132" s="226" t="s">
        <v>20</v>
      </c>
      <c r="X132" s="70" t="s">
        <v>880</v>
      </c>
      <c r="Y132" s="414">
        <v>0.23400000000000001</v>
      </c>
      <c r="Z132" s="70">
        <v>0.23400000000000001</v>
      </c>
      <c r="AA132" s="70">
        <v>0</v>
      </c>
      <c r="AB132" s="464" t="s">
        <v>4230</v>
      </c>
      <c r="AC132" s="415">
        <f t="shared" si="2"/>
        <v>0</v>
      </c>
      <c r="AD132" s="226" t="e">
        <f ca="1">_xlfn.XLOOKUP(X132,'USEEIO metadata'!$C$2:$C$393,'USEEIO metadata'!$H$2:$H$393)</f>
        <v>#NAME?</v>
      </c>
      <c r="AE132" s="226" t="e">
        <f ca="1">_xlfn.XLOOKUP(X132,'USEEIO metadata'!$C$2:$C$393,'USEEIO metadata'!$F$2:$F$393)</f>
        <v>#NAME?</v>
      </c>
      <c r="AF132" s="226" t="e">
        <f ca="1">_xlfn.XLOOKUP(X132,'USEEIO metadata'!$C$2:$C$393,'USEEIO metadata'!$G$2:$G$393)</f>
        <v>#NAME?</v>
      </c>
    </row>
    <row r="133" spans="1:32">
      <c r="A133" t="str">
        <f>_xlfn.IFNA(IF(VLOOKUP(C133,'2016_Detail_Commodity_v1.0'!C:C,1,FALSE)=C133,"No change"),"Name changed")</f>
        <v>No change</v>
      </c>
      <c r="B133" t="s">
        <v>373</v>
      </c>
      <c r="C133" t="s">
        <v>374</v>
      </c>
      <c r="E133" t="s">
        <v>15</v>
      </c>
      <c r="F133" t="s">
        <v>16</v>
      </c>
      <c r="G133">
        <v>1.9E-2</v>
      </c>
      <c r="H133" s="413">
        <f>G133*VLOOKUP(E133,GWPs!$B$3:$C$6,2,FALSE)</f>
        <v>1.9E-2</v>
      </c>
      <c r="I133">
        <v>0</v>
      </c>
      <c r="J133" s="413">
        <f>I133*VLOOKUP(E133,GWPs!$B$3:$C$6,2,FALSE)</f>
        <v>0</v>
      </c>
      <c r="K133">
        <v>1.9E-2</v>
      </c>
      <c r="L133" s="413">
        <f>K133*VLOOKUP(E133,GWPs!$B$3:$C$6,2,FALSE)</f>
        <v>1.9E-2</v>
      </c>
      <c r="N133">
        <v>4</v>
      </c>
      <c r="O133">
        <v>2</v>
      </c>
      <c r="P133">
        <v>1</v>
      </c>
      <c r="Q133">
        <v>5</v>
      </c>
      <c r="R133">
        <v>1</v>
      </c>
      <c r="W133" s="226" t="s">
        <v>552</v>
      </c>
      <c r="X133" s="70" t="s">
        <v>551</v>
      </c>
      <c r="Y133" s="414">
        <v>0.58100000000000007</v>
      </c>
      <c r="Z133" s="70">
        <v>0.47900000000000004</v>
      </c>
      <c r="AA133" s="70">
        <v>0.10199999999999999</v>
      </c>
      <c r="AB133" s="464" t="s">
        <v>4230</v>
      </c>
      <c r="AC133" s="415">
        <f t="shared" si="2"/>
        <v>0.17555938037865745</v>
      </c>
      <c r="AD133" s="226" t="e">
        <f ca="1">_xlfn.XLOOKUP(X133,'USEEIO metadata'!$C$2:$C$393,'USEEIO metadata'!$H$2:$H$393)</f>
        <v>#NAME?</v>
      </c>
      <c r="AE133" s="226" t="e">
        <f ca="1">_xlfn.XLOOKUP(X133,'USEEIO metadata'!$C$2:$C$393,'USEEIO metadata'!$F$2:$F$393)</f>
        <v>#NAME?</v>
      </c>
      <c r="AF133" s="226" t="e">
        <f ca="1">_xlfn.XLOOKUP(X133,'USEEIO metadata'!$C$2:$C$393,'USEEIO metadata'!$G$2:$G$393)</f>
        <v>#NAME?</v>
      </c>
    </row>
    <row r="134" spans="1:32" ht="42.75">
      <c r="A134" t="str">
        <f>_xlfn.IFNA(IF(VLOOKUP(C134,'2016_Detail_Commodity_v1.0'!C:C,1,FALSE)=C134,"No change"),"Name changed")</f>
        <v>Name changed</v>
      </c>
      <c r="B134" t="s">
        <v>375</v>
      </c>
      <c r="C134" t="s">
        <v>1396</v>
      </c>
      <c r="D134" t="s">
        <v>376</v>
      </c>
      <c r="E134" t="s">
        <v>3653</v>
      </c>
      <c r="F134" t="s">
        <v>12</v>
      </c>
      <c r="G134">
        <v>0.153</v>
      </c>
      <c r="H134" s="413">
        <f>G134*VLOOKUP(E134,GWPs!$B$3:$C$6,2,FALSE)</f>
        <v>0.153</v>
      </c>
      <c r="I134">
        <v>0</v>
      </c>
      <c r="J134" s="413">
        <f>I134*VLOOKUP(E134,GWPs!$B$3:$C$6,2,FALSE)</f>
        <v>0</v>
      </c>
      <c r="K134">
        <v>0.153</v>
      </c>
      <c r="L134" s="413">
        <f>K134*VLOOKUP(E134,GWPs!$B$3:$C$6,2,FALSE)</f>
        <v>0.153</v>
      </c>
      <c r="N134">
        <v>3</v>
      </c>
      <c r="O134">
        <v>2</v>
      </c>
      <c r="P134">
        <v>1</v>
      </c>
      <c r="Q134">
        <v>3</v>
      </c>
      <c r="R134">
        <v>1</v>
      </c>
      <c r="W134" s="226" t="s">
        <v>1057</v>
      </c>
      <c r="X134" s="70" t="s">
        <v>1056</v>
      </c>
      <c r="Y134" s="414">
        <v>0.313</v>
      </c>
      <c r="Z134" s="70">
        <v>0.313</v>
      </c>
      <c r="AA134" s="70">
        <v>0</v>
      </c>
      <c r="AB134" s="464" t="s">
        <v>4230</v>
      </c>
      <c r="AC134" s="415">
        <f t="shared" si="2"/>
        <v>0</v>
      </c>
      <c r="AD134" s="226" t="e">
        <f ca="1">_xlfn.XLOOKUP(X134,'USEEIO metadata'!$C$2:$C$393,'USEEIO metadata'!$H$2:$H$393)</f>
        <v>#NAME?</v>
      </c>
      <c r="AE134" s="226" t="e">
        <f ca="1">_xlfn.XLOOKUP(X134,'USEEIO metadata'!$C$2:$C$393,'USEEIO metadata'!$F$2:$F$393)</f>
        <v>#NAME?</v>
      </c>
      <c r="AF134" s="226" t="e">
        <f ca="1">_xlfn.XLOOKUP(X134,'USEEIO metadata'!$C$2:$C$393,'USEEIO metadata'!$G$2:$G$393)</f>
        <v>#NAME?</v>
      </c>
    </row>
    <row r="135" spans="1:32" ht="28.5">
      <c r="A135" t="str">
        <f>_xlfn.IFNA(IF(VLOOKUP(C135,'2016_Detail_Commodity_v1.0'!C:C,1,FALSE)=C135,"No change"),"Name changed")</f>
        <v>Name changed</v>
      </c>
      <c r="B135" t="s">
        <v>375</v>
      </c>
      <c r="C135" t="s">
        <v>1396</v>
      </c>
      <c r="D135" t="s">
        <v>376</v>
      </c>
      <c r="E135" t="s">
        <v>3654</v>
      </c>
      <c r="F135" t="s">
        <v>12</v>
      </c>
      <c r="G135">
        <v>1E-3</v>
      </c>
      <c r="H135" s="413">
        <f>G135*VLOOKUP(E135,GWPs!$B$3:$C$6,2,FALSE)</f>
        <v>2.8000000000000001E-2</v>
      </c>
      <c r="I135">
        <v>0</v>
      </c>
      <c r="J135" s="413">
        <f>I135*VLOOKUP(E135,GWPs!$B$3:$C$6,2,FALSE)</f>
        <v>0</v>
      </c>
      <c r="K135">
        <v>1E-3</v>
      </c>
      <c r="L135" s="413">
        <f>K135*VLOOKUP(E135,GWPs!$B$3:$C$6,2,FALSE)</f>
        <v>2.8000000000000001E-2</v>
      </c>
      <c r="N135">
        <v>3</v>
      </c>
      <c r="O135">
        <v>2</v>
      </c>
      <c r="P135">
        <v>1</v>
      </c>
      <c r="Q135">
        <v>1</v>
      </c>
      <c r="R135">
        <v>1</v>
      </c>
      <c r="W135" s="226" t="s">
        <v>1085</v>
      </c>
      <c r="X135" s="70" t="s">
        <v>1084</v>
      </c>
      <c r="Y135" s="414">
        <v>6.8000000000000005E-2</v>
      </c>
      <c r="Z135" s="70">
        <v>6.8000000000000005E-2</v>
      </c>
      <c r="AA135" s="70">
        <v>0</v>
      </c>
      <c r="AB135" s="464" t="s">
        <v>4230</v>
      </c>
      <c r="AC135" s="415">
        <f t="shared" si="2"/>
        <v>0</v>
      </c>
      <c r="AD135" s="226" t="e">
        <f ca="1">_xlfn.XLOOKUP(X135,'USEEIO metadata'!$C$2:$C$393,'USEEIO metadata'!$H$2:$H$393)</f>
        <v>#NAME?</v>
      </c>
      <c r="AE135" s="226" t="e">
        <f ca="1">_xlfn.XLOOKUP(X135,'USEEIO metadata'!$C$2:$C$393,'USEEIO metadata'!$F$2:$F$393)</f>
        <v>#NAME?</v>
      </c>
      <c r="AF135" s="226" t="e">
        <f ca="1">_xlfn.XLOOKUP(X135,'USEEIO metadata'!$C$2:$C$393,'USEEIO metadata'!$G$2:$G$393)</f>
        <v>#NAME?</v>
      </c>
    </row>
    <row r="136" spans="1:32" ht="28.5">
      <c r="A136" t="str">
        <f>_xlfn.IFNA(IF(VLOOKUP(C136,'2016_Detail_Commodity_v1.0'!C:C,1,FALSE)=C136,"No change"),"Name changed")</f>
        <v>Name changed</v>
      </c>
      <c r="B136" t="s">
        <v>375</v>
      </c>
      <c r="C136" t="s">
        <v>1396</v>
      </c>
      <c r="D136" t="s">
        <v>376</v>
      </c>
      <c r="E136" t="s">
        <v>3655</v>
      </c>
      <c r="F136" t="s">
        <v>12</v>
      </c>
      <c r="G136">
        <v>0</v>
      </c>
      <c r="H136" s="413">
        <f>G136*VLOOKUP(E136,GWPs!$B$3:$C$6,2,FALSE)</f>
        <v>0</v>
      </c>
      <c r="I136">
        <v>0</v>
      </c>
      <c r="J136" s="413">
        <f>I136*VLOOKUP(E136,GWPs!$B$3:$C$6,2,FALSE)</f>
        <v>0</v>
      </c>
      <c r="K136">
        <v>0</v>
      </c>
      <c r="L136" s="413">
        <f>K136*VLOOKUP(E136,GWPs!$B$3:$C$6,2,FALSE)</f>
        <v>0</v>
      </c>
      <c r="N136">
        <v>3</v>
      </c>
      <c r="O136">
        <v>2</v>
      </c>
      <c r="P136">
        <v>1</v>
      </c>
      <c r="Q136">
        <v>2</v>
      </c>
      <c r="R136">
        <v>1</v>
      </c>
      <c r="W136" s="226" t="s">
        <v>319</v>
      </c>
      <c r="X136" s="70" t="s">
        <v>318</v>
      </c>
      <c r="Y136" s="414">
        <v>1.0389999999999999</v>
      </c>
      <c r="Z136" s="70">
        <v>0.84200000000000008</v>
      </c>
      <c r="AA136" s="70">
        <v>0.19700000000000001</v>
      </c>
      <c r="AB136" s="464" t="s">
        <v>4230</v>
      </c>
      <c r="AC136" s="415">
        <f t="shared" si="2"/>
        <v>0.18960538979788261</v>
      </c>
      <c r="AD136" s="226" t="e">
        <f ca="1">_xlfn.XLOOKUP(X136,'USEEIO metadata'!$C$2:$C$393,'USEEIO metadata'!$H$2:$H$393)</f>
        <v>#NAME?</v>
      </c>
      <c r="AE136" s="226" t="e">
        <f ca="1">_xlfn.XLOOKUP(X136,'USEEIO metadata'!$C$2:$C$393,'USEEIO metadata'!$F$2:$F$393)</f>
        <v>#NAME?</v>
      </c>
      <c r="AF136" s="226" t="e">
        <f ca="1">_xlfn.XLOOKUP(X136,'USEEIO metadata'!$C$2:$C$393,'USEEIO metadata'!$G$2:$G$393)</f>
        <v>#NAME?</v>
      </c>
    </row>
    <row r="137" spans="1:32" ht="28.5">
      <c r="A137" t="str">
        <f>_xlfn.IFNA(IF(VLOOKUP(C137,'2016_Detail_Commodity_v1.0'!C:C,1,FALSE)=C137,"No change"),"Name changed")</f>
        <v>Name changed</v>
      </c>
      <c r="B137" t="s">
        <v>375</v>
      </c>
      <c r="C137" t="s">
        <v>1396</v>
      </c>
      <c r="D137" t="s">
        <v>376</v>
      </c>
      <c r="E137" t="s">
        <v>15</v>
      </c>
      <c r="F137" t="s">
        <v>16</v>
      </c>
      <c r="G137">
        <v>1.0999999999999999E-2</v>
      </c>
      <c r="H137" s="413">
        <f>G137*VLOOKUP(E137,GWPs!$B$3:$C$6,2,FALSE)</f>
        <v>1.0999999999999999E-2</v>
      </c>
      <c r="I137">
        <v>0</v>
      </c>
      <c r="J137" s="413">
        <f>I137*VLOOKUP(E137,GWPs!$B$3:$C$6,2,FALSE)</f>
        <v>0</v>
      </c>
      <c r="K137">
        <v>1.0999999999999999E-2</v>
      </c>
      <c r="L137" s="413">
        <f>K137*VLOOKUP(E137,GWPs!$B$3:$C$6,2,FALSE)</f>
        <v>1.0999999999999999E-2</v>
      </c>
      <c r="N137">
        <v>4</v>
      </c>
      <c r="O137">
        <v>2</v>
      </c>
      <c r="P137">
        <v>1</v>
      </c>
      <c r="Q137">
        <v>5</v>
      </c>
      <c r="R137">
        <v>1</v>
      </c>
      <c r="W137" s="226" t="s">
        <v>862</v>
      </c>
      <c r="X137" s="70" t="s">
        <v>861</v>
      </c>
      <c r="Y137" s="414">
        <v>0.27200000000000002</v>
      </c>
      <c r="Z137" s="70">
        <v>0.27200000000000002</v>
      </c>
      <c r="AA137" s="70">
        <v>0</v>
      </c>
      <c r="AB137" s="464" t="s">
        <v>4230</v>
      </c>
      <c r="AC137" s="415">
        <f t="shared" si="2"/>
        <v>0</v>
      </c>
      <c r="AD137" s="226" t="e">
        <f ca="1">_xlfn.XLOOKUP(X137,'USEEIO metadata'!$C$2:$C$393,'USEEIO metadata'!$H$2:$H$393)</f>
        <v>#NAME?</v>
      </c>
      <c r="AE137" s="226" t="e">
        <f ca="1">_xlfn.XLOOKUP(X137,'USEEIO metadata'!$C$2:$C$393,'USEEIO metadata'!$F$2:$F$393)</f>
        <v>#NAME?</v>
      </c>
      <c r="AF137" s="226" t="e">
        <f ca="1">_xlfn.XLOOKUP(X137,'USEEIO metadata'!$C$2:$C$393,'USEEIO metadata'!$G$2:$G$393)</f>
        <v>#NAME?</v>
      </c>
    </row>
    <row r="138" spans="1:32" ht="28.5">
      <c r="A138" t="str">
        <f>_xlfn.IFNA(IF(VLOOKUP(C138,'2016_Detail_Commodity_v1.0'!C:C,1,FALSE)=C138,"No change"),"Name changed")</f>
        <v>Name changed</v>
      </c>
      <c r="B138" t="s">
        <v>377</v>
      </c>
      <c r="C138" t="s">
        <v>1397</v>
      </c>
      <c r="D138" t="s">
        <v>378</v>
      </c>
      <c r="E138" t="s">
        <v>3653</v>
      </c>
      <c r="F138" t="s">
        <v>12</v>
      </c>
      <c r="G138">
        <v>0.08</v>
      </c>
      <c r="H138" s="413">
        <f>G138*VLOOKUP(E138,GWPs!$B$3:$C$6,2,FALSE)</f>
        <v>0.08</v>
      </c>
      <c r="I138">
        <v>0</v>
      </c>
      <c r="J138" s="413">
        <f>I138*VLOOKUP(E138,GWPs!$B$3:$C$6,2,FALSE)</f>
        <v>0</v>
      </c>
      <c r="K138">
        <v>0.08</v>
      </c>
      <c r="L138" s="413">
        <f>K138*VLOOKUP(E138,GWPs!$B$3:$C$6,2,FALSE)</f>
        <v>0.08</v>
      </c>
      <c r="N138">
        <v>3</v>
      </c>
      <c r="O138">
        <v>2</v>
      </c>
      <c r="P138">
        <v>1</v>
      </c>
      <c r="Q138">
        <v>3</v>
      </c>
      <c r="R138">
        <v>1</v>
      </c>
      <c r="W138" s="226" t="s">
        <v>568</v>
      </c>
      <c r="X138" s="70" t="s">
        <v>567</v>
      </c>
      <c r="Y138" s="414">
        <v>0.64100000000000001</v>
      </c>
      <c r="Z138" s="70">
        <v>0.42800000000000005</v>
      </c>
      <c r="AA138" s="70">
        <v>0.21299999999999999</v>
      </c>
      <c r="AB138" s="464" t="s">
        <v>4230</v>
      </c>
      <c r="AC138" s="415">
        <f t="shared" si="2"/>
        <v>0.33229329173166927</v>
      </c>
      <c r="AD138" s="226" t="e">
        <f ca="1">_xlfn.XLOOKUP(X138,'USEEIO metadata'!$C$2:$C$393,'USEEIO metadata'!$H$2:$H$393)</f>
        <v>#NAME?</v>
      </c>
      <c r="AE138" s="226" t="e">
        <f ca="1">_xlfn.XLOOKUP(X138,'USEEIO metadata'!$C$2:$C$393,'USEEIO metadata'!$F$2:$F$393)</f>
        <v>#NAME?</v>
      </c>
      <c r="AF138" s="226" t="e">
        <f ca="1">_xlfn.XLOOKUP(X138,'USEEIO metadata'!$C$2:$C$393,'USEEIO metadata'!$G$2:$G$393)</f>
        <v>#NAME?</v>
      </c>
    </row>
    <row r="139" spans="1:32" ht="28.5">
      <c r="A139" t="str">
        <f>_xlfn.IFNA(IF(VLOOKUP(C139,'2016_Detail_Commodity_v1.0'!C:C,1,FALSE)=C139,"No change"),"Name changed")</f>
        <v>Name changed</v>
      </c>
      <c r="B139" t="s">
        <v>377</v>
      </c>
      <c r="C139" t="s">
        <v>1397</v>
      </c>
      <c r="D139" t="s">
        <v>378</v>
      </c>
      <c r="E139" t="s">
        <v>3654</v>
      </c>
      <c r="F139" t="s">
        <v>12</v>
      </c>
      <c r="G139">
        <v>0</v>
      </c>
      <c r="H139" s="413">
        <f>G139*VLOOKUP(E139,GWPs!$B$3:$C$6,2,FALSE)</f>
        <v>0</v>
      </c>
      <c r="I139">
        <v>0</v>
      </c>
      <c r="J139" s="413">
        <f>I139*VLOOKUP(E139,GWPs!$B$3:$C$6,2,FALSE)</f>
        <v>0</v>
      </c>
      <c r="K139">
        <v>0</v>
      </c>
      <c r="L139" s="413">
        <f>K139*VLOOKUP(E139,GWPs!$B$3:$C$6,2,FALSE)</f>
        <v>0</v>
      </c>
      <c r="N139">
        <v>4</v>
      </c>
      <c r="O139">
        <v>2</v>
      </c>
      <c r="P139">
        <v>1</v>
      </c>
      <c r="Q139">
        <v>1</v>
      </c>
      <c r="R139">
        <v>1</v>
      </c>
      <c r="W139" s="226" t="s">
        <v>795</v>
      </c>
      <c r="X139" s="70" t="s">
        <v>794</v>
      </c>
      <c r="Y139" s="414">
        <v>0.15</v>
      </c>
      <c r="Z139" s="70">
        <v>0.14000000000000001</v>
      </c>
      <c r="AA139" s="70">
        <v>0.01</v>
      </c>
      <c r="AB139" s="464" t="s">
        <v>4230</v>
      </c>
      <c r="AC139" s="415">
        <f t="shared" si="2"/>
        <v>6.6666666666666666E-2</v>
      </c>
      <c r="AD139" s="226" t="e">
        <f ca="1">_xlfn.XLOOKUP(X139,'USEEIO metadata'!$C$2:$C$393,'USEEIO metadata'!$H$2:$H$393)</f>
        <v>#NAME?</v>
      </c>
      <c r="AE139" s="226" t="e">
        <f ca="1">_xlfn.XLOOKUP(X139,'USEEIO metadata'!$C$2:$C$393,'USEEIO metadata'!$F$2:$F$393)</f>
        <v>#NAME?</v>
      </c>
      <c r="AF139" s="226" t="e">
        <f ca="1">_xlfn.XLOOKUP(X139,'USEEIO metadata'!$C$2:$C$393,'USEEIO metadata'!$G$2:$G$393)</f>
        <v>#NAME?</v>
      </c>
    </row>
    <row r="140" spans="1:32">
      <c r="A140" t="str">
        <f>_xlfn.IFNA(IF(VLOOKUP(C140,'2016_Detail_Commodity_v1.0'!C:C,1,FALSE)=C140,"No change"),"Name changed")</f>
        <v>Name changed</v>
      </c>
      <c r="B140" t="s">
        <v>377</v>
      </c>
      <c r="C140" t="s">
        <v>1397</v>
      </c>
      <c r="D140" t="s">
        <v>378</v>
      </c>
      <c r="E140" t="s">
        <v>3655</v>
      </c>
      <c r="F140" t="s">
        <v>12</v>
      </c>
      <c r="G140">
        <v>0</v>
      </c>
      <c r="H140" s="413">
        <f>G140*VLOOKUP(E140,GWPs!$B$3:$C$6,2,FALSE)</f>
        <v>0</v>
      </c>
      <c r="I140">
        <v>0</v>
      </c>
      <c r="J140" s="413">
        <f>I140*VLOOKUP(E140,GWPs!$B$3:$C$6,2,FALSE)</f>
        <v>0</v>
      </c>
      <c r="K140">
        <v>0</v>
      </c>
      <c r="L140" s="413">
        <f>K140*VLOOKUP(E140,GWPs!$B$3:$C$6,2,FALSE)</f>
        <v>0</v>
      </c>
      <c r="N140">
        <v>3</v>
      </c>
      <c r="O140">
        <v>2</v>
      </c>
      <c r="P140">
        <v>1</v>
      </c>
      <c r="Q140">
        <v>2</v>
      </c>
      <c r="R140">
        <v>1</v>
      </c>
      <c r="W140" s="226" t="s">
        <v>875</v>
      </c>
      <c r="X140" s="70" t="s">
        <v>874</v>
      </c>
      <c r="Y140" s="414">
        <v>0.154</v>
      </c>
      <c r="Z140" s="70">
        <v>0.154</v>
      </c>
      <c r="AA140" s="70">
        <v>0</v>
      </c>
      <c r="AB140" s="464" t="s">
        <v>4230</v>
      </c>
      <c r="AC140" s="415">
        <f t="shared" si="2"/>
        <v>0</v>
      </c>
      <c r="AD140" s="226" t="e">
        <f ca="1">_xlfn.XLOOKUP(X140,'USEEIO metadata'!$C$2:$C$393,'USEEIO metadata'!$H$2:$H$393)</f>
        <v>#NAME?</v>
      </c>
      <c r="AE140" s="226" t="e">
        <f ca="1">_xlfn.XLOOKUP(X140,'USEEIO metadata'!$C$2:$C$393,'USEEIO metadata'!$F$2:$F$393)</f>
        <v>#NAME?</v>
      </c>
      <c r="AF140" s="226" t="e">
        <f ca="1">_xlfn.XLOOKUP(X140,'USEEIO metadata'!$C$2:$C$393,'USEEIO metadata'!$G$2:$G$393)</f>
        <v>#NAME?</v>
      </c>
    </row>
    <row r="141" spans="1:32">
      <c r="A141" t="str">
        <f>_xlfn.IFNA(IF(VLOOKUP(C141,'2016_Detail_Commodity_v1.0'!C:C,1,FALSE)=C141,"No change"),"Name changed")</f>
        <v>Name changed</v>
      </c>
      <c r="B141" t="s">
        <v>377</v>
      </c>
      <c r="C141" t="s">
        <v>1397</v>
      </c>
      <c r="D141" t="s">
        <v>378</v>
      </c>
      <c r="E141" t="s">
        <v>15</v>
      </c>
      <c r="F141" t="s">
        <v>16</v>
      </c>
      <c r="G141">
        <v>6.0000000000000001E-3</v>
      </c>
      <c r="H141" s="413">
        <f>G141*VLOOKUP(E141,GWPs!$B$3:$C$6,2,FALSE)</f>
        <v>6.0000000000000001E-3</v>
      </c>
      <c r="I141">
        <v>0</v>
      </c>
      <c r="J141" s="413">
        <f>I141*VLOOKUP(E141,GWPs!$B$3:$C$6,2,FALSE)</f>
        <v>0</v>
      </c>
      <c r="K141">
        <v>6.0000000000000001E-3</v>
      </c>
      <c r="L141" s="413">
        <f>K141*VLOOKUP(E141,GWPs!$B$3:$C$6,2,FALSE)</f>
        <v>6.0000000000000001E-3</v>
      </c>
      <c r="N141">
        <v>4</v>
      </c>
      <c r="O141">
        <v>2</v>
      </c>
      <c r="P141">
        <v>1</v>
      </c>
      <c r="Q141">
        <v>5</v>
      </c>
      <c r="R141">
        <v>1</v>
      </c>
      <c r="W141" s="226" t="s">
        <v>1391</v>
      </c>
      <c r="X141" s="70" t="s">
        <v>361</v>
      </c>
      <c r="Y141" s="414">
        <v>0.28599999999999998</v>
      </c>
      <c r="Z141" s="70">
        <v>0.28599999999999998</v>
      </c>
      <c r="AA141" s="70">
        <v>0</v>
      </c>
      <c r="AB141" s="464" t="s">
        <v>4231</v>
      </c>
      <c r="AC141" s="415">
        <f t="shared" si="2"/>
        <v>0</v>
      </c>
      <c r="AD141" s="226" t="e">
        <f ca="1">_xlfn.XLOOKUP(X141,'USEEIO metadata'!$C$2:$C$393,'USEEIO metadata'!$H$2:$H$393)</f>
        <v>#NAME?</v>
      </c>
      <c r="AE141" s="226" t="e">
        <f ca="1">_xlfn.XLOOKUP(X141,'USEEIO metadata'!$C$2:$C$393,'USEEIO metadata'!$F$2:$F$393)</f>
        <v>#NAME?</v>
      </c>
      <c r="AF141" s="226" t="e">
        <f ca="1">_xlfn.XLOOKUP(X141,'USEEIO metadata'!$C$2:$C$393,'USEEIO metadata'!$G$2:$G$393)</f>
        <v>#NAME?</v>
      </c>
    </row>
    <row r="142" spans="1:32" ht="28.5">
      <c r="A142" t="str">
        <f>_xlfn.IFNA(IF(VLOOKUP(C142,'2016_Detail_Commodity_v1.0'!C:C,1,FALSE)=C142,"No change"),"Name changed")</f>
        <v>No change</v>
      </c>
      <c r="B142" t="s">
        <v>379</v>
      </c>
      <c r="C142" t="s">
        <v>380</v>
      </c>
      <c r="E142" t="s">
        <v>3653</v>
      </c>
      <c r="F142" t="s">
        <v>12</v>
      </c>
      <c r="G142">
        <v>0.26400000000000001</v>
      </c>
      <c r="H142" s="413">
        <f>G142*VLOOKUP(E142,GWPs!$B$3:$C$6,2,FALSE)</f>
        <v>0.26400000000000001</v>
      </c>
      <c r="I142">
        <v>0</v>
      </c>
      <c r="J142" s="413">
        <f>I142*VLOOKUP(E142,GWPs!$B$3:$C$6,2,FALSE)</f>
        <v>0</v>
      </c>
      <c r="K142">
        <v>0.26400000000000001</v>
      </c>
      <c r="L142" s="413">
        <f>K142*VLOOKUP(E142,GWPs!$B$3:$C$6,2,FALSE)</f>
        <v>0.26400000000000001</v>
      </c>
      <c r="N142">
        <v>3</v>
      </c>
      <c r="O142">
        <v>2</v>
      </c>
      <c r="P142">
        <v>1</v>
      </c>
      <c r="Q142">
        <v>4</v>
      </c>
      <c r="R142">
        <v>1</v>
      </c>
      <c r="W142" s="226" t="s">
        <v>1022</v>
      </c>
      <c r="X142" s="70" t="s">
        <v>1021</v>
      </c>
      <c r="Y142" s="414">
        <v>0.10400000000000001</v>
      </c>
      <c r="Z142" s="70">
        <v>0.10400000000000001</v>
      </c>
      <c r="AA142" s="70">
        <v>0</v>
      </c>
      <c r="AB142" s="464" t="s">
        <v>4231</v>
      </c>
      <c r="AC142" s="415">
        <f t="shared" si="2"/>
        <v>0</v>
      </c>
      <c r="AD142" s="226" t="e">
        <f ca="1">_xlfn.XLOOKUP(X142,'USEEIO metadata'!$C$2:$C$393,'USEEIO metadata'!$H$2:$H$393)</f>
        <v>#NAME?</v>
      </c>
      <c r="AE142" s="226" t="e">
        <f ca="1">_xlfn.XLOOKUP(X142,'USEEIO metadata'!$C$2:$C$393,'USEEIO metadata'!$F$2:$F$393)</f>
        <v>#NAME?</v>
      </c>
      <c r="AF142" s="226" t="e">
        <f ca="1">_xlfn.XLOOKUP(X142,'USEEIO metadata'!$C$2:$C$393,'USEEIO metadata'!$G$2:$G$393)</f>
        <v>#NAME?</v>
      </c>
    </row>
    <row r="143" spans="1:32" ht="28.5">
      <c r="A143" t="str">
        <f>_xlfn.IFNA(IF(VLOOKUP(C143,'2016_Detail_Commodity_v1.0'!C:C,1,FALSE)=C143,"No change"),"Name changed")</f>
        <v>No change</v>
      </c>
      <c r="B143" t="s">
        <v>379</v>
      </c>
      <c r="C143" t="s">
        <v>380</v>
      </c>
      <c r="E143" t="s">
        <v>3654</v>
      </c>
      <c r="F143" t="s">
        <v>12</v>
      </c>
      <c r="G143">
        <v>1E-3</v>
      </c>
      <c r="H143" s="413">
        <f>G143*VLOOKUP(E143,GWPs!$B$3:$C$6,2,FALSE)</f>
        <v>2.8000000000000001E-2</v>
      </c>
      <c r="I143">
        <v>0</v>
      </c>
      <c r="J143" s="413">
        <f>I143*VLOOKUP(E143,GWPs!$B$3:$C$6,2,FALSE)</f>
        <v>0</v>
      </c>
      <c r="K143">
        <v>1E-3</v>
      </c>
      <c r="L143" s="413">
        <f>K143*VLOOKUP(E143,GWPs!$B$3:$C$6,2,FALSE)</f>
        <v>2.8000000000000001E-2</v>
      </c>
      <c r="N143">
        <v>4</v>
      </c>
      <c r="O143">
        <v>2</v>
      </c>
      <c r="P143">
        <v>1</v>
      </c>
      <c r="Q143">
        <v>1</v>
      </c>
      <c r="R143">
        <v>1</v>
      </c>
      <c r="W143" s="226" t="s">
        <v>652</v>
      </c>
      <c r="X143" s="70" t="s">
        <v>651</v>
      </c>
      <c r="Y143" s="414">
        <v>0.26100000000000001</v>
      </c>
      <c r="Z143" s="70">
        <v>0.20100000000000001</v>
      </c>
      <c r="AA143" s="70">
        <v>0.06</v>
      </c>
      <c r="AB143" s="464" t="s">
        <v>4230</v>
      </c>
      <c r="AC143" s="415">
        <f t="shared" si="2"/>
        <v>0.22988505747126434</v>
      </c>
      <c r="AD143" s="226" t="e">
        <f ca="1">_xlfn.XLOOKUP(X143,'USEEIO metadata'!$C$2:$C$393,'USEEIO metadata'!$H$2:$H$393)</f>
        <v>#NAME?</v>
      </c>
      <c r="AE143" s="226" t="e">
        <f ca="1">_xlfn.XLOOKUP(X143,'USEEIO metadata'!$C$2:$C$393,'USEEIO metadata'!$F$2:$F$393)</f>
        <v>#NAME?</v>
      </c>
      <c r="AF143" s="226" t="e">
        <f ca="1">_xlfn.XLOOKUP(X143,'USEEIO metadata'!$C$2:$C$393,'USEEIO metadata'!$G$2:$G$393)</f>
        <v>#NAME?</v>
      </c>
    </row>
    <row r="144" spans="1:32">
      <c r="A144" t="str">
        <f>_xlfn.IFNA(IF(VLOOKUP(C144,'2016_Detail_Commodity_v1.0'!C:C,1,FALSE)=C144,"No change"),"Name changed")</f>
        <v>No change</v>
      </c>
      <c r="B144" t="s">
        <v>379</v>
      </c>
      <c r="C144" t="s">
        <v>380</v>
      </c>
      <c r="E144" t="s">
        <v>3655</v>
      </c>
      <c r="F144" t="s">
        <v>12</v>
      </c>
      <c r="G144">
        <v>0</v>
      </c>
      <c r="H144" s="413">
        <f>G144*VLOOKUP(E144,GWPs!$B$3:$C$6,2,FALSE)</f>
        <v>0</v>
      </c>
      <c r="I144">
        <v>0</v>
      </c>
      <c r="J144" s="413">
        <f>I144*VLOOKUP(E144,GWPs!$B$3:$C$6,2,FALSE)</f>
        <v>0</v>
      </c>
      <c r="K144">
        <v>0</v>
      </c>
      <c r="L144" s="413">
        <f>K144*VLOOKUP(E144,GWPs!$B$3:$C$6,2,FALSE)</f>
        <v>0</v>
      </c>
      <c r="N144">
        <v>3</v>
      </c>
      <c r="O144">
        <v>2</v>
      </c>
      <c r="P144">
        <v>1</v>
      </c>
      <c r="Q144">
        <v>2</v>
      </c>
      <c r="R144">
        <v>1</v>
      </c>
      <c r="W144" s="226" t="s">
        <v>766</v>
      </c>
      <c r="X144" s="70" t="s">
        <v>765</v>
      </c>
      <c r="Y144" s="414">
        <v>0.33800000000000002</v>
      </c>
      <c r="Z144" s="70">
        <v>0.32600000000000001</v>
      </c>
      <c r="AA144" s="70">
        <v>1.2E-2</v>
      </c>
      <c r="AB144" s="464" t="s">
        <v>4230</v>
      </c>
      <c r="AC144" s="415">
        <f t="shared" si="2"/>
        <v>3.5502958579881658E-2</v>
      </c>
      <c r="AD144" s="226" t="e">
        <f ca="1">_xlfn.XLOOKUP(X144,'USEEIO metadata'!$C$2:$C$393,'USEEIO metadata'!$H$2:$H$393)</f>
        <v>#NAME?</v>
      </c>
      <c r="AE144" s="226" t="e">
        <f ca="1">_xlfn.XLOOKUP(X144,'USEEIO metadata'!$C$2:$C$393,'USEEIO metadata'!$F$2:$F$393)</f>
        <v>#NAME?</v>
      </c>
      <c r="AF144" s="226" t="e">
        <f ca="1">_xlfn.XLOOKUP(X144,'USEEIO metadata'!$C$2:$C$393,'USEEIO metadata'!$G$2:$G$393)</f>
        <v>#NAME?</v>
      </c>
    </row>
    <row r="145" spans="1:32">
      <c r="A145" t="str">
        <f>_xlfn.IFNA(IF(VLOOKUP(C145,'2016_Detail_Commodity_v1.0'!C:C,1,FALSE)=C145,"No change"),"Name changed")</f>
        <v>No change</v>
      </c>
      <c r="B145" t="s">
        <v>379</v>
      </c>
      <c r="C145" t="s">
        <v>380</v>
      </c>
      <c r="E145" t="s">
        <v>15</v>
      </c>
      <c r="F145" t="s">
        <v>16</v>
      </c>
      <c r="G145">
        <v>2.3E-2</v>
      </c>
      <c r="H145" s="413">
        <f>G145*VLOOKUP(E145,GWPs!$B$3:$C$6,2,FALSE)</f>
        <v>2.3E-2</v>
      </c>
      <c r="I145">
        <v>0</v>
      </c>
      <c r="J145" s="413">
        <f>I145*VLOOKUP(E145,GWPs!$B$3:$C$6,2,FALSE)</f>
        <v>0</v>
      </c>
      <c r="K145">
        <v>2.3E-2</v>
      </c>
      <c r="L145" s="413">
        <f>K145*VLOOKUP(E145,GWPs!$B$3:$C$6,2,FALSE)</f>
        <v>2.3E-2</v>
      </c>
      <c r="N145">
        <v>4</v>
      </c>
      <c r="O145">
        <v>2</v>
      </c>
      <c r="P145">
        <v>1</v>
      </c>
      <c r="Q145">
        <v>5</v>
      </c>
      <c r="R145">
        <v>1</v>
      </c>
      <c r="W145" s="226" t="s">
        <v>606</v>
      </c>
      <c r="X145" s="70" t="s">
        <v>605</v>
      </c>
      <c r="Y145" s="414">
        <v>0.49199999999999999</v>
      </c>
      <c r="Z145" s="70">
        <v>0.47000000000000003</v>
      </c>
      <c r="AA145" s="70">
        <v>2.1999999999999999E-2</v>
      </c>
      <c r="AB145" s="464" t="s">
        <v>4230</v>
      </c>
      <c r="AC145" s="415">
        <f t="shared" si="2"/>
        <v>4.4715447154471545E-2</v>
      </c>
      <c r="AD145" s="226" t="e">
        <f ca="1">_xlfn.XLOOKUP(X145,'USEEIO metadata'!$C$2:$C$393,'USEEIO metadata'!$H$2:$H$393)</f>
        <v>#NAME?</v>
      </c>
      <c r="AE145" s="226" t="e">
        <f ca="1">_xlfn.XLOOKUP(X145,'USEEIO metadata'!$C$2:$C$393,'USEEIO metadata'!$F$2:$F$393)</f>
        <v>#NAME?</v>
      </c>
      <c r="AF145" s="226" t="e">
        <f ca="1">_xlfn.XLOOKUP(X145,'USEEIO metadata'!$C$2:$C$393,'USEEIO metadata'!$G$2:$G$393)</f>
        <v>#NAME?</v>
      </c>
    </row>
    <row r="146" spans="1:32">
      <c r="A146" t="str">
        <f>_xlfn.IFNA(IF(VLOOKUP(C146,'2016_Detail_Commodity_v1.0'!C:C,1,FALSE)=C146,"No change"),"Name changed")</f>
        <v>No change</v>
      </c>
      <c r="B146" t="s">
        <v>381</v>
      </c>
      <c r="C146" t="s">
        <v>382</v>
      </c>
      <c r="E146" t="s">
        <v>3653</v>
      </c>
      <c r="F146" t="s">
        <v>12</v>
      </c>
      <c r="G146">
        <v>0.248</v>
      </c>
      <c r="H146" s="413">
        <f>G146*VLOOKUP(E146,GWPs!$B$3:$C$6,2,FALSE)</f>
        <v>0.248</v>
      </c>
      <c r="I146">
        <v>7.0000000000000007E-2</v>
      </c>
      <c r="J146" s="413">
        <f>I146*VLOOKUP(E146,GWPs!$B$3:$C$6,2,FALSE)</f>
        <v>7.0000000000000007E-2</v>
      </c>
      <c r="K146">
        <v>0.31900000000000001</v>
      </c>
      <c r="L146" s="413">
        <f>K146*VLOOKUP(E146,GWPs!$B$3:$C$6,2,FALSE)</f>
        <v>0.31900000000000001</v>
      </c>
      <c r="N146">
        <v>3</v>
      </c>
      <c r="O146">
        <v>2</v>
      </c>
      <c r="P146">
        <v>1</v>
      </c>
      <c r="Q146">
        <v>4</v>
      </c>
      <c r="R146">
        <v>1</v>
      </c>
      <c r="W146" s="226" t="s">
        <v>1395</v>
      </c>
      <c r="X146" s="70" t="s">
        <v>371</v>
      </c>
      <c r="Y146" s="414">
        <v>0.41100000000000003</v>
      </c>
      <c r="Z146" s="70">
        <v>0.41100000000000003</v>
      </c>
      <c r="AA146" s="70">
        <v>0</v>
      </c>
      <c r="AB146" s="464" t="s">
        <v>4230</v>
      </c>
      <c r="AC146" s="415">
        <f t="shared" si="2"/>
        <v>0</v>
      </c>
      <c r="AD146" s="226" t="e">
        <f ca="1">_xlfn.XLOOKUP(X146,'USEEIO metadata'!$C$2:$C$393,'USEEIO metadata'!$H$2:$H$393)</f>
        <v>#NAME?</v>
      </c>
      <c r="AE146" s="226" t="e">
        <f ca="1">_xlfn.XLOOKUP(X146,'USEEIO metadata'!$C$2:$C$393,'USEEIO metadata'!$F$2:$F$393)</f>
        <v>#NAME?</v>
      </c>
      <c r="AF146" s="226" t="e">
        <f ca="1">_xlfn.XLOOKUP(X146,'USEEIO metadata'!$C$2:$C$393,'USEEIO metadata'!$G$2:$G$393)</f>
        <v>#NAME?</v>
      </c>
    </row>
    <row r="147" spans="1:32">
      <c r="A147" t="str">
        <f>_xlfn.IFNA(IF(VLOOKUP(C147,'2016_Detail_Commodity_v1.0'!C:C,1,FALSE)=C147,"No change"),"Name changed")</f>
        <v>No change</v>
      </c>
      <c r="B147" t="s">
        <v>381</v>
      </c>
      <c r="C147" t="s">
        <v>382</v>
      </c>
      <c r="E147" t="s">
        <v>3654</v>
      </c>
      <c r="F147" t="s">
        <v>12</v>
      </c>
      <c r="G147">
        <v>4.0000000000000001E-3</v>
      </c>
      <c r="H147" s="413">
        <f>G147*VLOOKUP(E147,GWPs!$B$3:$C$6,2,FALSE)</f>
        <v>0.112</v>
      </c>
      <c r="I147">
        <v>0</v>
      </c>
      <c r="J147" s="413">
        <f>I147*VLOOKUP(E147,GWPs!$B$3:$C$6,2,FALSE)</f>
        <v>0</v>
      </c>
      <c r="K147">
        <v>5.0000000000000001E-3</v>
      </c>
      <c r="L147" s="413">
        <f>K147*VLOOKUP(E147,GWPs!$B$3:$C$6,2,FALSE)</f>
        <v>0.14000000000000001</v>
      </c>
      <c r="N147">
        <v>3</v>
      </c>
      <c r="O147">
        <v>2</v>
      </c>
      <c r="P147">
        <v>1</v>
      </c>
      <c r="Q147">
        <v>1</v>
      </c>
      <c r="R147">
        <v>1</v>
      </c>
      <c r="W147" s="226" t="s">
        <v>734</v>
      </c>
      <c r="X147" s="70" t="s">
        <v>733</v>
      </c>
      <c r="Y147" s="414">
        <v>0.29100000000000004</v>
      </c>
      <c r="Z147" s="70">
        <v>0.20700000000000002</v>
      </c>
      <c r="AA147" s="70">
        <v>8.4000000000000005E-2</v>
      </c>
      <c r="AB147" s="464" t="s">
        <v>4230</v>
      </c>
      <c r="AC147" s="415">
        <f t="shared" si="2"/>
        <v>0.28865979381443296</v>
      </c>
      <c r="AD147" s="226" t="e">
        <f ca="1">_xlfn.XLOOKUP(X147,'USEEIO metadata'!$C$2:$C$393,'USEEIO metadata'!$H$2:$H$393)</f>
        <v>#NAME?</v>
      </c>
      <c r="AE147" s="226" t="e">
        <f ca="1">_xlfn.XLOOKUP(X147,'USEEIO metadata'!$C$2:$C$393,'USEEIO metadata'!$F$2:$F$393)</f>
        <v>#NAME?</v>
      </c>
      <c r="AF147" s="226" t="e">
        <f ca="1">_xlfn.XLOOKUP(X147,'USEEIO metadata'!$C$2:$C$393,'USEEIO metadata'!$G$2:$G$393)</f>
        <v>#NAME?</v>
      </c>
    </row>
    <row r="148" spans="1:32" ht="28.5">
      <c r="A148" t="str">
        <f>_xlfn.IFNA(IF(VLOOKUP(C148,'2016_Detail_Commodity_v1.0'!C:C,1,FALSE)=C148,"No change"),"Name changed")</f>
        <v>No change</v>
      </c>
      <c r="B148" t="s">
        <v>381</v>
      </c>
      <c r="C148" t="s">
        <v>382</v>
      </c>
      <c r="E148" t="s">
        <v>3655</v>
      </c>
      <c r="F148" t="s">
        <v>12</v>
      </c>
      <c r="G148">
        <v>1E-3</v>
      </c>
      <c r="H148" s="413">
        <f>G148*VLOOKUP(E148,GWPs!$B$3:$C$6,2,FALSE)</f>
        <v>0.26500000000000001</v>
      </c>
      <c r="I148">
        <v>0</v>
      </c>
      <c r="J148" s="413">
        <f>I148*VLOOKUP(E148,GWPs!$B$3:$C$6,2,FALSE)</f>
        <v>0</v>
      </c>
      <c r="K148">
        <v>1E-3</v>
      </c>
      <c r="L148" s="413">
        <f>K148*VLOOKUP(E148,GWPs!$B$3:$C$6,2,FALSE)</f>
        <v>0.26500000000000001</v>
      </c>
      <c r="N148">
        <v>4</v>
      </c>
      <c r="O148">
        <v>2</v>
      </c>
      <c r="P148">
        <v>1</v>
      </c>
      <c r="Q148">
        <v>4</v>
      </c>
      <c r="R148">
        <v>1</v>
      </c>
      <c r="W148" s="226" t="s">
        <v>1402</v>
      </c>
      <c r="X148" s="70" t="s">
        <v>817</v>
      </c>
      <c r="Y148" s="414">
        <v>0.36200000000000004</v>
      </c>
      <c r="Z148" s="70">
        <v>0.23699999999999999</v>
      </c>
      <c r="AA148" s="70">
        <v>0.153</v>
      </c>
      <c r="AB148" s="464" t="s">
        <v>4230</v>
      </c>
      <c r="AC148" s="415">
        <f t="shared" si="2"/>
        <v>0.42265193370165738</v>
      </c>
      <c r="AD148" s="226" t="e">
        <f ca="1">_xlfn.XLOOKUP(X148,'USEEIO metadata'!$C$2:$C$393,'USEEIO metadata'!$H$2:$H$393)</f>
        <v>#NAME?</v>
      </c>
      <c r="AE148" s="226" t="e">
        <f ca="1">_xlfn.XLOOKUP(X148,'USEEIO metadata'!$C$2:$C$393,'USEEIO metadata'!$F$2:$F$393)</f>
        <v>#NAME?</v>
      </c>
      <c r="AF148" s="226" t="e">
        <f ca="1">_xlfn.XLOOKUP(X148,'USEEIO metadata'!$C$2:$C$393,'USEEIO metadata'!$G$2:$G$393)</f>
        <v>#NAME?</v>
      </c>
    </row>
    <row r="149" spans="1:32">
      <c r="A149" t="str">
        <f>_xlfn.IFNA(IF(VLOOKUP(C149,'2016_Detail_Commodity_v1.0'!C:C,1,FALSE)=C149,"No change"),"Name changed")</f>
        <v>No change</v>
      </c>
      <c r="B149" t="s">
        <v>381</v>
      </c>
      <c r="C149" t="s">
        <v>382</v>
      </c>
      <c r="E149" t="s">
        <v>15</v>
      </c>
      <c r="F149" t="s">
        <v>16</v>
      </c>
      <c r="G149">
        <v>8.0000000000000002E-3</v>
      </c>
      <c r="H149" s="413">
        <f>G149*VLOOKUP(E149,GWPs!$B$3:$C$6,2,FALSE)</f>
        <v>8.0000000000000002E-3</v>
      </c>
      <c r="I149">
        <v>0</v>
      </c>
      <c r="J149" s="413">
        <f>I149*VLOOKUP(E149,GWPs!$B$3:$C$6,2,FALSE)</f>
        <v>0</v>
      </c>
      <c r="K149">
        <v>8.0000000000000002E-3</v>
      </c>
      <c r="L149" s="413">
        <f>K149*VLOOKUP(E149,GWPs!$B$3:$C$6,2,FALSE)</f>
        <v>8.0000000000000002E-3</v>
      </c>
      <c r="N149">
        <v>3</v>
      </c>
      <c r="O149">
        <v>2</v>
      </c>
      <c r="P149">
        <v>1</v>
      </c>
      <c r="Q149">
        <v>3</v>
      </c>
      <c r="R149">
        <v>1</v>
      </c>
      <c r="W149" s="226" t="s">
        <v>812</v>
      </c>
      <c r="X149" s="70" t="s">
        <v>811</v>
      </c>
      <c r="Y149" s="414">
        <v>0.33600000000000002</v>
      </c>
      <c r="Z149" s="70">
        <v>0.22399999999999998</v>
      </c>
      <c r="AA149" s="70">
        <v>0.14000000000000001</v>
      </c>
      <c r="AB149" s="464" t="s">
        <v>4230</v>
      </c>
      <c r="AC149" s="415">
        <f t="shared" si="2"/>
        <v>0.41666666666666669</v>
      </c>
      <c r="AD149" s="226" t="e">
        <f ca="1">_xlfn.XLOOKUP(X149,'USEEIO metadata'!$C$2:$C$393,'USEEIO metadata'!$H$2:$H$393)</f>
        <v>#NAME?</v>
      </c>
      <c r="AE149" s="226" t="e">
        <f ca="1">_xlfn.XLOOKUP(X149,'USEEIO metadata'!$C$2:$C$393,'USEEIO metadata'!$F$2:$F$393)</f>
        <v>#NAME?</v>
      </c>
      <c r="AF149" s="226" t="e">
        <f ca="1">_xlfn.XLOOKUP(X149,'USEEIO metadata'!$C$2:$C$393,'USEEIO metadata'!$G$2:$G$393)</f>
        <v>#NAME?</v>
      </c>
    </row>
    <row r="150" spans="1:32" ht="28.5">
      <c r="A150" t="str">
        <f>_xlfn.IFNA(IF(VLOOKUP(C150,'2016_Detail_Commodity_v1.0'!C:C,1,FALSE)=C150,"No change"),"Name changed")</f>
        <v>No change</v>
      </c>
      <c r="B150" t="s">
        <v>383</v>
      </c>
      <c r="C150" t="s">
        <v>384</v>
      </c>
      <c r="E150" t="s">
        <v>3653</v>
      </c>
      <c r="F150" t="s">
        <v>12</v>
      </c>
      <c r="G150">
        <v>0.44600000000000001</v>
      </c>
      <c r="H150" s="413">
        <f>G150*VLOOKUP(E150,GWPs!$B$3:$C$6,2,FALSE)</f>
        <v>0.44600000000000001</v>
      </c>
      <c r="I150">
        <v>6.8000000000000005E-2</v>
      </c>
      <c r="J150" s="413">
        <f>I150*VLOOKUP(E150,GWPs!$B$3:$C$6,2,FALSE)</f>
        <v>6.8000000000000005E-2</v>
      </c>
      <c r="K150">
        <v>0.51400000000000001</v>
      </c>
      <c r="L150" s="413">
        <f>K150*VLOOKUP(E150,GWPs!$B$3:$C$6,2,FALSE)</f>
        <v>0.51400000000000001</v>
      </c>
      <c r="N150">
        <v>4</v>
      </c>
      <c r="O150">
        <v>2</v>
      </c>
      <c r="P150">
        <v>1</v>
      </c>
      <c r="Q150">
        <v>4</v>
      </c>
      <c r="R150">
        <v>1</v>
      </c>
      <c r="W150" s="226" t="s">
        <v>814</v>
      </c>
      <c r="X150" s="70" t="s">
        <v>813</v>
      </c>
      <c r="Y150" s="414">
        <v>0.28300000000000003</v>
      </c>
      <c r="Z150" s="70">
        <v>0.14000000000000001</v>
      </c>
      <c r="AA150" s="70">
        <v>0.14400000000000002</v>
      </c>
      <c r="AB150" s="464" t="s">
        <v>4230</v>
      </c>
      <c r="AC150" s="415">
        <f t="shared" si="2"/>
        <v>0.50883392226148405</v>
      </c>
      <c r="AD150" s="226" t="e">
        <f ca="1">_xlfn.XLOOKUP(X150,'USEEIO metadata'!$C$2:$C$393,'USEEIO metadata'!$H$2:$H$393)</f>
        <v>#NAME?</v>
      </c>
      <c r="AE150" s="226" t="e">
        <f ca="1">_xlfn.XLOOKUP(X150,'USEEIO metadata'!$C$2:$C$393,'USEEIO metadata'!$F$2:$F$393)</f>
        <v>#NAME?</v>
      </c>
      <c r="AF150" s="226" t="e">
        <f ca="1">_xlfn.XLOOKUP(X150,'USEEIO metadata'!$C$2:$C$393,'USEEIO metadata'!$G$2:$G$393)</f>
        <v>#NAME?</v>
      </c>
    </row>
    <row r="151" spans="1:32">
      <c r="A151" t="str">
        <f>_xlfn.IFNA(IF(VLOOKUP(C151,'2016_Detail_Commodity_v1.0'!C:C,1,FALSE)=C151,"No change"),"Name changed")</f>
        <v>No change</v>
      </c>
      <c r="B151" t="s">
        <v>383</v>
      </c>
      <c r="C151" t="s">
        <v>384</v>
      </c>
      <c r="E151" t="s">
        <v>3654</v>
      </c>
      <c r="F151" t="s">
        <v>12</v>
      </c>
      <c r="G151">
        <v>4.0000000000000001E-3</v>
      </c>
      <c r="H151" s="413">
        <f>G151*VLOOKUP(E151,GWPs!$B$3:$C$6,2,FALSE)</f>
        <v>0.112</v>
      </c>
      <c r="I151">
        <v>0</v>
      </c>
      <c r="J151" s="413">
        <f>I151*VLOOKUP(E151,GWPs!$B$3:$C$6,2,FALSE)</f>
        <v>0</v>
      </c>
      <c r="K151">
        <v>4.0000000000000001E-3</v>
      </c>
      <c r="L151" s="413">
        <f>K151*VLOOKUP(E151,GWPs!$B$3:$C$6,2,FALSE)</f>
        <v>0.112</v>
      </c>
      <c r="N151">
        <v>3</v>
      </c>
      <c r="O151">
        <v>2</v>
      </c>
      <c r="P151">
        <v>1</v>
      </c>
      <c r="Q151">
        <v>1</v>
      </c>
      <c r="R151">
        <v>1</v>
      </c>
      <c r="W151" s="226" t="s">
        <v>1028</v>
      </c>
      <c r="X151" s="70" t="s">
        <v>1027</v>
      </c>
      <c r="Y151" s="414">
        <v>0.13200000000000001</v>
      </c>
      <c r="Z151" s="70">
        <v>0.13200000000000001</v>
      </c>
      <c r="AA151" s="70">
        <v>0</v>
      </c>
      <c r="AB151" s="464" t="s">
        <v>4231</v>
      </c>
      <c r="AC151" s="415">
        <f t="shared" si="2"/>
        <v>0</v>
      </c>
      <c r="AD151" s="226" t="e">
        <f ca="1">_xlfn.XLOOKUP(X151,'USEEIO metadata'!$C$2:$C$393,'USEEIO metadata'!$H$2:$H$393)</f>
        <v>#NAME?</v>
      </c>
      <c r="AE151" s="226" t="e">
        <f ca="1">_xlfn.XLOOKUP(X151,'USEEIO metadata'!$C$2:$C$393,'USEEIO metadata'!$F$2:$F$393)</f>
        <v>#NAME?</v>
      </c>
      <c r="AF151" s="226" t="e">
        <f ca="1">_xlfn.XLOOKUP(X151,'USEEIO metadata'!$C$2:$C$393,'USEEIO metadata'!$G$2:$G$393)</f>
        <v>#NAME?</v>
      </c>
    </row>
    <row r="152" spans="1:32">
      <c r="A152" t="str">
        <f>_xlfn.IFNA(IF(VLOOKUP(C152,'2016_Detail_Commodity_v1.0'!C:C,1,FALSE)=C152,"No change"),"Name changed")</f>
        <v>No change</v>
      </c>
      <c r="B152" t="s">
        <v>383</v>
      </c>
      <c r="C152" t="s">
        <v>384</v>
      </c>
      <c r="E152" t="s">
        <v>3655</v>
      </c>
      <c r="F152" t="s">
        <v>12</v>
      </c>
      <c r="G152">
        <v>1E-3</v>
      </c>
      <c r="H152" s="413">
        <f>G152*VLOOKUP(E152,GWPs!$B$3:$C$6,2,FALSE)</f>
        <v>0.26500000000000001</v>
      </c>
      <c r="I152">
        <v>0</v>
      </c>
      <c r="J152" s="413">
        <f>I152*VLOOKUP(E152,GWPs!$B$3:$C$6,2,FALSE)</f>
        <v>0</v>
      </c>
      <c r="K152">
        <v>1E-3</v>
      </c>
      <c r="L152" s="413">
        <f>K152*VLOOKUP(E152,GWPs!$B$3:$C$6,2,FALSE)</f>
        <v>0.26500000000000001</v>
      </c>
      <c r="N152">
        <v>4</v>
      </c>
      <c r="O152">
        <v>2</v>
      </c>
      <c r="P152">
        <v>1</v>
      </c>
      <c r="Q152">
        <v>4</v>
      </c>
      <c r="R152">
        <v>1</v>
      </c>
      <c r="W152" s="226" t="s">
        <v>738</v>
      </c>
      <c r="X152" s="70" t="s">
        <v>737</v>
      </c>
      <c r="Y152" s="414">
        <v>0.29000000000000004</v>
      </c>
      <c r="Z152" s="70">
        <v>0.20799999999999999</v>
      </c>
      <c r="AA152" s="70">
        <v>8.2000000000000003E-2</v>
      </c>
      <c r="AB152" s="464" t="s">
        <v>4230</v>
      </c>
      <c r="AC152" s="415">
        <f t="shared" si="2"/>
        <v>0.28275862068965513</v>
      </c>
      <c r="AD152" s="226" t="e">
        <f ca="1">_xlfn.XLOOKUP(X152,'USEEIO metadata'!$C$2:$C$393,'USEEIO metadata'!$H$2:$H$393)</f>
        <v>#NAME?</v>
      </c>
      <c r="AE152" s="226" t="e">
        <f ca="1">_xlfn.XLOOKUP(X152,'USEEIO metadata'!$C$2:$C$393,'USEEIO metadata'!$F$2:$F$393)</f>
        <v>#NAME?</v>
      </c>
      <c r="AF152" s="226" t="e">
        <f ca="1">_xlfn.XLOOKUP(X152,'USEEIO metadata'!$C$2:$C$393,'USEEIO metadata'!$G$2:$G$393)</f>
        <v>#NAME?</v>
      </c>
    </row>
    <row r="153" spans="1:32">
      <c r="A153" t="str">
        <f>_xlfn.IFNA(IF(VLOOKUP(C153,'2016_Detail_Commodity_v1.0'!C:C,1,FALSE)=C153,"No change"),"Name changed")</f>
        <v>No change</v>
      </c>
      <c r="B153" t="s">
        <v>383</v>
      </c>
      <c r="C153" t="s">
        <v>384</v>
      </c>
      <c r="E153" t="s">
        <v>15</v>
      </c>
      <c r="F153" t="s">
        <v>16</v>
      </c>
      <c r="G153">
        <v>5.0000000000000001E-3</v>
      </c>
      <c r="H153" s="413">
        <f>G153*VLOOKUP(E153,GWPs!$B$3:$C$6,2,FALSE)</f>
        <v>5.0000000000000001E-3</v>
      </c>
      <c r="I153">
        <v>0</v>
      </c>
      <c r="J153" s="413">
        <f>I153*VLOOKUP(E153,GWPs!$B$3:$C$6,2,FALSE)</f>
        <v>0</v>
      </c>
      <c r="K153">
        <v>5.0000000000000001E-3</v>
      </c>
      <c r="L153" s="413">
        <f>K153*VLOOKUP(E153,GWPs!$B$3:$C$6,2,FALSE)</f>
        <v>5.0000000000000001E-3</v>
      </c>
      <c r="N153">
        <v>4</v>
      </c>
      <c r="O153">
        <v>2</v>
      </c>
      <c r="P153">
        <v>1</v>
      </c>
      <c r="Q153">
        <v>4</v>
      </c>
      <c r="R153">
        <v>1</v>
      </c>
      <c r="W153" s="226" t="s">
        <v>736</v>
      </c>
      <c r="X153" s="70" t="s">
        <v>735</v>
      </c>
      <c r="Y153" s="414">
        <v>0.374</v>
      </c>
      <c r="Z153" s="70">
        <v>0.29099999999999998</v>
      </c>
      <c r="AA153" s="70">
        <v>8.3000000000000004E-2</v>
      </c>
      <c r="AB153" s="464" t="s">
        <v>4230</v>
      </c>
      <c r="AC153" s="415">
        <f t="shared" si="2"/>
        <v>0.22192513368983957</v>
      </c>
      <c r="AD153" s="226" t="e">
        <f ca="1">_xlfn.XLOOKUP(X153,'USEEIO metadata'!$C$2:$C$393,'USEEIO metadata'!$H$2:$H$393)</f>
        <v>#NAME?</v>
      </c>
      <c r="AE153" s="226" t="e">
        <f ca="1">_xlfn.XLOOKUP(X153,'USEEIO metadata'!$C$2:$C$393,'USEEIO metadata'!$F$2:$F$393)</f>
        <v>#NAME?</v>
      </c>
      <c r="AF153" s="226" t="e">
        <f ca="1">_xlfn.XLOOKUP(X153,'USEEIO metadata'!$C$2:$C$393,'USEEIO metadata'!$G$2:$G$393)</f>
        <v>#NAME?</v>
      </c>
    </row>
    <row r="154" spans="1:32">
      <c r="A154" t="str">
        <f>_xlfn.IFNA(IF(VLOOKUP(C154,'2016_Detail_Commodity_v1.0'!C:C,1,FALSE)=C154,"No change"),"Name changed")</f>
        <v>No change</v>
      </c>
      <c r="B154" t="s">
        <v>385</v>
      </c>
      <c r="C154" t="s">
        <v>386</v>
      </c>
      <c r="E154" t="s">
        <v>3653</v>
      </c>
      <c r="F154" t="s">
        <v>12</v>
      </c>
      <c r="G154">
        <v>0.73799999999999999</v>
      </c>
      <c r="H154" s="413">
        <f>G154*VLOOKUP(E154,GWPs!$B$3:$C$6,2,FALSE)</f>
        <v>0.73799999999999999</v>
      </c>
      <c r="I154">
        <v>6.7000000000000004E-2</v>
      </c>
      <c r="J154" s="413">
        <f>I154*VLOOKUP(E154,GWPs!$B$3:$C$6,2,FALSE)</f>
        <v>6.7000000000000004E-2</v>
      </c>
      <c r="K154">
        <v>0.80500000000000005</v>
      </c>
      <c r="L154" s="413">
        <f>K154*VLOOKUP(E154,GWPs!$B$3:$C$6,2,FALSE)</f>
        <v>0.80500000000000005</v>
      </c>
      <c r="N154">
        <v>3</v>
      </c>
      <c r="O154">
        <v>2</v>
      </c>
      <c r="P154">
        <v>1</v>
      </c>
      <c r="Q154">
        <v>4</v>
      </c>
      <c r="R154">
        <v>1</v>
      </c>
      <c r="W154" s="226" t="s">
        <v>23</v>
      </c>
      <c r="X154" s="70" t="s">
        <v>1031</v>
      </c>
      <c r="Y154" s="414">
        <v>0.17200000000000001</v>
      </c>
      <c r="Z154" s="70">
        <v>0.17200000000000001</v>
      </c>
      <c r="AA154" s="70">
        <v>0</v>
      </c>
      <c r="AB154" s="464" t="s">
        <v>4230</v>
      </c>
      <c r="AC154" s="415">
        <f t="shared" si="2"/>
        <v>0</v>
      </c>
      <c r="AD154" s="226" t="e">
        <f ca="1">_xlfn.XLOOKUP(X154,'USEEIO metadata'!$C$2:$C$393,'USEEIO metadata'!$H$2:$H$393)</f>
        <v>#NAME?</v>
      </c>
      <c r="AE154" s="226" t="e">
        <f ca="1">_xlfn.XLOOKUP(X154,'USEEIO metadata'!$C$2:$C$393,'USEEIO metadata'!$F$2:$F$393)</f>
        <v>#NAME?</v>
      </c>
      <c r="AF154" s="226" t="e">
        <f ca="1">_xlfn.XLOOKUP(X154,'USEEIO metadata'!$C$2:$C$393,'USEEIO metadata'!$G$2:$G$393)</f>
        <v>#NAME?</v>
      </c>
    </row>
    <row r="155" spans="1:32">
      <c r="A155" t="str">
        <f>_xlfn.IFNA(IF(VLOOKUP(C155,'2016_Detail_Commodity_v1.0'!C:C,1,FALSE)=C155,"No change"),"Name changed")</f>
        <v>No change</v>
      </c>
      <c r="B155" t="s">
        <v>385</v>
      </c>
      <c r="C155" t="s">
        <v>386</v>
      </c>
      <c r="E155" t="s">
        <v>3654</v>
      </c>
      <c r="F155" t="s">
        <v>12</v>
      </c>
      <c r="G155">
        <v>5.0000000000000001E-3</v>
      </c>
      <c r="H155" s="413">
        <f>G155*VLOOKUP(E155,GWPs!$B$3:$C$6,2,FALSE)</f>
        <v>0.14000000000000001</v>
      </c>
      <c r="I155">
        <v>1E-3</v>
      </c>
      <c r="J155" s="413">
        <f>I155*VLOOKUP(E155,GWPs!$B$3:$C$6,2,FALSE)</f>
        <v>2.8000000000000001E-2</v>
      </c>
      <c r="K155">
        <v>5.0000000000000001E-3</v>
      </c>
      <c r="L155" s="413">
        <f>K155*VLOOKUP(E155,GWPs!$B$3:$C$6,2,FALSE)</f>
        <v>0.14000000000000001</v>
      </c>
      <c r="N155">
        <v>3</v>
      </c>
      <c r="O155">
        <v>2</v>
      </c>
      <c r="P155">
        <v>1</v>
      </c>
      <c r="Q155">
        <v>1</v>
      </c>
      <c r="R155">
        <v>1</v>
      </c>
      <c r="W155" s="226" t="s">
        <v>1059</v>
      </c>
      <c r="X155" s="70" t="s">
        <v>1058</v>
      </c>
      <c r="Y155" s="414">
        <v>0.2</v>
      </c>
      <c r="Z155" s="70">
        <v>0.2</v>
      </c>
      <c r="AA155" s="70">
        <v>0</v>
      </c>
      <c r="AB155" s="464" t="s">
        <v>4230</v>
      </c>
      <c r="AC155" s="415">
        <f t="shared" si="2"/>
        <v>0</v>
      </c>
      <c r="AD155" s="226" t="e">
        <f ca="1">_xlfn.XLOOKUP(X155,'USEEIO metadata'!$C$2:$C$393,'USEEIO metadata'!$H$2:$H$393)</f>
        <v>#NAME?</v>
      </c>
      <c r="AE155" s="226" t="e">
        <f ca="1">_xlfn.XLOOKUP(X155,'USEEIO metadata'!$C$2:$C$393,'USEEIO metadata'!$F$2:$F$393)</f>
        <v>#NAME?</v>
      </c>
      <c r="AF155" s="226" t="e">
        <f ca="1">_xlfn.XLOOKUP(X155,'USEEIO metadata'!$C$2:$C$393,'USEEIO metadata'!$G$2:$G$393)</f>
        <v>#NAME?</v>
      </c>
    </row>
    <row r="156" spans="1:32" ht="28.5">
      <c r="A156" t="str">
        <f>_xlfn.IFNA(IF(VLOOKUP(C156,'2016_Detail_Commodity_v1.0'!C:C,1,FALSE)=C156,"No change"),"Name changed")</f>
        <v>No change</v>
      </c>
      <c r="B156" t="s">
        <v>385</v>
      </c>
      <c r="C156" t="s">
        <v>386</v>
      </c>
      <c r="E156" t="s">
        <v>3655</v>
      </c>
      <c r="F156" t="s">
        <v>12</v>
      </c>
      <c r="G156">
        <v>2E-3</v>
      </c>
      <c r="H156" s="413">
        <f>G156*VLOOKUP(E156,GWPs!$B$3:$C$6,2,FALSE)</f>
        <v>0.53</v>
      </c>
      <c r="I156">
        <v>0</v>
      </c>
      <c r="J156" s="413">
        <f>I156*VLOOKUP(E156,GWPs!$B$3:$C$6,2,FALSE)</f>
        <v>0</v>
      </c>
      <c r="K156">
        <v>2E-3</v>
      </c>
      <c r="L156" s="413">
        <f>K156*VLOOKUP(E156,GWPs!$B$3:$C$6,2,FALSE)</f>
        <v>0.53</v>
      </c>
      <c r="N156">
        <v>4</v>
      </c>
      <c r="O156">
        <v>2</v>
      </c>
      <c r="P156">
        <v>1</v>
      </c>
      <c r="Q156">
        <v>4</v>
      </c>
      <c r="R156">
        <v>1</v>
      </c>
      <c r="W156" s="226" t="s">
        <v>854</v>
      </c>
      <c r="X156" s="70" t="s">
        <v>853</v>
      </c>
      <c r="Y156" s="414">
        <v>0.17100000000000001</v>
      </c>
      <c r="Z156" s="70">
        <v>0.17100000000000001</v>
      </c>
      <c r="AA156" s="70">
        <v>0</v>
      </c>
      <c r="AB156" s="464" t="s">
        <v>4230</v>
      </c>
      <c r="AC156" s="415">
        <f t="shared" si="2"/>
        <v>0</v>
      </c>
      <c r="AD156" s="226" t="e">
        <f ca="1">_xlfn.XLOOKUP(X156,'USEEIO metadata'!$C$2:$C$393,'USEEIO metadata'!$H$2:$H$393)</f>
        <v>#NAME?</v>
      </c>
      <c r="AE156" s="226" t="e">
        <f ca="1">_xlfn.XLOOKUP(X156,'USEEIO metadata'!$C$2:$C$393,'USEEIO metadata'!$F$2:$F$393)</f>
        <v>#NAME?</v>
      </c>
      <c r="AF156" s="226" t="e">
        <f ca="1">_xlfn.XLOOKUP(X156,'USEEIO metadata'!$C$2:$C$393,'USEEIO metadata'!$G$2:$G$393)</f>
        <v>#NAME?</v>
      </c>
    </row>
    <row r="157" spans="1:32">
      <c r="A157" t="str">
        <f>_xlfn.IFNA(IF(VLOOKUP(C157,'2016_Detail_Commodity_v1.0'!C:C,1,FALSE)=C157,"No change"),"Name changed")</f>
        <v>No change</v>
      </c>
      <c r="B157" t="s">
        <v>385</v>
      </c>
      <c r="C157" t="s">
        <v>386</v>
      </c>
      <c r="E157" t="s">
        <v>15</v>
      </c>
      <c r="F157" t="s">
        <v>16</v>
      </c>
      <c r="G157">
        <v>5.0000000000000001E-3</v>
      </c>
      <c r="H157" s="413">
        <f>G157*VLOOKUP(E157,GWPs!$B$3:$C$6,2,FALSE)</f>
        <v>5.0000000000000001E-3</v>
      </c>
      <c r="I157">
        <v>0</v>
      </c>
      <c r="J157" s="413">
        <f>I157*VLOOKUP(E157,GWPs!$B$3:$C$6,2,FALSE)</f>
        <v>0</v>
      </c>
      <c r="K157">
        <v>5.0000000000000001E-3</v>
      </c>
      <c r="L157" s="413">
        <f>K157*VLOOKUP(E157,GWPs!$B$3:$C$6,2,FALSE)</f>
        <v>5.0000000000000001E-3</v>
      </c>
      <c r="N157">
        <v>4</v>
      </c>
      <c r="O157">
        <v>2</v>
      </c>
      <c r="P157">
        <v>1</v>
      </c>
      <c r="Q157">
        <v>4</v>
      </c>
      <c r="R157">
        <v>1</v>
      </c>
      <c r="W157" s="226" t="s">
        <v>1089</v>
      </c>
      <c r="X157" s="70" t="s">
        <v>1088</v>
      </c>
      <c r="Y157" s="414">
        <v>0</v>
      </c>
      <c r="Z157" s="70">
        <v>0</v>
      </c>
      <c r="AA157" s="70">
        <v>0</v>
      </c>
      <c r="AB157" s="464" t="s">
        <v>4230</v>
      </c>
      <c r="AC157" s="415" t="str">
        <f t="shared" si="2"/>
        <v/>
      </c>
      <c r="AD157" s="226" t="e">
        <f ca="1">_xlfn.XLOOKUP(X157,'USEEIO metadata'!$C$2:$C$393,'USEEIO metadata'!$H$2:$H$393)</f>
        <v>#NAME?</v>
      </c>
      <c r="AE157" s="226" t="e">
        <f ca="1">_xlfn.XLOOKUP(X157,'USEEIO metadata'!$C$2:$C$393,'USEEIO metadata'!$F$2:$F$393)</f>
        <v>#NAME?</v>
      </c>
      <c r="AF157" s="226" t="e">
        <f ca="1">_xlfn.XLOOKUP(X157,'USEEIO metadata'!$C$2:$C$393,'USEEIO metadata'!$G$2:$G$393)</f>
        <v>#NAME?</v>
      </c>
    </row>
    <row r="158" spans="1:32">
      <c r="A158" t="str">
        <f>_xlfn.IFNA(IF(VLOOKUP(C158,'2016_Detail_Commodity_v1.0'!C:C,1,FALSE)=C158,"No change"),"Name changed")</f>
        <v>No change</v>
      </c>
      <c r="B158" t="s">
        <v>387</v>
      </c>
      <c r="C158" t="s">
        <v>388</v>
      </c>
      <c r="E158" t="s">
        <v>3653</v>
      </c>
      <c r="F158" t="s">
        <v>12</v>
      </c>
      <c r="G158">
        <v>1.2370000000000001</v>
      </c>
      <c r="H158" s="413">
        <f>G158*VLOOKUP(E158,GWPs!$B$3:$C$6,2,FALSE)</f>
        <v>1.2370000000000001</v>
      </c>
      <c r="I158">
        <v>6.5000000000000002E-2</v>
      </c>
      <c r="J158" s="413">
        <f>I158*VLOOKUP(E158,GWPs!$B$3:$C$6,2,FALSE)</f>
        <v>6.5000000000000002E-2</v>
      </c>
      <c r="K158">
        <v>1.302</v>
      </c>
      <c r="L158" s="413">
        <f>K158*VLOOKUP(E158,GWPs!$B$3:$C$6,2,FALSE)</f>
        <v>1.302</v>
      </c>
      <c r="N158">
        <v>4</v>
      </c>
      <c r="O158">
        <v>2</v>
      </c>
      <c r="P158">
        <v>1</v>
      </c>
      <c r="Q158">
        <v>4</v>
      </c>
      <c r="R158">
        <v>1</v>
      </c>
      <c r="W158" s="226" t="s">
        <v>1073</v>
      </c>
      <c r="X158" s="70" t="s">
        <v>1072</v>
      </c>
      <c r="Y158" s="414">
        <v>9.4E-2</v>
      </c>
      <c r="Z158" s="70">
        <v>9.4E-2</v>
      </c>
      <c r="AA158" s="70">
        <v>0</v>
      </c>
      <c r="AB158" s="464" t="s">
        <v>4230</v>
      </c>
      <c r="AC158" s="415">
        <f t="shared" si="2"/>
        <v>0</v>
      </c>
      <c r="AD158" s="226" t="e">
        <f ca="1">_xlfn.XLOOKUP(X158,'USEEIO metadata'!$C$2:$C$393,'USEEIO metadata'!$H$2:$H$393)</f>
        <v>#NAME?</v>
      </c>
      <c r="AE158" s="226" t="e">
        <f ca="1">_xlfn.XLOOKUP(X158,'USEEIO metadata'!$C$2:$C$393,'USEEIO metadata'!$F$2:$F$393)</f>
        <v>#NAME?</v>
      </c>
      <c r="AF158" s="226" t="e">
        <f ca="1">_xlfn.XLOOKUP(X158,'USEEIO metadata'!$C$2:$C$393,'USEEIO metadata'!$G$2:$G$393)</f>
        <v>#NAME?</v>
      </c>
    </row>
    <row r="159" spans="1:32" ht="28.5">
      <c r="A159" t="str">
        <f>_xlfn.IFNA(IF(VLOOKUP(C159,'2016_Detail_Commodity_v1.0'!C:C,1,FALSE)=C159,"No change"),"Name changed")</f>
        <v>No change</v>
      </c>
      <c r="B159" t="s">
        <v>387</v>
      </c>
      <c r="C159" t="s">
        <v>388</v>
      </c>
      <c r="E159" t="s">
        <v>3654</v>
      </c>
      <c r="F159" t="s">
        <v>12</v>
      </c>
      <c r="G159">
        <v>6.0000000000000001E-3</v>
      </c>
      <c r="H159" s="413">
        <f>G159*VLOOKUP(E159,GWPs!$B$3:$C$6,2,FALSE)</f>
        <v>0.16800000000000001</v>
      </c>
      <c r="I159">
        <v>1E-3</v>
      </c>
      <c r="J159" s="413">
        <f>I159*VLOOKUP(E159,GWPs!$B$3:$C$6,2,FALSE)</f>
        <v>2.8000000000000001E-2</v>
      </c>
      <c r="K159">
        <v>6.0000000000000001E-3</v>
      </c>
      <c r="L159" s="413">
        <f>K159*VLOOKUP(E159,GWPs!$B$3:$C$6,2,FALSE)</f>
        <v>0.16800000000000001</v>
      </c>
      <c r="N159">
        <v>3</v>
      </c>
      <c r="O159">
        <v>2</v>
      </c>
      <c r="P159">
        <v>1</v>
      </c>
      <c r="Q159">
        <v>1</v>
      </c>
      <c r="R159">
        <v>1</v>
      </c>
      <c r="W159" s="226" t="s">
        <v>686</v>
      </c>
      <c r="X159" s="70" t="s">
        <v>685</v>
      </c>
      <c r="Y159" s="414">
        <v>0.28200000000000003</v>
      </c>
      <c r="Z159" s="70">
        <v>0.252</v>
      </c>
      <c r="AA159" s="70">
        <v>0.03</v>
      </c>
      <c r="AB159" s="464" t="s">
        <v>4230</v>
      </c>
      <c r="AC159" s="415">
        <f t="shared" si="2"/>
        <v>0.10638297872340424</v>
      </c>
      <c r="AD159" s="226" t="e">
        <f ca="1">_xlfn.XLOOKUP(X159,'USEEIO metadata'!$C$2:$C$393,'USEEIO metadata'!$H$2:$H$393)</f>
        <v>#NAME?</v>
      </c>
      <c r="AE159" s="226" t="e">
        <f ca="1">_xlfn.XLOOKUP(X159,'USEEIO metadata'!$C$2:$C$393,'USEEIO metadata'!$F$2:$F$393)</f>
        <v>#NAME?</v>
      </c>
      <c r="AF159" s="226" t="e">
        <f ca="1">_xlfn.XLOOKUP(X159,'USEEIO metadata'!$C$2:$C$393,'USEEIO metadata'!$G$2:$G$393)</f>
        <v>#NAME?</v>
      </c>
    </row>
    <row r="160" spans="1:32">
      <c r="A160" t="str">
        <f>_xlfn.IFNA(IF(VLOOKUP(C160,'2016_Detail_Commodity_v1.0'!C:C,1,FALSE)=C160,"No change"),"Name changed")</f>
        <v>No change</v>
      </c>
      <c r="B160" t="s">
        <v>387</v>
      </c>
      <c r="C160" t="s">
        <v>388</v>
      </c>
      <c r="E160" t="s">
        <v>3655</v>
      </c>
      <c r="F160" t="s">
        <v>12</v>
      </c>
      <c r="G160">
        <v>2E-3</v>
      </c>
      <c r="H160" s="413">
        <f>G160*VLOOKUP(E160,GWPs!$B$3:$C$6,2,FALSE)</f>
        <v>0.53</v>
      </c>
      <c r="I160">
        <v>0</v>
      </c>
      <c r="J160" s="413">
        <f>I160*VLOOKUP(E160,GWPs!$B$3:$C$6,2,FALSE)</f>
        <v>0</v>
      </c>
      <c r="K160">
        <v>2E-3</v>
      </c>
      <c r="L160" s="413">
        <f>K160*VLOOKUP(E160,GWPs!$B$3:$C$6,2,FALSE)</f>
        <v>0.53</v>
      </c>
      <c r="N160">
        <v>4</v>
      </c>
      <c r="O160">
        <v>2</v>
      </c>
      <c r="P160">
        <v>1</v>
      </c>
      <c r="Q160">
        <v>4</v>
      </c>
      <c r="R160">
        <v>1</v>
      </c>
      <c r="W160" s="226" t="s">
        <v>408</v>
      </c>
      <c r="X160" s="70" t="s">
        <v>407</v>
      </c>
      <c r="Y160" s="414">
        <v>0.65500000000000003</v>
      </c>
      <c r="Z160" s="70">
        <v>0.6160000000000001</v>
      </c>
      <c r="AA160" s="70">
        <v>3.9E-2</v>
      </c>
      <c r="AB160" s="464" t="s">
        <v>4231</v>
      </c>
      <c r="AC160" s="415">
        <f t="shared" si="2"/>
        <v>5.9541984732824425E-2</v>
      </c>
      <c r="AD160" s="226" t="e">
        <f ca="1">_xlfn.XLOOKUP(X160,'USEEIO metadata'!$C$2:$C$393,'USEEIO metadata'!$H$2:$H$393)</f>
        <v>#NAME?</v>
      </c>
      <c r="AE160" s="226" t="e">
        <f ca="1">_xlfn.XLOOKUP(X160,'USEEIO metadata'!$C$2:$C$393,'USEEIO metadata'!$F$2:$F$393)</f>
        <v>#NAME?</v>
      </c>
      <c r="AF160" s="226" t="e">
        <f ca="1">_xlfn.XLOOKUP(X160,'USEEIO metadata'!$C$2:$C$393,'USEEIO metadata'!$G$2:$G$393)</f>
        <v>#NAME?</v>
      </c>
    </row>
    <row r="161" spans="1:32" ht="28.5">
      <c r="A161" t="str">
        <f>_xlfn.IFNA(IF(VLOOKUP(C161,'2016_Detail_Commodity_v1.0'!C:C,1,FALSE)=C161,"No change"),"Name changed")</f>
        <v>No change</v>
      </c>
      <c r="B161" t="s">
        <v>387</v>
      </c>
      <c r="C161" t="s">
        <v>388</v>
      </c>
      <c r="E161" t="s">
        <v>15</v>
      </c>
      <c r="F161" t="s">
        <v>16</v>
      </c>
      <c r="G161">
        <v>5.0000000000000001E-3</v>
      </c>
      <c r="H161" s="413">
        <f>G161*VLOOKUP(E161,GWPs!$B$3:$C$6,2,FALSE)</f>
        <v>5.0000000000000001E-3</v>
      </c>
      <c r="I161">
        <v>0</v>
      </c>
      <c r="J161" s="413">
        <f>I161*VLOOKUP(E161,GWPs!$B$3:$C$6,2,FALSE)</f>
        <v>0</v>
      </c>
      <c r="K161">
        <v>5.0000000000000001E-3</v>
      </c>
      <c r="L161" s="413">
        <f>K161*VLOOKUP(E161,GWPs!$B$3:$C$6,2,FALSE)</f>
        <v>5.0000000000000001E-3</v>
      </c>
      <c r="N161">
        <v>3</v>
      </c>
      <c r="O161">
        <v>2</v>
      </c>
      <c r="P161">
        <v>1</v>
      </c>
      <c r="Q161">
        <v>4</v>
      </c>
      <c r="R161">
        <v>1</v>
      </c>
      <c r="W161" s="226" t="s">
        <v>1047</v>
      </c>
      <c r="X161" s="70" t="s">
        <v>1046</v>
      </c>
      <c r="Y161" s="414">
        <v>1.2999999999999999E-2</v>
      </c>
      <c r="Z161" s="70">
        <v>1.2999999999999999E-2</v>
      </c>
      <c r="AA161" s="70">
        <v>0</v>
      </c>
      <c r="AB161" s="464" t="s">
        <v>4230</v>
      </c>
      <c r="AC161" s="415">
        <f t="shared" si="2"/>
        <v>0</v>
      </c>
      <c r="AD161" s="226" t="e">
        <f ca="1">_xlfn.XLOOKUP(X161,'USEEIO metadata'!$C$2:$C$393,'USEEIO metadata'!$H$2:$H$393)</f>
        <v>#NAME?</v>
      </c>
      <c r="AE161" s="226" t="e">
        <f ca="1">_xlfn.XLOOKUP(X161,'USEEIO metadata'!$C$2:$C$393,'USEEIO metadata'!$F$2:$F$393)</f>
        <v>#NAME?</v>
      </c>
      <c r="AF161" s="226" t="e">
        <f ca="1">_xlfn.XLOOKUP(X161,'USEEIO metadata'!$C$2:$C$393,'USEEIO metadata'!$G$2:$G$393)</f>
        <v>#NAME?</v>
      </c>
    </row>
    <row r="162" spans="1:32">
      <c r="A162" t="str">
        <f>_xlfn.IFNA(IF(VLOOKUP(C162,'2016_Detail_Commodity_v1.0'!C:C,1,FALSE)=C162,"No change"),"Name changed")</f>
        <v>Name changed</v>
      </c>
      <c r="B162" t="s">
        <v>389</v>
      </c>
      <c r="C162" t="s">
        <v>1398</v>
      </c>
      <c r="D162" t="s">
        <v>390</v>
      </c>
      <c r="E162" t="s">
        <v>3653</v>
      </c>
      <c r="F162" t="s">
        <v>12</v>
      </c>
      <c r="G162">
        <v>0.64600000000000002</v>
      </c>
      <c r="H162" s="413">
        <f>G162*VLOOKUP(E162,GWPs!$B$3:$C$6,2,FALSE)</f>
        <v>0.64600000000000002</v>
      </c>
      <c r="I162">
        <v>6.6000000000000003E-2</v>
      </c>
      <c r="J162" s="413">
        <f>I162*VLOOKUP(E162,GWPs!$B$3:$C$6,2,FALSE)</f>
        <v>6.6000000000000003E-2</v>
      </c>
      <c r="K162">
        <v>0.71199999999999997</v>
      </c>
      <c r="L162" s="413">
        <f>K162*VLOOKUP(E162,GWPs!$B$3:$C$6,2,FALSE)</f>
        <v>0.71199999999999997</v>
      </c>
      <c r="N162">
        <v>4</v>
      </c>
      <c r="O162">
        <v>2</v>
      </c>
      <c r="P162">
        <v>1</v>
      </c>
      <c r="Q162">
        <v>4</v>
      </c>
      <c r="R162">
        <v>1</v>
      </c>
      <c r="W162" s="226" t="s">
        <v>1037</v>
      </c>
      <c r="X162" s="70" t="s">
        <v>1036</v>
      </c>
      <c r="Y162" s="414">
        <v>0.16200000000000001</v>
      </c>
      <c r="Z162" s="70">
        <v>0.16200000000000001</v>
      </c>
      <c r="AA162" s="70">
        <v>0</v>
      </c>
      <c r="AB162" s="464" t="s">
        <v>4230</v>
      </c>
      <c r="AC162" s="415">
        <f t="shared" si="2"/>
        <v>0</v>
      </c>
      <c r="AD162" s="226" t="e">
        <f ca="1">_xlfn.XLOOKUP(X162,'USEEIO metadata'!$C$2:$C$393,'USEEIO metadata'!$H$2:$H$393)</f>
        <v>#NAME?</v>
      </c>
      <c r="AE162" s="226" t="e">
        <f ca="1">_xlfn.XLOOKUP(X162,'USEEIO metadata'!$C$2:$C$393,'USEEIO metadata'!$F$2:$F$393)</f>
        <v>#NAME?</v>
      </c>
      <c r="AF162" s="226" t="e">
        <f ca="1">_xlfn.XLOOKUP(X162,'USEEIO metadata'!$C$2:$C$393,'USEEIO metadata'!$G$2:$G$393)</f>
        <v>#NAME?</v>
      </c>
    </row>
    <row r="163" spans="1:32">
      <c r="A163" t="str">
        <f>_xlfn.IFNA(IF(VLOOKUP(C163,'2016_Detail_Commodity_v1.0'!C:C,1,FALSE)=C163,"No change"),"Name changed")</f>
        <v>Name changed</v>
      </c>
      <c r="B163" t="s">
        <v>389</v>
      </c>
      <c r="C163" t="s">
        <v>1398</v>
      </c>
      <c r="D163" t="s">
        <v>390</v>
      </c>
      <c r="E163" t="s">
        <v>3654</v>
      </c>
      <c r="F163" t="s">
        <v>12</v>
      </c>
      <c r="G163">
        <v>2E-3</v>
      </c>
      <c r="H163" s="413">
        <f>G163*VLOOKUP(E163,GWPs!$B$3:$C$6,2,FALSE)</f>
        <v>5.6000000000000001E-2</v>
      </c>
      <c r="I163">
        <v>1E-3</v>
      </c>
      <c r="J163" s="413">
        <f>I163*VLOOKUP(E163,GWPs!$B$3:$C$6,2,FALSE)</f>
        <v>2.8000000000000001E-2</v>
      </c>
      <c r="K163">
        <v>3.0000000000000001E-3</v>
      </c>
      <c r="L163" s="413">
        <f>K163*VLOOKUP(E163,GWPs!$B$3:$C$6,2,FALSE)</f>
        <v>8.4000000000000005E-2</v>
      </c>
      <c r="N163">
        <v>4</v>
      </c>
      <c r="O163">
        <v>2</v>
      </c>
      <c r="P163">
        <v>1</v>
      </c>
      <c r="Q163">
        <v>1</v>
      </c>
      <c r="R163">
        <v>1</v>
      </c>
      <c r="W163" s="226" t="s">
        <v>656</v>
      </c>
      <c r="X163" s="70" t="s">
        <v>655</v>
      </c>
      <c r="Y163" s="414">
        <v>0.37400000000000005</v>
      </c>
      <c r="Z163" s="70">
        <v>0.34200000000000003</v>
      </c>
      <c r="AA163" s="70">
        <v>3.2000000000000001E-2</v>
      </c>
      <c r="AB163" s="464" t="s">
        <v>4230</v>
      </c>
      <c r="AC163" s="415">
        <f t="shared" si="2"/>
        <v>8.5561497326203204E-2</v>
      </c>
      <c r="AD163" s="226" t="e">
        <f ca="1">_xlfn.XLOOKUP(X163,'USEEIO metadata'!$C$2:$C$393,'USEEIO metadata'!$H$2:$H$393)</f>
        <v>#NAME?</v>
      </c>
      <c r="AE163" s="226" t="e">
        <f ca="1">_xlfn.XLOOKUP(X163,'USEEIO metadata'!$C$2:$C$393,'USEEIO metadata'!$F$2:$F$393)</f>
        <v>#NAME?</v>
      </c>
      <c r="AF163" s="226" t="e">
        <f ca="1">_xlfn.XLOOKUP(X163,'USEEIO metadata'!$C$2:$C$393,'USEEIO metadata'!$G$2:$G$393)</f>
        <v>#NAME?</v>
      </c>
    </row>
    <row r="164" spans="1:32" ht="28.5">
      <c r="A164" t="str">
        <f>_xlfn.IFNA(IF(VLOOKUP(C164,'2016_Detail_Commodity_v1.0'!C:C,1,FALSE)=C164,"No change"),"Name changed")</f>
        <v>Name changed</v>
      </c>
      <c r="B164" t="s">
        <v>389</v>
      </c>
      <c r="C164" t="s">
        <v>1398</v>
      </c>
      <c r="D164" t="s">
        <v>390</v>
      </c>
      <c r="E164" t="s">
        <v>3655</v>
      </c>
      <c r="F164" t="s">
        <v>12</v>
      </c>
      <c r="G164">
        <v>2E-3</v>
      </c>
      <c r="H164" s="413">
        <f>G164*VLOOKUP(E164,GWPs!$B$3:$C$6,2,FALSE)</f>
        <v>0.53</v>
      </c>
      <c r="I164">
        <v>0</v>
      </c>
      <c r="J164" s="413">
        <f>I164*VLOOKUP(E164,GWPs!$B$3:$C$6,2,FALSE)</f>
        <v>0</v>
      </c>
      <c r="K164">
        <v>2E-3</v>
      </c>
      <c r="L164" s="413">
        <f>K164*VLOOKUP(E164,GWPs!$B$3:$C$6,2,FALSE)</f>
        <v>0.53</v>
      </c>
      <c r="N164">
        <v>4</v>
      </c>
      <c r="O164">
        <v>2</v>
      </c>
      <c r="P164">
        <v>1</v>
      </c>
      <c r="Q164">
        <v>4</v>
      </c>
      <c r="R164">
        <v>1</v>
      </c>
      <c r="W164" s="226" t="s">
        <v>682</v>
      </c>
      <c r="X164" s="70" t="s">
        <v>681</v>
      </c>
      <c r="Y164" s="414">
        <v>0.24299999999999999</v>
      </c>
      <c r="Z164" s="70">
        <v>0.214</v>
      </c>
      <c r="AA164" s="70">
        <v>2.9000000000000001E-2</v>
      </c>
      <c r="AB164" s="464" t="s">
        <v>4230</v>
      </c>
      <c r="AC164" s="415">
        <f t="shared" si="2"/>
        <v>0.11934156378600824</v>
      </c>
      <c r="AD164" s="226" t="e">
        <f ca="1">_xlfn.XLOOKUP(X164,'USEEIO metadata'!$C$2:$C$393,'USEEIO metadata'!$H$2:$H$393)</f>
        <v>#NAME?</v>
      </c>
      <c r="AE164" s="226" t="e">
        <f ca="1">_xlfn.XLOOKUP(X164,'USEEIO metadata'!$C$2:$C$393,'USEEIO metadata'!$F$2:$F$393)</f>
        <v>#NAME?</v>
      </c>
      <c r="AF164" s="226" t="e">
        <f ca="1">_xlfn.XLOOKUP(X164,'USEEIO metadata'!$C$2:$C$393,'USEEIO metadata'!$G$2:$G$393)</f>
        <v>#NAME?</v>
      </c>
    </row>
    <row r="165" spans="1:32" ht="28.5">
      <c r="A165" t="str">
        <f>_xlfn.IFNA(IF(VLOOKUP(C165,'2016_Detail_Commodity_v1.0'!C:C,1,FALSE)=C165,"No change"),"Name changed")</f>
        <v>Name changed</v>
      </c>
      <c r="B165" t="s">
        <v>389</v>
      </c>
      <c r="C165" t="s">
        <v>1398</v>
      </c>
      <c r="D165" t="s">
        <v>390</v>
      </c>
      <c r="E165" t="s">
        <v>15</v>
      </c>
      <c r="F165" t="s">
        <v>16</v>
      </c>
      <c r="G165">
        <v>4.0000000000000001E-3</v>
      </c>
      <c r="H165" s="413">
        <f>G165*VLOOKUP(E165,GWPs!$B$3:$C$6,2,FALSE)</f>
        <v>4.0000000000000001E-3</v>
      </c>
      <c r="I165">
        <v>0</v>
      </c>
      <c r="J165" s="413">
        <f>I165*VLOOKUP(E165,GWPs!$B$3:$C$6,2,FALSE)</f>
        <v>0</v>
      </c>
      <c r="K165">
        <v>4.0000000000000001E-3</v>
      </c>
      <c r="L165" s="413">
        <f>K165*VLOOKUP(E165,GWPs!$B$3:$C$6,2,FALSE)</f>
        <v>4.0000000000000001E-3</v>
      </c>
      <c r="N165">
        <v>4</v>
      </c>
      <c r="O165">
        <v>2</v>
      </c>
      <c r="P165">
        <v>1</v>
      </c>
      <c r="Q165">
        <v>4</v>
      </c>
      <c r="R165">
        <v>1</v>
      </c>
      <c r="W165" s="226" t="s">
        <v>714</v>
      </c>
      <c r="X165" s="70" t="s">
        <v>713</v>
      </c>
      <c r="Y165" s="414">
        <v>0.113</v>
      </c>
      <c r="Z165" s="70">
        <v>9.4E-2</v>
      </c>
      <c r="AA165" s="70">
        <v>1.7999999999999999E-2</v>
      </c>
      <c r="AB165" s="464" t="s">
        <v>4230</v>
      </c>
      <c r="AC165" s="415">
        <f t="shared" si="2"/>
        <v>0.15929203539823006</v>
      </c>
      <c r="AD165" s="226" t="e">
        <f ca="1">_xlfn.XLOOKUP(X165,'USEEIO metadata'!$C$2:$C$393,'USEEIO metadata'!$H$2:$H$393)</f>
        <v>#NAME?</v>
      </c>
      <c r="AE165" s="226" t="e">
        <f ca="1">_xlfn.XLOOKUP(X165,'USEEIO metadata'!$C$2:$C$393,'USEEIO metadata'!$F$2:$F$393)</f>
        <v>#NAME?</v>
      </c>
      <c r="AF165" s="226" t="e">
        <f ca="1">_xlfn.XLOOKUP(X165,'USEEIO metadata'!$C$2:$C$393,'USEEIO metadata'!$G$2:$G$393)</f>
        <v>#NAME?</v>
      </c>
    </row>
    <row r="166" spans="1:32">
      <c r="A166" t="str">
        <f>_xlfn.IFNA(IF(VLOOKUP(C166,'2016_Detail_Commodity_v1.0'!C:C,1,FALSE)=C166,"No change"),"Name changed")</f>
        <v>No change</v>
      </c>
      <c r="B166" t="s">
        <v>391</v>
      </c>
      <c r="C166" t="s">
        <v>392</v>
      </c>
      <c r="E166" t="s">
        <v>3653</v>
      </c>
      <c r="F166" t="s">
        <v>12</v>
      </c>
      <c r="G166">
        <v>0.55300000000000005</v>
      </c>
      <c r="H166" s="413">
        <f>G166*VLOOKUP(E166,GWPs!$B$3:$C$6,2,FALSE)</f>
        <v>0.55300000000000005</v>
      </c>
      <c r="I166">
        <v>5.2999999999999999E-2</v>
      </c>
      <c r="J166" s="413">
        <f>I166*VLOOKUP(E166,GWPs!$B$3:$C$6,2,FALSE)</f>
        <v>5.2999999999999999E-2</v>
      </c>
      <c r="K166">
        <v>0.60599999999999998</v>
      </c>
      <c r="L166" s="413">
        <f>K166*VLOOKUP(E166,GWPs!$B$3:$C$6,2,FALSE)</f>
        <v>0.60599999999999998</v>
      </c>
      <c r="N166">
        <v>4</v>
      </c>
      <c r="O166">
        <v>2</v>
      </c>
      <c r="P166">
        <v>1</v>
      </c>
      <c r="Q166">
        <v>4</v>
      </c>
      <c r="R166">
        <v>1</v>
      </c>
      <c r="W166" s="226" t="s">
        <v>526</v>
      </c>
      <c r="X166" s="70" t="s">
        <v>525</v>
      </c>
      <c r="Y166" s="414">
        <v>0.72700000000000009</v>
      </c>
      <c r="Z166" s="70">
        <v>0.69700000000000006</v>
      </c>
      <c r="AA166" s="70">
        <v>0.03</v>
      </c>
      <c r="AB166" s="464" t="s">
        <v>4230</v>
      </c>
      <c r="AC166" s="415">
        <f t="shared" si="2"/>
        <v>4.126547455295735E-2</v>
      </c>
      <c r="AD166" s="226" t="e">
        <f ca="1">_xlfn.XLOOKUP(X166,'USEEIO metadata'!$C$2:$C$393,'USEEIO metadata'!$H$2:$H$393)</f>
        <v>#NAME?</v>
      </c>
      <c r="AE166" s="226" t="e">
        <f ca="1">_xlfn.XLOOKUP(X166,'USEEIO metadata'!$C$2:$C$393,'USEEIO metadata'!$F$2:$F$393)</f>
        <v>#NAME?</v>
      </c>
      <c r="AF166" s="226" t="e">
        <f ca="1">_xlfn.XLOOKUP(X166,'USEEIO metadata'!$C$2:$C$393,'USEEIO metadata'!$G$2:$G$393)</f>
        <v>#NAME?</v>
      </c>
    </row>
    <row r="167" spans="1:32">
      <c r="A167" t="str">
        <f>_xlfn.IFNA(IF(VLOOKUP(C167,'2016_Detail_Commodity_v1.0'!C:C,1,FALSE)=C167,"No change"),"Name changed")</f>
        <v>No change</v>
      </c>
      <c r="B167" t="s">
        <v>391</v>
      </c>
      <c r="C167" t="s">
        <v>392</v>
      </c>
      <c r="E167" t="s">
        <v>3654</v>
      </c>
      <c r="F167" t="s">
        <v>12</v>
      </c>
      <c r="G167">
        <v>3.0000000000000001E-3</v>
      </c>
      <c r="H167" s="413">
        <f>G167*VLOOKUP(E167,GWPs!$B$3:$C$6,2,FALSE)</f>
        <v>8.4000000000000005E-2</v>
      </c>
      <c r="I167">
        <v>0</v>
      </c>
      <c r="J167" s="413">
        <f>I167*VLOOKUP(E167,GWPs!$B$3:$C$6,2,FALSE)</f>
        <v>0</v>
      </c>
      <c r="K167">
        <v>3.0000000000000001E-3</v>
      </c>
      <c r="L167" s="413">
        <f>K167*VLOOKUP(E167,GWPs!$B$3:$C$6,2,FALSE)</f>
        <v>8.4000000000000005E-2</v>
      </c>
      <c r="N167">
        <v>3</v>
      </c>
      <c r="O167">
        <v>2</v>
      </c>
      <c r="P167">
        <v>1</v>
      </c>
      <c r="Q167">
        <v>1</v>
      </c>
      <c r="R167">
        <v>1</v>
      </c>
      <c r="W167" s="226" t="s">
        <v>816</v>
      </c>
      <c r="X167" s="70" t="s">
        <v>815</v>
      </c>
      <c r="Y167" s="414">
        <v>0.375</v>
      </c>
      <c r="Z167" s="70">
        <v>0.26400000000000001</v>
      </c>
      <c r="AA167" s="70">
        <v>0.111</v>
      </c>
      <c r="AB167" s="464" t="s">
        <v>4231</v>
      </c>
      <c r="AC167" s="415">
        <f t="shared" si="2"/>
        <v>0.29599999999999999</v>
      </c>
      <c r="AD167" s="226" t="e">
        <f ca="1">_xlfn.XLOOKUP(X167,'USEEIO metadata'!$C$2:$C$393,'USEEIO metadata'!$H$2:$H$393)</f>
        <v>#NAME?</v>
      </c>
      <c r="AE167" s="226" t="e">
        <f ca="1">_xlfn.XLOOKUP(X167,'USEEIO metadata'!$C$2:$C$393,'USEEIO metadata'!$F$2:$F$393)</f>
        <v>#NAME?</v>
      </c>
      <c r="AF167" s="226" t="e">
        <f ca="1">_xlfn.XLOOKUP(X167,'USEEIO metadata'!$C$2:$C$393,'USEEIO metadata'!$G$2:$G$393)</f>
        <v>#NAME?</v>
      </c>
    </row>
    <row r="168" spans="1:32" ht="28.5">
      <c r="A168" t="str">
        <f>_xlfn.IFNA(IF(VLOOKUP(C168,'2016_Detail_Commodity_v1.0'!C:C,1,FALSE)=C168,"No change"),"Name changed")</f>
        <v>No change</v>
      </c>
      <c r="B168" t="s">
        <v>391</v>
      </c>
      <c r="C168" t="s">
        <v>392</v>
      </c>
      <c r="E168" t="s">
        <v>3655</v>
      </c>
      <c r="F168" t="s">
        <v>12</v>
      </c>
      <c r="G168">
        <v>1E-3</v>
      </c>
      <c r="H168" s="413">
        <f>G168*VLOOKUP(E168,GWPs!$B$3:$C$6,2,FALSE)</f>
        <v>0.26500000000000001</v>
      </c>
      <c r="I168">
        <v>0</v>
      </c>
      <c r="J168" s="413">
        <f>I168*VLOOKUP(E168,GWPs!$B$3:$C$6,2,FALSE)</f>
        <v>0</v>
      </c>
      <c r="K168">
        <v>1E-3</v>
      </c>
      <c r="L168" s="413">
        <f>K168*VLOOKUP(E168,GWPs!$B$3:$C$6,2,FALSE)</f>
        <v>0.26500000000000001</v>
      </c>
      <c r="N168">
        <v>4</v>
      </c>
      <c r="O168">
        <v>2</v>
      </c>
      <c r="P168">
        <v>1</v>
      </c>
      <c r="Q168">
        <v>4</v>
      </c>
      <c r="R168">
        <v>1</v>
      </c>
      <c r="W168" s="226" t="s">
        <v>946</v>
      </c>
      <c r="X168" s="70" t="s">
        <v>945</v>
      </c>
      <c r="Y168" s="414">
        <v>3.3000000000000002E-2</v>
      </c>
      <c r="Z168" s="70">
        <v>3.3000000000000002E-2</v>
      </c>
      <c r="AA168" s="70">
        <v>0</v>
      </c>
      <c r="AB168" s="464" t="s">
        <v>4230</v>
      </c>
      <c r="AC168" s="415">
        <f t="shared" si="2"/>
        <v>0</v>
      </c>
      <c r="AD168" s="226" t="e">
        <f ca="1">_xlfn.XLOOKUP(X168,'USEEIO metadata'!$C$2:$C$393,'USEEIO metadata'!$H$2:$H$393)</f>
        <v>#NAME?</v>
      </c>
      <c r="AE168" s="226" t="e">
        <f ca="1">_xlfn.XLOOKUP(X168,'USEEIO metadata'!$C$2:$C$393,'USEEIO metadata'!$F$2:$F$393)</f>
        <v>#NAME?</v>
      </c>
      <c r="AF168" s="226" t="e">
        <f ca="1">_xlfn.XLOOKUP(X168,'USEEIO metadata'!$C$2:$C$393,'USEEIO metadata'!$G$2:$G$393)</f>
        <v>#NAME?</v>
      </c>
    </row>
    <row r="169" spans="1:32" ht="28.5">
      <c r="A169" t="str">
        <f>_xlfn.IFNA(IF(VLOOKUP(C169,'2016_Detail_Commodity_v1.0'!C:C,1,FALSE)=C169,"No change"),"Name changed")</f>
        <v>No change</v>
      </c>
      <c r="B169" t="s">
        <v>391</v>
      </c>
      <c r="C169" t="s">
        <v>392</v>
      </c>
      <c r="E169" t="s">
        <v>15</v>
      </c>
      <c r="F169" t="s">
        <v>16</v>
      </c>
      <c r="G169">
        <v>6.0000000000000001E-3</v>
      </c>
      <c r="H169" s="413">
        <f>G169*VLOOKUP(E169,GWPs!$B$3:$C$6,2,FALSE)</f>
        <v>6.0000000000000001E-3</v>
      </c>
      <c r="I169">
        <v>0</v>
      </c>
      <c r="J169" s="413">
        <f>I169*VLOOKUP(E169,GWPs!$B$3:$C$6,2,FALSE)</f>
        <v>0</v>
      </c>
      <c r="K169">
        <v>6.0000000000000001E-3</v>
      </c>
      <c r="L169" s="413">
        <f>K169*VLOOKUP(E169,GWPs!$B$3:$C$6,2,FALSE)</f>
        <v>6.0000000000000001E-3</v>
      </c>
      <c r="N169">
        <v>4</v>
      </c>
      <c r="O169">
        <v>2</v>
      </c>
      <c r="P169">
        <v>1</v>
      </c>
      <c r="Q169">
        <v>4</v>
      </c>
      <c r="R169">
        <v>1</v>
      </c>
      <c r="W169" s="226" t="s">
        <v>944</v>
      </c>
      <c r="X169" s="70" t="s">
        <v>943</v>
      </c>
      <c r="Y169" s="414">
        <v>3.5000000000000003E-2</v>
      </c>
      <c r="Z169" s="70">
        <v>3.5000000000000003E-2</v>
      </c>
      <c r="AA169" s="70">
        <v>0</v>
      </c>
      <c r="AB169" s="464" t="s">
        <v>4230</v>
      </c>
      <c r="AC169" s="415">
        <f t="shared" si="2"/>
        <v>0</v>
      </c>
      <c r="AD169" s="226" t="e">
        <f ca="1">_xlfn.XLOOKUP(X169,'USEEIO metadata'!$C$2:$C$393,'USEEIO metadata'!$H$2:$H$393)</f>
        <v>#NAME?</v>
      </c>
      <c r="AE169" s="226" t="e">
        <f ca="1">_xlfn.XLOOKUP(X169,'USEEIO metadata'!$C$2:$C$393,'USEEIO metadata'!$F$2:$F$393)</f>
        <v>#NAME?</v>
      </c>
      <c r="AF169" s="226" t="e">
        <f ca="1">_xlfn.XLOOKUP(X169,'USEEIO metadata'!$C$2:$C$393,'USEEIO metadata'!$G$2:$G$393)</f>
        <v>#NAME?</v>
      </c>
    </row>
    <row r="170" spans="1:32" ht="28.5">
      <c r="A170" t="str">
        <f>_xlfn.IFNA(IF(VLOOKUP(C170,'2016_Detail_Commodity_v1.0'!C:C,1,FALSE)=C170,"No change"),"Name changed")</f>
        <v>No change</v>
      </c>
      <c r="B170" t="s">
        <v>393</v>
      </c>
      <c r="C170" t="s">
        <v>394</v>
      </c>
      <c r="E170" t="s">
        <v>3653</v>
      </c>
      <c r="F170" t="s">
        <v>12</v>
      </c>
      <c r="G170">
        <v>0.29399999999999998</v>
      </c>
      <c r="H170" s="413">
        <f>G170*VLOOKUP(E170,GWPs!$B$3:$C$6,2,FALSE)</f>
        <v>0.29399999999999998</v>
      </c>
      <c r="I170">
        <v>6.7000000000000004E-2</v>
      </c>
      <c r="J170" s="413">
        <f>I170*VLOOKUP(E170,GWPs!$B$3:$C$6,2,FALSE)</f>
        <v>6.7000000000000004E-2</v>
      </c>
      <c r="K170">
        <v>0.36199999999999999</v>
      </c>
      <c r="L170" s="413">
        <f>K170*VLOOKUP(E170,GWPs!$B$3:$C$6,2,FALSE)</f>
        <v>0.36199999999999999</v>
      </c>
      <c r="N170">
        <v>3</v>
      </c>
      <c r="O170">
        <v>2</v>
      </c>
      <c r="P170">
        <v>1</v>
      </c>
      <c r="Q170">
        <v>4</v>
      </c>
      <c r="R170">
        <v>1</v>
      </c>
      <c r="W170" s="226" t="s">
        <v>932</v>
      </c>
      <c r="X170" s="70" t="s">
        <v>931</v>
      </c>
      <c r="Y170" s="414">
        <v>0.127</v>
      </c>
      <c r="Z170" s="70">
        <v>0.127</v>
      </c>
      <c r="AA170" s="70">
        <v>0</v>
      </c>
      <c r="AB170" s="464" t="s">
        <v>4230</v>
      </c>
      <c r="AC170" s="415">
        <f t="shared" si="2"/>
        <v>0</v>
      </c>
      <c r="AD170" s="226" t="e">
        <f ca="1">_xlfn.XLOOKUP(X170,'USEEIO metadata'!$C$2:$C$393,'USEEIO metadata'!$H$2:$H$393)</f>
        <v>#NAME?</v>
      </c>
      <c r="AE170" s="226" t="e">
        <f ca="1">_xlfn.XLOOKUP(X170,'USEEIO metadata'!$C$2:$C$393,'USEEIO metadata'!$F$2:$F$393)</f>
        <v>#NAME?</v>
      </c>
      <c r="AF170" s="226" t="e">
        <f ca="1">_xlfn.XLOOKUP(X170,'USEEIO metadata'!$C$2:$C$393,'USEEIO metadata'!$G$2:$G$393)</f>
        <v>#NAME?</v>
      </c>
    </row>
    <row r="171" spans="1:32">
      <c r="A171" t="str">
        <f>_xlfn.IFNA(IF(VLOOKUP(C171,'2016_Detail_Commodity_v1.0'!C:C,1,FALSE)=C171,"No change"),"Name changed")</f>
        <v>No change</v>
      </c>
      <c r="B171" t="s">
        <v>393</v>
      </c>
      <c r="C171" t="s">
        <v>394</v>
      </c>
      <c r="E171" t="s">
        <v>3654</v>
      </c>
      <c r="F171" t="s">
        <v>12</v>
      </c>
      <c r="G171">
        <v>1E-3</v>
      </c>
      <c r="H171" s="413">
        <f>G171*VLOOKUP(E171,GWPs!$B$3:$C$6,2,FALSE)</f>
        <v>2.8000000000000001E-2</v>
      </c>
      <c r="I171">
        <v>0</v>
      </c>
      <c r="J171" s="413">
        <f>I171*VLOOKUP(E171,GWPs!$B$3:$C$6,2,FALSE)</f>
        <v>0</v>
      </c>
      <c r="K171">
        <v>2E-3</v>
      </c>
      <c r="L171" s="413">
        <f>K171*VLOOKUP(E171,GWPs!$B$3:$C$6,2,FALSE)</f>
        <v>5.6000000000000001E-2</v>
      </c>
      <c r="N171">
        <v>3</v>
      </c>
      <c r="O171">
        <v>2</v>
      </c>
      <c r="P171">
        <v>1</v>
      </c>
      <c r="Q171">
        <v>1</v>
      </c>
      <c r="R171">
        <v>1</v>
      </c>
      <c r="W171" s="226" t="s">
        <v>1004</v>
      </c>
      <c r="X171" s="70" t="s">
        <v>1003</v>
      </c>
      <c r="Y171" s="414">
        <v>8.7000000000000008E-2</v>
      </c>
      <c r="Z171" s="70">
        <v>8.7000000000000008E-2</v>
      </c>
      <c r="AA171" s="70">
        <v>0</v>
      </c>
      <c r="AB171" s="464" t="s">
        <v>4230</v>
      </c>
      <c r="AC171" s="415">
        <f t="shared" si="2"/>
        <v>0</v>
      </c>
      <c r="AD171" s="226" t="e">
        <f ca="1">_xlfn.XLOOKUP(X171,'USEEIO metadata'!$C$2:$C$393,'USEEIO metadata'!$H$2:$H$393)</f>
        <v>#NAME?</v>
      </c>
      <c r="AE171" s="226" t="e">
        <f ca="1">_xlfn.XLOOKUP(X171,'USEEIO metadata'!$C$2:$C$393,'USEEIO metadata'!$F$2:$F$393)</f>
        <v>#NAME?</v>
      </c>
      <c r="AF171" s="226" t="e">
        <f ca="1">_xlfn.XLOOKUP(X171,'USEEIO metadata'!$C$2:$C$393,'USEEIO metadata'!$G$2:$G$393)</f>
        <v>#NAME?</v>
      </c>
    </row>
    <row r="172" spans="1:32" ht="42.75">
      <c r="A172" t="str">
        <f>_xlfn.IFNA(IF(VLOOKUP(C172,'2016_Detail_Commodity_v1.0'!C:C,1,FALSE)=C172,"No change"),"Name changed")</f>
        <v>No change</v>
      </c>
      <c r="B172" t="s">
        <v>393</v>
      </c>
      <c r="C172" t="s">
        <v>394</v>
      </c>
      <c r="E172" t="s">
        <v>3655</v>
      </c>
      <c r="F172" t="s">
        <v>12</v>
      </c>
      <c r="G172">
        <v>0</v>
      </c>
      <c r="H172" s="413">
        <f>G172*VLOOKUP(E172,GWPs!$B$3:$C$6,2,FALSE)</f>
        <v>0</v>
      </c>
      <c r="I172">
        <v>0</v>
      </c>
      <c r="J172" s="413">
        <f>I172*VLOOKUP(E172,GWPs!$B$3:$C$6,2,FALSE)</f>
        <v>0</v>
      </c>
      <c r="K172">
        <v>0</v>
      </c>
      <c r="L172" s="413">
        <f>K172*VLOOKUP(E172,GWPs!$B$3:$C$6,2,FALSE)</f>
        <v>0</v>
      </c>
      <c r="N172">
        <v>4</v>
      </c>
      <c r="O172">
        <v>2</v>
      </c>
      <c r="P172">
        <v>1</v>
      </c>
      <c r="Q172">
        <v>4</v>
      </c>
      <c r="R172">
        <v>1</v>
      </c>
      <c r="W172" s="226" t="s">
        <v>938</v>
      </c>
      <c r="X172" s="70" t="s">
        <v>937</v>
      </c>
      <c r="Y172" s="414">
        <v>7.2000000000000008E-2</v>
      </c>
      <c r="Z172" s="70">
        <v>7.2000000000000008E-2</v>
      </c>
      <c r="AA172" s="70">
        <v>0</v>
      </c>
      <c r="AB172" s="464" t="s">
        <v>4230</v>
      </c>
      <c r="AC172" s="415">
        <f t="shared" si="2"/>
        <v>0</v>
      </c>
      <c r="AD172" s="226" t="e">
        <f ca="1">_xlfn.XLOOKUP(X172,'USEEIO metadata'!$C$2:$C$393,'USEEIO metadata'!$H$2:$H$393)</f>
        <v>#NAME?</v>
      </c>
      <c r="AE172" s="226" t="e">
        <f ca="1">_xlfn.XLOOKUP(X172,'USEEIO metadata'!$C$2:$C$393,'USEEIO metadata'!$F$2:$F$393)</f>
        <v>#NAME?</v>
      </c>
      <c r="AF172" s="226" t="e">
        <f ca="1">_xlfn.XLOOKUP(X172,'USEEIO metadata'!$C$2:$C$393,'USEEIO metadata'!$G$2:$G$393)</f>
        <v>#NAME?</v>
      </c>
    </row>
    <row r="173" spans="1:32" ht="28.5">
      <c r="A173" t="str">
        <f>_xlfn.IFNA(IF(VLOOKUP(C173,'2016_Detail_Commodity_v1.0'!C:C,1,FALSE)=C173,"No change"),"Name changed")</f>
        <v>No change</v>
      </c>
      <c r="B173" t="s">
        <v>393</v>
      </c>
      <c r="C173" t="s">
        <v>394</v>
      </c>
      <c r="E173" t="s">
        <v>15</v>
      </c>
      <c r="F173" t="s">
        <v>16</v>
      </c>
      <c r="G173">
        <v>1.0999999999999999E-2</v>
      </c>
      <c r="H173" s="413">
        <f>G173*VLOOKUP(E173,GWPs!$B$3:$C$6,2,FALSE)</f>
        <v>1.0999999999999999E-2</v>
      </c>
      <c r="I173">
        <v>0</v>
      </c>
      <c r="J173" s="413">
        <f>I173*VLOOKUP(E173,GWPs!$B$3:$C$6,2,FALSE)</f>
        <v>0</v>
      </c>
      <c r="K173">
        <v>1.0999999999999999E-2</v>
      </c>
      <c r="L173" s="413">
        <f>K173*VLOOKUP(E173,GWPs!$B$3:$C$6,2,FALSE)</f>
        <v>1.0999999999999999E-2</v>
      </c>
      <c r="N173">
        <v>4</v>
      </c>
      <c r="O173">
        <v>2</v>
      </c>
      <c r="P173">
        <v>1</v>
      </c>
      <c r="Q173">
        <v>5</v>
      </c>
      <c r="R173">
        <v>1</v>
      </c>
      <c r="W173" s="226" t="s">
        <v>343</v>
      </c>
      <c r="X173" s="70" t="s">
        <v>342</v>
      </c>
      <c r="Y173" s="414">
        <v>1.6170000000000002</v>
      </c>
      <c r="Z173" s="70">
        <v>1.4570000000000001</v>
      </c>
      <c r="AA173" s="70">
        <v>0.159</v>
      </c>
      <c r="AB173" s="464" t="s">
        <v>4230</v>
      </c>
      <c r="AC173" s="415">
        <f t="shared" si="2"/>
        <v>9.8330241187384038E-2</v>
      </c>
      <c r="AD173" s="226" t="e">
        <f ca="1">_xlfn.XLOOKUP(X173,'USEEIO metadata'!$C$2:$C$393,'USEEIO metadata'!$H$2:$H$393)</f>
        <v>#NAME?</v>
      </c>
      <c r="AE173" s="226" t="e">
        <f ca="1">_xlfn.XLOOKUP(X173,'USEEIO metadata'!$C$2:$C$393,'USEEIO metadata'!$F$2:$F$393)</f>
        <v>#NAME?</v>
      </c>
      <c r="AF173" s="226" t="e">
        <f ca="1">_xlfn.XLOOKUP(X173,'USEEIO metadata'!$C$2:$C$393,'USEEIO metadata'!$G$2:$G$393)</f>
        <v>#NAME?</v>
      </c>
    </row>
    <row r="174" spans="1:32">
      <c r="A174" t="str">
        <f>_xlfn.IFNA(IF(VLOOKUP(C174,'2016_Detail_Commodity_v1.0'!C:C,1,FALSE)=C174,"No change"),"Name changed")</f>
        <v>No change</v>
      </c>
      <c r="B174" t="s">
        <v>395</v>
      </c>
      <c r="C174" t="s">
        <v>396</v>
      </c>
      <c r="E174" t="s">
        <v>3653</v>
      </c>
      <c r="F174" t="s">
        <v>12</v>
      </c>
      <c r="G174">
        <v>0.38</v>
      </c>
      <c r="H174" s="413">
        <f>G174*VLOOKUP(E174,GWPs!$B$3:$C$6,2,FALSE)</f>
        <v>0.38</v>
      </c>
      <c r="I174">
        <v>6.2E-2</v>
      </c>
      <c r="J174" s="413">
        <f>I174*VLOOKUP(E174,GWPs!$B$3:$C$6,2,FALSE)</f>
        <v>6.2E-2</v>
      </c>
      <c r="K174">
        <v>0.442</v>
      </c>
      <c r="L174" s="413">
        <f>K174*VLOOKUP(E174,GWPs!$B$3:$C$6,2,FALSE)</f>
        <v>0.442</v>
      </c>
      <c r="N174">
        <v>4</v>
      </c>
      <c r="O174">
        <v>2</v>
      </c>
      <c r="P174">
        <v>1</v>
      </c>
      <c r="Q174">
        <v>4</v>
      </c>
      <c r="R174">
        <v>1</v>
      </c>
      <c r="W174" s="226" t="s">
        <v>722</v>
      </c>
      <c r="X174" s="70" t="s">
        <v>721</v>
      </c>
      <c r="Y174" s="414">
        <v>0.19700000000000001</v>
      </c>
      <c r="Z174" s="70">
        <v>0.123</v>
      </c>
      <c r="AA174" s="70">
        <v>4.5999999999999999E-2</v>
      </c>
      <c r="AB174" s="464" t="s">
        <v>4231</v>
      </c>
      <c r="AC174" s="415">
        <f t="shared" si="2"/>
        <v>0.23350253807106597</v>
      </c>
      <c r="AD174" s="226" t="e">
        <f ca="1">_xlfn.XLOOKUP(X174,'USEEIO metadata'!$C$2:$C$393,'USEEIO metadata'!$H$2:$H$393)</f>
        <v>#NAME?</v>
      </c>
      <c r="AE174" s="226" t="e">
        <f ca="1">_xlfn.XLOOKUP(X174,'USEEIO metadata'!$C$2:$C$393,'USEEIO metadata'!$F$2:$F$393)</f>
        <v>#NAME?</v>
      </c>
      <c r="AF174" s="226" t="e">
        <f ca="1">_xlfn.XLOOKUP(X174,'USEEIO metadata'!$C$2:$C$393,'USEEIO metadata'!$G$2:$G$393)</f>
        <v>#NAME?</v>
      </c>
    </row>
    <row r="175" spans="1:32">
      <c r="A175" t="str">
        <f>_xlfn.IFNA(IF(VLOOKUP(C175,'2016_Detail_Commodity_v1.0'!C:C,1,FALSE)=C175,"No change"),"Name changed")</f>
        <v>No change</v>
      </c>
      <c r="B175" t="s">
        <v>395</v>
      </c>
      <c r="C175" t="s">
        <v>396</v>
      </c>
      <c r="E175" t="s">
        <v>3654</v>
      </c>
      <c r="F175" t="s">
        <v>12</v>
      </c>
      <c r="G175">
        <v>2E-3</v>
      </c>
      <c r="H175" s="413">
        <f>G175*VLOOKUP(E175,GWPs!$B$3:$C$6,2,FALSE)</f>
        <v>5.6000000000000001E-2</v>
      </c>
      <c r="I175">
        <v>0</v>
      </c>
      <c r="J175" s="413">
        <f>I175*VLOOKUP(E175,GWPs!$B$3:$C$6,2,FALSE)</f>
        <v>0</v>
      </c>
      <c r="K175">
        <v>3.0000000000000001E-3</v>
      </c>
      <c r="L175" s="413">
        <f>K175*VLOOKUP(E175,GWPs!$B$3:$C$6,2,FALSE)</f>
        <v>8.4000000000000005E-2</v>
      </c>
      <c r="N175">
        <v>3</v>
      </c>
      <c r="O175">
        <v>2</v>
      </c>
      <c r="P175">
        <v>1</v>
      </c>
      <c r="Q175">
        <v>1</v>
      </c>
      <c r="R175">
        <v>1</v>
      </c>
      <c r="W175" s="226" t="s">
        <v>836</v>
      </c>
      <c r="X175" s="70" t="s">
        <v>835</v>
      </c>
      <c r="Y175" s="414">
        <v>0.23100000000000001</v>
      </c>
      <c r="Z175" s="70">
        <v>9.6999999999999989E-2</v>
      </c>
      <c r="AA175" s="70">
        <v>0.106</v>
      </c>
      <c r="AB175" s="464" t="s">
        <v>4230</v>
      </c>
      <c r="AC175" s="415">
        <f t="shared" si="2"/>
        <v>0.45887445887445882</v>
      </c>
      <c r="AD175" s="226" t="e">
        <f ca="1">_xlfn.XLOOKUP(X175,'USEEIO metadata'!$C$2:$C$393,'USEEIO metadata'!$H$2:$H$393)</f>
        <v>#NAME?</v>
      </c>
      <c r="AE175" s="226" t="e">
        <f ca="1">_xlfn.XLOOKUP(X175,'USEEIO metadata'!$C$2:$C$393,'USEEIO metadata'!$F$2:$F$393)</f>
        <v>#NAME?</v>
      </c>
      <c r="AF175" s="226" t="e">
        <f ca="1">_xlfn.XLOOKUP(X175,'USEEIO metadata'!$C$2:$C$393,'USEEIO metadata'!$G$2:$G$393)</f>
        <v>#NAME?</v>
      </c>
    </row>
    <row r="176" spans="1:32" ht="28.5">
      <c r="A176" t="str">
        <f>_xlfn.IFNA(IF(VLOOKUP(C176,'2016_Detail_Commodity_v1.0'!C:C,1,FALSE)=C176,"No change"),"Name changed")</f>
        <v>No change</v>
      </c>
      <c r="B176" t="s">
        <v>395</v>
      </c>
      <c r="C176" t="s">
        <v>396</v>
      </c>
      <c r="E176" t="s">
        <v>3655</v>
      </c>
      <c r="F176" t="s">
        <v>12</v>
      </c>
      <c r="G176">
        <v>0</v>
      </c>
      <c r="H176" s="413">
        <f>G176*VLOOKUP(E176,GWPs!$B$3:$C$6,2,FALSE)</f>
        <v>0</v>
      </c>
      <c r="I176">
        <v>0</v>
      </c>
      <c r="J176" s="413">
        <f>I176*VLOOKUP(E176,GWPs!$B$3:$C$6,2,FALSE)</f>
        <v>0</v>
      </c>
      <c r="K176">
        <v>0</v>
      </c>
      <c r="L176" s="413">
        <f>K176*VLOOKUP(E176,GWPs!$B$3:$C$6,2,FALSE)</f>
        <v>0</v>
      </c>
      <c r="N176">
        <v>4</v>
      </c>
      <c r="O176">
        <v>2</v>
      </c>
      <c r="P176">
        <v>1</v>
      </c>
      <c r="Q176">
        <v>4</v>
      </c>
      <c r="R176">
        <v>1</v>
      </c>
      <c r="W176" s="226" t="s">
        <v>534</v>
      </c>
      <c r="X176" s="70" t="s">
        <v>533</v>
      </c>
      <c r="Y176" s="414">
        <v>0.58800000000000008</v>
      </c>
      <c r="Z176" s="70">
        <v>0.53900000000000003</v>
      </c>
      <c r="AA176" s="70">
        <v>2.1000000000000001E-2</v>
      </c>
      <c r="AB176" s="464" t="s">
        <v>4230</v>
      </c>
      <c r="AC176" s="415">
        <f t="shared" si="2"/>
        <v>3.5714285714285712E-2</v>
      </c>
      <c r="AD176" s="226" t="e">
        <f ca="1">_xlfn.XLOOKUP(X176,'USEEIO metadata'!$C$2:$C$393,'USEEIO metadata'!$H$2:$H$393)</f>
        <v>#NAME?</v>
      </c>
      <c r="AE176" s="226" t="e">
        <f ca="1">_xlfn.XLOOKUP(X176,'USEEIO metadata'!$C$2:$C$393,'USEEIO metadata'!$F$2:$F$393)</f>
        <v>#NAME?</v>
      </c>
      <c r="AF176" s="226" t="e">
        <f ca="1">_xlfn.XLOOKUP(X176,'USEEIO metadata'!$C$2:$C$393,'USEEIO metadata'!$G$2:$G$393)</f>
        <v>#NAME?</v>
      </c>
    </row>
    <row r="177" spans="1:32">
      <c r="A177" t="str">
        <f>_xlfn.IFNA(IF(VLOOKUP(C177,'2016_Detail_Commodity_v1.0'!C:C,1,FALSE)=C177,"No change"),"Name changed")</f>
        <v>No change</v>
      </c>
      <c r="B177" t="s">
        <v>395</v>
      </c>
      <c r="C177" t="s">
        <v>396</v>
      </c>
      <c r="E177" t="s">
        <v>15</v>
      </c>
      <c r="F177" t="s">
        <v>16</v>
      </c>
      <c r="G177">
        <v>8.0000000000000002E-3</v>
      </c>
      <c r="H177" s="413">
        <f>G177*VLOOKUP(E177,GWPs!$B$3:$C$6,2,FALSE)</f>
        <v>8.0000000000000002E-3</v>
      </c>
      <c r="I177">
        <v>0</v>
      </c>
      <c r="J177" s="413">
        <f>I177*VLOOKUP(E177,GWPs!$B$3:$C$6,2,FALSE)</f>
        <v>0</v>
      </c>
      <c r="K177">
        <v>8.0000000000000002E-3</v>
      </c>
      <c r="L177" s="413">
        <f>K177*VLOOKUP(E177,GWPs!$B$3:$C$6,2,FALSE)</f>
        <v>8.0000000000000002E-3</v>
      </c>
      <c r="N177">
        <v>4</v>
      </c>
      <c r="O177">
        <v>2</v>
      </c>
      <c r="P177">
        <v>1</v>
      </c>
      <c r="Q177">
        <v>4</v>
      </c>
      <c r="R177">
        <v>1</v>
      </c>
      <c r="W177" s="226" t="s">
        <v>634</v>
      </c>
      <c r="X177" s="70" t="s">
        <v>633</v>
      </c>
      <c r="Y177" s="414">
        <v>0.251</v>
      </c>
      <c r="Z177" s="70">
        <v>0.10299999999999999</v>
      </c>
      <c r="AA177" s="70">
        <v>0.12</v>
      </c>
      <c r="AB177" s="464" t="s">
        <v>4230</v>
      </c>
      <c r="AC177" s="415">
        <f t="shared" si="2"/>
        <v>0.4780876494023904</v>
      </c>
      <c r="AD177" s="226" t="e">
        <f ca="1">_xlfn.XLOOKUP(X177,'USEEIO metadata'!$C$2:$C$393,'USEEIO metadata'!$H$2:$H$393)</f>
        <v>#NAME?</v>
      </c>
      <c r="AE177" s="226" t="e">
        <f ca="1">_xlfn.XLOOKUP(X177,'USEEIO metadata'!$C$2:$C$393,'USEEIO metadata'!$F$2:$F$393)</f>
        <v>#NAME?</v>
      </c>
      <c r="AF177" s="226" t="e">
        <f ca="1">_xlfn.XLOOKUP(X177,'USEEIO metadata'!$C$2:$C$393,'USEEIO metadata'!$G$2:$G$393)</f>
        <v>#NAME?</v>
      </c>
    </row>
    <row r="178" spans="1:32">
      <c r="A178" t="str">
        <f>_xlfn.IFNA(IF(VLOOKUP(C178,'2016_Detail_Commodity_v1.0'!C:C,1,FALSE)=C178,"No change"),"Name changed")</f>
        <v>No change</v>
      </c>
      <c r="B178" t="s">
        <v>397</v>
      </c>
      <c r="C178" t="s">
        <v>398</v>
      </c>
      <c r="E178" t="s">
        <v>3653</v>
      </c>
      <c r="F178" t="s">
        <v>12</v>
      </c>
      <c r="G178">
        <v>0.35</v>
      </c>
      <c r="H178" s="413">
        <f>G178*VLOOKUP(E178,GWPs!$B$3:$C$6,2,FALSE)</f>
        <v>0.35</v>
      </c>
      <c r="I178">
        <v>6.6000000000000003E-2</v>
      </c>
      <c r="J178" s="413">
        <f>I178*VLOOKUP(E178,GWPs!$B$3:$C$6,2,FALSE)</f>
        <v>6.6000000000000003E-2</v>
      </c>
      <c r="K178">
        <v>0.41599999999999998</v>
      </c>
      <c r="L178" s="413">
        <f>K178*VLOOKUP(E178,GWPs!$B$3:$C$6,2,FALSE)</f>
        <v>0.41599999999999998</v>
      </c>
      <c r="N178">
        <v>3</v>
      </c>
      <c r="O178">
        <v>2</v>
      </c>
      <c r="P178">
        <v>1</v>
      </c>
      <c r="Q178">
        <v>4</v>
      </c>
      <c r="R178">
        <v>1</v>
      </c>
      <c r="W178" s="226" t="s">
        <v>454</v>
      </c>
      <c r="X178" s="70" t="s">
        <v>453</v>
      </c>
      <c r="Y178" s="414">
        <v>0.28300000000000003</v>
      </c>
      <c r="Z178" s="70">
        <v>0.184</v>
      </c>
      <c r="AA178" s="70">
        <v>9.9000000000000005E-2</v>
      </c>
      <c r="AB178" s="464" t="s">
        <v>4230</v>
      </c>
      <c r="AC178" s="415">
        <f t="shared" si="2"/>
        <v>0.34982332155477031</v>
      </c>
      <c r="AD178" s="226" t="e">
        <f ca="1">_xlfn.XLOOKUP(X178,'USEEIO metadata'!$C$2:$C$393,'USEEIO metadata'!$H$2:$H$393)</f>
        <v>#NAME?</v>
      </c>
      <c r="AE178" s="226" t="e">
        <f ca="1">_xlfn.XLOOKUP(X178,'USEEIO metadata'!$C$2:$C$393,'USEEIO metadata'!$F$2:$F$393)</f>
        <v>#NAME?</v>
      </c>
      <c r="AF178" s="226" t="e">
        <f ca="1">_xlfn.XLOOKUP(X178,'USEEIO metadata'!$C$2:$C$393,'USEEIO metadata'!$G$2:$G$393)</f>
        <v>#NAME?</v>
      </c>
    </row>
    <row r="179" spans="1:32">
      <c r="A179" t="str">
        <f>_xlfn.IFNA(IF(VLOOKUP(C179,'2016_Detail_Commodity_v1.0'!C:C,1,FALSE)=C179,"No change"),"Name changed")</f>
        <v>No change</v>
      </c>
      <c r="B179" t="s">
        <v>397</v>
      </c>
      <c r="C179" t="s">
        <v>398</v>
      </c>
      <c r="E179" t="s">
        <v>3654</v>
      </c>
      <c r="F179" t="s">
        <v>12</v>
      </c>
      <c r="G179">
        <v>5.0000000000000001E-3</v>
      </c>
      <c r="H179" s="413">
        <f>G179*VLOOKUP(E179,GWPs!$B$3:$C$6,2,FALSE)</f>
        <v>0.14000000000000001</v>
      </c>
      <c r="I179">
        <v>0</v>
      </c>
      <c r="J179" s="413">
        <f>I179*VLOOKUP(E179,GWPs!$B$3:$C$6,2,FALSE)</f>
        <v>0</v>
      </c>
      <c r="K179">
        <v>5.0000000000000001E-3</v>
      </c>
      <c r="L179" s="413">
        <f>K179*VLOOKUP(E179,GWPs!$B$3:$C$6,2,FALSE)</f>
        <v>0.14000000000000001</v>
      </c>
      <c r="N179">
        <v>3</v>
      </c>
      <c r="O179">
        <v>2</v>
      </c>
      <c r="P179">
        <v>1</v>
      </c>
      <c r="Q179">
        <v>1</v>
      </c>
      <c r="R179">
        <v>1</v>
      </c>
      <c r="W179" s="226" t="s">
        <v>22</v>
      </c>
      <c r="X179" s="70" t="s">
        <v>964</v>
      </c>
      <c r="Y179" s="414">
        <v>6.0000000000000005E-2</v>
      </c>
      <c r="Z179" s="70">
        <v>6.0000000000000005E-2</v>
      </c>
      <c r="AA179" s="70">
        <v>0</v>
      </c>
      <c r="AB179" s="464" t="s">
        <v>4230</v>
      </c>
      <c r="AC179" s="415">
        <f t="shared" si="2"/>
        <v>0</v>
      </c>
      <c r="AD179" s="226" t="e">
        <f ca="1">_xlfn.XLOOKUP(X179,'USEEIO metadata'!$C$2:$C$393,'USEEIO metadata'!$H$2:$H$393)</f>
        <v>#NAME?</v>
      </c>
      <c r="AE179" s="226" t="e">
        <f ca="1">_xlfn.XLOOKUP(X179,'USEEIO metadata'!$C$2:$C$393,'USEEIO metadata'!$F$2:$F$393)</f>
        <v>#NAME?</v>
      </c>
      <c r="AF179" s="226" t="e">
        <f ca="1">_xlfn.XLOOKUP(X179,'USEEIO metadata'!$C$2:$C$393,'USEEIO metadata'!$G$2:$G$393)</f>
        <v>#NAME?</v>
      </c>
    </row>
    <row r="180" spans="1:32" ht="28.5">
      <c r="A180" t="str">
        <f>_xlfn.IFNA(IF(VLOOKUP(C180,'2016_Detail_Commodity_v1.0'!C:C,1,FALSE)=C180,"No change"),"Name changed")</f>
        <v>No change</v>
      </c>
      <c r="B180" t="s">
        <v>397</v>
      </c>
      <c r="C180" t="s">
        <v>398</v>
      </c>
      <c r="E180" t="s">
        <v>3655</v>
      </c>
      <c r="F180" t="s">
        <v>12</v>
      </c>
      <c r="G180">
        <v>1E-3</v>
      </c>
      <c r="H180" s="413">
        <f>G180*VLOOKUP(E180,GWPs!$B$3:$C$6,2,FALSE)</f>
        <v>0.26500000000000001</v>
      </c>
      <c r="I180">
        <v>0</v>
      </c>
      <c r="J180" s="413">
        <f>I180*VLOOKUP(E180,GWPs!$B$3:$C$6,2,FALSE)</f>
        <v>0</v>
      </c>
      <c r="K180">
        <v>1E-3</v>
      </c>
      <c r="L180" s="413">
        <f>K180*VLOOKUP(E180,GWPs!$B$3:$C$6,2,FALSE)</f>
        <v>0.26500000000000001</v>
      </c>
      <c r="N180">
        <v>4</v>
      </c>
      <c r="O180">
        <v>2</v>
      </c>
      <c r="P180">
        <v>1</v>
      </c>
      <c r="Q180">
        <v>4</v>
      </c>
      <c r="R180">
        <v>1</v>
      </c>
      <c r="W180" s="226" t="s">
        <v>963</v>
      </c>
      <c r="X180" s="70" t="s">
        <v>962</v>
      </c>
      <c r="Y180" s="414">
        <v>5.8000000000000003E-2</v>
      </c>
      <c r="Z180" s="70">
        <v>5.8000000000000003E-2</v>
      </c>
      <c r="AA180" s="70">
        <v>0</v>
      </c>
      <c r="AB180" s="464" t="s">
        <v>4230</v>
      </c>
      <c r="AC180" s="415">
        <f t="shared" si="2"/>
        <v>0</v>
      </c>
      <c r="AD180" s="226" t="e">
        <f ca="1">_xlfn.XLOOKUP(X180,'USEEIO metadata'!$C$2:$C$393,'USEEIO metadata'!$H$2:$H$393)</f>
        <v>#NAME?</v>
      </c>
      <c r="AE180" s="226" t="e">
        <f ca="1">_xlfn.XLOOKUP(X180,'USEEIO metadata'!$C$2:$C$393,'USEEIO metadata'!$F$2:$F$393)</f>
        <v>#NAME?</v>
      </c>
      <c r="AF180" s="226" t="e">
        <f ca="1">_xlfn.XLOOKUP(X180,'USEEIO metadata'!$C$2:$C$393,'USEEIO metadata'!$G$2:$G$393)</f>
        <v>#NAME?</v>
      </c>
    </row>
    <row r="181" spans="1:32" ht="28.5">
      <c r="A181" t="str">
        <f>_xlfn.IFNA(IF(VLOOKUP(C181,'2016_Detail_Commodity_v1.0'!C:C,1,FALSE)=C181,"No change"),"Name changed")</f>
        <v>No change</v>
      </c>
      <c r="B181" t="s">
        <v>397</v>
      </c>
      <c r="C181" t="s">
        <v>398</v>
      </c>
      <c r="E181" t="s">
        <v>15</v>
      </c>
      <c r="F181" t="s">
        <v>16</v>
      </c>
      <c r="G181">
        <v>7.0000000000000001E-3</v>
      </c>
      <c r="H181" s="413">
        <f>G181*VLOOKUP(E181,GWPs!$B$3:$C$6,2,FALSE)</f>
        <v>7.0000000000000001E-3</v>
      </c>
      <c r="I181">
        <v>0</v>
      </c>
      <c r="J181" s="413">
        <f>I181*VLOOKUP(E181,GWPs!$B$3:$C$6,2,FALSE)</f>
        <v>0</v>
      </c>
      <c r="K181">
        <v>7.0000000000000001E-3</v>
      </c>
      <c r="L181" s="413">
        <f>K181*VLOOKUP(E181,GWPs!$B$3:$C$6,2,FALSE)</f>
        <v>7.0000000000000001E-3</v>
      </c>
      <c r="N181">
        <v>4</v>
      </c>
      <c r="O181">
        <v>2</v>
      </c>
      <c r="P181">
        <v>1</v>
      </c>
      <c r="Q181">
        <v>4</v>
      </c>
      <c r="R181">
        <v>1</v>
      </c>
      <c r="W181" s="226" t="s">
        <v>1399</v>
      </c>
      <c r="X181" s="70" t="s">
        <v>593</v>
      </c>
      <c r="Y181" s="414">
        <v>0.46</v>
      </c>
      <c r="Z181" s="70">
        <v>0.39700000000000002</v>
      </c>
      <c r="AA181" s="70">
        <v>3.5000000000000003E-2</v>
      </c>
      <c r="AB181" s="464" t="s">
        <v>4230</v>
      </c>
      <c r="AC181" s="415">
        <f t="shared" si="2"/>
        <v>7.6086956521739135E-2</v>
      </c>
      <c r="AD181" s="226" t="e">
        <f ca="1">_xlfn.XLOOKUP(X181,'USEEIO metadata'!$C$2:$C$393,'USEEIO metadata'!$H$2:$H$393)</f>
        <v>#NAME?</v>
      </c>
      <c r="AE181" s="226" t="e">
        <f ca="1">_xlfn.XLOOKUP(X181,'USEEIO metadata'!$C$2:$C$393,'USEEIO metadata'!$F$2:$F$393)</f>
        <v>#NAME?</v>
      </c>
      <c r="AF181" s="226" t="e">
        <f ca="1">_xlfn.XLOOKUP(X181,'USEEIO metadata'!$C$2:$C$393,'USEEIO metadata'!$G$2:$G$393)</f>
        <v>#NAME?</v>
      </c>
    </row>
    <row r="182" spans="1:32">
      <c r="A182" t="str">
        <f>_xlfn.IFNA(IF(VLOOKUP(C182,'2016_Detail_Commodity_v1.0'!C:C,1,FALSE)=C182,"No change"),"Name changed")</f>
        <v>No change</v>
      </c>
      <c r="B182" t="s">
        <v>399</v>
      </c>
      <c r="C182" t="s">
        <v>400</v>
      </c>
      <c r="E182" t="s">
        <v>3653</v>
      </c>
      <c r="F182" t="s">
        <v>12</v>
      </c>
      <c r="G182">
        <v>0.312</v>
      </c>
      <c r="H182" s="413">
        <f>G182*VLOOKUP(E182,GWPs!$B$3:$C$6,2,FALSE)</f>
        <v>0.312</v>
      </c>
      <c r="I182">
        <v>6.0999999999999999E-2</v>
      </c>
      <c r="J182" s="413">
        <f>I182*VLOOKUP(E182,GWPs!$B$3:$C$6,2,FALSE)</f>
        <v>6.0999999999999999E-2</v>
      </c>
      <c r="K182">
        <v>0.373</v>
      </c>
      <c r="L182" s="413">
        <f>K182*VLOOKUP(E182,GWPs!$B$3:$C$6,2,FALSE)</f>
        <v>0.373</v>
      </c>
      <c r="N182">
        <v>3</v>
      </c>
      <c r="O182">
        <v>2</v>
      </c>
      <c r="P182">
        <v>1</v>
      </c>
      <c r="Q182">
        <v>4</v>
      </c>
      <c r="R182">
        <v>1</v>
      </c>
      <c r="W182" s="226" t="s">
        <v>728</v>
      </c>
      <c r="X182" s="70" t="s">
        <v>727</v>
      </c>
      <c r="Y182" s="414">
        <v>0.36100000000000004</v>
      </c>
      <c r="Z182" s="70">
        <v>0.26500000000000001</v>
      </c>
      <c r="AA182" s="70">
        <v>9.6000000000000002E-2</v>
      </c>
      <c r="AB182" s="464" t="s">
        <v>4230</v>
      </c>
      <c r="AC182" s="415">
        <f t="shared" si="2"/>
        <v>0.26592797783933514</v>
      </c>
      <c r="AD182" s="226" t="e">
        <f ca="1">_xlfn.XLOOKUP(X182,'USEEIO metadata'!$C$2:$C$393,'USEEIO metadata'!$H$2:$H$393)</f>
        <v>#NAME?</v>
      </c>
      <c r="AE182" s="226" t="e">
        <f ca="1">_xlfn.XLOOKUP(X182,'USEEIO metadata'!$C$2:$C$393,'USEEIO metadata'!$F$2:$F$393)</f>
        <v>#NAME?</v>
      </c>
      <c r="AF182" s="226" t="e">
        <f ca="1">_xlfn.XLOOKUP(X182,'USEEIO metadata'!$C$2:$C$393,'USEEIO metadata'!$G$2:$G$393)</f>
        <v>#NAME?</v>
      </c>
    </row>
    <row r="183" spans="1:32">
      <c r="A183" t="str">
        <f>_xlfn.IFNA(IF(VLOOKUP(C183,'2016_Detail_Commodity_v1.0'!C:C,1,FALSE)=C183,"No change"),"Name changed")</f>
        <v>No change</v>
      </c>
      <c r="B183" t="s">
        <v>399</v>
      </c>
      <c r="C183" t="s">
        <v>400</v>
      </c>
      <c r="E183" t="s">
        <v>3654</v>
      </c>
      <c r="F183" t="s">
        <v>12</v>
      </c>
      <c r="G183">
        <v>5.0000000000000001E-3</v>
      </c>
      <c r="H183" s="413">
        <f>G183*VLOOKUP(E183,GWPs!$B$3:$C$6,2,FALSE)</f>
        <v>0.14000000000000001</v>
      </c>
      <c r="I183">
        <v>0</v>
      </c>
      <c r="J183" s="413">
        <f>I183*VLOOKUP(E183,GWPs!$B$3:$C$6,2,FALSE)</f>
        <v>0</v>
      </c>
      <c r="K183">
        <v>5.0000000000000001E-3</v>
      </c>
      <c r="L183" s="413">
        <f>K183*VLOOKUP(E183,GWPs!$B$3:$C$6,2,FALSE)</f>
        <v>0.14000000000000001</v>
      </c>
      <c r="N183">
        <v>3</v>
      </c>
      <c r="O183">
        <v>2</v>
      </c>
      <c r="P183">
        <v>1</v>
      </c>
      <c r="Q183">
        <v>1</v>
      </c>
      <c r="R183">
        <v>1</v>
      </c>
      <c r="W183" s="226" t="s">
        <v>730</v>
      </c>
      <c r="X183" s="70" t="s">
        <v>729</v>
      </c>
      <c r="Y183" s="414">
        <v>0.29600000000000004</v>
      </c>
      <c r="Z183" s="70">
        <v>0.20200000000000001</v>
      </c>
      <c r="AA183" s="70">
        <v>0.121</v>
      </c>
      <c r="AB183" s="464" t="s">
        <v>4230</v>
      </c>
      <c r="AC183" s="415">
        <f t="shared" si="2"/>
        <v>0.40878378378378372</v>
      </c>
      <c r="AD183" s="226" t="e">
        <f ca="1">_xlfn.XLOOKUP(X183,'USEEIO metadata'!$C$2:$C$393,'USEEIO metadata'!$H$2:$H$393)</f>
        <v>#NAME?</v>
      </c>
      <c r="AE183" s="226" t="e">
        <f ca="1">_xlfn.XLOOKUP(X183,'USEEIO metadata'!$C$2:$C$393,'USEEIO metadata'!$F$2:$F$393)</f>
        <v>#NAME?</v>
      </c>
      <c r="AF183" s="226" t="e">
        <f ca="1">_xlfn.XLOOKUP(X183,'USEEIO metadata'!$C$2:$C$393,'USEEIO metadata'!$G$2:$G$393)</f>
        <v>#NAME?</v>
      </c>
    </row>
    <row r="184" spans="1:32" ht="28.5">
      <c r="A184" t="str">
        <f>_xlfn.IFNA(IF(VLOOKUP(C184,'2016_Detail_Commodity_v1.0'!C:C,1,FALSE)=C184,"No change"),"Name changed")</f>
        <v>No change</v>
      </c>
      <c r="B184" t="s">
        <v>399</v>
      </c>
      <c r="C184" t="s">
        <v>400</v>
      </c>
      <c r="E184" t="s">
        <v>3655</v>
      </c>
      <c r="F184" t="s">
        <v>12</v>
      </c>
      <c r="G184">
        <v>0</v>
      </c>
      <c r="H184" s="413">
        <f>G184*VLOOKUP(E184,GWPs!$B$3:$C$6,2,FALSE)</f>
        <v>0</v>
      </c>
      <c r="I184">
        <v>0</v>
      </c>
      <c r="J184" s="413">
        <f>I184*VLOOKUP(E184,GWPs!$B$3:$C$6,2,FALSE)</f>
        <v>0</v>
      </c>
      <c r="K184">
        <v>0</v>
      </c>
      <c r="L184" s="413">
        <f>K184*VLOOKUP(E184,GWPs!$B$3:$C$6,2,FALSE)</f>
        <v>0</v>
      </c>
      <c r="N184">
        <v>4</v>
      </c>
      <c r="O184">
        <v>2</v>
      </c>
      <c r="P184">
        <v>1</v>
      </c>
      <c r="Q184">
        <v>4</v>
      </c>
      <c r="R184">
        <v>1</v>
      </c>
      <c r="W184" s="226" t="s">
        <v>608</v>
      </c>
      <c r="X184" s="70" t="s">
        <v>607</v>
      </c>
      <c r="Y184" s="414">
        <v>0.64700000000000013</v>
      </c>
      <c r="Z184" s="70">
        <v>0.62200000000000011</v>
      </c>
      <c r="AA184" s="70">
        <v>2.5000000000000001E-2</v>
      </c>
      <c r="AB184" s="464" t="s">
        <v>4230</v>
      </c>
      <c r="AC184" s="415">
        <f t="shared" si="2"/>
        <v>3.8639876352395665E-2</v>
      </c>
      <c r="AD184" s="226" t="e">
        <f ca="1">_xlfn.XLOOKUP(X184,'USEEIO metadata'!$C$2:$C$393,'USEEIO metadata'!$H$2:$H$393)</f>
        <v>#NAME?</v>
      </c>
      <c r="AE184" s="226" t="e">
        <f ca="1">_xlfn.XLOOKUP(X184,'USEEIO metadata'!$C$2:$C$393,'USEEIO metadata'!$F$2:$F$393)</f>
        <v>#NAME?</v>
      </c>
      <c r="AF184" s="226" t="e">
        <f ca="1">_xlfn.XLOOKUP(X184,'USEEIO metadata'!$C$2:$C$393,'USEEIO metadata'!$G$2:$G$393)</f>
        <v>#NAME?</v>
      </c>
    </row>
    <row r="185" spans="1:32">
      <c r="A185" t="str">
        <f>_xlfn.IFNA(IF(VLOOKUP(C185,'2016_Detail_Commodity_v1.0'!C:C,1,FALSE)=C185,"No change"),"Name changed")</f>
        <v>No change</v>
      </c>
      <c r="B185" t="s">
        <v>399</v>
      </c>
      <c r="C185" t="s">
        <v>400</v>
      </c>
      <c r="E185" t="s">
        <v>15</v>
      </c>
      <c r="F185" t="s">
        <v>16</v>
      </c>
      <c r="G185">
        <v>4.2999999999999997E-2</v>
      </c>
      <c r="H185" s="413">
        <f>G185*VLOOKUP(E185,GWPs!$B$3:$C$6,2,FALSE)</f>
        <v>4.2999999999999997E-2</v>
      </c>
      <c r="I185">
        <v>0</v>
      </c>
      <c r="J185" s="413">
        <f>I185*VLOOKUP(E185,GWPs!$B$3:$C$6,2,FALSE)</f>
        <v>0</v>
      </c>
      <c r="K185">
        <v>4.2999999999999997E-2</v>
      </c>
      <c r="L185" s="413">
        <f>K185*VLOOKUP(E185,GWPs!$B$3:$C$6,2,FALSE)</f>
        <v>4.2999999999999997E-2</v>
      </c>
      <c r="N185">
        <v>4</v>
      </c>
      <c r="O185">
        <v>2</v>
      </c>
      <c r="P185">
        <v>1</v>
      </c>
      <c r="Q185">
        <v>5</v>
      </c>
      <c r="R185">
        <v>1</v>
      </c>
      <c r="W185" s="226" t="s">
        <v>562</v>
      </c>
      <c r="X185" s="70" t="s">
        <v>561</v>
      </c>
      <c r="Y185" s="414">
        <v>2.1270000000000002</v>
      </c>
      <c r="Z185" s="70">
        <v>2.0249999999999999</v>
      </c>
      <c r="AA185" s="70">
        <v>0.10099999999999999</v>
      </c>
      <c r="AB185" s="464" t="s">
        <v>4230</v>
      </c>
      <c r="AC185" s="415">
        <f t="shared" si="2"/>
        <v>4.7484720263281606E-2</v>
      </c>
      <c r="AD185" s="226" t="e">
        <f ca="1">_xlfn.XLOOKUP(X185,'USEEIO metadata'!$C$2:$C$393,'USEEIO metadata'!$H$2:$H$393)</f>
        <v>#NAME?</v>
      </c>
      <c r="AE185" s="226" t="e">
        <f ca="1">_xlfn.XLOOKUP(X185,'USEEIO metadata'!$C$2:$C$393,'USEEIO metadata'!$F$2:$F$393)</f>
        <v>#NAME?</v>
      </c>
      <c r="AF185" s="226" t="e">
        <f ca="1">_xlfn.XLOOKUP(X185,'USEEIO metadata'!$C$2:$C$393,'USEEIO metadata'!$G$2:$G$393)</f>
        <v>#NAME?</v>
      </c>
    </row>
    <row r="186" spans="1:32">
      <c r="A186" t="str">
        <f>_xlfn.IFNA(IF(VLOOKUP(C186,'2016_Detail_Commodity_v1.0'!C:C,1,FALSE)=C186,"No change"),"Name changed")</f>
        <v>No change</v>
      </c>
      <c r="B186" t="s">
        <v>401</v>
      </c>
      <c r="C186" t="s">
        <v>402</v>
      </c>
      <c r="E186" t="s">
        <v>3653</v>
      </c>
      <c r="F186" t="s">
        <v>12</v>
      </c>
      <c r="G186">
        <v>0.40500000000000003</v>
      </c>
      <c r="H186" s="413">
        <f>G186*VLOOKUP(E186,GWPs!$B$3:$C$6,2,FALSE)</f>
        <v>0.40500000000000003</v>
      </c>
      <c r="I186">
        <v>0.05</v>
      </c>
      <c r="J186" s="413">
        <f>I186*VLOOKUP(E186,GWPs!$B$3:$C$6,2,FALSE)</f>
        <v>0.05</v>
      </c>
      <c r="K186">
        <v>0.45500000000000002</v>
      </c>
      <c r="L186" s="413">
        <f>K186*VLOOKUP(E186,GWPs!$B$3:$C$6,2,FALSE)</f>
        <v>0.45500000000000002</v>
      </c>
      <c r="N186">
        <v>3</v>
      </c>
      <c r="O186">
        <v>2</v>
      </c>
      <c r="P186">
        <v>1</v>
      </c>
      <c r="Q186">
        <v>4</v>
      </c>
      <c r="R186">
        <v>1</v>
      </c>
      <c r="W186" s="226" t="s">
        <v>1063</v>
      </c>
      <c r="X186" s="70" t="s">
        <v>1062</v>
      </c>
      <c r="Y186" s="414">
        <v>0.34600000000000003</v>
      </c>
      <c r="Z186" s="70">
        <v>0.34600000000000003</v>
      </c>
      <c r="AA186" s="70">
        <v>0</v>
      </c>
      <c r="AB186" s="464" t="s">
        <v>4230</v>
      </c>
      <c r="AC186" s="415">
        <f t="shared" si="2"/>
        <v>0</v>
      </c>
      <c r="AD186" s="226" t="e">
        <f ca="1">_xlfn.XLOOKUP(X186,'USEEIO metadata'!$C$2:$C$393,'USEEIO metadata'!$H$2:$H$393)</f>
        <v>#NAME?</v>
      </c>
      <c r="AE186" s="226" t="e">
        <f ca="1">_xlfn.XLOOKUP(X186,'USEEIO metadata'!$C$2:$C$393,'USEEIO metadata'!$F$2:$F$393)</f>
        <v>#NAME?</v>
      </c>
      <c r="AF186" s="226" t="e">
        <f ca="1">_xlfn.XLOOKUP(X186,'USEEIO metadata'!$C$2:$C$393,'USEEIO metadata'!$G$2:$G$393)</f>
        <v>#NAME?</v>
      </c>
    </row>
    <row r="187" spans="1:32">
      <c r="A187" t="str">
        <f>_xlfn.IFNA(IF(VLOOKUP(C187,'2016_Detail_Commodity_v1.0'!C:C,1,FALSE)=C187,"No change"),"Name changed")</f>
        <v>No change</v>
      </c>
      <c r="B187" t="s">
        <v>401</v>
      </c>
      <c r="C187" t="s">
        <v>402</v>
      </c>
      <c r="E187" t="s">
        <v>3654</v>
      </c>
      <c r="F187" t="s">
        <v>12</v>
      </c>
      <c r="G187">
        <v>3.3000000000000002E-2</v>
      </c>
      <c r="H187" s="413">
        <f>G187*VLOOKUP(E187,GWPs!$B$3:$C$6,2,FALSE)</f>
        <v>0.92400000000000004</v>
      </c>
      <c r="I187">
        <v>0</v>
      </c>
      <c r="J187" s="413">
        <f>I187*VLOOKUP(E187,GWPs!$B$3:$C$6,2,FALSE)</f>
        <v>0</v>
      </c>
      <c r="K187">
        <v>3.3000000000000002E-2</v>
      </c>
      <c r="L187" s="413">
        <f>K187*VLOOKUP(E187,GWPs!$B$3:$C$6,2,FALSE)</f>
        <v>0.92400000000000004</v>
      </c>
      <c r="N187">
        <v>3</v>
      </c>
      <c r="O187">
        <v>2</v>
      </c>
      <c r="P187">
        <v>1</v>
      </c>
      <c r="Q187">
        <v>1</v>
      </c>
      <c r="R187">
        <v>1</v>
      </c>
      <c r="W187" s="226" t="s">
        <v>456</v>
      </c>
      <c r="X187" s="70" t="s">
        <v>455</v>
      </c>
      <c r="Y187" s="414">
        <v>0.31500000000000006</v>
      </c>
      <c r="Z187" s="70">
        <v>0.27</v>
      </c>
      <c r="AA187" s="70">
        <v>4.4999999999999998E-2</v>
      </c>
      <c r="AB187" s="464" t="s">
        <v>4230</v>
      </c>
      <c r="AC187" s="415">
        <f t="shared" si="2"/>
        <v>0.14285714285714282</v>
      </c>
      <c r="AD187" s="226" t="e">
        <f ca="1">_xlfn.XLOOKUP(X187,'USEEIO metadata'!$C$2:$C$393,'USEEIO metadata'!$H$2:$H$393)</f>
        <v>#NAME?</v>
      </c>
      <c r="AE187" s="226" t="e">
        <f ca="1">_xlfn.XLOOKUP(X187,'USEEIO metadata'!$C$2:$C$393,'USEEIO metadata'!$F$2:$F$393)</f>
        <v>#NAME?</v>
      </c>
      <c r="AF187" s="226" t="e">
        <f ca="1">_xlfn.XLOOKUP(X187,'USEEIO metadata'!$C$2:$C$393,'USEEIO metadata'!$G$2:$G$393)</f>
        <v>#NAME?</v>
      </c>
    </row>
    <row r="188" spans="1:32">
      <c r="A188" t="str">
        <f>_xlfn.IFNA(IF(VLOOKUP(C188,'2016_Detail_Commodity_v1.0'!C:C,1,FALSE)=C188,"No change"),"Name changed")</f>
        <v>No change</v>
      </c>
      <c r="B188" t="s">
        <v>401</v>
      </c>
      <c r="C188" t="s">
        <v>402</v>
      </c>
      <c r="E188" t="s">
        <v>3655</v>
      </c>
      <c r="F188" t="s">
        <v>12</v>
      </c>
      <c r="G188">
        <v>1E-3</v>
      </c>
      <c r="H188" s="413">
        <f>G188*VLOOKUP(E188,GWPs!$B$3:$C$6,2,FALSE)</f>
        <v>0.26500000000000001</v>
      </c>
      <c r="I188">
        <v>0</v>
      </c>
      <c r="J188" s="413">
        <f>I188*VLOOKUP(E188,GWPs!$B$3:$C$6,2,FALSE)</f>
        <v>0</v>
      </c>
      <c r="K188">
        <v>1E-3</v>
      </c>
      <c r="L188" s="413">
        <f>K188*VLOOKUP(E188,GWPs!$B$3:$C$6,2,FALSE)</f>
        <v>0.26500000000000001</v>
      </c>
      <c r="N188">
        <v>4</v>
      </c>
      <c r="O188">
        <v>2</v>
      </c>
      <c r="P188">
        <v>1</v>
      </c>
      <c r="Q188">
        <v>3</v>
      </c>
      <c r="R188">
        <v>1</v>
      </c>
      <c r="W188" s="226" t="s">
        <v>614</v>
      </c>
      <c r="X188" s="70" t="s">
        <v>613</v>
      </c>
      <c r="Y188" s="414">
        <v>0.32200000000000001</v>
      </c>
      <c r="Z188" s="70">
        <v>0.30600000000000005</v>
      </c>
      <c r="AA188" s="70">
        <v>1.6E-2</v>
      </c>
      <c r="AB188" s="464" t="s">
        <v>4230</v>
      </c>
      <c r="AC188" s="415">
        <f t="shared" si="2"/>
        <v>4.9689440993788817E-2</v>
      </c>
      <c r="AD188" s="226" t="e">
        <f ca="1">_xlfn.XLOOKUP(X188,'USEEIO metadata'!$C$2:$C$393,'USEEIO metadata'!$H$2:$H$393)</f>
        <v>#NAME?</v>
      </c>
      <c r="AE188" s="226" t="e">
        <f ca="1">_xlfn.XLOOKUP(X188,'USEEIO metadata'!$C$2:$C$393,'USEEIO metadata'!$F$2:$F$393)</f>
        <v>#NAME?</v>
      </c>
      <c r="AF188" s="226" t="e">
        <f ca="1">_xlfn.XLOOKUP(X188,'USEEIO metadata'!$C$2:$C$393,'USEEIO metadata'!$G$2:$G$393)</f>
        <v>#NAME?</v>
      </c>
    </row>
    <row r="189" spans="1:32" ht="42.75">
      <c r="A189" t="str">
        <f>_xlfn.IFNA(IF(VLOOKUP(C189,'2016_Detail_Commodity_v1.0'!C:C,1,FALSE)=C189,"No change"),"Name changed")</f>
        <v>No change</v>
      </c>
      <c r="B189" t="s">
        <v>401</v>
      </c>
      <c r="C189" t="s">
        <v>402</v>
      </c>
      <c r="E189" t="s">
        <v>15</v>
      </c>
      <c r="F189" t="s">
        <v>16</v>
      </c>
      <c r="G189">
        <v>7.0000000000000001E-3</v>
      </c>
      <c r="H189" s="413">
        <f>G189*VLOOKUP(E189,GWPs!$B$3:$C$6,2,FALSE)</f>
        <v>7.0000000000000001E-3</v>
      </c>
      <c r="I189">
        <v>0</v>
      </c>
      <c r="J189" s="413">
        <f>I189*VLOOKUP(E189,GWPs!$B$3:$C$6,2,FALSE)</f>
        <v>0</v>
      </c>
      <c r="K189">
        <v>7.0000000000000001E-3</v>
      </c>
      <c r="L189" s="413">
        <f>K189*VLOOKUP(E189,GWPs!$B$3:$C$6,2,FALSE)</f>
        <v>7.0000000000000001E-3</v>
      </c>
      <c r="N189">
        <v>4</v>
      </c>
      <c r="O189">
        <v>2</v>
      </c>
      <c r="P189">
        <v>1</v>
      </c>
      <c r="Q189">
        <v>4</v>
      </c>
      <c r="R189">
        <v>1</v>
      </c>
      <c r="W189" s="226" t="s">
        <v>642</v>
      </c>
      <c r="X189" s="70" t="s">
        <v>641</v>
      </c>
      <c r="Y189" s="414">
        <v>0.247</v>
      </c>
      <c r="Z189" s="70">
        <v>0.218</v>
      </c>
      <c r="AA189" s="70">
        <v>0.03</v>
      </c>
      <c r="AB189" s="464" t="s">
        <v>4230</v>
      </c>
      <c r="AC189" s="415">
        <f t="shared" si="2"/>
        <v>0.1214574898785425</v>
      </c>
      <c r="AD189" s="226" t="e">
        <f ca="1">_xlfn.XLOOKUP(X189,'USEEIO metadata'!$C$2:$C$393,'USEEIO metadata'!$H$2:$H$393)</f>
        <v>#NAME?</v>
      </c>
      <c r="AE189" s="226" t="e">
        <f ca="1">_xlfn.XLOOKUP(X189,'USEEIO metadata'!$C$2:$C$393,'USEEIO metadata'!$F$2:$F$393)</f>
        <v>#NAME?</v>
      </c>
      <c r="AF189" s="226" t="e">
        <f ca="1">_xlfn.XLOOKUP(X189,'USEEIO metadata'!$C$2:$C$393,'USEEIO metadata'!$G$2:$G$393)</f>
        <v>#NAME?</v>
      </c>
    </row>
    <row r="190" spans="1:32" ht="28.5">
      <c r="A190" t="str">
        <f>_xlfn.IFNA(IF(VLOOKUP(C190,'2016_Detail_Commodity_v1.0'!C:C,1,FALSE)=C190,"No change"),"Name changed")</f>
        <v>No change</v>
      </c>
      <c r="B190" t="s">
        <v>403</v>
      </c>
      <c r="C190" t="s">
        <v>404</v>
      </c>
      <c r="E190" t="s">
        <v>3653</v>
      </c>
      <c r="F190" t="s">
        <v>12</v>
      </c>
      <c r="G190">
        <v>0.38400000000000001</v>
      </c>
      <c r="H190" s="413">
        <f>G190*VLOOKUP(E190,GWPs!$B$3:$C$6,2,FALSE)</f>
        <v>0.38400000000000001</v>
      </c>
      <c r="I190">
        <v>5.5E-2</v>
      </c>
      <c r="J190" s="413">
        <f>I190*VLOOKUP(E190,GWPs!$B$3:$C$6,2,FALSE)</f>
        <v>5.5E-2</v>
      </c>
      <c r="K190">
        <v>0.439</v>
      </c>
      <c r="L190" s="413">
        <f>K190*VLOOKUP(E190,GWPs!$B$3:$C$6,2,FALSE)</f>
        <v>0.439</v>
      </c>
      <c r="N190">
        <v>3</v>
      </c>
      <c r="O190">
        <v>2</v>
      </c>
      <c r="P190">
        <v>1</v>
      </c>
      <c r="Q190">
        <v>4</v>
      </c>
      <c r="R190">
        <v>1</v>
      </c>
      <c r="W190" s="226" t="s">
        <v>856</v>
      </c>
      <c r="X190" s="70" t="s">
        <v>855</v>
      </c>
      <c r="Y190" s="414">
        <v>0.129</v>
      </c>
      <c r="Z190" s="70">
        <v>0.129</v>
      </c>
      <c r="AA190" s="70">
        <v>0</v>
      </c>
      <c r="AB190" s="464" t="s">
        <v>4230</v>
      </c>
      <c r="AC190" s="415">
        <f t="shared" si="2"/>
        <v>0</v>
      </c>
      <c r="AD190" s="226" t="e">
        <f ca="1">_xlfn.XLOOKUP(X190,'USEEIO metadata'!$C$2:$C$393,'USEEIO metadata'!$H$2:$H$393)</f>
        <v>#NAME?</v>
      </c>
      <c r="AE190" s="226" t="e">
        <f ca="1">_xlfn.XLOOKUP(X190,'USEEIO metadata'!$C$2:$C$393,'USEEIO metadata'!$F$2:$F$393)</f>
        <v>#NAME?</v>
      </c>
      <c r="AF190" s="226" t="e">
        <f ca="1">_xlfn.XLOOKUP(X190,'USEEIO metadata'!$C$2:$C$393,'USEEIO metadata'!$G$2:$G$393)</f>
        <v>#NAME?</v>
      </c>
    </row>
    <row r="191" spans="1:32">
      <c r="A191" t="str">
        <f>_xlfn.IFNA(IF(VLOOKUP(C191,'2016_Detail_Commodity_v1.0'!C:C,1,FALSE)=C191,"No change"),"Name changed")</f>
        <v>No change</v>
      </c>
      <c r="B191" t="s">
        <v>403</v>
      </c>
      <c r="C191" t="s">
        <v>404</v>
      </c>
      <c r="E191" t="s">
        <v>3654</v>
      </c>
      <c r="F191" t="s">
        <v>12</v>
      </c>
      <c r="G191">
        <v>2.1999999999999999E-2</v>
      </c>
      <c r="H191" s="413">
        <f>G191*VLOOKUP(E191,GWPs!$B$3:$C$6,2,FALSE)</f>
        <v>0.61599999999999999</v>
      </c>
      <c r="I191">
        <v>0</v>
      </c>
      <c r="J191" s="413">
        <f>I191*VLOOKUP(E191,GWPs!$B$3:$C$6,2,FALSE)</f>
        <v>0</v>
      </c>
      <c r="K191">
        <v>2.3E-2</v>
      </c>
      <c r="L191" s="413">
        <f>K191*VLOOKUP(E191,GWPs!$B$3:$C$6,2,FALSE)</f>
        <v>0.64400000000000002</v>
      </c>
      <c r="N191">
        <v>3</v>
      </c>
      <c r="O191">
        <v>2</v>
      </c>
      <c r="P191">
        <v>1</v>
      </c>
      <c r="Q191">
        <v>1</v>
      </c>
      <c r="R191">
        <v>1</v>
      </c>
      <c r="W191" s="226" t="s">
        <v>908</v>
      </c>
      <c r="X191" s="70" t="s">
        <v>907</v>
      </c>
      <c r="Y191" s="414">
        <v>0.159</v>
      </c>
      <c r="Z191" s="70">
        <v>8.3000000000000004E-2</v>
      </c>
      <c r="AA191" s="70">
        <v>4.8000000000000001E-2</v>
      </c>
      <c r="AB191" s="464" t="s">
        <v>4231</v>
      </c>
      <c r="AC191" s="415">
        <f t="shared" si="2"/>
        <v>0.30188679245283018</v>
      </c>
      <c r="AD191" s="226" t="e">
        <f ca="1">_xlfn.XLOOKUP(X191,'USEEIO metadata'!$C$2:$C$393,'USEEIO metadata'!$H$2:$H$393)</f>
        <v>#NAME?</v>
      </c>
      <c r="AE191" s="226" t="e">
        <f ca="1">_xlfn.XLOOKUP(X191,'USEEIO metadata'!$C$2:$C$393,'USEEIO metadata'!$F$2:$F$393)</f>
        <v>#NAME?</v>
      </c>
      <c r="AF191" s="226" t="e">
        <f ca="1">_xlfn.XLOOKUP(X191,'USEEIO metadata'!$C$2:$C$393,'USEEIO metadata'!$G$2:$G$393)</f>
        <v>#NAME?</v>
      </c>
    </row>
    <row r="192" spans="1:32" ht="42.75">
      <c r="A192" t="str">
        <f>_xlfn.IFNA(IF(VLOOKUP(C192,'2016_Detail_Commodity_v1.0'!C:C,1,FALSE)=C192,"No change"),"Name changed")</f>
        <v>No change</v>
      </c>
      <c r="B192" t="s">
        <v>403</v>
      </c>
      <c r="C192" t="s">
        <v>404</v>
      </c>
      <c r="E192" t="s">
        <v>3655</v>
      </c>
      <c r="F192" t="s">
        <v>12</v>
      </c>
      <c r="G192">
        <v>1E-3</v>
      </c>
      <c r="H192" s="413">
        <f>G192*VLOOKUP(E192,GWPs!$B$3:$C$6,2,FALSE)</f>
        <v>0.26500000000000001</v>
      </c>
      <c r="I192">
        <v>0</v>
      </c>
      <c r="J192" s="413">
        <f>I192*VLOOKUP(E192,GWPs!$B$3:$C$6,2,FALSE)</f>
        <v>0</v>
      </c>
      <c r="K192">
        <v>1E-3</v>
      </c>
      <c r="L192" s="413">
        <f>K192*VLOOKUP(E192,GWPs!$B$3:$C$6,2,FALSE)</f>
        <v>0.26500000000000001</v>
      </c>
      <c r="N192">
        <v>4</v>
      </c>
      <c r="O192">
        <v>2</v>
      </c>
      <c r="P192">
        <v>1</v>
      </c>
      <c r="Q192">
        <v>3</v>
      </c>
      <c r="R192">
        <v>1</v>
      </c>
      <c r="W192" s="226" t="s">
        <v>740</v>
      </c>
      <c r="X192" s="70" t="s">
        <v>739</v>
      </c>
      <c r="Y192" s="414">
        <v>0.24399999999999999</v>
      </c>
      <c r="Z192" s="70">
        <v>0.19500000000000001</v>
      </c>
      <c r="AA192" s="70">
        <v>0.05</v>
      </c>
      <c r="AB192" s="464" t="s">
        <v>4230</v>
      </c>
      <c r="AC192" s="415">
        <f t="shared" si="2"/>
        <v>0.20491803278688525</v>
      </c>
      <c r="AD192" s="226" t="e">
        <f ca="1">_xlfn.XLOOKUP(X192,'USEEIO metadata'!$C$2:$C$393,'USEEIO metadata'!$H$2:$H$393)</f>
        <v>#NAME?</v>
      </c>
      <c r="AE192" s="226" t="e">
        <f ca="1">_xlfn.XLOOKUP(X192,'USEEIO metadata'!$C$2:$C$393,'USEEIO metadata'!$F$2:$F$393)</f>
        <v>#NAME?</v>
      </c>
      <c r="AF192" s="226" t="e">
        <f ca="1">_xlfn.XLOOKUP(X192,'USEEIO metadata'!$C$2:$C$393,'USEEIO metadata'!$G$2:$G$393)</f>
        <v>#NAME?</v>
      </c>
    </row>
    <row r="193" spans="1:32">
      <c r="A193" t="str">
        <f>_xlfn.IFNA(IF(VLOOKUP(C193,'2016_Detail_Commodity_v1.0'!C:C,1,FALSE)=C193,"No change"),"Name changed")</f>
        <v>No change</v>
      </c>
      <c r="B193" t="s">
        <v>403</v>
      </c>
      <c r="C193" t="s">
        <v>404</v>
      </c>
      <c r="E193" t="s">
        <v>15</v>
      </c>
      <c r="F193" t="s">
        <v>16</v>
      </c>
      <c r="G193">
        <v>8.0000000000000002E-3</v>
      </c>
      <c r="H193" s="413">
        <f>G193*VLOOKUP(E193,GWPs!$B$3:$C$6,2,FALSE)</f>
        <v>8.0000000000000002E-3</v>
      </c>
      <c r="I193">
        <v>0</v>
      </c>
      <c r="J193" s="413">
        <f>I193*VLOOKUP(E193,GWPs!$B$3:$C$6,2,FALSE)</f>
        <v>0</v>
      </c>
      <c r="K193">
        <v>8.0000000000000002E-3</v>
      </c>
      <c r="L193" s="413">
        <f>K193*VLOOKUP(E193,GWPs!$B$3:$C$6,2,FALSE)</f>
        <v>8.0000000000000002E-3</v>
      </c>
      <c r="N193">
        <v>4</v>
      </c>
      <c r="O193">
        <v>2</v>
      </c>
      <c r="P193">
        <v>1</v>
      </c>
      <c r="Q193">
        <v>4</v>
      </c>
      <c r="R193">
        <v>1</v>
      </c>
      <c r="W193" s="226" t="s">
        <v>978</v>
      </c>
      <c r="X193" s="70" t="s">
        <v>977</v>
      </c>
      <c r="Y193" s="414">
        <v>7.4999999999999997E-2</v>
      </c>
      <c r="Z193" s="70">
        <v>7.4999999999999997E-2</v>
      </c>
      <c r="AA193" s="70">
        <v>0</v>
      </c>
      <c r="AB193" s="464" t="s">
        <v>4230</v>
      </c>
      <c r="AC193" s="415">
        <f t="shared" si="2"/>
        <v>0</v>
      </c>
      <c r="AD193" s="226" t="e">
        <f ca="1">_xlfn.XLOOKUP(X193,'USEEIO metadata'!$C$2:$C$393,'USEEIO metadata'!$H$2:$H$393)</f>
        <v>#NAME?</v>
      </c>
      <c r="AE193" s="226" t="e">
        <f ca="1">_xlfn.XLOOKUP(X193,'USEEIO metadata'!$C$2:$C$393,'USEEIO metadata'!$F$2:$F$393)</f>
        <v>#NAME?</v>
      </c>
      <c r="AF193" s="226" t="e">
        <f ca="1">_xlfn.XLOOKUP(X193,'USEEIO metadata'!$C$2:$C$393,'USEEIO metadata'!$G$2:$G$393)</f>
        <v>#NAME?</v>
      </c>
    </row>
    <row r="194" spans="1:32">
      <c r="A194" t="str">
        <f>_xlfn.IFNA(IF(VLOOKUP(C194,'2016_Detail_Commodity_v1.0'!C:C,1,FALSE)=C194,"No change"),"Name changed")</f>
        <v>No change</v>
      </c>
      <c r="B194" t="s">
        <v>405</v>
      </c>
      <c r="C194" t="s">
        <v>406</v>
      </c>
      <c r="E194" t="s">
        <v>3653</v>
      </c>
      <c r="F194" t="s">
        <v>12</v>
      </c>
      <c r="G194">
        <v>0.33700000000000002</v>
      </c>
      <c r="H194" s="413">
        <f>G194*VLOOKUP(E194,GWPs!$B$3:$C$6,2,FALSE)</f>
        <v>0.33700000000000002</v>
      </c>
      <c r="I194">
        <v>5.6000000000000001E-2</v>
      </c>
      <c r="J194" s="413">
        <f>I194*VLOOKUP(E194,GWPs!$B$3:$C$6,2,FALSE)</f>
        <v>5.6000000000000001E-2</v>
      </c>
      <c r="K194">
        <v>0.39300000000000002</v>
      </c>
      <c r="L194" s="413">
        <f>K194*VLOOKUP(E194,GWPs!$B$3:$C$6,2,FALSE)</f>
        <v>0.39300000000000002</v>
      </c>
      <c r="N194">
        <v>3</v>
      </c>
      <c r="O194">
        <v>2</v>
      </c>
      <c r="P194">
        <v>1</v>
      </c>
      <c r="Q194">
        <v>4</v>
      </c>
      <c r="R194">
        <v>1</v>
      </c>
      <c r="W194" s="226" t="s">
        <v>1392</v>
      </c>
      <c r="X194" s="70" t="s">
        <v>363</v>
      </c>
      <c r="Y194" s="414">
        <v>0.33200000000000002</v>
      </c>
      <c r="Z194" s="70">
        <v>0.33200000000000002</v>
      </c>
      <c r="AA194" s="70">
        <v>0</v>
      </c>
      <c r="AB194" s="464" t="s">
        <v>4230</v>
      </c>
      <c r="AC194" s="415">
        <f t="shared" si="2"/>
        <v>0</v>
      </c>
      <c r="AD194" s="226" t="e">
        <f ca="1">_xlfn.XLOOKUP(X194,'USEEIO metadata'!$C$2:$C$393,'USEEIO metadata'!$H$2:$H$393)</f>
        <v>#NAME?</v>
      </c>
      <c r="AE194" s="226" t="e">
        <f ca="1">_xlfn.XLOOKUP(X194,'USEEIO metadata'!$C$2:$C$393,'USEEIO metadata'!$F$2:$F$393)</f>
        <v>#NAME?</v>
      </c>
      <c r="AF194" s="226" t="e">
        <f ca="1">_xlfn.XLOOKUP(X194,'USEEIO metadata'!$C$2:$C$393,'USEEIO metadata'!$G$2:$G$393)</f>
        <v>#NAME?</v>
      </c>
    </row>
    <row r="195" spans="1:32" ht="42.75">
      <c r="A195" t="str">
        <f>_xlfn.IFNA(IF(VLOOKUP(C195,'2016_Detail_Commodity_v1.0'!C:C,1,FALSE)=C195,"No change"),"Name changed")</f>
        <v>No change</v>
      </c>
      <c r="B195" t="s">
        <v>405</v>
      </c>
      <c r="C195" t="s">
        <v>406</v>
      </c>
      <c r="E195" t="s">
        <v>3654</v>
      </c>
      <c r="F195" t="s">
        <v>12</v>
      </c>
      <c r="G195">
        <v>2.4E-2</v>
      </c>
      <c r="H195" s="413">
        <f>G195*VLOOKUP(E195,GWPs!$B$3:$C$6,2,FALSE)</f>
        <v>0.67200000000000004</v>
      </c>
      <c r="I195">
        <v>0</v>
      </c>
      <c r="J195" s="413">
        <f>I195*VLOOKUP(E195,GWPs!$B$3:$C$6,2,FALSE)</f>
        <v>0</v>
      </c>
      <c r="K195">
        <v>2.5000000000000001E-2</v>
      </c>
      <c r="L195" s="413">
        <f>K195*VLOOKUP(E195,GWPs!$B$3:$C$6,2,FALSE)</f>
        <v>0.70000000000000007</v>
      </c>
      <c r="N195">
        <v>3</v>
      </c>
      <c r="O195">
        <v>2</v>
      </c>
      <c r="P195">
        <v>1</v>
      </c>
      <c r="Q195">
        <v>1</v>
      </c>
      <c r="R195">
        <v>1</v>
      </c>
      <c r="W195" s="226" t="s">
        <v>990</v>
      </c>
      <c r="X195" s="70" t="s">
        <v>989</v>
      </c>
      <c r="Y195" s="414">
        <v>7.3999999999999996E-2</v>
      </c>
      <c r="Z195" s="70">
        <v>7.3999999999999996E-2</v>
      </c>
      <c r="AA195" s="70">
        <v>0</v>
      </c>
      <c r="AB195" s="464" t="s">
        <v>4230</v>
      </c>
      <c r="AC195" s="415">
        <f t="shared" ref="AC195:AC258" si="3">IFERROR(AA195/Y195,"")</f>
        <v>0</v>
      </c>
      <c r="AD195" s="226" t="e">
        <f ca="1">_xlfn.XLOOKUP(X195,'USEEIO metadata'!$C$2:$C$393,'USEEIO metadata'!$H$2:$H$393)</f>
        <v>#NAME?</v>
      </c>
      <c r="AE195" s="226" t="e">
        <f ca="1">_xlfn.XLOOKUP(X195,'USEEIO metadata'!$C$2:$C$393,'USEEIO metadata'!$F$2:$F$393)</f>
        <v>#NAME?</v>
      </c>
      <c r="AF195" s="226" t="e">
        <f ca="1">_xlfn.XLOOKUP(X195,'USEEIO metadata'!$C$2:$C$393,'USEEIO metadata'!$G$2:$G$393)</f>
        <v>#NAME?</v>
      </c>
    </row>
    <row r="196" spans="1:32">
      <c r="A196" t="str">
        <f>_xlfn.IFNA(IF(VLOOKUP(C196,'2016_Detail_Commodity_v1.0'!C:C,1,FALSE)=C196,"No change"),"Name changed")</f>
        <v>No change</v>
      </c>
      <c r="B196" t="s">
        <v>405</v>
      </c>
      <c r="C196" t="s">
        <v>406</v>
      </c>
      <c r="E196" t="s">
        <v>3655</v>
      </c>
      <c r="F196" t="s">
        <v>12</v>
      </c>
      <c r="G196">
        <v>1E-3</v>
      </c>
      <c r="H196" s="413">
        <f>G196*VLOOKUP(E196,GWPs!$B$3:$C$6,2,FALSE)</f>
        <v>0.26500000000000001</v>
      </c>
      <c r="I196">
        <v>0</v>
      </c>
      <c r="J196" s="413">
        <f>I196*VLOOKUP(E196,GWPs!$B$3:$C$6,2,FALSE)</f>
        <v>0</v>
      </c>
      <c r="K196">
        <v>1E-3</v>
      </c>
      <c r="L196" s="413">
        <f>K196*VLOOKUP(E196,GWPs!$B$3:$C$6,2,FALSE)</f>
        <v>0.26500000000000001</v>
      </c>
      <c r="N196">
        <v>4</v>
      </c>
      <c r="O196">
        <v>2</v>
      </c>
      <c r="P196">
        <v>1</v>
      </c>
      <c r="Q196">
        <v>3</v>
      </c>
      <c r="R196">
        <v>1</v>
      </c>
      <c r="W196" s="226" t="s">
        <v>676</v>
      </c>
      <c r="X196" s="70" t="s">
        <v>675</v>
      </c>
      <c r="Y196" s="414">
        <v>0.30100000000000005</v>
      </c>
      <c r="Z196" s="70">
        <v>0.27300000000000002</v>
      </c>
      <c r="AA196" s="70">
        <v>2.8000000000000001E-2</v>
      </c>
      <c r="AB196" s="464" t="s">
        <v>4230</v>
      </c>
      <c r="AC196" s="415">
        <f t="shared" si="3"/>
        <v>9.3023255813953473E-2</v>
      </c>
      <c r="AD196" s="226" t="e">
        <f ca="1">_xlfn.XLOOKUP(X196,'USEEIO metadata'!$C$2:$C$393,'USEEIO metadata'!$H$2:$H$393)</f>
        <v>#NAME?</v>
      </c>
      <c r="AE196" s="226" t="e">
        <f ca="1">_xlfn.XLOOKUP(X196,'USEEIO metadata'!$C$2:$C$393,'USEEIO metadata'!$F$2:$F$393)</f>
        <v>#NAME?</v>
      </c>
      <c r="AF196" s="226" t="e">
        <f ca="1">_xlfn.XLOOKUP(X196,'USEEIO metadata'!$C$2:$C$393,'USEEIO metadata'!$G$2:$G$393)</f>
        <v>#NAME?</v>
      </c>
    </row>
    <row r="197" spans="1:32">
      <c r="A197" t="str">
        <f>_xlfn.IFNA(IF(VLOOKUP(C197,'2016_Detail_Commodity_v1.0'!C:C,1,FALSE)=C197,"No change"),"Name changed")</f>
        <v>No change</v>
      </c>
      <c r="B197" t="s">
        <v>405</v>
      </c>
      <c r="C197" t="s">
        <v>406</v>
      </c>
      <c r="E197" t="s">
        <v>15</v>
      </c>
      <c r="F197" t="s">
        <v>16</v>
      </c>
      <c r="G197">
        <v>7.0000000000000001E-3</v>
      </c>
      <c r="H197" s="413">
        <f>G197*VLOOKUP(E197,GWPs!$B$3:$C$6,2,FALSE)</f>
        <v>7.0000000000000001E-3</v>
      </c>
      <c r="I197">
        <v>0</v>
      </c>
      <c r="J197" s="413">
        <f>I197*VLOOKUP(E197,GWPs!$B$3:$C$6,2,FALSE)</f>
        <v>0</v>
      </c>
      <c r="K197">
        <v>7.0000000000000001E-3</v>
      </c>
      <c r="L197" s="413">
        <f>K197*VLOOKUP(E197,GWPs!$B$3:$C$6,2,FALSE)</f>
        <v>7.0000000000000001E-3</v>
      </c>
      <c r="N197">
        <v>4</v>
      </c>
      <c r="O197">
        <v>2</v>
      </c>
      <c r="P197">
        <v>1</v>
      </c>
      <c r="Q197">
        <v>4</v>
      </c>
      <c r="R197">
        <v>1</v>
      </c>
      <c r="W197" s="226" t="s">
        <v>824</v>
      </c>
      <c r="X197" s="70" t="s">
        <v>823</v>
      </c>
      <c r="Y197" s="414">
        <v>0.33300000000000002</v>
      </c>
      <c r="Z197" s="70">
        <v>0.183</v>
      </c>
      <c r="AA197" s="70">
        <v>0.15</v>
      </c>
      <c r="AB197" s="464" t="s">
        <v>4230</v>
      </c>
      <c r="AC197" s="415">
        <f t="shared" si="3"/>
        <v>0.4504504504504504</v>
      </c>
      <c r="AD197" s="226" t="e">
        <f ca="1">_xlfn.XLOOKUP(X197,'USEEIO metadata'!$C$2:$C$393,'USEEIO metadata'!$H$2:$H$393)</f>
        <v>#NAME?</v>
      </c>
      <c r="AE197" s="226" t="e">
        <f ca="1">_xlfn.XLOOKUP(X197,'USEEIO metadata'!$C$2:$C$393,'USEEIO metadata'!$F$2:$F$393)</f>
        <v>#NAME?</v>
      </c>
      <c r="AF197" s="226" t="e">
        <f ca="1">_xlfn.XLOOKUP(X197,'USEEIO metadata'!$C$2:$C$393,'USEEIO metadata'!$G$2:$G$393)</f>
        <v>#NAME?</v>
      </c>
    </row>
    <row r="198" spans="1:32" ht="28.5">
      <c r="A198" t="str">
        <f>_xlfn.IFNA(IF(VLOOKUP(C198,'2016_Detail_Commodity_v1.0'!C:C,1,FALSE)=C198,"No change"),"Name changed")</f>
        <v>No change</v>
      </c>
      <c r="B198" t="s">
        <v>407</v>
      </c>
      <c r="C198" t="s">
        <v>408</v>
      </c>
      <c r="E198" t="s">
        <v>3653</v>
      </c>
      <c r="F198" t="s">
        <v>12</v>
      </c>
      <c r="G198">
        <v>0.32200000000000001</v>
      </c>
      <c r="H198" s="413">
        <f>G198*VLOOKUP(E198,GWPs!$B$3:$C$6,2,FALSE)</f>
        <v>0.32200000000000001</v>
      </c>
      <c r="I198">
        <v>3.9E-2</v>
      </c>
      <c r="J198" s="413">
        <f>I198*VLOOKUP(E198,GWPs!$B$3:$C$6,2,FALSE)</f>
        <v>3.9E-2</v>
      </c>
      <c r="K198">
        <v>0.36099999999999999</v>
      </c>
      <c r="L198" s="413">
        <f>K198*VLOOKUP(E198,GWPs!$B$3:$C$6,2,FALSE)</f>
        <v>0.36099999999999999</v>
      </c>
      <c r="N198">
        <v>3</v>
      </c>
      <c r="O198">
        <v>2</v>
      </c>
      <c r="P198">
        <v>1</v>
      </c>
      <c r="Q198">
        <v>4</v>
      </c>
      <c r="R198">
        <v>1</v>
      </c>
      <c r="W198" s="226" t="s">
        <v>668</v>
      </c>
      <c r="X198" s="70" t="s">
        <v>667</v>
      </c>
      <c r="Y198" s="414">
        <v>0.27700000000000002</v>
      </c>
      <c r="Z198" s="70">
        <v>0.246</v>
      </c>
      <c r="AA198" s="70">
        <v>3.1E-2</v>
      </c>
      <c r="AB198" s="464" t="s">
        <v>4230</v>
      </c>
      <c r="AC198" s="415">
        <f t="shared" si="3"/>
        <v>0.11191335740072202</v>
      </c>
      <c r="AD198" s="226" t="e">
        <f ca="1">_xlfn.XLOOKUP(X198,'USEEIO metadata'!$C$2:$C$393,'USEEIO metadata'!$H$2:$H$393)</f>
        <v>#NAME?</v>
      </c>
      <c r="AE198" s="226" t="e">
        <f ca="1">_xlfn.XLOOKUP(X198,'USEEIO metadata'!$C$2:$C$393,'USEEIO metadata'!$F$2:$F$393)</f>
        <v>#NAME?</v>
      </c>
      <c r="AF198" s="226" t="e">
        <f ca="1">_xlfn.XLOOKUP(X198,'USEEIO metadata'!$C$2:$C$393,'USEEIO metadata'!$G$2:$G$393)</f>
        <v>#NAME?</v>
      </c>
    </row>
    <row r="199" spans="1:32">
      <c r="A199" t="str">
        <f>_xlfn.IFNA(IF(VLOOKUP(C199,'2016_Detail_Commodity_v1.0'!C:C,1,FALSE)=C199,"No change"),"Name changed")</f>
        <v>No change</v>
      </c>
      <c r="B199" t="s">
        <v>407</v>
      </c>
      <c r="C199" t="s">
        <v>408</v>
      </c>
      <c r="E199" t="s">
        <v>3654</v>
      </c>
      <c r="F199" t="s">
        <v>12</v>
      </c>
      <c r="G199">
        <v>0.01</v>
      </c>
      <c r="H199" s="413">
        <f>G199*VLOOKUP(E199,GWPs!$B$3:$C$6,2,FALSE)</f>
        <v>0.28000000000000003</v>
      </c>
      <c r="I199">
        <v>0</v>
      </c>
      <c r="J199" s="413">
        <f>I199*VLOOKUP(E199,GWPs!$B$3:$C$6,2,FALSE)</f>
        <v>0</v>
      </c>
      <c r="K199">
        <v>0.01</v>
      </c>
      <c r="L199" s="413">
        <f>K199*VLOOKUP(E199,GWPs!$B$3:$C$6,2,FALSE)</f>
        <v>0.28000000000000003</v>
      </c>
      <c r="N199">
        <v>3</v>
      </c>
      <c r="O199">
        <v>2</v>
      </c>
      <c r="P199">
        <v>1</v>
      </c>
      <c r="Q199">
        <v>1</v>
      </c>
      <c r="R199">
        <v>1</v>
      </c>
      <c r="W199" s="226" t="s">
        <v>1026</v>
      </c>
      <c r="X199" s="70" t="s">
        <v>1025</v>
      </c>
      <c r="Y199" s="414">
        <v>0.10200000000000001</v>
      </c>
      <c r="Z199" s="70">
        <v>0.10200000000000001</v>
      </c>
      <c r="AA199" s="70">
        <v>0</v>
      </c>
      <c r="AB199" s="464" t="s">
        <v>4231</v>
      </c>
      <c r="AC199" s="415">
        <f t="shared" si="3"/>
        <v>0</v>
      </c>
      <c r="AD199" s="226" t="e">
        <f ca="1">_xlfn.XLOOKUP(X199,'USEEIO metadata'!$C$2:$C$393,'USEEIO metadata'!$H$2:$H$393)</f>
        <v>#NAME?</v>
      </c>
      <c r="AE199" s="226" t="e">
        <f ca="1">_xlfn.XLOOKUP(X199,'USEEIO metadata'!$C$2:$C$393,'USEEIO metadata'!$F$2:$F$393)</f>
        <v>#NAME?</v>
      </c>
      <c r="AF199" s="226" t="e">
        <f ca="1">_xlfn.XLOOKUP(X199,'USEEIO metadata'!$C$2:$C$393,'USEEIO metadata'!$G$2:$G$393)</f>
        <v>#NAME?</v>
      </c>
    </row>
    <row r="200" spans="1:32" ht="28.5">
      <c r="A200" t="str">
        <f>_xlfn.IFNA(IF(VLOOKUP(C200,'2016_Detail_Commodity_v1.0'!C:C,1,FALSE)=C200,"No change"),"Name changed")</f>
        <v>No change</v>
      </c>
      <c r="B200" t="s">
        <v>407</v>
      </c>
      <c r="C200" t="s">
        <v>408</v>
      </c>
      <c r="E200" t="s">
        <v>3655</v>
      </c>
      <c r="F200" t="s">
        <v>12</v>
      </c>
      <c r="G200">
        <v>0</v>
      </c>
      <c r="H200" s="413">
        <f>G200*VLOOKUP(E200,GWPs!$B$3:$C$6,2,FALSE)</f>
        <v>0</v>
      </c>
      <c r="I200">
        <v>0</v>
      </c>
      <c r="J200" s="413">
        <f>I200*VLOOKUP(E200,GWPs!$B$3:$C$6,2,FALSE)</f>
        <v>0</v>
      </c>
      <c r="K200">
        <v>0</v>
      </c>
      <c r="L200" s="413">
        <f>K200*VLOOKUP(E200,GWPs!$B$3:$C$6,2,FALSE)</f>
        <v>0</v>
      </c>
      <c r="N200">
        <v>4</v>
      </c>
      <c r="O200">
        <v>2</v>
      </c>
      <c r="P200">
        <v>1</v>
      </c>
      <c r="Q200">
        <v>3</v>
      </c>
      <c r="R200">
        <v>1</v>
      </c>
      <c r="W200" s="226" t="s">
        <v>510</v>
      </c>
      <c r="X200" s="70" t="s">
        <v>509</v>
      </c>
      <c r="Y200" s="414">
        <v>0.48700000000000004</v>
      </c>
      <c r="Z200" s="70">
        <v>0.44600000000000001</v>
      </c>
      <c r="AA200" s="70">
        <v>4.1000000000000002E-2</v>
      </c>
      <c r="AB200" s="464" t="s">
        <v>4231</v>
      </c>
      <c r="AC200" s="415">
        <f t="shared" si="3"/>
        <v>8.4188911704312114E-2</v>
      </c>
      <c r="AD200" s="226" t="e">
        <f ca="1">_xlfn.XLOOKUP(X200,'USEEIO metadata'!$C$2:$C$393,'USEEIO metadata'!$H$2:$H$393)</f>
        <v>#NAME?</v>
      </c>
      <c r="AE200" s="226" t="e">
        <f ca="1">_xlfn.XLOOKUP(X200,'USEEIO metadata'!$C$2:$C$393,'USEEIO metadata'!$F$2:$F$393)</f>
        <v>#NAME?</v>
      </c>
      <c r="AF200" s="226" t="e">
        <f ca="1">_xlfn.XLOOKUP(X200,'USEEIO metadata'!$C$2:$C$393,'USEEIO metadata'!$G$2:$G$393)</f>
        <v>#NAME?</v>
      </c>
    </row>
    <row r="201" spans="1:32" ht="28.5">
      <c r="A201" t="str">
        <f>_xlfn.IFNA(IF(VLOOKUP(C201,'2016_Detail_Commodity_v1.0'!C:C,1,FALSE)=C201,"No change"),"Name changed")</f>
        <v>No change</v>
      </c>
      <c r="B201" t="s">
        <v>407</v>
      </c>
      <c r="C201" t="s">
        <v>408</v>
      </c>
      <c r="E201" t="s">
        <v>15</v>
      </c>
      <c r="F201" t="s">
        <v>16</v>
      </c>
      <c r="G201">
        <v>1.4E-2</v>
      </c>
      <c r="H201" s="413">
        <f>G201*VLOOKUP(E201,GWPs!$B$3:$C$6,2,FALSE)</f>
        <v>1.4E-2</v>
      </c>
      <c r="I201">
        <v>0</v>
      </c>
      <c r="J201" s="413">
        <f>I201*VLOOKUP(E201,GWPs!$B$3:$C$6,2,FALSE)</f>
        <v>0</v>
      </c>
      <c r="K201">
        <v>1.4E-2</v>
      </c>
      <c r="L201" s="413">
        <f>K201*VLOOKUP(E201,GWPs!$B$3:$C$6,2,FALSE)</f>
        <v>1.4E-2</v>
      </c>
      <c r="N201">
        <v>4</v>
      </c>
      <c r="O201">
        <v>2</v>
      </c>
      <c r="P201">
        <v>1</v>
      </c>
      <c r="Q201">
        <v>5</v>
      </c>
      <c r="R201">
        <v>1</v>
      </c>
      <c r="W201" s="226" t="s">
        <v>618</v>
      </c>
      <c r="X201" s="70" t="s">
        <v>617</v>
      </c>
      <c r="Y201" s="414">
        <v>0.57200000000000006</v>
      </c>
      <c r="Z201" s="70">
        <v>0.55600000000000005</v>
      </c>
      <c r="AA201" s="70">
        <v>1.6E-2</v>
      </c>
      <c r="AB201" s="464" t="s">
        <v>4230</v>
      </c>
      <c r="AC201" s="415">
        <f t="shared" si="3"/>
        <v>2.7972027972027969E-2</v>
      </c>
      <c r="AD201" s="226" t="e">
        <f ca="1">_xlfn.XLOOKUP(X201,'USEEIO metadata'!$C$2:$C$393,'USEEIO metadata'!$H$2:$H$393)</f>
        <v>#NAME?</v>
      </c>
      <c r="AE201" s="226" t="e">
        <f ca="1">_xlfn.XLOOKUP(X201,'USEEIO metadata'!$C$2:$C$393,'USEEIO metadata'!$F$2:$F$393)</f>
        <v>#NAME?</v>
      </c>
      <c r="AF201" s="226" t="e">
        <f ca="1">_xlfn.XLOOKUP(X201,'USEEIO metadata'!$C$2:$C$393,'USEEIO metadata'!$G$2:$G$393)</f>
        <v>#NAME?</v>
      </c>
    </row>
    <row r="202" spans="1:32" ht="28.5">
      <c r="A202" t="str">
        <f>_xlfn.IFNA(IF(VLOOKUP(C202,'2016_Detail_Commodity_v1.0'!C:C,1,FALSE)=C202,"No change"),"Name changed")</f>
        <v>No change</v>
      </c>
      <c r="B202" t="s">
        <v>409</v>
      </c>
      <c r="C202" t="s">
        <v>410</v>
      </c>
      <c r="E202" t="s">
        <v>3653</v>
      </c>
      <c r="F202" t="s">
        <v>12</v>
      </c>
      <c r="G202">
        <v>0.46800000000000003</v>
      </c>
      <c r="H202" s="413">
        <f>G202*VLOOKUP(E202,GWPs!$B$3:$C$6,2,FALSE)</f>
        <v>0.46800000000000003</v>
      </c>
      <c r="I202">
        <v>5.7000000000000002E-2</v>
      </c>
      <c r="J202" s="413">
        <f>I202*VLOOKUP(E202,GWPs!$B$3:$C$6,2,FALSE)</f>
        <v>5.7000000000000002E-2</v>
      </c>
      <c r="K202">
        <v>0.52500000000000002</v>
      </c>
      <c r="L202" s="413">
        <f>K202*VLOOKUP(E202,GWPs!$B$3:$C$6,2,FALSE)</f>
        <v>0.52500000000000002</v>
      </c>
      <c r="N202">
        <v>4</v>
      </c>
      <c r="O202">
        <v>2</v>
      </c>
      <c r="P202">
        <v>1</v>
      </c>
      <c r="Q202">
        <v>4</v>
      </c>
      <c r="R202">
        <v>1</v>
      </c>
      <c r="W202" s="226" t="s">
        <v>1401</v>
      </c>
      <c r="X202" s="70" t="s">
        <v>659</v>
      </c>
      <c r="Y202" s="414">
        <v>0.27300000000000002</v>
      </c>
      <c r="Z202" s="70">
        <v>0.24299999999999999</v>
      </c>
      <c r="AA202" s="70">
        <v>3.1E-2</v>
      </c>
      <c r="AB202" s="464" t="s">
        <v>4230</v>
      </c>
      <c r="AC202" s="415">
        <f t="shared" si="3"/>
        <v>0.11355311355311354</v>
      </c>
      <c r="AD202" s="226" t="e">
        <f ca="1">_xlfn.XLOOKUP(X202,'USEEIO metadata'!$C$2:$C$393,'USEEIO metadata'!$H$2:$H$393)</f>
        <v>#NAME?</v>
      </c>
      <c r="AE202" s="226" t="e">
        <f ca="1">_xlfn.XLOOKUP(X202,'USEEIO metadata'!$C$2:$C$393,'USEEIO metadata'!$F$2:$F$393)</f>
        <v>#NAME?</v>
      </c>
      <c r="AF202" s="226" t="e">
        <f ca="1">_xlfn.XLOOKUP(X202,'USEEIO metadata'!$C$2:$C$393,'USEEIO metadata'!$G$2:$G$393)</f>
        <v>#NAME?</v>
      </c>
    </row>
    <row r="203" spans="1:32" ht="28.5">
      <c r="A203" t="str">
        <f>_xlfn.IFNA(IF(VLOOKUP(C203,'2016_Detail_Commodity_v1.0'!C:C,1,FALSE)=C203,"No change"),"Name changed")</f>
        <v>No change</v>
      </c>
      <c r="B203" t="s">
        <v>409</v>
      </c>
      <c r="C203" t="s">
        <v>410</v>
      </c>
      <c r="E203" t="s">
        <v>3654</v>
      </c>
      <c r="F203" t="s">
        <v>12</v>
      </c>
      <c r="G203">
        <v>6.0000000000000001E-3</v>
      </c>
      <c r="H203" s="413">
        <f>G203*VLOOKUP(E203,GWPs!$B$3:$C$6,2,FALSE)</f>
        <v>0.16800000000000001</v>
      </c>
      <c r="I203">
        <v>0</v>
      </c>
      <c r="J203" s="413">
        <f>I203*VLOOKUP(E203,GWPs!$B$3:$C$6,2,FALSE)</f>
        <v>0</v>
      </c>
      <c r="K203">
        <v>6.0000000000000001E-3</v>
      </c>
      <c r="L203" s="413">
        <f>K203*VLOOKUP(E203,GWPs!$B$3:$C$6,2,FALSE)</f>
        <v>0.16800000000000001</v>
      </c>
      <c r="N203">
        <v>3</v>
      </c>
      <c r="O203">
        <v>2</v>
      </c>
      <c r="P203">
        <v>1</v>
      </c>
      <c r="Q203">
        <v>1</v>
      </c>
      <c r="R203">
        <v>1</v>
      </c>
      <c r="W203" s="226" t="s">
        <v>610</v>
      </c>
      <c r="X203" s="70" t="s">
        <v>609</v>
      </c>
      <c r="Y203" s="414">
        <v>0.27900000000000003</v>
      </c>
      <c r="Z203" s="70">
        <v>0.222</v>
      </c>
      <c r="AA203" s="70">
        <v>5.6000000000000001E-2</v>
      </c>
      <c r="AB203" s="464" t="s">
        <v>4230</v>
      </c>
      <c r="AC203" s="415">
        <f t="shared" si="3"/>
        <v>0.20071684587813618</v>
      </c>
      <c r="AD203" s="226" t="e">
        <f ca="1">_xlfn.XLOOKUP(X203,'USEEIO metadata'!$C$2:$C$393,'USEEIO metadata'!$H$2:$H$393)</f>
        <v>#NAME?</v>
      </c>
      <c r="AE203" s="226" t="e">
        <f ca="1">_xlfn.XLOOKUP(X203,'USEEIO metadata'!$C$2:$C$393,'USEEIO metadata'!$F$2:$F$393)</f>
        <v>#NAME?</v>
      </c>
      <c r="AF203" s="226" t="e">
        <f ca="1">_xlfn.XLOOKUP(X203,'USEEIO metadata'!$C$2:$C$393,'USEEIO metadata'!$G$2:$G$393)</f>
        <v>#NAME?</v>
      </c>
    </row>
    <row r="204" spans="1:32" ht="28.5">
      <c r="A204" t="str">
        <f>_xlfn.IFNA(IF(VLOOKUP(C204,'2016_Detail_Commodity_v1.0'!C:C,1,FALSE)=C204,"No change"),"Name changed")</f>
        <v>No change</v>
      </c>
      <c r="B204" t="s">
        <v>409</v>
      </c>
      <c r="C204" t="s">
        <v>410</v>
      </c>
      <c r="E204" t="s">
        <v>3655</v>
      </c>
      <c r="F204" t="s">
        <v>12</v>
      </c>
      <c r="G204">
        <v>1E-3</v>
      </c>
      <c r="H204" s="413">
        <f>G204*VLOOKUP(E204,GWPs!$B$3:$C$6,2,FALSE)</f>
        <v>0.26500000000000001</v>
      </c>
      <c r="I204">
        <v>0</v>
      </c>
      <c r="J204" s="413">
        <f>I204*VLOOKUP(E204,GWPs!$B$3:$C$6,2,FALSE)</f>
        <v>0</v>
      </c>
      <c r="K204">
        <v>1E-3</v>
      </c>
      <c r="L204" s="413">
        <f>K204*VLOOKUP(E204,GWPs!$B$3:$C$6,2,FALSE)</f>
        <v>0.26500000000000001</v>
      </c>
      <c r="N204">
        <v>4</v>
      </c>
      <c r="O204">
        <v>2</v>
      </c>
      <c r="P204">
        <v>1</v>
      </c>
      <c r="Q204">
        <v>4</v>
      </c>
      <c r="R204">
        <v>1</v>
      </c>
      <c r="W204" s="226" t="s">
        <v>620</v>
      </c>
      <c r="X204" s="70" t="s">
        <v>619</v>
      </c>
      <c r="Y204" s="414">
        <v>0.25900000000000001</v>
      </c>
      <c r="Z204" s="70">
        <v>0.158</v>
      </c>
      <c r="AA204" s="70">
        <v>7.2999999999999995E-2</v>
      </c>
      <c r="AB204" s="464" t="s">
        <v>4230</v>
      </c>
      <c r="AC204" s="415">
        <f t="shared" si="3"/>
        <v>0.28185328185328185</v>
      </c>
      <c r="AD204" s="226" t="e">
        <f ca="1">_xlfn.XLOOKUP(X204,'USEEIO metadata'!$C$2:$C$393,'USEEIO metadata'!$H$2:$H$393)</f>
        <v>#NAME?</v>
      </c>
      <c r="AE204" s="226" t="e">
        <f ca="1">_xlfn.XLOOKUP(X204,'USEEIO metadata'!$C$2:$C$393,'USEEIO metadata'!$F$2:$F$393)</f>
        <v>#NAME?</v>
      </c>
      <c r="AF204" s="226" t="e">
        <f ca="1">_xlfn.XLOOKUP(X204,'USEEIO metadata'!$C$2:$C$393,'USEEIO metadata'!$G$2:$G$393)</f>
        <v>#NAME?</v>
      </c>
    </row>
    <row r="205" spans="1:32">
      <c r="A205" t="str">
        <f>_xlfn.IFNA(IF(VLOOKUP(C205,'2016_Detail_Commodity_v1.0'!C:C,1,FALSE)=C205,"No change"),"Name changed")</f>
        <v>No change</v>
      </c>
      <c r="B205" t="s">
        <v>409</v>
      </c>
      <c r="C205" t="s">
        <v>410</v>
      </c>
      <c r="E205" t="s">
        <v>15</v>
      </c>
      <c r="F205" t="s">
        <v>16</v>
      </c>
      <c r="G205">
        <v>5.0000000000000001E-3</v>
      </c>
      <c r="H205" s="413">
        <f>G205*VLOOKUP(E205,GWPs!$B$3:$C$6,2,FALSE)</f>
        <v>5.0000000000000001E-3</v>
      </c>
      <c r="I205">
        <v>0</v>
      </c>
      <c r="J205" s="413">
        <f>I205*VLOOKUP(E205,GWPs!$B$3:$C$6,2,FALSE)</f>
        <v>0</v>
      </c>
      <c r="K205">
        <v>5.0000000000000001E-3</v>
      </c>
      <c r="L205" s="413">
        <f>K205*VLOOKUP(E205,GWPs!$B$3:$C$6,2,FALSE)</f>
        <v>5.0000000000000001E-3</v>
      </c>
      <c r="N205">
        <v>4</v>
      </c>
      <c r="O205">
        <v>2</v>
      </c>
      <c r="P205">
        <v>1</v>
      </c>
      <c r="Q205">
        <v>4</v>
      </c>
      <c r="R205">
        <v>1</v>
      </c>
      <c r="W205" s="226" t="s">
        <v>600</v>
      </c>
      <c r="X205" s="70" t="s">
        <v>599</v>
      </c>
      <c r="Y205" s="414">
        <v>0.41299999999999998</v>
      </c>
      <c r="Z205" s="70">
        <v>0.35700000000000004</v>
      </c>
      <c r="AA205" s="70">
        <v>2.8000000000000001E-2</v>
      </c>
      <c r="AB205" s="464" t="s">
        <v>4230</v>
      </c>
      <c r="AC205" s="415">
        <f t="shared" si="3"/>
        <v>6.7796610169491525E-2</v>
      </c>
      <c r="AD205" s="226" t="e">
        <f ca="1">_xlfn.XLOOKUP(X205,'USEEIO metadata'!$C$2:$C$393,'USEEIO metadata'!$H$2:$H$393)</f>
        <v>#NAME?</v>
      </c>
      <c r="AE205" s="226" t="e">
        <f ca="1">_xlfn.XLOOKUP(X205,'USEEIO metadata'!$C$2:$C$393,'USEEIO metadata'!$F$2:$F$393)</f>
        <v>#NAME?</v>
      </c>
      <c r="AF205" s="226" t="e">
        <f ca="1">_xlfn.XLOOKUP(X205,'USEEIO metadata'!$C$2:$C$393,'USEEIO metadata'!$G$2:$G$393)</f>
        <v>#NAME?</v>
      </c>
    </row>
    <row r="206" spans="1:32" ht="28.5">
      <c r="A206" t="str">
        <f>_xlfn.IFNA(IF(VLOOKUP(C206,'2016_Detail_Commodity_v1.0'!C:C,1,FALSE)=C206,"No change"),"Name changed")</f>
        <v>No change</v>
      </c>
      <c r="B206" t="s">
        <v>411</v>
      </c>
      <c r="C206" t="s">
        <v>412</v>
      </c>
      <c r="E206" t="s">
        <v>3653</v>
      </c>
      <c r="F206" t="s">
        <v>12</v>
      </c>
      <c r="G206">
        <v>0.39600000000000002</v>
      </c>
      <c r="H206" s="413">
        <f>G206*VLOOKUP(E206,GWPs!$B$3:$C$6,2,FALSE)</f>
        <v>0.39600000000000002</v>
      </c>
      <c r="I206">
        <v>5.2999999999999999E-2</v>
      </c>
      <c r="J206" s="413">
        <f>I206*VLOOKUP(E206,GWPs!$B$3:$C$6,2,FALSE)</f>
        <v>5.2999999999999999E-2</v>
      </c>
      <c r="K206">
        <v>0.44900000000000001</v>
      </c>
      <c r="L206" s="413">
        <f>K206*VLOOKUP(E206,GWPs!$B$3:$C$6,2,FALSE)</f>
        <v>0.44900000000000001</v>
      </c>
      <c r="N206">
        <v>4</v>
      </c>
      <c r="O206">
        <v>2</v>
      </c>
      <c r="P206">
        <v>1</v>
      </c>
      <c r="Q206">
        <v>4</v>
      </c>
      <c r="R206">
        <v>1</v>
      </c>
      <c r="W206" s="226" t="s">
        <v>602</v>
      </c>
      <c r="X206" s="70" t="s">
        <v>601</v>
      </c>
      <c r="Y206" s="414">
        <v>0.33500000000000002</v>
      </c>
      <c r="Z206" s="70">
        <v>0.28400000000000003</v>
      </c>
      <c r="AA206" s="70">
        <v>5.0999999999999997E-2</v>
      </c>
      <c r="AB206" s="464" t="s">
        <v>4230</v>
      </c>
      <c r="AC206" s="415">
        <f t="shared" si="3"/>
        <v>0.15223880597014924</v>
      </c>
      <c r="AD206" s="226" t="e">
        <f ca="1">_xlfn.XLOOKUP(X206,'USEEIO metadata'!$C$2:$C$393,'USEEIO metadata'!$H$2:$H$393)</f>
        <v>#NAME?</v>
      </c>
      <c r="AE206" s="226" t="e">
        <f ca="1">_xlfn.XLOOKUP(X206,'USEEIO metadata'!$C$2:$C$393,'USEEIO metadata'!$F$2:$F$393)</f>
        <v>#NAME?</v>
      </c>
      <c r="AF206" s="226" t="e">
        <f ca="1">_xlfn.XLOOKUP(X206,'USEEIO metadata'!$C$2:$C$393,'USEEIO metadata'!$G$2:$G$393)</f>
        <v>#NAME?</v>
      </c>
    </row>
    <row r="207" spans="1:32" ht="28.5">
      <c r="A207" t="str">
        <f>_xlfn.IFNA(IF(VLOOKUP(C207,'2016_Detail_Commodity_v1.0'!C:C,1,FALSE)=C207,"No change"),"Name changed")</f>
        <v>No change</v>
      </c>
      <c r="B207" t="s">
        <v>411</v>
      </c>
      <c r="C207" t="s">
        <v>412</v>
      </c>
      <c r="E207" t="s">
        <v>3654</v>
      </c>
      <c r="F207" t="s">
        <v>12</v>
      </c>
      <c r="G207">
        <v>3.7999999999999999E-2</v>
      </c>
      <c r="H207" s="413">
        <f>G207*VLOOKUP(E207,GWPs!$B$3:$C$6,2,FALSE)</f>
        <v>1.0640000000000001</v>
      </c>
      <c r="I207">
        <v>0</v>
      </c>
      <c r="J207" s="413">
        <f>I207*VLOOKUP(E207,GWPs!$B$3:$C$6,2,FALSE)</f>
        <v>0</v>
      </c>
      <c r="K207">
        <v>3.7999999999999999E-2</v>
      </c>
      <c r="L207" s="413">
        <f>K207*VLOOKUP(E207,GWPs!$B$3:$C$6,2,FALSE)</f>
        <v>1.0640000000000001</v>
      </c>
      <c r="N207">
        <v>4</v>
      </c>
      <c r="O207">
        <v>2</v>
      </c>
      <c r="P207">
        <v>1</v>
      </c>
      <c r="Q207">
        <v>1</v>
      </c>
      <c r="R207">
        <v>1</v>
      </c>
      <c r="W207" s="226" t="s">
        <v>807</v>
      </c>
      <c r="X207" s="70" t="s">
        <v>806</v>
      </c>
      <c r="Y207" s="414">
        <v>0.35400000000000004</v>
      </c>
      <c r="Z207" s="70">
        <v>0.34100000000000003</v>
      </c>
      <c r="AA207" s="70">
        <v>1.2E-2</v>
      </c>
      <c r="AB207" s="464" t="s">
        <v>4230</v>
      </c>
      <c r="AC207" s="415">
        <f t="shared" si="3"/>
        <v>3.3898305084745763E-2</v>
      </c>
      <c r="AD207" s="226" t="e">
        <f ca="1">_xlfn.XLOOKUP(X207,'USEEIO metadata'!$C$2:$C$393,'USEEIO metadata'!$H$2:$H$393)</f>
        <v>#NAME?</v>
      </c>
      <c r="AE207" s="226" t="e">
        <f ca="1">_xlfn.XLOOKUP(X207,'USEEIO metadata'!$C$2:$C$393,'USEEIO metadata'!$F$2:$F$393)</f>
        <v>#NAME?</v>
      </c>
      <c r="AF207" s="226" t="e">
        <f ca="1">_xlfn.XLOOKUP(X207,'USEEIO metadata'!$C$2:$C$393,'USEEIO metadata'!$G$2:$G$393)</f>
        <v>#NAME?</v>
      </c>
    </row>
    <row r="208" spans="1:32">
      <c r="A208" t="str">
        <f>_xlfn.IFNA(IF(VLOOKUP(C208,'2016_Detail_Commodity_v1.0'!C:C,1,FALSE)=C208,"No change"),"Name changed")</f>
        <v>No change</v>
      </c>
      <c r="B208" t="s">
        <v>411</v>
      </c>
      <c r="C208" t="s">
        <v>412</v>
      </c>
      <c r="E208" t="s">
        <v>3655</v>
      </c>
      <c r="F208" t="s">
        <v>12</v>
      </c>
      <c r="G208">
        <v>2E-3</v>
      </c>
      <c r="H208" s="413">
        <f>G208*VLOOKUP(E208,GWPs!$B$3:$C$6,2,FALSE)</f>
        <v>0.53</v>
      </c>
      <c r="I208">
        <v>0</v>
      </c>
      <c r="J208" s="413">
        <f>I208*VLOOKUP(E208,GWPs!$B$3:$C$6,2,FALSE)</f>
        <v>0</v>
      </c>
      <c r="K208">
        <v>2E-3</v>
      </c>
      <c r="L208" s="413">
        <f>K208*VLOOKUP(E208,GWPs!$B$3:$C$6,2,FALSE)</f>
        <v>0.53</v>
      </c>
      <c r="N208">
        <v>4</v>
      </c>
      <c r="O208">
        <v>2</v>
      </c>
      <c r="P208">
        <v>1</v>
      </c>
      <c r="Q208">
        <v>4</v>
      </c>
      <c r="R208">
        <v>1</v>
      </c>
      <c r="W208" s="226" t="s">
        <v>570</v>
      </c>
      <c r="X208" s="70" t="s">
        <v>569</v>
      </c>
      <c r="Y208" s="414">
        <v>0.57900000000000007</v>
      </c>
      <c r="Z208" s="70">
        <v>0.51300000000000001</v>
      </c>
      <c r="AA208" s="70">
        <v>9.4E-2</v>
      </c>
      <c r="AB208" s="464" t="s">
        <v>4230</v>
      </c>
      <c r="AC208" s="415">
        <f t="shared" si="3"/>
        <v>0.1623488773747841</v>
      </c>
      <c r="AD208" s="226" t="e">
        <f ca="1">_xlfn.XLOOKUP(X208,'USEEIO metadata'!$C$2:$C$393,'USEEIO metadata'!$H$2:$H$393)</f>
        <v>#NAME?</v>
      </c>
      <c r="AE208" s="226" t="e">
        <f ca="1">_xlfn.XLOOKUP(X208,'USEEIO metadata'!$C$2:$C$393,'USEEIO metadata'!$F$2:$F$393)</f>
        <v>#NAME?</v>
      </c>
      <c r="AF208" s="226" t="e">
        <f ca="1">_xlfn.XLOOKUP(X208,'USEEIO metadata'!$C$2:$C$393,'USEEIO metadata'!$G$2:$G$393)</f>
        <v>#NAME?</v>
      </c>
    </row>
    <row r="209" spans="1:32" ht="28.5">
      <c r="A209" t="str">
        <f>_xlfn.IFNA(IF(VLOOKUP(C209,'2016_Detail_Commodity_v1.0'!C:C,1,FALSE)=C209,"No change"),"Name changed")</f>
        <v>No change</v>
      </c>
      <c r="B209" t="s">
        <v>411</v>
      </c>
      <c r="C209" t="s">
        <v>412</v>
      </c>
      <c r="E209" t="s">
        <v>15</v>
      </c>
      <c r="F209" t="s">
        <v>16</v>
      </c>
      <c r="G209">
        <v>4.0000000000000001E-3</v>
      </c>
      <c r="H209" s="413">
        <f>G209*VLOOKUP(E209,GWPs!$B$3:$C$6,2,FALSE)</f>
        <v>4.0000000000000001E-3</v>
      </c>
      <c r="I209">
        <v>0</v>
      </c>
      <c r="J209" s="413">
        <f>I209*VLOOKUP(E209,GWPs!$B$3:$C$6,2,FALSE)</f>
        <v>0</v>
      </c>
      <c r="K209">
        <v>4.0000000000000001E-3</v>
      </c>
      <c r="L209" s="413">
        <f>K209*VLOOKUP(E209,GWPs!$B$3:$C$6,2,FALSE)</f>
        <v>4.0000000000000001E-3</v>
      </c>
      <c r="N209">
        <v>4</v>
      </c>
      <c r="O209">
        <v>2</v>
      </c>
      <c r="P209">
        <v>1</v>
      </c>
      <c r="Q209">
        <v>4</v>
      </c>
      <c r="R209">
        <v>1</v>
      </c>
      <c r="W209" s="226" t="s">
        <v>638</v>
      </c>
      <c r="X209" s="70" t="s">
        <v>637</v>
      </c>
      <c r="Y209" s="414">
        <v>0.30800000000000005</v>
      </c>
      <c r="Z209" s="70">
        <v>0.26800000000000002</v>
      </c>
      <c r="AA209" s="70">
        <v>0.04</v>
      </c>
      <c r="AB209" s="464" t="s">
        <v>4230</v>
      </c>
      <c r="AC209" s="415">
        <f t="shared" si="3"/>
        <v>0.12987012987012986</v>
      </c>
      <c r="AD209" s="226" t="e">
        <f ca="1">_xlfn.XLOOKUP(X209,'USEEIO metadata'!$C$2:$C$393,'USEEIO metadata'!$H$2:$H$393)</f>
        <v>#NAME?</v>
      </c>
      <c r="AE209" s="226" t="e">
        <f ca="1">_xlfn.XLOOKUP(X209,'USEEIO metadata'!$C$2:$C$393,'USEEIO metadata'!$F$2:$F$393)</f>
        <v>#NAME?</v>
      </c>
      <c r="AF209" s="226" t="e">
        <f ca="1">_xlfn.XLOOKUP(X209,'USEEIO metadata'!$C$2:$C$393,'USEEIO metadata'!$G$2:$G$393)</f>
        <v>#NAME?</v>
      </c>
    </row>
    <row r="210" spans="1:32">
      <c r="A210" t="str">
        <f>_xlfn.IFNA(IF(VLOOKUP(C210,'2016_Detail_Commodity_v1.0'!C:C,1,FALSE)=C210,"No change"),"Name changed")</f>
        <v>No change</v>
      </c>
      <c r="B210" t="s">
        <v>413</v>
      </c>
      <c r="C210" t="s">
        <v>414</v>
      </c>
      <c r="E210" t="s">
        <v>3653</v>
      </c>
      <c r="F210" t="s">
        <v>12</v>
      </c>
      <c r="G210">
        <v>0.26100000000000001</v>
      </c>
      <c r="H210" s="413">
        <f>G210*VLOOKUP(E210,GWPs!$B$3:$C$6,2,FALSE)</f>
        <v>0.26100000000000001</v>
      </c>
      <c r="I210">
        <v>4.2000000000000003E-2</v>
      </c>
      <c r="J210" s="413">
        <f>I210*VLOOKUP(E210,GWPs!$B$3:$C$6,2,FALSE)</f>
        <v>4.2000000000000003E-2</v>
      </c>
      <c r="K210">
        <v>0.30199999999999999</v>
      </c>
      <c r="L210" s="413">
        <f>K210*VLOOKUP(E210,GWPs!$B$3:$C$6,2,FALSE)</f>
        <v>0.30199999999999999</v>
      </c>
      <c r="N210">
        <v>4</v>
      </c>
      <c r="O210">
        <v>2</v>
      </c>
      <c r="P210">
        <v>1</v>
      </c>
      <c r="Q210">
        <v>4</v>
      </c>
      <c r="R210">
        <v>1</v>
      </c>
      <c r="W210" s="226" t="s">
        <v>1657</v>
      </c>
      <c r="X210" s="70" t="s">
        <v>627</v>
      </c>
      <c r="Y210" s="414">
        <v>0.37000000000000005</v>
      </c>
      <c r="Z210" s="70">
        <v>0.32500000000000001</v>
      </c>
      <c r="AA210" s="70">
        <v>4.3999999999999997E-2</v>
      </c>
      <c r="AB210" s="464" t="s">
        <v>4230</v>
      </c>
      <c r="AC210" s="415">
        <f t="shared" si="3"/>
        <v>0.1189189189189189</v>
      </c>
      <c r="AD210" s="226" t="e">
        <f ca="1">_xlfn.XLOOKUP(X210,'USEEIO metadata'!$C$2:$C$393,'USEEIO metadata'!$H$2:$H$393)</f>
        <v>#NAME?</v>
      </c>
      <c r="AE210" s="226" t="e">
        <f ca="1">_xlfn.XLOOKUP(X210,'USEEIO metadata'!$C$2:$C$393,'USEEIO metadata'!$F$2:$F$393)</f>
        <v>#NAME?</v>
      </c>
      <c r="AF210" s="226" t="e">
        <f ca="1">_xlfn.XLOOKUP(X210,'USEEIO metadata'!$C$2:$C$393,'USEEIO metadata'!$G$2:$G$393)</f>
        <v>#NAME?</v>
      </c>
    </row>
    <row r="211" spans="1:32" ht="28.5">
      <c r="A211" t="str">
        <f>_xlfn.IFNA(IF(VLOOKUP(C211,'2016_Detail_Commodity_v1.0'!C:C,1,FALSE)=C211,"No change"),"Name changed")</f>
        <v>No change</v>
      </c>
      <c r="B211" t="s">
        <v>413</v>
      </c>
      <c r="C211" t="s">
        <v>414</v>
      </c>
      <c r="E211" t="s">
        <v>3654</v>
      </c>
      <c r="F211" t="s">
        <v>12</v>
      </c>
      <c r="G211">
        <v>3.0000000000000001E-3</v>
      </c>
      <c r="H211" s="413">
        <f>G211*VLOOKUP(E211,GWPs!$B$3:$C$6,2,FALSE)</f>
        <v>8.4000000000000005E-2</v>
      </c>
      <c r="I211">
        <v>0</v>
      </c>
      <c r="J211" s="413">
        <f>I211*VLOOKUP(E211,GWPs!$B$3:$C$6,2,FALSE)</f>
        <v>0</v>
      </c>
      <c r="K211">
        <v>4.0000000000000001E-3</v>
      </c>
      <c r="L211" s="413">
        <f>K211*VLOOKUP(E211,GWPs!$B$3:$C$6,2,FALSE)</f>
        <v>0.112</v>
      </c>
      <c r="N211">
        <v>3</v>
      </c>
      <c r="O211">
        <v>2</v>
      </c>
      <c r="P211">
        <v>1</v>
      </c>
      <c r="Q211">
        <v>1</v>
      </c>
      <c r="R211">
        <v>1</v>
      </c>
      <c r="W211" s="226" t="s">
        <v>950</v>
      </c>
      <c r="X211" s="70" t="s">
        <v>949</v>
      </c>
      <c r="Y211" s="414">
        <v>4.7E-2</v>
      </c>
      <c r="Z211" s="70">
        <v>4.7E-2</v>
      </c>
      <c r="AA211" s="70">
        <v>0</v>
      </c>
      <c r="AB211" s="464" t="s">
        <v>4230</v>
      </c>
      <c r="AC211" s="415">
        <f t="shared" si="3"/>
        <v>0</v>
      </c>
      <c r="AD211" s="226" t="e">
        <f ca="1">_xlfn.XLOOKUP(X211,'USEEIO metadata'!$C$2:$C$393,'USEEIO metadata'!$H$2:$H$393)</f>
        <v>#NAME?</v>
      </c>
      <c r="AE211" s="226" t="e">
        <f ca="1">_xlfn.XLOOKUP(X211,'USEEIO metadata'!$C$2:$C$393,'USEEIO metadata'!$F$2:$F$393)</f>
        <v>#NAME?</v>
      </c>
      <c r="AF211" s="226" t="e">
        <f ca="1">_xlfn.XLOOKUP(X211,'USEEIO metadata'!$C$2:$C$393,'USEEIO metadata'!$G$2:$G$393)</f>
        <v>#NAME?</v>
      </c>
    </row>
    <row r="212" spans="1:32">
      <c r="A212" t="str">
        <f>_xlfn.IFNA(IF(VLOOKUP(C212,'2016_Detail_Commodity_v1.0'!C:C,1,FALSE)=C212,"No change"),"Name changed")</f>
        <v>No change</v>
      </c>
      <c r="B212" t="s">
        <v>413</v>
      </c>
      <c r="C212" t="s">
        <v>414</v>
      </c>
      <c r="E212" t="s">
        <v>3655</v>
      </c>
      <c r="F212" t="s">
        <v>12</v>
      </c>
      <c r="G212">
        <v>0</v>
      </c>
      <c r="H212" s="413">
        <f>G212*VLOOKUP(E212,GWPs!$B$3:$C$6,2,FALSE)</f>
        <v>0</v>
      </c>
      <c r="I212">
        <v>0</v>
      </c>
      <c r="J212" s="413">
        <f>I212*VLOOKUP(E212,GWPs!$B$3:$C$6,2,FALSE)</f>
        <v>0</v>
      </c>
      <c r="K212">
        <v>0</v>
      </c>
      <c r="L212" s="413">
        <f>K212*VLOOKUP(E212,GWPs!$B$3:$C$6,2,FALSE)</f>
        <v>0</v>
      </c>
      <c r="N212">
        <v>4</v>
      </c>
      <c r="O212">
        <v>2</v>
      </c>
      <c r="P212">
        <v>1</v>
      </c>
      <c r="Q212">
        <v>4</v>
      </c>
      <c r="R212">
        <v>1</v>
      </c>
      <c r="W212" s="226" t="s">
        <v>772</v>
      </c>
      <c r="X212" s="70" t="s">
        <v>771</v>
      </c>
      <c r="Y212" s="414">
        <v>0.27400000000000002</v>
      </c>
      <c r="Z212" s="70">
        <v>0.20399999999999999</v>
      </c>
      <c r="AA212" s="70">
        <v>7.0000000000000007E-2</v>
      </c>
      <c r="AB212" s="464" t="s">
        <v>4230</v>
      </c>
      <c r="AC212" s="415">
        <f t="shared" si="3"/>
        <v>0.25547445255474455</v>
      </c>
      <c r="AD212" s="226" t="e">
        <f ca="1">_xlfn.XLOOKUP(X212,'USEEIO metadata'!$C$2:$C$393,'USEEIO metadata'!$H$2:$H$393)</f>
        <v>#NAME?</v>
      </c>
      <c r="AE212" s="226" t="e">
        <f ca="1">_xlfn.XLOOKUP(X212,'USEEIO metadata'!$C$2:$C$393,'USEEIO metadata'!$F$2:$F$393)</f>
        <v>#NAME?</v>
      </c>
      <c r="AF212" s="226" t="e">
        <f ca="1">_xlfn.XLOOKUP(X212,'USEEIO metadata'!$C$2:$C$393,'USEEIO metadata'!$G$2:$G$393)</f>
        <v>#NAME?</v>
      </c>
    </row>
    <row r="213" spans="1:32" ht="28.5">
      <c r="A213" t="str">
        <f>_xlfn.IFNA(IF(VLOOKUP(C213,'2016_Detail_Commodity_v1.0'!C:C,1,FALSE)=C213,"No change"),"Name changed")</f>
        <v>No change</v>
      </c>
      <c r="B213" t="s">
        <v>413</v>
      </c>
      <c r="C213" t="s">
        <v>414</v>
      </c>
      <c r="E213" t="s">
        <v>15</v>
      </c>
      <c r="F213" t="s">
        <v>16</v>
      </c>
      <c r="G213">
        <v>5.0000000000000001E-3</v>
      </c>
      <c r="H213" s="413">
        <f>G213*VLOOKUP(E213,GWPs!$B$3:$C$6,2,FALSE)</f>
        <v>5.0000000000000001E-3</v>
      </c>
      <c r="I213">
        <v>0</v>
      </c>
      <c r="J213" s="413">
        <f>I213*VLOOKUP(E213,GWPs!$B$3:$C$6,2,FALSE)</f>
        <v>0</v>
      </c>
      <c r="K213">
        <v>5.0000000000000001E-3</v>
      </c>
      <c r="L213" s="413">
        <f>K213*VLOOKUP(E213,GWPs!$B$3:$C$6,2,FALSE)</f>
        <v>5.0000000000000001E-3</v>
      </c>
      <c r="N213">
        <v>4</v>
      </c>
      <c r="O213">
        <v>2</v>
      </c>
      <c r="P213">
        <v>1</v>
      </c>
      <c r="Q213">
        <v>4</v>
      </c>
      <c r="R213">
        <v>1</v>
      </c>
      <c r="W213" s="226" t="s">
        <v>850</v>
      </c>
      <c r="X213" s="70" t="s">
        <v>849</v>
      </c>
      <c r="Y213" s="414">
        <v>0.185</v>
      </c>
      <c r="Z213" s="70">
        <v>0.185</v>
      </c>
      <c r="AA213" s="70">
        <v>0</v>
      </c>
      <c r="AB213" s="464" t="s">
        <v>4230</v>
      </c>
      <c r="AC213" s="415">
        <f t="shared" si="3"/>
        <v>0</v>
      </c>
      <c r="AD213" s="226" t="e">
        <f ca="1">_xlfn.XLOOKUP(X213,'USEEIO metadata'!$C$2:$C$393,'USEEIO metadata'!$H$2:$H$393)</f>
        <v>#NAME?</v>
      </c>
      <c r="AE213" s="226" t="e">
        <f ca="1">_xlfn.XLOOKUP(X213,'USEEIO metadata'!$C$2:$C$393,'USEEIO metadata'!$F$2:$F$393)</f>
        <v>#NAME?</v>
      </c>
      <c r="AF213" s="226" t="e">
        <f ca="1">_xlfn.XLOOKUP(X213,'USEEIO metadata'!$C$2:$C$393,'USEEIO metadata'!$G$2:$G$393)</f>
        <v>#NAME?</v>
      </c>
    </row>
    <row r="214" spans="1:32" ht="42.75">
      <c r="A214" t="str">
        <f>_xlfn.IFNA(IF(VLOOKUP(C214,'2016_Detail_Commodity_v1.0'!C:C,1,FALSE)=C214,"No change"),"Name changed")</f>
        <v>No change</v>
      </c>
      <c r="B214" t="s">
        <v>415</v>
      </c>
      <c r="C214" t="s">
        <v>416</v>
      </c>
      <c r="E214" t="s">
        <v>3653</v>
      </c>
      <c r="F214" t="s">
        <v>12</v>
      </c>
      <c r="G214">
        <v>0.19900000000000001</v>
      </c>
      <c r="H214" s="413">
        <f>G214*VLOOKUP(E214,GWPs!$B$3:$C$6,2,FALSE)</f>
        <v>0.19900000000000001</v>
      </c>
      <c r="I214">
        <v>5.3999999999999999E-2</v>
      </c>
      <c r="J214" s="413">
        <f>I214*VLOOKUP(E214,GWPs!$B$3:$C$6,2,FALSE)</f>
        <v>5.3999999999999999E-2</v>
      </c>
      <c r="K214">
        <v>0.254</v>
      </c>
      <c r="L214" s="413">
        <f>K214*VLOOKUP(E214,GWPs!$B$3:$C$6,2,FALSE)</f>
        <v>0.254</v>
      </c>
      <c r="N214">
        <v>3</v>
      </c>
      <c r="O214">
        <v>2</v>
      </c>
      <c r="P214">
        <v>1</v>
      </c>
      <c r="Q214">
        <v>4</v>
      </c>
      <c r="R214">
        <v>1</v>
      </c>
      <c r="W214" s="226" t="s">
        <v>788</v>
      </c>
      <c r="X214" s="70" t="s">
        <v>787</v>
      </c>
      <c r="Y214" s="414">
        <v>0.39500000000000002</v>
      </c>
      <c r="Z214" s="70">
        <v>0.35100000000000003</v>
      </c>
      <c r="AA214" s="70">
        <v>4.3999999999999997E-2</v>
      </c>
      <c r="AB214" s="464" t="s">
        <v>4230</v>
      </c>
      <c r="AC214" s="415">
        <f t="shared" si="3"/>
        <v>0.11139240506329112</v>
      </c>
      <c r="AD214" s="226" t="e">
        <f ca="1">_xlfn.XLOOKUP(X214,'USEEIO metadata'!$C$2:$C$393,'USEEIO metadata'!$H$2:$H$393)</f>
        <v>#NAME?</v>
      </c>
      <c r="AE214" s="226" t="e">
        <f ca="1">_xlfn.XLOOKUP(X214,'USEEIO metadata'!$C$2:$C$393,'USEEIO metadata'!$F$2:$F$393)</f>
        <v>#NAME?</v>
      </c>
      <c r="AF214" s="226" t="e">
        <f ca="1">_xlfn.XLOOKUP(X214,'USEEIO metadata'!$C$2:$C$393,'USEEIO metadata'!$G$2:$G$393)</f>
        <v>#NAME?</v>
      </c>
    </row>
    <row r="215" spans="1:32">
      <c r="A215" t="str">
        <f>_xlfn.IFNA(IF(VLOOKUP(C215,'2016_Detail_Commodity_v1.0'!C:C,1,FALSE)=C215,"No change"),"Name changed")</f>
        <v>No change</v>
      </c>
      <c r="B215" t="s">
        <v>415</v>
      </c>
      <c r="C215" t="s">
        <v>416</v>
      </c>
      <c r="E215" t="s">
        <v>3654</v>
      </c>
      <c r="F215" t="s">
        <v>12</v>
      </c>
      <c r="G215">
        <v>1E-3</v>
      </c>
      <c r="H215" s="413">
        <f>G215*VLOOKUP(E215,GWPs!$B$3:$C$6,2,FALSE)</f>
        <v>2.8000000000000001E-2</v>
      </c>
      <c r="I215">
        <v>0</v>
      </c>
      <c r="J215" s="413">
        <f>I215*VLOOKUP(E215,GWPs!$B$3:$C$6,2,FALSE)</f>
        <v>0</v>
      </c>
      <c r="K215">
        <v>2E-3</v>
      </c>
      <c r="L215" s="413">
        <f>K215*VLOOKUP(E215,GWPs!$B$3:$C$6,2,FALSE)</f>
        <v>5.6000000000000001E-2</v>
      </c>
      <c r="N215">
        <v>3</v>
      </c>
      <c r="O215">
        <v>2</v>
      </c>
      <c r="P215">
        <v>1</v>
      </c>
      <c r="Q215">
        <v>1</v>
      </c>
      <c r="R215">
        <v>1</v>
      </c>
      <c r="W215" s="226" t="s">
        <v>805</v>
      </c>
      <c r="X215" s="70" t="s">
        <v>804</v>
      </c>
      <c r="Y215" s="414">
        <v>0.25700000000000001</v>
      </c>
      <c r="Z215" s="70">
        <v>0.187</v>
      </c>
      <c r="AA215" s="70">
        <v>7.0000000000000007E-2</v>
      </c>
      <c r="AB215" s="464" t="s">
        <v>4230</v>
      </c>
      <c r="AC215" s="415">
        <f t="shared" si="3"/>
        <v>0.27237354085603116</v>
      </c>
      <c r="AD215" s="226" t="e">
        <f ca="1">_xlfn.XLOOKUP(X215,'USEEIO metadata'!$C$2:$C$393,'USEEIO metadata'!$H$2:$H$393)</f>
        <v>#NAME?</v>
      </c>
      <c r="AE215" s="226" t="e">
        <f ca="1">_xlfn.XLOOKUP(X215,'USEEIO metadata'!$C$2:$C$393,'USEEIO metadata'!$F$2:$F$393)</f>
        <v>#NAME?</v>
      </c>
      <c r="AF215" s="226" t="e">
        <f ca="1">_xlfn.XLOOKUP(X215,'USEEIO metadata'!$C$2:$C$393,'USEEIO metadata'!$G$2:$G$393)</f>
        <v>#NAME?</v>
      </c>
    </row>
    <row r="216" spans="1:32">
      <c r="A216" t="str">
        <f>_xlfn.IFNA(IF(VLOOKUP(C216,'2016_Detail_Commodity_v1.0'!C:C,1,FALSE)=C216,"No change"),"Name changed")</f>
        <v>No change</v>
      </c>
      <c r="B216" t="s">
        <v>415</v>
      </c>
      <c r="C216" t="s">
        <v>416</v>
      </c>
      <c r="E216" t="s">
        <v>3655</v>
      </c>
      <c r="F216" t="s">
        <v>12</v>
      </c>
      <c r="G216">
        <v>0</v>
      </c>
      <c r="H216" s="413">
        <f>G216*VLOOKUP(E216,GWPs!$B$3:$C$6,2,FALSE)</f>
        <v>0</v>
      </c>
      <c r="I216">
        <v>0</v>
      </c>
      <c r="J216" s="413">
        <f>I216*VLOOKUP(E216,GWPs!$B$3:$C$6,2,FALSE)</f>
        <v>0</v>
      </c>
      <c r="K216">
        <v>0</v>
      </c>
      <c r="L216" s="413">
        <f>K216*VLOOKUP(E216,GWPs!$B$3:$C$6,2,FALSE)</f>
        <v>0</v>
      </c>
      <c r="N216">
        <v>4</v>
      </c>
      <c r="O216">
        <v>2</v>
      </c>
      <c r="P216">
        <v>1</v>
      </c>
      <c r="Q216">
        <v>4</v>
      </c>
      <c r="R216">
        <v>1</v>
      </c>
      <c r="W216" s="226" t="s">
        <v>744</v>
      </c>
      <c r="X216" s="70" t="s">
        <v>743</v>
      </c>
      <c r="Y216" s="414">
        <v>0.25800000000000001</v>
      </c>
      <c r="Z216" s="70">
        <v>0.223</v>
      </c>
      <c r="AA216" s="70">
        <v>3.5000000000000003E-2</v>
      </c>
      <c r="AB216" s="464" t="s">
        <v>4230</v>
      </c>
      <c r="AC216" s="415">
        <f t="shared" si="3"/>
        <v>0.13565891472868219</v>
      </c>
      <c r="AD216" s="226" t="e">
        <f ca="1">_xlfn.XLOOKUP(X216,'USEEIO metadata'!$C$2:$C$393,'USEEIO metadata'!$H$2:$H$393)</f>
        <v>#NAME?</v>
      </c>
      <c r="AE216" s="226" t="e">
        <f ca="1">_xlfn.XLOOKUP(X216,'USEEIO metadata'!$C$2:$C$393,'USEEIO metadata'!$F$2:$F$393)</f>
        <v>#NAME?</v>
      </c>
      <c r="AF216" s="226" t="e">
        <f ca="1">_xlfn.XLOOKUP(X216,'USEEIO metadata'!$C$2:$C$393,'USEEIO metadata'!$G$2:$G$393)</f>
        <v>#NAME?</v>
      </c>
    </row>
    <row r="217" spans="1:32">
      <c r="A217" t="str">
        <f>_xlfn.IFNA(IF(VLOOKUP(C217,'2016_Detail_Commodity_v1.0'!C:C,1,FALSE)=C217,"No change"),"Name changed")</f>
        <v>No change</v>
      </c>
      <c r="B217" t="s">
        <v>415</v>
      </c>
      <c r="C217" t="s">
        <v>416</v>
      </c>
      <c r="E217" t="s">
        <v>15</v>
      </c>
      <c r="F217" t="s">
        <v>16</v>
      </c>
      <c r="G217">
        <v>6.0000000000000001E-3</v>
      </c>
      <c r="H217" s="413">
        <f>G217*VLOOKUP(E217,GWPs!$B$3:$C$6,2,FALSE)</f>
        <v>6.0000000000000001E-3</v>
      </c>
      <c r="I217">
        <v>0</v>
      </c>
      <c r="J217" s="413">
        <f>I217*VLOOKUP(E217,GWPs!$B$3:$C$6,2,FALSE)</f>
        <v>0</v>
      </c>
      <c r="K217">
        <v>6.0000000000000001E-3</v>
      </c>
      <c r="L217" s="413">
        <f>K217*VLOOKUP(E217,GWPs!$B$3:$C$6,2,FALSE)</f>
        <v>6.0000000000000001E-3</v>
      </c>
      <c r="N217">
        <v>4</v>
      </c>
      <c r="O217">
        <v>2</v>
      </c>
      <c r="P217">
        <v>1</v>
      </c>
      <c r="Q217">
        <v>4</v>
      </c>
      <c r="R217">
        <v>1</v>
      </c>
      <c r="W217" s="226" t="s">
        <v>916</v>
      </c>
      <c r="X217" s="70" t="s">
        <v>915</v>
      </c>
      <c r="Y217" s="414">
        <v>7.0000000000000007E-2</v>
      </c>
      <c r="Z217" s="70">
        <v>6.0999999999999999E-2</v>
      </c>
      <c r="AA217" s="70">
        <v>8.9999999999999993E-3</v>
      </c>
      <c r="AB217" s="464" t="s">
        <v>4230</v>
      </c>
      <c r="AC217" s="415">
        <f t="shared" si="3"/>
        <v>0.12857142857142856</v>
      </c>
      <c r="AD217" s="226" t="e">
        <f ca="1">_xlfn.XLOOKUP(X217,'USEEIO metadata'!$C$2:$C$393,'USEEIO metadata'!$H$2:$H$393)</f>
        <v>#NAME?</v>
      </c>
      <c r="AE217" s="226" t="e">
        <f ca="1">_xlfn.XLOOKUP(X217,'USEEIO metadata'!$C$2:$C$393,'USEEIO metadata'!$F$2:$F$393)</f>
        <v>#NAME?</v>
      </c>
      <c r="AF217" s="226" t="e">
        <f ca="1">_xlfn.XLOOKUP(X217,'USEEIO metadata'!$C$2:$C$393,'USEEIO metadata'!$G$2:$G$393)</f>
        <v>#NAME?</v>
      </c>
    </row>
    <row r="218" spans="1:32">
      <c r="A218" t="str">
        <f>_xlfn.IFNA(IF(VLOOKUP(C218,'2016_Detail_Commodity_v1.0'!C:C,1,FALSE)=C218,"No change"),"Name changed")</f>
        <v>No change</v>
      </c>
      <c r="B218" t="s">
        <v>417</v>
      </c>
      <c r="C218" t="s">
        <v>418</v>
      </c>
      <c r="E218" t="s">
        <v>3653</v>
      </c>
      <c r="F218" t="s">
        <v>12</v>
      </c>
      <c r="G218">
        <v>0.29699999999999999</v>
      </c>
      <c r="H218" s="413">
        <f>G218*VLOOKUP(E218,GWPs!$B$3:$C$6,2,FALSE)</f>
        <v>0.29699999999999999</v>
      </c>
      <c r="I218">
        <v>6.7000000000000004E-2</v>
      </c>
      <c r="J218" s="413">
        <f>I218*VLOOKUP(E218,GWPs!$B$3:$C$6,2,FALSE)</f>
        <v>6.7000000000000004E-2</v>
      </c>
      <c r="K218">
        <v>0.36399999999999999</v>
      </c>
      <c r="L218" s="413">
        <f>K218*VLOOKUP(E218,GWPs!$B$3:$C$6,2,FALSE)</f>
        <v>0.36399999999999999</v>
      </c>
      <c r="N218">
        <v>3</v>
      </c>
      <c r="O218">
        <v>2</v>
      </c>
      <c r="P218">
        <v>1</v>
      </c>
      <c r="Q218">
        <v>4</v>
      </c>
      <c r="R218">
        <v>1</v>
      </c>
      <c r="W218" s="226" t="s">
        <v>1397</v>
      </c>
      <c r="X218" s="70" t="s">
        <v>377</v>
      </c>
      <c r="Y218" s="414">
        <v>8.6000000000000007E-2</v>
      </c>
      <c r="Z218" s="70">
        <v>8.6000000000000007E-2</v>
      </c>
      <c r="AA218" s="70">
        <v>0</v>
      </c>
      <c r="AB218" s="464" t="s">
        <v>4230</v>
      </c>
      <c r="AC218" s="415">
        <f t="shared" si="3"/>
        <v>0</v>
      </c>
      <c r="AD218" s="226" t="e">
        <f ca="1">_xlfn.XLOOKUP(X218,'USEEIO metadata'!$C$2:$C$393,'USEEIO metadata'!$H$2:$H$393)</f>
        <v>#NAME?</v>
      </c>
      <c r="AE218" s="226" t="e">
        <f ca="1">_xlfn.XLOOKUP(X218,'USEEIO metadata'!$C$2:$C$393,'USEEIO metadata'!$F$2:$F$393)</f>
        <v>#NAME?</v>
      </c>
      <c r="AF218" s="226" t="e">
        <f ca="1">_xlfn.XLOOKUP(X218,'USEEIO metadata'!$C$2:$C$393,'USEEIO metadata'!$G$2:$G$393)</f>
        <v>#NAME?</v>
      </c>
    </row>
    <row r="219" spans="1:32" ht="28.5">
      <c r="A219" t="str">
        <f>_xlfn.IFNA(IF(VLOOKUP(C219,'2016_Detail_Commodity_v1.0'!C:C,1,FALSE)=C219,"No change"),"Name changed")</f>
        <v>No change</v>
      </c>
      <c r="B219" t="s">
        <v>417</v>
      </c>
      <c r="C219" t="s">
        <v>418</v>
      </c>
      <c r="E219" t="s">
        <v>3654</v>
      </c>
      <c r="F219" t="s">
        <v>12</v>
      </c>
      <c r="G219">
        <v>3.0000000000000001E-3</v>
      </c>
      <c r="H219" s="413">
        <f>G219*VLOOKUP(E219,GWPs!$B$3:$C$6,2,FALSE)</f>
        <v>8.4000000000000005E-2</v>
      </c>
      <c r="I219">
        <v>0</v>
      </c>
      <c r="J219" s="413">
        <f>I219*VLOOKUP(E219,GWPs!$B$3:$C$6,2,FALSE)</f>
        <v>0</v>
      </c>
      <c r="K219">
        <v>3.0000000000000001E-3</v>
      </c>
      <c r="L219" s="413">
        <f>K219*VLOOKUP(E219,GWPs!$B$3:$C$6,2,FALSE)</f>
        <v>8.4000000000000005E-2</v>
      </c>
      <c r="N219">
        <v>3</v>
      </c>
      <c r="O219">
        <v>2</v>
      </c>
      <c r="P219">
        <v>1</v>
      </c>
      <c r="Q219">
        <v>1</v>
      </c>
      <c r="R219">
        <v>1</v>
      </c>
      <c r="W219" s="226" t="s">
        <v>1051</v>
      </c>
      <c r="X219" s="70" t="s">
        <v>1050</v>
      </c>
      <c r="Y219" s="414">
        <v>0.20299999999999999</v>
      </c>
      <c r="Z219" s="70">
        <v>0.20299999999999999</v>
      </c>
      <c r="AA219" s="70">
        <v>0</v>
      </c>
      <c r="AB219" s="464" t="s">
        <v>4230</v>
      </c>
      <c r="AC219" s="415">
        <f t="shared" si="3"/>
        <v>0</v>
      </c>
      <c r="AD219" s="226" t="e">
        <f ca="1">_xlfn.XLOOKUP(X219,'USEEIO metadata'!$C$2:$C$393,'USEEIO metadata'!$H$2:$H$393)</f>
        <v>#NAME?</v>
      </c>
      <c r="AE219" s="226" t="e">
        <f ca="1">_xlfn.XLOOKUP(X219,'USEEIO metadata'!$C$2:$C$393,'USEEIO metadata'!$F$2:$F$393)</f>
        <v>#NAME?</v>
      </c>
      <c r="AF219" s="226" t="e">
        <f ca="1">_xlfn.XLOOKUP(X219,'USEEIO metadata'!$C$2:$C$393,'USEEIO metadata'!$G$2:$G$393)</f>
        <v>#NAME?</v>
      </c>
    </row>
    <row r="220" spans="1:32">
      <c r="A220" t="str">
        <f>_xlfn.IFNA(IF(VLOOKUP(C220,'2016_Detail_Commodity_v1.0'!C:C,1,FALSE)=C220,"No change"),"Name changed")</f>
        <v>No change</v>
      </c>
      <c r="B220" t="s">
        <v>417</v>
      </c>
      <c r="C220" t="s">
        <v>418</v>
      </c>
      <c r="E220" t="s">
        <v>3655</v>
      </c>
      <c r="F220" t="s">
        <v>12</v>
      </c>
      <c r="G220">
        <v>1E-3</v>
      </c>
      <c r="H220" s="413">
        <f>G220*VLOOKUP(E220,GWPs!$B$3:$C$6,2,FALSE)</f>
        <v>0.26500000000000001</v>
      </c>
      <c r="I220">
        <v>0</v>
      </c>
      <c r="J220" s="413">
        <f>I220*VLOOKUP(E220,GWPs!$B$3:$C$6,2,FALSE)</f>
        <v>0</v>
      </c>
      <c r="K220">
        <v>1E-3</v>
      </c>
      <c r="L220" s="413">
        <f>K220*VLOOKUP(E220,GWPs!$B$3:$C$6,2,FALSE)</f>
        <v>0.26500000000000001</v>
      </c>
      <c r="N220">
        <v>4</v>
      </c>
      <c r="O220">
        <v>2</v>
      </c>
      <c r="P220">
        <v>1</v>
      </c>
      <c r="Q220">
        <v>4</v>
      </c>
      <c r="R220">
        <v>1</v>
      </c>
      <c r="W220" s="226" t="s">
        <v>249</v>
      </c>
      <c r="X220" s="70" t="s">
        <v>354</v>
      </c>
      <c r="Y220" s="414">
        <v>0.76200000000000001</v>
      </c>
      <c r="Z220" s="70">
        <v>0.76200000000000001</v>
      </c>
      <c r="AA220" s="70">
        <v>0</v>
      </c>
      <c r="AB220" s="464" t="s">
        <v>4230</v>
      </c>
      <c r="AC220" s="415">
        <f t="shared" si="3"/>
        <v>0</v>
      </c>
      <c r="AD220" s="226" t="e">
        <f ca="1">_xlfn.XLOOKUP(X220,'USEEIO metadata'!$C$2:$C$393,'USEEIO metadata'!$H$2:$H$393)</f>
        <v>#NAME?</v>
      </c>
      <c r="AE220" s="226" t="e">
        <f ca="1">_xlfn.XLOOKUP(X220,'USEEIO metadata'!$C$2:$C$393,'USEEIO metadata'!$F$2:$F$393)</f>
        <v>#NAME?</v>
      </c>
      <c r="AF220" s="226" t="e">
        <f ca="1">_xlfn.XLOOKUP(X220,'USEEIO metadata'!$C$2:$C$393,'USEEIO metadata'!$G$2:$G$393)</f>
        <v>#NAME?</v>
      </c>
    </row>
    <row r="221" spans="1:32">
      <c r="A221" t="str">
        <f>_xlfn.IFNA(IF(VLOOKUP(C221,'2016_Detail_Commodity_v1.0'!C:C,1,FALSE)=C221,"No change"),"Name changed")</f>
        <v>No change</v>
      </c>
      <c r="B221" t="s">
        <v>417</v>
      </c>
      <c r="C221" t="s">
        <v>418</v>
      </c>
      <c r="E221" t="s">
        <v>15</v>
      </c>
      <c r="F221" t="s">
        <v>16</v>
      </c>
      <c r="G221">
        <v>1.0999999999999999E-2</v>
      </c>
      <c r="H221" s="413">
        <f>G221*VLOOKUP(E221,GWPs!$B$3:$C$6,2,FALSE)</f>
        <v>1.0999999999999999E-2</v>
      </c>
      <c r="I221">
        <v>0</v>
      </c>
      <c r="J221" s="413">
        <f>I221*VLOOKUP(E221,GWPs!$B$3:$C$6,2,FALSE)</f>
        <v>0</v>
      </c>
      <c r="K221">
        <v>1.0999999999999999E-2</v>
      </c>
      <c r="L221" s="413">
        <f>K221*VLOOKUP(E221,GWPs!$B$3:$C$6,2,FALSE)</f>
        <v>1.0999999999999999E-2</v>
      </c>
      <c r="N221">
        <v>4</v>
      </c>
      <c r="O221">
        <v>2</v>
      </c>
      <c r="P221">
        <v>1</v>
      </c>
      <c r="Q221">
        <v>5</v>
      </c>
      <c r="R221">
        <v>1</v>
      </c>
      <c r="W221" s="226" t="s">
        <v>710</v>
      </c>
      <c r="X221" s="70" t="s">
        <v>709</v>
      </c>
      <c r="Y221" s="414">
        <v>6.2E-2</v>
      </c>
      <c r="Z221" s="70">
        <v>4.4000000000000004E-2</v>
      </c>
      <c r="AA221" s="70">
        <v>1.7999999999999999E-2</v>
      </c>
      <c r="AB221" s="464" t="s">
        <v>4230</v>
      </c>
      <c r="AC221" s="415">
        <f t="shared" si="3"/>
        <v>0.29032258064516125</v>
      </c>
      <c r="AD221" s="226" t="e">
        <f ca="1">_xlfn.XLOOKUP(X221,'USEEIO metadata'!$C$2:$C$393,'USEEIO metadata'!$H$2:$H$393)</f>
        <v>#NAME?</v>
      </c>
      <c r="AE221" s="226" t="e">
        <f ca="1">_xlfn.XLOOKUP(X221,'USEEIO metadata'!$C$2:$C$393,'USEEIO metadata'!$F$2:$F$393)</f>
        <v>#NAME?</v>
      </c>
      <c r="AF221" s="226" t="e">
        <f ca="1">_xlfn.XLOOKUP(X221,'USEEIO metadata'!$C$2:$C$393,'USEEIO metadata'!$G$2:$G$393)</f>
        <v>#NAME?</v>
      </c>
    </row>
    <row r="222" spans="1:32" ht="42.75">
      <c r="A222" t="str">
        <f>_xlfn.IFNA(IF(VLOOKUP(C222,'2016_Detail_Commodity_v1.0'!C:C,1,FALSE)=C222,"No change"),"Name changed")</f>
        <v>No change</v>
      </c>
      <c r="B222" t="s">
        <v>419</v>
      </c>
      <c r="C222" t="s">
        <v>420</v>
      </c>
      <c r="E222" t="s">
        <v>3653</v>
      </c>
      <c r="F222" t="s">
        <v>12</v>
      </c>
      <c r="G222">
        <v>0.28299999999999997</v>
      </c>
      <c r="H222" s="413">
        <f>G222*VLOOKUP(E222,GWPs!$B$3:$C$6,2,FALSE)</f>
        <v>0.28299999999999997</v>
      </c>
      <c r="I222">
        <v>6.6000000000000003E-2</v>
      </c>
      <c r="J222" s="413">
        <f>I222*VLOOKUP(E222,GWPs!$B$3:$C$6,2,FALSE)</f>
        <v>6.6000000000000003E-2</v>
      </c>
      <c r="K222">
        <v>0.34899999999999998</v>
      </c>
      <c r="L222" s="413">
        <f>K222*VLOOKUP(E222,GWPs!$B$3:$C$6,2,FALSE)</f>
        <v>0.34899999999999998</v>
      </c>
      <c r="N222">
        <v>3</v>
      </c>
      <c r="O222">
        <v>2</v>
      </c>
      <c r="P222">
        <v>1</v>
      </c>
      <c r="Q222">
        <v>4</v>
      </c>
      <c r="R222">
        <v>1</v>
      </c>
      <c r="W222" s="226" t="s">
        <v>934</v>
      </c>
      <c r="X222" s="70" t="s">
        <v>933</v>
      </c>
      <c r="Y222" s="414">
        <v>0.14500000000000002</v>
      </c>
      <c r="Z222" s="70">
        <v>0.14500000000000002</v>
      </c>
      <c r="AA222" s="70">
        <v>0</v>
      </c>
      <c r="AB222" s="464" t="s">
        <v>4230</v>
      </c>
      <c r="AC222" s="415">
        <f t="shared" si="3"/>
        <v>0</v>
      </c>
      <c r="AD222" s="226" t="e">
        <f ca="1">_xlfn.XLOOKUP(X222,'USEEIO metadata'!$C$2:$C$393,'USEEIO metadata'!$H$2:$H$393)</f>
        <v>#NAME?</v>
      </c>
      <c r="AE222" s="226" t="e">
        <f ca="1">_xlfn.XLOOKUP(X222,'USEEIO metadata'!$C$2:$C$393,'USEEIO metadata'!$F$2:$F$393)</f>
        <v>#NAME?</v>
      </c>
      <c r="AF222" s="226" t="e">
        <f ca="1">_xlfn.XLOOKUP(X222,'USEEIO metadata'!$C$2:$C$393,'USEEIO metadata'!$G$2:$G$393)</f>
        <v>#NAME?</v>
      </c>
    </row>
    <row r="223" spans="1:32">
      <c r="A223" t="str">
        <f>_xlfn.IFNA(IF(VLOOKUP(C223,'2016_Detail_Commodity_v1.0'!C:C,1,FALSE)=C223,"No change"),"Name changed")</f>
        <v>No change</v>
      </c>
      <c r="B223" t="s">
        <v>419</v>
      </c>
      <c r="C223" t="s">
        <v>420</v>
      </c>
      <c r="E223" t="s">
        <v>3654</v>
      </c>
      <c r="F223" t="s">
        <v>12</v>
      </c>
      <c r="G223">
        <v>2E-3</v>
      </c>
      <c r="H223" s="413">
        <f>G223*VLOOKUP(E223,GWPs!$B$3:$C$6,2,FALSE)</f>
        <v>5.6000000000000001E-2</v>
      </c>
      <c r="I223">
        <v>0</v>
      </c>
      <c r="J223" s="413">
        <f>I223*VLOOKUP(E223,GWPs!$B$3:$C$6,2,FALSE)</f>
        <v>0</v>
      </c>
      <c r="K223">
        <v>2E-3</v>
      </c>
      <c r="L223" s="413">
        <f>K223*VLOOKUP(E223,GWPs!$B$3:$C$6,2,FALSE)</f>
        <v>5.6000000000000001E-2</v>
      </c>
      <c r="N223">
        <v>3</v>
      </c>
      <c r="O223">
        <v>2</v>
      </c>
      <c r="P223">
        <v>1</v>
      </c>
      <c r="Q223">
        <v>1</v>
      </c>
      <c r="R223">
        <v>1</v>
      </c>
      <c r="W223" s="226" t="s">
        <v>906</v>
      </c>
      <c r="X223" s="70" t="s">
        <v>905</v>
      </c>
      <c r="Y223" s="414">
        <v>0.161</v>
      </c>
      <c r="Z223" s="70">
        <v>8.2000000000000003E-2</v>
      </c>
      <c r="AA223" s="70">
        <v>5.0999999999999997E-2</v>
      </c>
      <c r="AB223" s="464" t="s">
        <v>4230</v>
      </c>
      <c r="AC223" s="415">
        <f t="shared" si="3"/>
        <v>0.31677018633540371</v>
      </c>
      <c r="AD223" s="226" t="e">
        <f ca="1">_xlfn.XLOOKUP(X223,'USEEIO metadata'!$C$2:$C$393,'USEEIO metadata'!$H$2:$H$393)</f>
        <v>#NAME?</v>
      </c>
      <c r="AE223" s="226" t="e">
        <f ca="1">_xlfn.XLOOKUP(X223,'USEEIO metadata'!$C$2:$C$393,'USEEIO metadata'!$F$2:$F$393)</f>
        <v>#NAME?</v>
      </c>
      <c r="AF223" s="226" t="e">
        <f ca="1">_xlfn.XLOOKUP(X223,'USEEIO metadata'!$C$2:$C$393,'USEEIO metadata'!$G$2:$G$393)</f>
        <v>#NAME?</v>
      </c>
    </row>
    <row r="224" spans="1:32" ht="42.75">
      <c r="A224" t="str">
        <f>_xlfn.IFNA(IF(VLOOKUP(C224,'2016_Detail_Commodity_v1.0'!C:C,1,FALSE)=C224,"No change"),"Name changed")</f>
        <v>No change</v>
      </c>
      <c r="B224" t="s">
        <v>419</v>
      </c>
      <c r="C224" t="s">
        <v>420</v>
      </c>
      <c r="E224" t="s">
        <v>3655</v>
      </c>
      <c r="F224" t="s">
        <v>12</v>
      </c>
      <c r="G224">
        <v>0</v>
      </c>
      <c r="H224" s="413">
        <f>G224*VLOOKUP(E224,GWPs!$B$3:$C$6,2,FALSE)</f>
        <v>0</v>
      </c>
      <c r="I224">
        <v>0</v>
      </c>
      <c r="J224" s="413">
        <f>I224*VLOOKUP(E224,GWPs!$B$3:$C$6,2,FALSE)</f>
        <v>0</v>
      </c>
      <c r="K224">
        <v>0</v>
      </c>
      <c r="L224" s="413">
        <f>K224*VLOOKUP(E224,GWPs!$B$3:$C$6,2,FALSE)</f>
        <v>0</v>
      </c>
      <c r="N224">
        <v>4</v>
      </c>
      <c r="O224">
        <v>2</v>
      </c>
      <c r="P224">
        <v>1</v>
      </c>
      <c r="Q224">
        <v>4</v>
      </c>
      <c r="R224">
        <v>1</v>
      </c>
      <c r="W224" s="226" t="s">
        <v>936</v>
      </c>
      <c r="X224" s="70" t="s">
        <v>935</v>
      </c>
      <c r="Y224" s="414">
        <v>6.2E-2</v>
      </c>
      <c r="Z224" s="70">
        <v>6.2E-2</v>
      </c>
      <c r="AA224" s="70">
        <v>0</v>
      </c>
      <c r="AB224" s="464" t="s">
        <v>4230</v>
      </c>
      <c r="AC224" s="415">
        <f t="shared" si="3"/>
        <v>0</v>
      </c>
      <c r="AD224" s="226" t="e">
        <f ca="1">_xlfn.XLOOKUP(X224,'USEEIO metadata'!$C$2:$C$393,'USEEIO metadata'!$H$2:$H$393)</f>
        <v>#NAME?</v>
      </c>
      <c r="AE224" s="226" t="e">
        <f ca="1">_xlfn.XLOOKUP(X224,'USEEIO metadata'!$C$2:$C$393,'USEEIO metadata'!$F$2:$F$393)</f>
        <v>#NAME?</v>
      </c>
      <c r="AF224" s="226" t="e">
        <f ca="1">_xlfn.XLOOKUP(X224,'USEEIO metadata'!$C$2:$C$393,'USEEIO metadata'!$G$2:$G$393)</f>
        <v>#NAME?</v>
      </c>
    </row>
    <row r="225" spans="1:32">
      <c r="A225" t="str">
        <f>_xlfn.IFNA(IF(VLOOKUP(C225,'2016_Detail_Commodity_v1.0'!C:C,1,FALSE)=C225,"No change"),"Name changed")</f>
        <v>No change</v>
      </c>
      <c r="B225" t="s">
        <v>419</v>
      </c>
      <c r="C225" t="s">
        <v>420</v>
      </c>
      <c r="E225" t="s">
        <v>15</v>
      </c>
      <c r="F225" t="s">
        <v>16</v>
      </c>
      <c r="G225">
        <v>8.9999999999999993E-3</v>
      </c>
      <c r="H225" s="413">
        <f>G225*VLOOKUP(E225,GWPs!$B$3:$C$6,2,FALSE)</f>
        <v>8.9999999999999993E-3</v>
      </c>
      <c r="I225">
        <v>0</v>
      </c>
      <c r="J225" s="413">
        <f>I225*VLOOKUP(E225,GWPs!$B$3:$C$6,2,FALSE)</f>
        <v>0</v>
      </c>
      <c r="K225">
        <v>8.9999999999999993E-3</v>
      </c>
      <c r="L225" s="413">
        <f>K225*VLOOKUP(E225,GWPs!$B$3:$C$6,2,FALSE)</f>
        <v>8.9999999999999993E-3</v>
      </c>
      <c r="N225">
        <v>4</v>
      </c>
      <c r="O225">
        <v>2</v>
      </c>
      <c r="P225">
        <v>1</v>
      </c>
      <c r="Q225">
        <v>5</v>
      </c>
      <c r="R225">
        <v>1</v>
      </c>
      <c r="W225" s="226" t="s">
        <v>590</v>
      </c>
      <c r="X225" s="70" t="s">
        <v>589</v>
      </c>
      <c r="Y225" s="414">
        <v>0.54500000000000004</v>
      </c>
      <c r="Z225" s="70">
        <v>0.51900000000000002</v>
      </c>
      <c r="AA225" s="70">
        <v>2.5999999999999999E-2</v>
      </c>
      <c r="AB225" s="464" t="s">
        <v>4230</v>
      </c>
      <c r="AC225" s="415">
        <f t="shared" si="3"/>
        <v>4.770642201834862E-2</v>
      </c>
      <c r="AD225" s="226" t="e">
        <f ca="1">_xlfn.XLOOKUP(X225,'USEEIO metadata'!$C$2:$C$393,'USEEIO metadata'!$H$2:$H$393)</f>
        <v>#NAME?</v>
      </c>
      <c r="AE225" s="226" t="e">
        <f ca="1">_xlfn.XLOOKUP(X225,'USEEIO metadata'!$C$2:$C$393,'USEEIO metadata'!$F$2:$F$393)</f>
        <v>#NAME?</v>
      </c>
      <c r="AF225" s="226" t="e">
        <f ca="1">_xlfn.XLOOKUP(X225,'USEEIO metadata'!$C$2:$C$393,'USEEIO metadata'!$G$2:$G$393)</f>
        <v>#NAME?</v>
      </c>
    </row>
    <row r="226" spans="1:32" ht="28.5">
      <c r="A226" t="str">
        <f>_xlfn.IFNA(IF(VLOOKUP(C226,'2016_Detail_Commodity_v1.0'!C:C,1,FALSE)=C226,"No change"),"Name changed")</f>
        <v>No change</v>
      </c>
      <c r="B226" t="s">
        <v>421</v>
      </c>
      <c r="C226" t="s">
        <v>422</v>
      </c>
      <c r="E226" t="s">
        <v>3653</v>
      </c>
      <c r="F226" t="s">
        <v>12</v>
      </c>
      <c r="G226">
        <v>0.30099999999999999</v>
      </c>
      <c r="H226" s="413">
        <f>G226*VLOOKUP(E226,GWPs!$B$3:$C$6,2,FALSE)</f>
        <v>0.30099999999999999</v>
      </c>
      <c r="I226">
        <v>6.0999999999999999E-2</v>
      </c>
      <c r="J226" s="413">
        <f>I226*VLOOKUP(E226,GWPs!$B$3:$C$6,2,FALSE)</f>
        <v>6.0999999999999999E-2</v>
      </c>
      <c r="K226">
        <v>0.36199999999999999</v>
      </c>
      <c r="L226" s="413">
        <f>K226*VLOOKUP(E226,GWPs!$B$3:$C$6,2,FALSE)</f>
        <v>0.36199999999999999</v>
      </c>
      <c r="N226">
        <v>3</v>
      </c>
      <c r="O226">
        <v>2</v>
      </c>
      <c r="P226">
        <v>1</v>
      </c>
      <c r="Q226">
        <v>4</v>
      </c>
      <c r="R226">
        <v>1</v>
      </c>
      <c r="W226" s="226" t="s">
        <v>1389</v>
      </c>
      <c r="X226" s="70" t="s">
        <v>357</v>
      </c>
      <c r="Y226" s="414">
        <v>0.42099999999999999</v>
      </c>
      <c r="Z226" s="70">
        <v>0.42099999999999999</v>
      </c>
      <c r="AA226" s="70">
        <v>0</v>
      </c>
      <c r="AB226" s="464" t="s">
        <v>4230</v>
      </c>
      <c r="AC226" s="415">
        <f t="shared" si="3"/>
        <v>0</v>
      </c>
      <c r="AD226" s="226" t="e">
        <f ca="1">_xlfn.XLOOKUP(X226,'USEEIO metadata'!$C$2:$C$393,'USEEIO metadata'!$H$2:$H$393)</f>
        <v>#NAME?</v>
      </c>
      <c r="AE226" s="226" t="e">
        <f ca="1">_xlfn.XLOOKUP(X226,'USEEIO metadata'!$C$2:$C$393,'USEEIO metadata'!$F$2:$F$393)</f>
        <v>#NAME?</v>
      </c>
      <c r="AF226" s="226" t="e">
        <f ca="1">_xlfn.XLOOKUP(X226,'USEEIO metadata'!$C$2:$C$393,'USEEIO metadata'!$G$2:$G$393)</f>
        <v>#NAME?</v>
      </c>
    </row>
    <row r="227" spans="1:32">
      <c r="A227" t="str">
        <f>_xlfn.IFNA(IF(VLOOKUP(C227,'2016_Detail_Commodity_v1.0'!C:C,1,FALSE)=C227,"No change"),"Name changed")</f>
        <v>No change</v>
      </c>
      <c r="B227" t="s">
        <v>421</v>
      </c>
      <c r="C227" t="s">
        <v>422</v>
      </c>
      <c r="E227" t="s">
        <v>3654</v>
      </c>
      <c r="F227" t="s">
        <v>12</v>
      </c>
      <c r="G227">
        <v>1E-3</v>
      </c>
      <c r="H227" s="413">
        <f>G227*VLOOKUP(E227,GWPs!$B$3:$C$6,2,FALSE)</f>
        <v>2.8000000000000001E-2</v>
      </c>
      <c r="I227">
        <v>0</v>
      </c>
      <c r="J227" s="413">
        <f>I227*VLOOKUP(E227,GWPs!$B$3:$C$6,2,FALSE)</f>
        <v>0</v>
      </c>
      <c r="K227">
        <v>2E-3</v>
      </c>
      <c r="L227" s="413">
        <f>K227*VLOOKUP(E227,GWPs!$B$3:$C$6,2,FALSE)</f>
        <v>5.6000000000000001E-2</v>
      </c>
      <c r="N227">
        <v>3</v>
      </c>
      <c r="O227">
        <v>2</v>
      </c>
      <c r="P227">
        <v>1</v>
      </c>
      <c r="Q227">
        <v>1</v>
      </c>
      <c r="R227">
        <v>1</v>
      </c>
      <c r="W227" s="226" t="s">
        <v>882</v>
      </c>
      <c r="X227" s="70" t="s">
        <v>881</v>
      </c>
      <c r="Y227" s="414">
        <v>0.105</v>
      </c>
      <c r="Z227" s="70">
        <v>0.105</v>
      </c>
      <c r="AA227" s="70">
        <v>0</v>
      </c>
      <c r="AB227" s="464" t="s">
        <v>4230</v>
      </c>
      <c r="AC227" s="415">
        <f t="shared" si="3"/>
        <v>0</v>
      </c>
      <c r="AD227" s="226" t="e">
        <f ca="1">_xlfn.XLOOKUP(X227,'USEEIO metadata'!$C$2:$C$393,'USEEIO metadata'!$H$2:$H$393)</f>
        <v>#NAME?</v>
      </c>
      <c r="AE227" s="226" t="e">
        <f ca="1">_xlfn.XLOOKUP(X227,'USEEIO metadata'!$C$2:$C$393,'USEEIO metadata'!$F$2:$F$393)</f>
        <v>#NAME?</v>
      </c>
      <c r="AF227" s="226" t="e">
        <f ca="1">_xlfn.XLOOKUP(X227,'USEEIO metadata'!$C$2:$C$393,'USEEIO metadata'!$G$2:$G$393)</f>
        <v>#NAME?</v>
      </c>
    </row>
    <row r="228" spans="1:32" ht="28.5">
      <c r="A228" t="str">
        <f>_xlfn.IFNA(IF(VLOOKUP(C228,'2016_Detail_Commodity_v1.0'!C:C,1,FALSE)=C228,"No change"),"Name changed")</f>
        <v>No change</v>
      </c>
      <c r="B228" t="s">
        <v>421</v>
      </c>
      <c r="C228" t="s">
        <v>422</v>
      </c>
      <c r="E228" t="s">
        <v>3655</v>
      </c>
      <c r="F228" t="s">
        <v>12</v>
      </c>
      <c r="G228">
        <v>0</v>
      </c>
      <c r="H228" s="413">
        <f>G228*VLOOKUP(E228,GWPs!$B$3:$C$6,2,FALSE)</f>
        <v>0</v>
      </c>
      <c r="I228">
        <v>0</v>
      </c>
      <c r="J228" s="413">
        <f>I228*VLOOKUP(E228,GWPs!$B$3:$C$6,2,FALSE)</f>
        <v>0</v>
      </c>
      <c r="K228">
        <v>0</v>
      </c>
      <c r="L228" s="413">
        <f>K228*VLOOKUP(E228,GWPs!$B$3:$C$6,2,FALSE)</f>
        <v>0</v>
      </c>
      <c r="N228">
        <v>4</v>
      </c>
      <c r="O228">
        <v>2</v>
      </c>
      <c r="P228">
        <v>1</v>
      </c>
      <c r="Q228">
        <v>4</v>
      </c>
      <c r="R228">
        <v>1</v>
      </c>
      <c r="W228" s="226" t="s">
        <v>1033</v>
      </c>
      <c r="X228" s="70" t="s">
        <v>1032</v>
      </c>
      <c r="Y228" s="414">
        <v>0.17200000000000001</v>
      </c>
      <c r="Z228" s="70">
        <v>0.17200000000000001</v>
      </c>
      <c r="AA228" s="70">
        <v>0</v>
      </c>
      <c r="AB228" s="464" t="s">
        <v>4231</v>
      </c>
      <c r="AC228" s="415">
        <f t="shared" si="3"/>
        <v>0</v>
      </c>
      <c r="AD228" s="226" t="e">
        <f ca="1">_xlfn.XLOOKUP(X228,'USEEIO metadata'!$C$2:$C$393,'USEEIO metadata'!$H$2:$H$393)</f>
        <v>#NAME?</v>
      </c>
      <c r="AE228" s="226" t="e">
        <f ca="1">_xlfn.XLOOKUP(X228,'USEEIO metadata'!$C$2:$C$393,'USEEIO metadata'!$F$2:$F$393)</f>
        <v>#NAME?</v>
      </c>
      <c r="AF228" s="226" t="e">
        <f ca="1">_xlfn.XLOOKUP(X228,'USEEIO metadata'!$C$2:$C$393,'USEEIO metadata'!$G$2:$G$393)</f>
        <v>#NAME?</v>
      </c>
    </row>
    <row r="229" spans="1:32">
      <c r="A229" t="str">
        <f>_xlfn.IFNA(IF(VLOOKUP(C229,'2016_Detail_Commodity_v1.0'!C:C,1,FALSE)=C229,"No change"),"Name changed")</f>
        <v>No change</v>
      </c>
      <c r="B229" t="s">
        <v>421</v>
      </c>
      <c r="C229" t="s">
        <v>422</v>
      </c>
      <c r="E229" t="s">
        <v>15</v>
      </c>
      <c r="F229" t="s">
        <v>16</v>
      </c>
      <c r="G229">
        <v>5.0000000000000001E-3</v>
      </c>
      <c r="H229" s="413">
        <f>G229*VLOOKUP(E229,GWPs!$B$3:$C$6,2,FALSE)</f>
        <v>5.0000000000000001E-3</v>
      </c>
      <c r="I229">
        <v>0</v>
      </c>
      <c r="J229" s="413">
        <f>I229*VLOOKUP(E229,GWPs!$B$3:$C$6,2,FALSE)</f>
        <v>0</v>
      </c>
      <c r="K229">
        <v>5.0000000000000001E-3</v>
      </c>
      <c r="L229" s="413">
        <f>K229*VLOOKUP(E229,GWPs!$B$3:$C$6,2,FALSE)</f>
        <v>5.0000000000000001E-3</v>
      </c>
      <c r="N229">
        <v>3</v>
      </c>
      <c r="O229">
        <v>2</v>
      </c>
      <c r="P229">
        <v>1</v>
      </c>
      <c r="Q229">
        <v>3</v>
      </c>
      <c r="R229">
        <v>1</v>
      </c>
      <c r="W229" s="226" t="s">
        <v>994</v>
      </c>
      <c r="X229" s="70" t="s">
        <v>993</v>
      </c>
      <c r="Y229" s="414">
        <v>9.2999999999999999E-2</v>
      </c>
      <c r="Z229" s="70">
        <v>9.2999999999999999E-2</v>
      </c>
      <c r="AA229" s="70">
        <v>0</v>
      </c>
      <c r="AB229" s="464" t="s">
        <v>4230</v>
      </c>
      <c r="AC229" s="415">
        <f t="shared" si="3"/>
        <v>0</v>
      </c>
      <c r="AD229" s="226" t="e">
        <f ca="1">_xlfn.XLOOKUP(X229,'USEEIO metadata'!$C$2:$C$393,'USEEIO metadata'!$H$2:$H$393)</f>
        <v>#NAME?</v>
      </c>
      <c r="AE229" s="226" t="e">
        <f ca="1">_xlfn.XLOOKUP(X229,'USEEIO metadata'!$C$2:$C$393,'USEEIO metadata'!$F$2:$F$393)</f>
        <v>#NAME?</v>
      </c>
      <c r="AF229" s="226" t="e">
        <f ca="1">_xlfn.XLOOKUP(X229,'USEEIO metadata'!$C$2:$C$393,'USEEIO metadata'!$G$2:$G$393)</f>
        <v>#NAME?</v>
      </c>
    </row>
    <row r="230" spans="1:32" ht="42.75">
      <c r="A230" t="str">
        <f>_xlfn.IFNA(IF(VLOOKUP(C230,'2016_Detail_Commodity_v1.0'!C:C,1,FALSE)=C230,"No change"),"Name changed")</f>
        <v>No change</v>
      </c>
      <c r="B230" t="s">
        <v>423</v>
      </c>
      <c r="C230" t="s">
        <v>424</v>
      </c>
      <c r="E230" t="s">
        <v>3653</v>
      </c>
      <c r="F230" t="s">
        <v>12</v>
      </c>
      <c r="G230">
        <v>0.35299999999999998</v>
      </c>
      <c r="H230" s="413">
        <f>G230*VLOOKUP(E230,GWPs!$B$3:$C$6,2,FALSE)</f>
        <v>0.35299999999999998</v>
      </c>
      <c r="I230">
        <v>2.8000000000000001E-2</v>
      </c>
      <c r="J230" s="413">
        <f>I230*VLOOKUP(E230,GWPs!$B$3:$C$6,2,FALSE)</f>
        <v>2.8000000000000001E-2</v>
      </c>
      <c r="K230">
        <v>0.38100000000000001</v>
      </c>
      <c r="L230" s="413">
        <f>K230*VLOOKUP(E230,GWPs!$B$3:$C$6,2,FALSE)</f>
        <v>0.38100000000000001</v>
      </c>
      <c r="N230">
        <v>3</v>
      </c>
      <c r="O230">
        <v>2</v>
      </c>
      <c r="P230">
        <v>1</v>
      </c>
      <c r="Q230">
        <v>4</v>
      </c>
      <c r="R230">
        <v>1</v>
      </c>
      <c r="W230" s="226" t="s">
        <v>822</v>
      </c>
      <c r="X230" s="70" t="s">
        <v>821</v>
      </c>
      <c r="Y230" s="414">
        <v>0.371</v>
      </c>
      <c r="Z230" s="70">
        <v>0.26200000000000001</v>
      </c>
      <c r="AA230" s="70">
        <v>0.109</v>
      </c>
      <c r="AB230" s="464" t="s">
        <v>4231</v>
      </c>
      <c r="AC230" s="415">
        <f t="shared" si="3"/>
        <v>0.29380053908355797</v>
      </c>
      <c r="AD230" s="226" t="e">
        <f ca="1">_xlfn.XLOOKUP(X230,'USEEIO metadata'!$C$2:$C$393,'USEEIO metadata'!$H$2:$H$393)</f>
        <v>#NAME?</v>
      </c>
      <c r="AE230" s="226" t="e">
        <f ca="1">_xlfn.XLOOKUP(X230,'USEEIO metadata'!$C$2:$C$393,'USEEIO metadata'!$F$2:$F$393)</f>
        <v>#NAME?</v>
      </c>
      <c r="AF230" s="226" t="e">
        <f ca="1">_xlfn.XLOOKUP(X230,'USEEIO metadata'!$C$2:$C$393,'USEEIO metadata'!$G$2:$G$393)</f>
        <v>#NAME?</v>
      </c>
    </row>
    <row r="231" spans="1:32">
      <c r="A231" t="str">
        <f>_xlfn.IFNA(IF(VLOOKUP(C231,'2016_Detail_Commodity_v1.0'!C:C,1,FALSE)=C231,"No change"),"Name changed")</f>
        <v>No change</v>
      </c>
      <c r="B231" t="s">
        <v>423</v>
      </c>
      <c r="C231" t="s">
        <v>424</v>
      </c>
      <c r="E231" t="s">
        <v>3654</v>
      </c>
      <c r="F231" t="s">
        <v>12</v>
      </c>
      <c r="G231">
        <v>2E-3</v>
      </c>
      <c r="H231" s="413">
        <f>G231*VLOOKUP(E231,GWPs!$B$3:$C$6,2,FALSE)</f>
        <v>5.6000000000000001E-2</v>
      </c>
      <c r="I231">
        <v>0</v>
      </c>
      <c r="J231" s="413">
        <f>I231*VLOOKUP(E231,GWPs!$B$3:$C$6,2,FALSE)</f>
        <v>0</v>
      </c>
      <c r="K231">
        <v>2E-3</v>
      </c>
      <c r="L231" s="413">
        <f>K231*VLOOKUP(E231,GWPs!$B$3:$C$6,2,FALSE)</f>
        <v>5.6000000000000001E-2</v>
      </c>
      <c r="N231">
        <v>3</v>
      </c>
      <c r="O231">
        <v>2</v>
      </c>
      <c r="P231">
        <v>1</v>
      </c>
      <c r="Q231">
        <v>1</v>
      </c>
      <c r="R231">
        <v>1</v>
      </c>
      <c r="W231" s="226" t="s">
        <v>842</v>
      </c>
      <c r="X231" s="70" t="s">
        <v>841</v>
      </c>
      <c r="Y231" s="414">
        <v>0.34899999999999998</v>
      </c>
      <c r="Z231" s="70">
        <v>0.22500000000000001</v>
      </c>
      <c r="AA231" s="70">
        <v>0.124</v>
      </c>
      <c r="AB231" s="464" t="s">
        <v>4231</v>
      </c>
      <c r="AC231" s="415">
        <f t="shared" si="3"/>
        <v>0.35530085959885388</v>
      </c>
      <c r="AD231" s="226" t="e">
        <f ca="1">_xlfn.XLOOKUP(X231,'USEEIO metadata'!$C$2:$C$393,'USEEIO metadata'!$H$2:$H$393)</f>
        <v>#NAME?</v>
      </c>
      <c r="AE231" s="226" t="e">
        <f ca="1">_xlfn.XLOOKUP(X231,'USEEIO metadata'!$C$2:$C$393,'USEEIO metadata'!$F$2:$F$393)</f>
        <v>#NAME?</v>
      </c>
      <c r="AF231" s="226" t="e">
        <f ca="1">_xlfn.XLOOKUP(X231,'USEEIO metadata'!$C$2:$C$393,'USEEIO metadata'!$G$2:$G$393)</f>
        <v>#NAME?</v>
      </c>
    </row>
    <row r="232" spans="1:32">
      <c r="A232" t="str">
        <f>_xlfn.IFNA(IF(VLOOKUP(C232,'2016_Detail_Commodity_v1.0'!C:C,1,FALSE)=C232,"No change"),"Name changed")</f>
        <v>No change</v>
      </c>
      <c r="B232" t="s">
        <v>423</v>
      </c>
      <c r="C232" t="s">
        <v>424</v>
      </c>
      <c r="E232" t="s">
        <v>3655</v>
      </c>
      <c r="F232" t="s">
        <v>12</v>
      </c>
      <c r="G232">
        <v>0</v>
      </c>
      <c r="H232" s="413">
        <f>G232*VLOOKUP(E232,GWPs!$B$3:$C$6,2,FALSE)</f>
        <v>0</v>
      </c>
      <c r="I232">
        <v>0</v>
      </c>
      <c r="J232" s="413">
        <f>I232*VLOOKUP(E232,GWPs!$B$3:$C$6,2,FALSE)</f>
        <v>0</v>
      </c>
      <c r="K232">
        <v>0</v>
      </c>
      <c r="L232" s="413">
        <f>K232*VLOOKUP(E232,GWPs!$B$3:$C$6,2,FALSE)</f>
        <v>0</v>
      </c>
      <c r="N232">
        <v>4</v>
      </c>
      <c r="O232">
        <v>2</v>
      </c>
      <c r="P232">
        <v>1</v>
      </c>
      <c r="Q232">
        <v>4</v>
      </c>
      <c r="R232">
        <v>1</v>
      </c>
      <c r="W232" s="226" t="s">
        <v>832</v>
      </c>
      <c r="X232" s="70" t="s">
        <v>831</v>
      </c>
      <c r="Y232" s="414">
        <v>0.192</v>
      </c>
      <c r="Z232" s="70">
        <v>6.6000000000000003E-2</v>
      </c>
      <c r="AA232" s="70">
        <v>9.7000000000000003E-2</v>
      </c>
      <c r="AB232" s="464" t="s">
        <v>4230</v>
      </c>
      <c r="AC232" s="415">
        <f t="shared" si="3"/>
        <v>0.50520833333333337</v>
      </c>
      <c r="AD232" s="226" t="e">
        <f ca="1">_xlfn.XLOOKUP(X232,'USEEIO metadata'!$C$2:$C$393,'USEEIO metadata'!$H$2:$H$393)</f>
        <v>#NAME?</v>
      </c>
      <c r="AE232" s="226" t="e">
        <f ca="1">_xlfn.XLOOKUP(X232,'USEEIO metadata'!$C$2:$C$393,'USEEIO metadata'!$F$2:$F$393)</f>
        <v>#NAME?</v>
      </c>
      <c r="AF232" s="226" t="e">
        <f ca="1">_xlfn.XLOOKUP(X232,'USEEIO metadata'!$C$2:$C$393,'USEEIO metadata'!$G$2:$G$393)</f>
        <v>#NAME?</v>
      </c>
    </row>
    <row r="233" spans="1:32">
      <c r="A233" t="str">
        <f>_xlfn.IFNA(IF(VLOOKUP(C233,'2016_Detail_Commodity_v1.0'!C:C,1,FALSE)=C233,"No change"),"Name changed")</f>
        <v>No change</v>
      </c>
      <c r="B233" t="s">
        <v>423</v>
      </c>
      <c r="C233" t="s">
        <v>424</v>
      </c>
      <c r="E233" t="s">
        <v>15</v>
      </c>
      <c r="F233" t="s">
        <v>16</v>
      </c>
      <c r="G233">
        <v>7.0000000000000001E-3</v>
      </c>
      <c r="H233" s="413">
        <f>G233*VLOOKUP(E233,GWPs!$B$3:$C$6,2,FALSE)</f>
        <v>7.0000000000000001E-3</v>
      </c>
      <c r="I233">
        <v>0</v>
      </c>
      <c r="J233" s="413">
        <f>I233*VLOOKUP(E233,GWPs!$B$3:$C$6,2,FALSE)</f>
        <v>0</v>
      </c>
      <c r="K233">
        <v>7.0000000000000001E-3</v>
      </c>
      <c r="L233" s="413">
        <f>K233*VLOOKUP(E233,GWPs!$B$3:$C$6,2,FALSE)</f>
        <v>7.0000000000000001E-3</v>
      </c>
      <c r="N233">
        <v>3</v>
      </c>
      <c r="O233">
        <v>2</v>
      </c>
      <c r="P233">
        <v>1</v>
      </c>
      <c r="Q233">
        <v>3</v>
      </c>
      <c r="R233">
        <v>1</v>
      </c>
      <c r="W233" s="226" t="s">
        <v>644</v>
      </c>
      <c r="X233" s="70" t="s">
        <v>643</v>
      </c>
      <c r="Y233" s="414">
        <v>0.2</v>
      </c>
      <c r="Z233" s="70">
        <v>0.13600000000000001</v>
      </c>
      <c r="AA233" s="70">
        <v>3.5999999999999997E-2</v>
      </c>
      <c r="AB233" s="464" t="s">
        <v>4230</v>
      </c>
      <c r="AC233" s="415">
        <f t="shared" si="3"/>
        <v>0.17999999999999997</v>
      </c>
      <c r="AD233" s="226" t="e">
        <f ca="1">_xlfn.XLOOKUP(X233,'USEEIO metadata'!$C$2:$C$393,'USEEIO metadata'!$H$2:$H$393)</f>
        <v>#NAME?</v>
      </c>
      <c r="AE233" s="226" t="e">
        <f ca="1">_xlfn.XLOOKUP(X233,'USEEIO metadata'!$C$2:$C$393,'USEEIO metadata'!$F$2:$F$393)</f>
        <v>#NAME?</v>
      </c>
      <c r="AF233" s="226" t="e">
        <f ca="1">_xlfn.XLOOKUP(X233,'USEEIO metadata'!$C$2:$C$393,'USEEIO metadata'!$G$2:$G$393)</f>
        <v>#NAME?</v>
      </c>
    </row>
    <row r="234" spans="1:32">
      <c r="A234" t="str">
        <f>_xlfn.IFNA(IF(VLOOKUP(C234,'2016_Detail_Commodity_v1.0'!C:C,1,FALSE)=C234,"No change"),"Name changed")</f>
        <v>No change</v>
      </c>
      <c r="B234" t="s">
        <v>425</v>
      </c>
      <c r="C234" t="s">
        <v>426</v>
      </c>
      <c r="E234" t="s">
        <v>3653</v>
      </c>
      <c r="F234" t="s">
        <v>12</v>
      </c>
      <c r="G234">
        <v>0.26900000000000002</v>
      </c>
      <c r="H234" s="413">
        <f>G234*VLOOKUP(E234,GWPs!$B$3:$C$6,2,FALSE)</f>
        <v>0.26900000000000002</v>
      </c>
      <c r="I234">
        <v>0.05</v>
      </c>
      <c r="J234" s="413">
        <f>I234*VLOOKUP(E234,GWPs!$B$3:$C$6,2,FALSE)</f>
        <v>0.05</v>
      </c>
      <c r="K234">
        <v>0.318</v>
      </c>
      <c r="L234" s="413">
        <f>K234*VLOOKUP(E234,GWPs!$B$3:$C$6,2,FALSE)</f>
        <v>0.318</v>
      </c>
      <c r="N234">
        <v>3</v>
      </c>
      <c r="O234">
        <v>2</v>
      </c>
      <c r="P234">
        <v>1</v>
      </c>
      <c r="Q234">
        <v>4</v>
      </c>
      <c r="R234">
        <v>1</v>
      </c>
      <c r="W234" s="226" t="s">
        <v>793</v>
      </c>
      <c r="X234" s="70" t="s">
        <v>792</v>
      </c>
      <c r="Y234" s="414">
        <v>0.22800000000000001</v>
      </c>
      <c r="Z234" s="70">
        <v>0.218</v>
      </c>
      <c r="AA234" s="70">
        <v>0.01</v>
      </c>
      <c r="AB234" s="464" t="s">
        <v>4230</v>
      </c>
      <c r="AC234" s="415">
        <f t="shared" si="3"/>
        <v>4.3859649122807015E-2</v>
      </c>
      <c r="AD234" s="226" t="e">
        <f ca="1">_xlfn.XLOOKUP(X234,'USEEIO metadata'!$C$2:$C$393,'USEEIO metadata'!$H$2:$H$393)</f>
        <v>#NAME?</v>
      </c>
      <c r="AE234" s="226" t="e">
        <f ca="1">_xlfn.XLOOKUP(X234,'USEEIO metadata'!$C$2:$C$393,'USEEIO metadata'!$F$2:$F$393)</f>
        <v>#NAME?</v>
      </c>
      <c r="AF234" s="226" t="e">
        <f ca="1">_xlfn.XLOOKUP(X234,'USEEIO metadata'!$C$2:$C$393,'USEEIO metadata'!$G$2:$G$393)</f>
        <v>#NAME?</v>
      </c>
    </row>
    <row r="235" spans="1:32">
      <c r="A235" t="str">
        <f>_xlfn.IFNA(IF(VLOOKUP(C235,'2016_Detail_Commodity_v1.0'!C:C,1,FALSE)=C235,"No change"),"Name changed")</f>
        <v>No change</v>
      </c>
      <c r="B235" t="s">
        <v>425</v>
      </c>
      <c r="C235" t="s">
        <v>426</v>
      </c>
      <c r="E235" t="s">
        <v>3654</v>
      </c>
      <c r="F235" t="s">
        <v>12</v>
      </c>
      <c r="G235">
        <v>3.0000000000000001E-3</v>
      </c>
      <c r="H235" s="413">
        <f>G235*VLOOKUP(E235,GWPs!$B$3:$C$6,2,FALSE)</f>
        <v>8.4000000000000005E-2</v>
      </c>
      <c r="I235">
        <v>0</v>
      </c>
      <c r="J235" s="413">
        <f>I235*VLOOKUP(E235,GWPs!$B$3:$C$6,2,FALSE)</f>
        <v>0</v>
      </c>
      <c r="K235">
        <v>3.0000000000000001E-3</v>
      </c>
      <c r="L235" s="413">
        <f>K235*VLOOKUP(E235,GWPs!$B$3:$C$6,2,FALSE)</f>
        <v>8.4000000000000005E-2</v>
      </c>
      <c r="N235">
        <v>3</v>
      </c>
      <c r="O235">
        <v>2</v>
      </c>
      <c r="P235">
        <v>1</v>
      </c>
      <c r="Q235">
        <v>1</v>
      </c>
      <c r="R235">
        <v>1</v>
      </c>
      <c r="W235" s="226" t="s">
        <v>384</v>
      </c>
      <c r="X235" s="70" t="s">
        <v>383</v>
      </c>
      <c r="Y235" s="414">
        <v>0.89600000000000002</v>
      </c>
      <c r="Z235" s="70">
        <v>0.82800000000000007</v>
      </c>
      <c r="AA235" s="70">
        <v>6.8000000000000005E-2</v>
      </c>
      <c r="AB235" s="464" t="s">
        <v>4230</v>
      </c>
      <c r="AC235" s="415">
        <f t="shared" si="3"/>
        <v>7.5892857142857151E-2</v>
      </c>
      <c r="AD235" s="226" t="e">
        <f ca="1">_xlfn.XLOOKUP(X235,'USEEIO metadata'!$C$2:$C$393,'USEEIO metadata'!$H$2:$H$393)</f>
        <v>#NAME?</v>
      </c>
      <c r="AE235" s="226" t="e">
        <f ca="1">_xlfn.XLOOKUP(X235,'USEEIO metadata'!$C$2:$C$393,'USEEIO metadata'!$F$2:$F$393)</f>
        <v>#NAME?</v>
      </c>
      <c r="AF235" s="226" t="e">
        <f ca="1">_xlfn.XLOOKUP(X235,'USEEIO metadata'!$C$2:$C$393,'USEEIO metadata'!$G$2:$G$393)</f>
        <v>#NAME?</v>
      </c>
    </row>
    <row r="236" spans="1:32">
      <c r="A236" t="str">
        <f>_xlfn.IFNA(IF(VLOOKUP(C236,'2016_Detail_Commodity_v1.0'!C:C,1,FALSE)=C236,"No change"),"Name changed")</f>
        <v>No change</v>
      </c>
      <c r="B236" t="s">
        <v>425</v>
      </c>
      <c r="C236" t="s">
        <v>426</v>
      </c>
      <c r="E236" t="s">
        <v>3655</v>
      </c>
      <c r="F236" t="s">
        <v>12</v>
      </c>
      <c r="G236">
        <v>0</v>
      </c>
      <c r="H236" s="413">
        <f>G236*VLOOKUP(E236,GWPs!$B$3:$C$6,2,FALSE)</f>
        <v>0</v>
      </c>
      <c r="I236">
        <v>0</v>
      </c>
      <c r="J236" s="413">
        <f>I236*VLOOKUP(E236,GWPs!$B$3:$C$6,2,FALSE)</f>
        <v>0</v>
      </c>
      <c r="K236">
        <v>0</v>
      </c>
      <c r="L236" s="413">
        <f>K236*VLOOKUP(E236,GWPs!$B$3:$C$6,2,FALSE)</f>
        <v>0</v>
      </c>
      <c r="N236">
        <v>4</v>
      </c>
      <c r="O236">
        <v>2</v>
      </c>
      <c r="P236">
        <v>1</v>
      </c>
      <c r="Q236">
        <v>4</v>
      </c>
      <c r="R236">
        <v>1</v>
      </c>
      <c r="W236" s="226" t="s">
        <v>498</v>
      </c>
      <c r="X236" s="70" t="s">
        <v>497</v>
      </c>
      <c r="Y236" s="414">
        <v>0.76700000000000002</v>
      </c>
      <c r="Z236" s="70">
        <v>0.68200000000000005</v>
      </c>
      <c r="AA236" s="70">
        <v>8.5000000000000006E-2</v>
      </c>
      <c r="AB236" s="464" t="s">
        <v>4231</v>
      </c>
      <c r="AC236" s="415">
        <f t="shared" si="3"/>
        <v>0.1108213820078227</v>
      </c>
      <c r="AD236" s="226" t="e">
        <f ca="1">_xlfn.XLOOKUP(X236,'USEEIO metadata'!$C$2:$C$393,'USEEIO metadata'!$H$2:$H$393)</f>
        <v>#NAME?</v>
      </c>
      <c r="AE236" s="226" t="e">
        <f ca="1">_xlfn.XLOOKUP(X236,'USEEIO metadata'!$C$2:$C$393,'USEEIO metadata'!$F$2:$F$393)</f>
        <v>#NAME?</v>
      </c>
      <c r="AF236" s="226" t="e">
        <f ca="1">_xlfn.XLOOKUP(X236,'USEEIO metadata'!$C$2:$C$393,'USEEIO metadata'!$G$2:$G$393)</f>
        <v>#NAME?</v>
      </c>
    </row>
    <row r="237" spans="1:32">
      <c r="A237" t="str">
        <f>_xlfn.IFNA(IF(VLOOKUP(C237,'2016_Detail_Commodity_v1.0'!C:C,1,FALSE)=C237,"No change"),"Name changed")</f>
        <v>No change</v>
      </c>
      <c r="B237" t="s">
        <v>425</v>
      </c>
      <c r="C237" t="s">
        <v>426</v>
      </c>
      <c r="E237" t="s">
        <v>15</v>
      </c>
      <c r="F237" t="s">
        <v>16</v>
      </c>
      <c r="G237">
        <v>7.0000000000000001E-3</v>
      </c>
      <c r="H237" s="413">
        <f>G237*VLOOKUP(E237,GWPs!$B$3:$C$6,2,FALSE)</f>
        <v>7.0000000000000001E-3</v>
      </c>
      <c r="I237">
        <v>0</v>
      </c>
      <c r="J237" s="413">
        <f>I237*VLOOKUP(E237,GWPs!$B$3:$C$6,2,FALSE)</f>
        <v>0</v>
      </c>
      <c r="K237">
        <v>7.0000000000000001E-3</v>
      </c>
      <c r="L237" s="413">
        <f>K237*VLOOKUP(E237,GWPs!$B$3:$C$6,2,FALSE)</f>
        <v>7.0000000000000001E-3</v>
      </c>
      <c r="N237">
        <v>4</v>
      </c>
      <c r="O237">
        <v>2</v>
      </c>
      <c r="P237">
        <v>1</v>
      </c>
      <c r="Q237">
        <v>4</v>
      </c>
      <c r="R237">
        <v>1</v>
      </c>
      <c r="W237" s="226" t="s">
        <v>500</v>
      </c>
      <c r="X237" s="70" t="s">
        <v>499</v>
      </c>
      <c r="Y237" s="414">
        <v>1.6649999999999998</v>
      </c>
      <c r="Z237" s="70">
        <v>1.635</v>
      </c>
      <c r="AA237" s="70">
        <v>0.03</v>
      </c>
      <c r="AB237" s="464" t="s">
        <v>4231</v>
      </c>
      <c r="AC237" s="415">
        <f t="shared" si="3"/>
        <v>1.8018018018018018E-2</v>
      </c>
      <c r="AD237" s="226" t="e">
        <f ca="1">_xlfn.XLOOKUP(X237,'USEEIO metadata'!$C$2:$C$393,'USEEIO metadata'!$H$2:$H$393)</f>
        <v>#NAME?</v>
      </c>
      <c r="AE237" s="226" t="e">
        <f ca="1">_xlfn.XLOOKUP(X237,'USEEIO metadata'!$C$2:$C$393,'USEEIO metadata'!$F$2:$F$393)</f>
        <v>#NAME?</v>
      </c>
      <c r="AF237" s="226" t="e">
        <f ca="1">_xlfn.XLOOKUP(X237,'USEEIO metadata'!$C$2:$C$393,'USEEIO metadata'!$G$2:$G$393)</f>
        <v>#NAME?</v>
      </c>
    </row>
    <row r="238" spans="1:32" ht="28.5">
      <c r="A238" t="str">
        <f>_xlfn.IFNA(IF(VLOOKUP(C238,'2016_Detail_Commodity_v1.0'!C:C,1,FALSE)=C238,"No change"),"Name changed")</f>
        <v>No change</v>
      </c>
      <c r="B238" t="s">
        <v>427</v>
      </c>
      <c r="C238" t="s">
        <v>428</v>
      </c>
      <c r="E238" t="s">
        <v>3653</v>
      </c>
      <c r="F238" t="s">
        <v>12</v>
      </c>
      <c r="G238">
        <v>0.27</v>
      </c>
      <c r="H238" s="413">
        <f>G238*VLOOKUP(E238,GWPs!$B$3:$C$6,2,FALSE)</f>
        <v>0.27</v>
      </c>
      <c r="I238">
        <v>6.5000000000000002E-2</v>
      </c>
      <c r="J238" s="413">
        <f>I238*VLOOKUP(E238,GWPs!$B$3:$C$6,2,FALSE)</f>
        <v>6.5000000000000002E-2</v>
      </c>
      <c r="K238">
        <v>0.33500000000000002</v>
      </c>
      <c r="L238" s="413">
        <f>K238*VLOOKUP(E238,GWPs!$B$3:$C$6,2,FALSE)</f>
        <v>0.33500000000000002</v>
      </c>
      <c r="N238">
        <v>3</v>
      </c>
      <c r="O238">
        <v>2</v>
      </c>
      <c r="P238">
        <v>1</v>
      </c>
      <c r="Q238">
        <v>4</v>
      </c>
      <c r="R238">
        <v>1</v>
      </c>
      <c r="W238" s="226" t="s">
        <v>648</v>
      </c>
      <c r="X238" s="70" t="s">
        <v>647</v>
      </c>
      <c r="Y238" s="414">
        <v>0.31000000000000005</v>
      </c>
      <c r="Z238" s="70">
        <v>0.26</v>
      </c>
      <c r="AA238" s="70">
        <v>4.9000000000000002E-2</v>
      </c>
      <c r="AB238" s="464" t="s">
        <v>4230</v>
      </c>
      <c r="AC238" s="415">
        <f t="shared" si="3"/>
        <v>0.15806451612903225</v>
      </c>
      <c r="AD238" s="226" t="e">
        <f ca="1">_xlfn.XLOOKUP(X238,'USEEIO metadata'!$C$2:$C$393,'USEEIO metadata'!$H$2:$H$393)</f>
        <v>#NAME?</v>
      </c>
      <c r="AE238" s="226" t="e">
        <f ca="1">_xlfn.XLOOKUP(X238,'USEEIO metadata'!$C$2:$C$393,'USEEIO metadata'!$F$2:$F$393)</f>
        <v>#NAME?</v>
      </c>
      <c r="AF238" s="226" t="e">
        <f ca="1">_xlfn.XLOOKUP(X238,'USEEIO metadata'!$C$2:$C$393,'USEEIO metadata'!$G$2:$G$393)</f>
        <v>#NAME?</v>
      </c>
    </row>
    <row r="239" spans="1:32" ht="28.5">
      <c r="A239" t="str">
        <f>_xlfn.IFNA(IF(VLOOKUP(C239,'2016_Detail_Commodity_v1.0'!C:C,1,FALSE)=C239,"No change"),"Name changed")</f>
        <v>No change</v>
      </c>
      <c r="B239" t="s">
        <v>427</v>
      </c>
      <c r="C239" t="s">
        <v>428</v>
      </c>
      <c r="E239" t="s">
        <v>3654</v>
      </c>
      <c r="F239" t="s">
        <v>12</v>
      </c>
      <c r="G239">
        <v>4.0000000000000001E-3</v>
      </c>
      <c r="H239" s="413">
        <f>G239*VLOOKUP(E239,GWPs!$B$3:$C$6,2,FALSE)</f>
        <v>0.112</v>
      </c>
      <c r="I239">
        <v>0</v>
      </c>
      <c r="J239" s="413">
        <f>I239*VLOOKUP(E239,GWPs!$B$3:$C$6,2,FALSE)</f>
        <v>0</v>
      </c>
      <c r="K239">
        <v>4.0000000000000001E-3</v>
      </c>
      <c r="L239" s="413">
        <f>K239*VLOOKUP(E239,GWPs!$B$3:$C$6,2,FALSE)</f>
        <v>0.112</v>
      </c>
      <c r="N239">
        <v>3</v>
      </c>
      <c r="O239">
        <v>2</v>
      </c>
      <c r="P239">
        <v>1</v>
      </c>
      <c r="Q239">
        <v>1</v>
      </c>
      <c r="R239">
        <v>1</v>
      </c>
      <c r="W239" s="226" t="s">
        <v>976</v>
      </c>
      <c r="X239" s="70" t="s">
        <v>975</v>
      </c>
      <c r="Y239" s="414">
        <v>0.08</v>
      </c>
      <c r="Z239" s="70">
        <v>0.08</v>
      </c>
      <c r="AA239" s="70">
        <v>0</v>
      </c>
      <c r="AB239" s="464" t="s">
        <v>4231</v>
      </c>
      <c r="AC239" s="415">
        <f t="shared" si="3"/>
        <v>0</v>
      </c>
      <c r="AD239" s="226" t="e">
        <f ca="1">_xlfn.XLOOKUP(X239,'USEEIO metadata'!$C$2:$C$393,'USEEIO metadata'!$H$2:$H$393)</f>
        <v>#NAME?</v>
      </c>
      <c r="AE239" s="226" t="e">
        <f ca="1">_xlfn.XLOOKUP(X239,'USEEIO metadata'!$C$2:$C$393,'USEEIO metadata'!$F$2:$F$393)</f>
        <v>#NAME?</v>
      </c>
      <c r="AF239" s="226" t="e">
        <f ca="1">_xlfn.XLOOKUP(X239,'USEEIO metadata'!$C$2:$C$393,'USEEIO metadata'!$G$2:$G$393)</f>
        <v>#NAME?</v>
      </c>
    </row>
    <row r="240" spans="1:32">
      <c r="A240" t="str">
        <f>_xlfn.IFNA(IF(VLOOKUP(C240,'2016_Detail_Commodity_v1.0'!C:C,1,FALSE)=C240,"No change"),"Name changed")</f>
        <v>No change</v>
      </c>
      <c r="B240" t="s">
        <v>427</v>
      </c>
      <c r="C240" t="s">
        <v>428</v>
      </c>
      <c r="E240" t="s">
        <v>3655</v>
      </c>
      <c r="F240" t="s">
        <v>12</v>
      </c>
      <c r="G240">
        <v>0</v>
      </c>
      <c r="H240" s="413">
        <f>G240*VLOOKUP(E240,GWPs!$B$3:$C$6,2,FALSE)</f>
        <v>0</v>
      </c>
      <c r="I240">
        <v>0</v>
      </c>
      <c r="J240" s="413">
        <f>I240*VLOOKUP(E240,GWPs!$B$3:$C$6,2,FALSE)</f>
        <v>0</v>
      </c>
      <c r="K240">
        <v>0</v>
      </c>
      <c r="L240" s="413">
        <f>K240*VLOOKUP(E240,GWPs!$B$3:$C$6,2,FALSE)</f>
        <v>0</v>
      </c>
      <c r="N240">
        <v>4</v>
      </c>
      <c r="O240">
        <v>2</v>
      </c>
      <c r="P240">
        <v>1</v>
      </c>
      <c r="Q240">
        <v>4</v>
      </c>
      <c r="R240">
        <v>1</v>
      </c>
      <c r="W240" s="226" t="s">
        <v>560</v>
      </c>
      <c r="X240" s="70" t="s">
        <v>559</v>
      </c>
      <c r="Y240" s="414">
        <v>0.505</v>
      </c>
      <c r="Z240" s="70">
        <v>0.41200000000000003</v>
      </c>
      <c r="AA240" s="70">
        <v>9.1999999999999998E-2</v>
      </c>
      <c r="AB240" s="464" t="s">
        <v>4230</v>
      </c>
      <c r="AC240" s="415">
        <f t="shared" si="3"/>
        <v>0.18217821782178217</v>
      </c>
      <c r="AD240" s="226" t="e">
        <f ca="1">_xlfn.XLOOKUP(X240,'USEEIO metadata'!$C$2:$C$393,'USEEIO metadata'!$H$2:$H$393)</f>
        <v>#NAME?</v>
      </c>
      <c r="AE240" s="226" t="e">
        <f ca="1">_xlfn.XLOOKUP(X240,'USEEIO metadata'!$C$2:$C$393,'USEEIO metadata'!$F$2:$F$393)</f>
        <v>#NAME?</v>
      </c>
      <c r="AF240" s="226" t="e">
        <f ca="1">_xlfn.XLOOKUP(X240,'USEEIO metadata'!$C$2:$C$393,'USEEIO metadata'!$G$2:$G$393)</f>
        <v>#NAME?</v>
      </c>
    </row>
    <row r="241" spans="1:32" ht="28.5">
      <c r="A241" t="str">
        <f>_xlfn.IFNA(IF(VLOOKUP(C241,'2016_Detail_Commodity_v1.0'!C:C,1,FALSE)=C241,"No change"),"Name changed")</f>
        <v>No change</v>
      </c>
      <c r="B241" t="s">
        <v>427</v>
      </c>
      <c r="C241" t="s">
        <v>428</v>
      </c>
      <c r="E241" t="s">
        <v>15</v>
      </c>
      <c r="F241" t="s">
        <v>16</v>
      </c>
      <c r="G241">
        <v>6.0000000000000001E-3</v>
      </c>
      <c r="H241" s="413">
        <f>G241*VLOOKUP(E241,GWPs!$B$3:$C$6,2,FALSE)</f>
        <v>6.0000000000000001E-3</v>
      </c>
      <c r="I241">
        <v>0</v>
      </c>
      <c r="J241" s="413">
        <f>I241*VLOOKUP(E241,GWPs!$B$3:$C$6,2,FALSE)</f>
        <v>0</v>
      </c>
      <c r="K241">
        <v>6.0000000000000001E-3</v>
      </c>
      <c r="L241" s="413">
        <f>K241*VLOOKUP(E241,GWPs!$B$3:$C$6,2,FALSE)</f>
        <v>6.0000000000000001E-3</v>
      </c>
      <c r="N241">
        <v>4</v>
      </c>
      <c r="O241">
        <v>2</v>
      </c>
      <c r="P241">
        <v>1</v>
      </c>
      <c r="Q241">
        <v>4</v>
      </c>
      <c r="R241">
        <v>1</v>
      </c>
      <c r="W241" s="226" t="s">
        <v>858</v>
      </c>
      <c r="X241" s="70" t="s">
        <v>857</v>
      </c>
      <c r="Y241" s="414">
        <v>0.20799999999999999</v>
      </c>
      <c r="Z241" s="70">
        <v>0.20799999999999999</v>
      </c>
      <c r="AA241" s="70">
        <v>0</v>
      </c>
      <c r="AB241" s="464" t="s">
        <v>4230</v>
      </c>
      <c r="AC241" s="415">
        <f t="shared" si="3"/>
        <v>0</v>
      </c>
      <c r="AD241" s="226" t="e">
        <f ca="1">_xlfn.XLOOKUP(X241,'USEEIO metadata'!$C$2:$C$393,'USEEIO metadata'!$H$2:$H$393)</f>
        <v>#NAME?</v>
      </c>
      <c r="AE241" s="226" t="e">
        <f ca="1">_xlfn.XLOOKUP(X241,'USEEIO metadata'!$C$2:$C$393,'USEEIO metadata'!$F$2:$F$393)</f>
        <v>#NAME?</v>
      </c>
      <c r="AF241" s="226" t="e">
        <f ca="1">_xlfn.XLOOKUP(X241,'USEEIO metadata'!$C$2:$C$393,'USEEIO metadata'!$G$2:$G$393)</f>
        <v>#NAME?</v>
      </c>
    </row>
    <row r="242" spans="1:32">
      <c r="A242" t="str">
        <f>_xlfn.IFNA(IF(VLOOKUP(C242,'2016_Detail_Commodity_v1.0'!C:C,1,FALSE)=C242,"No change"),"Name changed")</f>
        <v>No change</v>
      </c>
      <c r="B242" t="s">
        <v>429</v>
      </c>
      <c r="C242" t="s">
        <v>430</v>
      </c>
      <c r="E242" t="s">
        <v>3653</v>
      </c>
      <c r="F242" t="s">
        <v>12</v>
      </c>
      <c r="G242">
        <v>0.30499999999999999</v>
      </c>
      <c r="H242" s="413">
        <f>G242*VLOOKUP(E242,GWPs!$B$3:$C$6,2,FALSE)</f>
        <v>0.30499999999999999</v>
      </c>
      <c r="I242">
        <v>6.4000000000000001E-2</v>
      </c>
      <c r="J242" s="413">
        <f>I242*VLOOKUP(E242,GWPs!$B$3:$C$6,2,FALSE)</f>
        <v>6.4000000000000001E-2</v>
      </c>
      <c r="K242">
        <v>0.37</v>
      </c>
      <c r="L242" s="413">
        <f>K242*VLOOKUP(E242,GWPs!$B$3:$C$6,2,FALSE)</f>
        <v>0.37</v>
      </c>
      <c r="N242">
        <v>3</v>
      </c>
      <c r="O242">
        <v>2</v>
      </c>
      <c r="P242">
        <v>1</v>
      </c>
      <c r="Q242">
        <v>3</v>
      </c>
      <c r="R242">
        <v>1</v>
      </c>
      <c r="W242" s="226" t="s">
        <v>1016</v>
      </c>
      <c r="X242" s="70" t="s">
        <v>1015</v>
      </c>
      <c r="Y242" s="414">
        <v>0.14700000000000002</v>
      </c>
      <c r="Z242" s="70">
        <v>0.14700000000000002</v>
      </c>
      <c r="AA242" s="70">
        <v>0</v>
      </c>
      <c r="AB242" s="464" t="s">
        <v>4230</v>
      </c>
      <c r="AC242" s="415">
        <f t="shared" si="3"/>
        <v>0</v>
      </c>
      <c r="AD242" s="226" t="e">
        <f ca="1">_xlfn.XLOOKUP(X242,'USEEIO metadata'!$C$2:$C$393,'USEEIO metadata'!$H$2:$H$393)</f>
        <v>#NAME?</v>
      </c>
      <c r="AE242" s="226" t="e">
        <f ca="1">_xlfn.XLOOKUP(X242,'USEEIO metadata'!$C$2:$C$393,'USEEIO metadata'!$F$2:$F$393)</f>
        <v>#NAME?</v>
      </c>
      <c r="AF242" s="226" t="e">
        <f ca="1">_xlfn.XLOOKUP(X242,'USEEIO metadata'!$C$2:$C$393,'USEEIO metadata'!$G$2:$G$393)</f>
        <v>#NAME?</v>
      </c>
    </row>
    <row r="243" spans="1:32">
      <c r="A243" t="str">
        <f>_xlfn.IFNA(IF(VLOOKUP(C243,'2016_Detail_Commodity_v1.0'!C:C,1,FALSE)=C243,"No change"),"Name changed")</f>
        <v>No change</v>
      </c>
      <c r="B243" t="s">
        <v>429</v>
      </c>
      <c r="C243" t="s">
        <v>430</v>
      </c>
      <c r="E243" t="s">
        <v>3654</v>
      </c>
      <c r="F243" t="s">
        <v>12</v>
      </c>
      <c r="G243">
        <v>2E-3</v>
      </c>
      <c r="H243" s="413">
        <f>G243*VLOOKUP(E243,GWPs!$B$3:$C$6,2,FALSE)</f>
        <v>5.6000000000000001E-2</v>
      </c>
      <c r="I243">
        <v>0</v>
      </c>
      <c r="J243" s="413">
        <f>I243*VLOOKUP(E243,GWPs!$B$3:$C$6,2,FALSE)</f>
        <v>0</v>
      </c>
      <c r="K243">
        <v>2E-3</v>
      </c>
      <c r="L243" s="413">
        <f>K243*VLOOKUP(E243,GWPs!$B$3:$C$6,2,FALSE)</f>
        <v>5.6000000000000001E-2</v>
      </c>
      <c r="N243">
        <v>3</v>
      </c>
      <c r="O243">
        <v>2</v>
      </c>
      <c r="P243">
        <v>1</v>
      </c>
      <c r="Q243">
        <v>1</v>
      </c>
      <c r="R243">
        <v>1</v>
      </c>
      <c r="W243" s="226" t="s">
        <v>670</v>
      </c>
      <c r="X243" s="70" t="s">
        <v>669</v>
      </c>
      <c r="Y243" s="414">
        <v>0.33600000000000002</v>
      </c>
      <c r="Z243" s="70">
        <v>0.30200000000000005</v>
      </c>
      <c r="AA243" s="70">
        <v>3.4000000000000002E-2</v>
      </c>
      <c r="AB243" s="464" t="s">
        <v>4230</v>
      </c>
      <c r="AC243" s="415">
        <f t="shared" si="3"/>
        <v>0.10119047619047619</v>
      </c>
      <c r="AD243" s="226" t="e">
        <f ca="1">_xlfn.XLOOKUP(X243,'USEEIO metadata'!$C$2:$C$393,'USEEIO metadata'!$H$2:$H$393)</f>
        <v>#NAME?</v>
      </c>
      <c r="AE243" s="226" t="e">
        <f ca="1">_xlfn.XLOOKUP(X243,'USEEIO metadata'!$C$2:$C$393,'USEEIO metadata'!$F$2:$F$393)</f>
        <v>#NAME?</v>
      </c>
      <c r="AF243" s="226" t="e">
        <f ca="1">_xlfn.XLOOKUP(X243,'USEEIO metadata'!$C$2:$C$393,'USEEIO metadata'!$G$2:$G$393)</f>
        <v>#NAME?</v>
      </c>
    </row>
    <row r="244" spans="1:32" ht="28.5">
      <c r="A244" t="str">
        <f>_xlfn.IFNA(IF(VLOOKUP(C244,'2016_Detail_Commodity_v1.0'!C:C,1,FALSE)=C244,"No change"),"Name changed")</f>
        <v>No change</v>
      </c>
      <c r="B244" t="s">
        <v>429</v>
      </c>
      <c r="C244" t="s">
        <v>430</v>
      </c>
      <c r="E244" t="s">
        <v>3655</v>
      </c>
      <c r="F244" t="s">
        <v>12</v>
      </c>
      <c r="G244">
        <v>0</v>
      </c>
      <c r="H244" s="413">
        <f>G244*VLOOKUP(E244,GWPs!$B$3:$C$6,2,FALSE)</f>
        <v>0</v>
      </c>
      <c r="I244">
        <v>0</v>
      </c>
      <c r="J244" s="413">
        <f>I244*VLOOKUP(E244,GWPs!$B$3:$C$6,2,FALSE)</f>
        <v>0</v>
      </c>
      <c r="K244">
        <v>0</v>
      </c>
      <c r="L244" s="413">
        <f>K244*VLOOKUP(E244,GWPs!$B$3:$C$6,2,FALSE)</f>
        <v>0</v>
      </c>
      <c r="N244">
        <v>4</v>
      </c>
      <c r="O244">
        <v>2</v>
      </c>
      <c r="P244">
        <v>1</v>
      </c>
      <c r="Q244">
        <v>4</v>
      </c>
      <c r="R244">
        <v>1</v>
      </c>
      <c r="W244" s="226" t="s">
        <v>760</v>
      </c>
      <c r="X244" s="70" t="s">
        <v>759</v>
      </c>
      <c r="Y244" s="414">
        <v>0.218</v>
      </c>
      <c r="Z244" s="70">
        <v>0.187</v>
      </c>
      <c r="AA244" s="70">
        <v>3.1E-2</v>
      </c>
      <c r="AB244" s="464" t="s">
        <v>4230</v>
      </c>
      <c r="AC244" s="415">
        <f t="shared" si="3"/>
        <v>0.14220183486238533</v>
      </c>
      <c r="AD244" s="226" t="e">
        <f ca="1">_xlfn.XLOOKUP(X244,'USEEIO metadata'!$C$2:$C$393,'USEEIO metadata'!$H$2:$H$393)</f>
        <v>#NAME?</v>
      </c>
      <c r="AE244" s="226" t="e">
        <f ca="1">_xlfn.XLOOKUP(X244,'USEEIO metadata'!$C$2:$C$393,'USEEIO metadata'!$F$2:$F$393)</f>
        <v>#NAME?</v>
      </c>
      <c r="AF244" s="226" t="e">
        <f ca="1">_xlfn.XLOOKUP(X244,'USEEIO metadata'!$C$2:$C$393,'USEEIO metadata'!$G$2:$G$393)</f>
        <v>#NAME?</v>
      </c>
    </row>
    <row r="245" spans="1:32" ht="28.5">
      <c r="A245" t="str">
        <f>_xlfn.IFNA(IF(VLOOKUP(C245,'2016_Detail_Commodity_v1.0'!C:C,1,FALSE)=C245,"No change"),"Name changed")</f>
        <v>No change</v>
      </c>
      <c r="B245" t="s">
        <v>429</v>
      </c>
      <c r="C245" t="s">
        <v>430</v>
      </c>
      <c r="E245" t="s">
        <v>15</v>
      </c>
      <c r="F245" t="s">
        <v>16</v>
      </c>
      <c r="G245">
        <v>2.4E-2</v>
      </c>
      <c r="H245" s="413">
        <f>G245*VLOOKUP(E245,GWPs!$B$3:$C$6,2,FALSE)</f>
        <v>2.4E-2</v>
      </c>
      <c r="I245">
        <v>0</v>
      </c>
      <c r="J245" s="413">
        <f>I245*VLOOKUP(E245,GWPs!$B$3:$C$6,2,FALSE)</f>
        <v>0</v>
      </c>
      <c r="K245">
        <v>2.4E-2</v>
      </c>
      <c r="L245" s="413">
        <f>K245*VLOOKUP(E245,GWPs!$B$3:$C$6,2,FALSE)</f>
        <v>2.4E-2</v>
      </c>
      <c r="N245">
        <v>3</v>
      </c>
      <c r="O245">
        <v>2</v>
      </c>
      <c r="P245">
        <v>1</v>
      </c>
      <c r="Q245">
        <v>3</v>
      </c>
      <c r="R245">
        <v>1</v>
      </c>
      <c r="W245" s="226" t="s">
        <v>866</v>
      </c>
      <c r="X245" s="70" t="s">
        <v>865</v>
      </c>
      <c r="Y245" s="414">
        <v>0.19900000000000001</v>
      </c>
      <c r="Z245" s="70">
        <v>0.19900000000000001</v>
      </c>
      <c r="AA245" s="70">
        <v>0</v>
      </c>
      <c r="AB245" s="464" t="s">
        <v>4230</v>
      </c>
      <c r="AC245" s="415">
        <f t="shared" si="3"/>
        <v>0</v>
      </c>
      <c r="AD245" s="226" t="e">
        <f ca="1">_xlfn.XLOOKUP(X245,'USEEIO metadata'!$C$2:$C$393,'USEEIO metadata'!$H$2:$H$393)</f>
        <v>#NAME?</v>
      </c>
      <c r="AE245" s="226" t="e">
        <f ca="1">_xlfn.XLOOKUP(X245,'USEEIO metadata'!$C$2:$C$393,'USEEIO metadata'!$F$2:$F$393)</f>
        <v>#NAME?</v>
      </c>
      <c r="AF245" s="226" t="e">
        <f ca="1">_xlfn.XLOOKUP(X245,'USEEIO metadata'!$C$2:$C$393,'USEEIO metadata'!$G$2:$G$393)</f>
        <v>#NAME?</v>
      </c>
    </row>
    <row r="246" spans="1:32" ht="28.5">
      <c r="A246" t="str">
        <f>_xlfn.IFNA(IF(VLOOKUP(C246,'2016_Detail_Commodity_v1.0'!C:C,1,FALSE)=C246,"No change"),"Name changed")</f>
        <v>No change</v>
      </c>
      <c r="B246" t="s">
        <v>431</v>
      </c>
      <c r="C246" t="s">
        <v>432</v>
      </c>
      <c r="E246" t="s">
        <v>3653</v>
      </c>
      <c r="F246" t="s">
        <v>12</v>
      </c>
      <c r="G246">
        <v>0.20699999999999999</v>
      </c>
      <c r="H246" s="413">
        <f>G246*VLOOKUP(E246,GWPs!$B$3:$C$6,2,FALSE)</f>
        <v>0.20699999999999999</v>
      </c>
      <c r="I246">
        <v>7.3999999999999996E-2</v>
      </c>
      <c r="J246" s="413">
        <f>I246*VLOOKUP(E246,GWPs!$B$3:$C$6,2,FALSE)</f>
        <v>7.3999999999999996E-2</v>
      </c>
      <c r="K246">
        <v>0.28100000000000003</v>
      </c>
      <c r="L246" s="413">
        <f>K246*VLOOKUP(E246,GWPs!$B$3:$C$6,2,FALSE)</f>
        <v>0.28100000000000003</v>
      </c>
      <c r="N246">
        <v>3</v>
      </c>
      <c r="O246">
        <v>2</v>
      </c>
      <c r="P246">
        <v>1</v>
      </c>
      <c r="Q246">
        <v>4</v>
      </c>
      <c r="R246">
        <v>1</v>
      </c>
      <c r="W246" s="226" t="s">
        <v>572</v>
      </c>
      <c r="X246" s="70" t="s">
        <v>571</v>
      </c>
      <c r="Y246" s="414">
        <v>0.78600000000000003</v>
      </c>
      <c r="Z246" s="70">
        <v>0.68700000000000006</v>
      </c>
      <c r="AA246" s="70">
        <v>9.8000000000000004E-2</v>
      </c>
      <c r="AB246" s="464" t="s">
        <v>4230</v>
      </c>
      <c r="AC246" s="415">
        <f t="shared" si="3"/>
        <v>0.12468193384223919</v>
      </c>
      <c r="AD246" s="226" t="e">
        <f ca="1">_xlfn.XLOOKUP(X246,'USEEIO metadata'!$C$2:$C$393,'USEEIO metadata'!$H$2:$H$393)</f>
        <v>#NAME?</v>
      </c>
      <c r="AE246" s="226" t="e">
        <f ca="1">_xlfn.XLOOKUP(X246,'USEEIO metadata'!$C$2:$C$393,'USEEIO metadata'!$F$2:$F$393)</f>
        <v>#NAME?</v>
      </c>
      <c r="AF246" s="226" t="e">
        <f ca="1">_xlfn.XLOOKUP(X246,'USEEIO metadata'!$C$2:$C$393,'USEEIO metadata'!$G$2:$G$393)</f>
        <v>#NAME?</v>
      </c>
    </row>
    <row r="247" spans="1:32">
      <c r="A247" t="str">
        <f>_xlfn.IFNA(IF(VLOOKUP(C247,'2016_Detail_Commodity_v1.0'!C:C,1,FALSE)=C247,"No change"),"Name changed")</f>
        <v>No change</v>
      </c>
      <c r="B247" t="s">
        <v>431</v>
      </c>
      <c r="C247" t="s">
        <v>432</v>
      </c>
      <c r="E247" t="s">
        <v>3654</v>
      </c>
      <c r="F247" t="s">
        <v>12</v>
      </c>
      <c r="G247">
        <v>1E-3</v>
      </c>
      <c r="H247" s="413">
        <f>G247*VLOOKUP(E247,GWPs!$B$3:$C$6,2,FALSE)</f>
        <v>2.8000000000000001E-2</v>
      </c>
      <c r="I247">
        <v>0</v>
      </c>
      <c r="J247" s="413">
        <f>I247*VLOOKUP(E247,GWPs!$B$3:$C$6,2,FALSE)</f>
        <v>0</v>
      </c>
      <c r="K247">
        <v>1E-3</v>
      </c>
      <c r="L247" s="413">
        <f>K247*VLOOKUP(E247,GWPs!$B$3:$C$6,2,FALSE)</f>
        <v>2.8000000000000001E-2</v>
      </c>
      <c r="N247">
        <v>3</v>
      </c>
      <c r="O247">
        <v>2</v>
      </c>
      <c r="P247">
        <v>1</v>
      </c>
      <c r="Q247">
        <v>1</v>
      </c>
      <c r="R247">
        <v>1</v>
      </c>
      <c r="W247" s="226" t="s">
        <v>374</v>
      </c>
      <c r="X247" s="70" t="s">
        <v>373</v>
      </c>
      <c r="Y247" s="414">
        <v>0.34400000000000003</v>
      </c>
      <c r="Z247" s="70">
        <v>0.34400000000000003</v>
      </c>
      <c r="AA247" s="70">
        <v>0</v>
      </c>
      <c r="AB247" s="464" t="s">
        <v>4230</v>
      </c>
      <c r="AC247" s="415">
        <f t="shared" si="3"/>
        <v>0</v>
      </c>
      <c r="AD247" s="226" t="e">
        <f ca="1">_xlfn.XLOOKUP(X247,'USEEIO metadata'!$C$2:$C$393,'USEEIO metadata'!$H$2:$H$393)</f>
        <v>#NAME?</v>
      </c>
      <c r="AE247" s="226" t="e">
        <f ca="1">_xlfn.XLOOKUP(X247,'USEEIO metadata'!$C$2:$C$393,'USEEIO metadata'!$F$2:$F$393)</f>
        <v>#NAME?</v>
      </c>
      <c r="AF247" s="226" t="e">
        <f ca="1">_xlfn.XLOOKUP(X247,'USEEIO metadata'!$C$2:$C$393,'USEEIO metadata'!$G$2:$G$393)</f>
        <v>#NAME?</v>
      </c>
    </row>
    <row r="248" spans="1:32" ht="28.5">
      <c r="A248" t="str">
        <f>_xlfn.IFNA(IF(VLOOKUP(C248,'2016_Detail_Commodity_v1.0'!C:C,1,FALSE)=C248,"No change"),"Name changed")</f>
        <v>No change</v>
      </c>
      <c r="B248" t="s">
        <v>431</v>
      </c>
      <c r="C248" t="s">
        <v>432</v>
      </c>
      <c r="E248" t="s">
        <v>3655</v>
      </c>
      <c r="F248" t="s">
        <v>12</v>
      </c>
      <c r="G248">
        <v>0</v>
      </c>
      <c r="H248" s="413">
        <f>G248*VLOOKUP(E248,GWPs!$B$3:$C$6,2,FALSE)</f>
        <v>0</v>
      </c>
      <c r="I248">
        <v>0</v>
      </c>
      <c r="J248" s="413">
        <f>I248*VLOOKUP(E248,GWPs!$B$3:$C$6,2,FALSE)</f>
        <v>0</v>
      </c>
      <c r="K248">
        <v>0</v>
      </c>
      <c r="L248" s="413">
        <f>K248*VLOOKUP(E248,GWPs!$B$3:$C$6,2,FALSE)</f>
        <v>0</v>
      </c>
      <c r="N248">
        <v>4</v>
      </c>
      <c r="O248">
        <v>2</v>
      </c>
      <c r="P248">
        <v>1</v>
      </c>
      <c r="Q248">
        <v>4</v>
      </c>
      <c r="R248">
        <v>1</v>
      </c>
      <c r="W248" s="226" t="s">
        <v>490</v>
      </c>
      <c r="X248" s="70" t="s">
        <v>489</v>
      </c>
      <c r="Y248" s="414">
        <v>0.97099999999999997</v>
      </c>
      <c r="Z248" s="70">
        <v>0.875</v>
      </c>
      <c r="AA248" s="70">
        <v>9.6000000000000002E-2</v>
      </c>
      <c r="AB248" s="464" t="s">
        <v>4230</v>
      </c>
      <c r="AC248" s="415">
        <f t="shared" si="3"/>
        <v>9.8867147270854799E-2</v>
      </c>
      <c r="AD248" s="226" t="e">
        <f ca="1">_xlfn.XLOOKUP(X248,'USEEIO metadata'!$C$2:$C$393,'USEEIO metadata'!$H$2:$H$393)</f>
        <v>#NAME?</v>
      </c>
      <c r="AE248" s="226" t="e">
        <f ca="1">_xlfn.XLOOKUP(X248,'USEEIO metadata'!$C$2:$C$393,'USEEIO metadata'!$F$2:$F$393)</f>
        <v>#NAME?</v>
      </c>
      <c r="AF248" s="226" t="e">
        <f ca="1">_xlfn.XLOOKUP(X248,'USEEIO metadata'!$C$2:$C$393,'USEEIO metadata'!$G$2:$G$393)</f>
        <v>#NAME?</v>
      </c>
    </row>
    <row r="249" spans="1:32">
      <c r="A249" t="str">
        <f>_xlfn.IFNA(IF(VLOOKUP(C249,'2016_Detail_Commodity_v1.0'!C:C,1,FALSE)=C249,"No change"),"Name changed")</f>
        <v>No change</v>
      </c>
      <c r="B249" t="s">
        <v>431</v>
      </c>
      <c r="C249" t="s">
        <v>432</v>
      </c>
      <c r="E249" t="s">
        <v>15</v>
      </c>
      <c r="F249" t="s">
        <v>16</v>
      </c>
      <c r="G249">
        <v>0.01</v>
      </c>
      <c r="H249" s="413">
        <f>G249*VLOOKUP(E249,GWPs!$B$3:$C$6,2,FALSE)</f>
        <v>0.01</v>
      </c>
      <c r="I249">
        <v>0</v>
      </c>
      <c r="J249" s="413">
        <f>I249*VLOOKUP(E249,GWPs!$B$3:$C$6,2,FALSE)</f>
        <v>0</v>
      </c>
      <c r="K249">
        <v>0.01</v>
      </c>
      <c r="L249" s="413">
        <f>K249*VLOOKUP(E249,GWPs!$B$3:$C$6,2,FALSE)</f>
        <v>0.01</v>
      </c>
      <c r="N249">
        <v>3</v>
      </c>
      <c r="O249">
        <v>2</v>
      </c>
      <c r="P249">
        <v>1</v>
      </c>
      <c r="Q249">
        <v>3</v>
      </c>
      <c r="R249">
        <v>1</v>
      </c>
      <c r="W249" s="226" t="s">
        <v>542</v>
      </c>
      <c r="X249" s="70" t="s">
        <v>541</v>
      </c>
      <c r="Y249" s="414">
        <v>0.54200000000000004</v>
      </c>
      <c r="Z249" s="70">
        <v>0.46600000000000003</v>
      </c>
      <c r="AA249" s="70">
        <v>4.8000000000000001E-2</v>
      </c>
      <c r="AB249" s="464" t="s">
        <v>4230</v>
      </c>
      <c r="AC249" s="415">
        <f t="shared" si="3"/>
        <v>8.8560885608856083E-2</v>
      </c>
      <c r="AD249" s="226" t="e">
        <f ca="1">_xlfn.XLOOKUP(X249,'USEEIO metadata'!$C$2:$C$393,'USEEIO metadata'!$H$2:$H$393)</f>
        <v>#NAME?</v>
      </c>
      <c r="AE249" s="226" t="e">
        <f ca="1">_xlfn.XLOOKUP(X249,'USEEIO metadata'!$C$2:$C$393,'USEEIO metadata'!$F$2:$F$393)</f>
        <v>#NAME?</v>
      </c>
      <c r="AF249" s="226" t="e">
        <f ca="1">_xlfn.XLOOKUP(X249,'USEEIO metadata'!$C$2:$C$393,'USEEIO metadata'!$G$2:$G$393)</f>
        <v>#NAME?</v>
      </c>
    </row>
    <row r="250" spans="1:32">
      <c r="A250" t="str">
        <f>_xlfn.IFNA(IF(VLOOKUP(C250,'2016_Detail_Commodity_v1.0'!C:C,1,FALSE)=C250,"No change"),"Name changed")</f>
        <v>No change</v>
      </c>
      <c r="B250" t="s">
        <v>433</v>
      </c>
      <c r="C250" t="s">
        <v>434</v>
      </c>
      <c r="E250" t="s">
        <v>3653</v>
      </c>
      <c r="F250" t="s">
        <v>12</v>
      </c>
      <c r="G250">
        <v>0.109</v>
      </c>
      <c r="H250" s="413">
        <f>G250*VLOOKUP(E250,GWPs!$B$3:$C$6,2,FALSE)</f>
        <v>0.109</v>
      </c>
      <c r="I250">
        <v>8.1000000000000003E-2</v>
      </c>
      <c r="J250" s="413">
        <f>I250*VLOOKUP(E250,GWPs!$B$3:$C$6,2,FALSE)</f>
        <v>8.1000000000000003E-2</v>
      </c>
      <c r="K250">
        <v>0.19</v>
      </c>
      <c r="L250" s="413">
        <f>K250*VLOOKUP(E250,GWPs!$B$3:$C$6,2,FALSE)</f>
        <v>0.19</v>
      </c>
      <c r="N250">
        <v>3</v>
      </c>
      <c r="O250">
        <v>2</v>
      </c>
      <c r="P250">
        <v>1</v>
      </c>
      <c r="Q250">
        <v>3</v>
      </c>
      <c r="R250">
        <v>1</v>
      </c>
      <c r="W250" s="226" t="s">
        <v>21</v>
      </c>
      <c r="X250" s="70" t="s">
        <v>955</v>
      </c>
      <c r="Y250" s="414">
        <v>0.41500000000000004</v>
      </c>
      <c r="Z250" s="70">
        <v>0.41500000000000004</v>
      </c>
      <c r="AA250" s="70">
        <v>0</v>
      </c>
      <c r="AB250" s="464" t="s">
        <v>4230</v>
      </c>
      <c r="AC250" s="415">
        <f t="shared" si="3"/>
        <v>0</v>
      </c>
      <c r="AD250" s="226" t="e">
        <f ca="1">_xlfn.XLOOKUP(X250,'USEEIO metadata'!$C$2:$C$393,'USEEIO metadata'!$H$2:$H$393)</f>
        <v>#NAME?</v>
      </c>
      <c r="AE250" s="226" t="e">
        <f ca="1">_xlfn.XLOOKUP(X250,'USEEIO metadata'!$C$2:$C$393,'USEEIO metadata'!$F$2:$F$393)</f>
        <v>#NAME?</v>
      </c>
      <c r="AF250" s="226" t="e">
        <f ca="1">_xlfn.XLOOKUP(X250,'USEEIO metadata'!$C$2:$C$393,'USEEIO metadata'!$G$2:$G$393)</f>
        <v>#NAME?</v>
      </c>
    </row>
    <row r="251" spans="1:32">
      <c r="A251" t="str">
        <f>_xlfn.IFNA(IF(VLOOKUP(C251,'2016_Detail_Commodity_v1.0'!C:C,1,FALSE)=C251,"No change"),"Name changed")</f>
        <v>No change</v>
      </c>
      <c r="B251" t="s">
        <v>433</v>
      </c>
      <c r="C251" t="s">
        <v>434</v>
      </c>
      <c r="E251" t="s">
        <v>3654</v>
      </c>
      <c r="F251" t="s">
        <v>12</v>
      </c>
      <c r="G251">
        <v>0</v>
      </c>
      <c r="H251" s="413">
        <f>G251*VLOOKUP(E251,GWPs!$B$3:$C$6,2,FALSE)</f>
        <v>0</v>
      </c>
      <c r="I251">
        <v>0</v>
      </c>
      <c r="J251" s="413">
        <f>I251*VLOOKUP(E251,GWPs!$B$3:$C$6,2,FALSE)</f>
        <v>0</v>
      </c>
      <c r="K251">
        <v>1E-3</v>
      </c>
      <c r="L251" s="413">
        <f>K251*VLOOKUP(E251,GWPs!$B$3:$C$6,2,FALSE)</f>
        <v>2.8000000000000001E-2</v>
      </c>
      <c r="N251">
        <v>3</v>
      </c>
      <c r="O251">
        <v>2</v>
      </c>
      <c r="P251">
        <v>1</v>
      </c>
      <c r="Q251">
        <v>1</v>
      </c>
      <c r="R251">
        <v>1</v>
      </c>
      <c r="W251" s="226" t="s">
        <v>380</v>
      </c>
      <c r="X251" s="70" t="s">
        <v>379</v>
      </c>
      <c r="Y251" s="414">
        <v>0.31500000000000006</v>
      </c>
      <c r="Z251" s="70">
        <v>0.31500000000000006</v>
      </c>
      <c r="AA251" s="70">
        <v>0</v>
      </c>
      <c r="AB251" s="464" t="s">
        <v>4230</v>
      </c>
      <c r="AC251" s="415">
        <f t="shared" si="3"/>
        <v>0</v>
      </c>
      <c r="AD251" s="226" t="e">
        <f ca="1">_xlfn.XLOOKUP(X251,'USEEIO metadata'!$C$2:$C$393,'USEEIO metadata'!$H$2:$H$393)</f>
        <v>#NAME?</v>
      </c>
      <c r="AE251" s="226" t="e">
        <f ca="1">_xlfn.XLOOKUP(X251,'USEEIO metadata'!$C$2:$C$393,'USEEIO metadata'!$F$2:$F$393)</f>
        <v>#NAME?</v>
      </c>
      <c r="AF251" s="226" t="e">
        <f ca="1">_xlfn.XLOOKUP(X251,'USEEIO metadata'!$C$2:$C$393,'USEEIO metadata'!$G$2:$G$393)</f>
        <v>#NAME?</v>
      </c>
    </row>
    <row r="252" spans="1:32">
      <c r="A252" t="str">
        <f>_xlfn.IFNA(IF(VLOOKUP(C252,'2016_Detail_Commodity_v1.0'!C:C,1,FALSE)=C252,"No change"),"Name changed")</f>
        <v>No change</v>
      </c>
      <c r="B252" t="s">
        <v>433</v>
      </c>
      <c r="C252" t="s">
        <v>434</v>
      </c>
      <c r="E252" t="s">
        <v>3655</v>
      </c>
      <c r="F252" t="s">
        <v>12</v>
      </c>
      <c r="G252">
        <v>0</v>
      </c>
      <c r="H252" s="413">
        <f>G252*VLOOKUP(E252,GWPs!$B$3:$C$6,2,FALSE)</f>
        <v>0</v>
      </c>
      <c r="I252">
        <v>0</v>
      </c>
      <c r="J252" s="413">
        <f>I252*VLOOKUP(E252,GWPs!$B$3:$C$6,2,FALSE)</f>
        <v>0</v>
      </c>
      <c r="K252">
        <v>0</v>
      </c>
      <c r="L252" s="413">
        <f>K252*VLOOKUP(E252,GWPs!$B$3:$C$6,2,FALSE)</f>
        <v>0</v>
      </c>
      <c r="N252">
        <v>4</v>
      </c>
      <c r="O252">
        <v>2</v>
      </c>
      <c r="P252">
        <v>1</v>
      </c>
      <c r="Q252">
        <v>4</v>
      </c>
      <c r="R252">
        <v>1</v>
      </c>
      <c r="W252" s="226" t="s">
        <v>103</v>
      </c>
      <c r="X252" s="70" t="s">
        <v>903</v>
      </c>
      <c r="Y252" s="414">
        <v>0.20399999999999999</v>
      </c>
      <c r="Z252" s="70">
        <v>0.20399999999999999</v>
      </c>
      <c r="AA252" s="70">
        <v>0</v>
      </c>
      <c r="AB252" s="464" t="s">
        <v>4230</v>
      </c>
      <c r="AC252" s="415">
        <f t="shared" si="3"/>
        <v>0</v>
      </c>
      <c r="AD252" s="226" t="e">
        <f ca="1">_xlfn.XLOOKUP(X252,'USEEIO metadata'!$C$2:$C$393,'USEEIO metadata'!$H$2:$H$393)</f>
        <v>#NAME?</v>
      </c>
      <c r="AE252" s="226" t="e">
        <f ca="1">_xlfn.XLOOKUP(X252,'USEEIO metadata'!$C$2:$C$393,'USEEIO metadata'!$F$2:$F$393)</f>
        <v>#NAME?</v>
      </c>
      <c r="AF252" s="226" t="e">
        <f ca="1">_xlfn.XLOOKUP(X252,'USEEIO metadata'!$C$2:$C$393,'USEEIO metadata'!$G$2:$G$393)</f>
        <v>#NAME?</v>
      </c>
    </row>
    <row r="253" spans="1:32">
      <c r="A253" t="str">
        <f>_xlfn.IFNA(IF(VLOOKUP(C253,'2016_Detail_Commodity_v1.0'!C:C,1,FALSE)=C253,"No change"),"Name changed")</f>
        <v>No change</v>
      </c>
      <c r="B253" t="s">
        <v>433</v>
      </c>
      <c r="C253" t="s">
        <v>434</v>
      </c>
      <c r="E253" t="s">
        <v>15</v>
      </c>
      <c r="F253" t="s">
        <v>16</v>
      </c>
      <c r="G253">
        <v>5.0000000000000001E-3</v>
      </c>
      <c r="H253" s="413">
        <f>G253*VLOOKUP(E253,GWPs!$B$3:$C$6,2,FALSE)</f>
        <v>5.0000000000000001E-3</v>
      </c>
      <c r="I253">
        <v>0</v>
      </c>
      <c r="J253" s="413">
        <f>I253*VLOOKUP(E253,GWPs!$B$3:$C$6,2,FALSE)</f>
        <v>0</v>
      </c>
      <c r="K253">
        <v>5.0000000000000001E-3</v>
      </c>
      <c r="L253" s="413">
        <f>K253*VLOOKUP(E253,GWPs!$B$3:$C$6,2,FALSE)</f>
        <v>5.0000000000000001E-3</v>
      </c>
      <c r="N253">
        <v>3</v>
      </c>
      <c r="O253">
        <v>2</v>
      </c>
      <c r="P253">
        <v>1</v>
      </c>
      <c r="Q253">
        <v>3</v>
      </c>
      <c r="R253">
        <v>1</v>
      </c>
      <c r="W253" s="226" t="s">
        <v>548</v>
      </c>
      <c r="X253" s="70" t="s">
        <v>547</v>
      </c>
      <c r="Y253" s="414">
        <v>0.49199999999999999</v>
      </c>
      <c r="Z253" s="70">
        <v>0.42400000000000004</v>
      </c>
      <c r="AA253" s="70">
        <v>0.04</v>
      </c>
      <c r="AB253" s="464" t="s">
        <v>4230</v>
      </c>
      <c r="AC253" s="415">
        <f t="shared" si="3"/>
        <v>8.1300813008130079E-2</v>
      </c>
      <c r="AD253" s="226" t="e">
        <f ca="1">_xlfn.XLOOKUP(X253,'USEEIO metadata'!$C$2:$C$393,'USEEIO metadata'!$H$2:$H$393)</f>
        <v>#NAME?</v>
      </c>
      <c r="AE253" s="226" t="e">
        <f ca="1">_xlfn.XLOOKUP(X253,'USEEIO metadata'!$C$2:$C$393,'USEEIO metadata'!$F$2:$F$393)</f>
        <v>#NAME?</v>
      </c>
      <c r="AF253" s="226" t="e">
        <f ca="1">_xlfn.XLOOKUP(X253,'USEEIO metadata'!$C$2:$C$393,'USEEIO metadata'!$G$2:$G$393)</f>
        <v>#NAME?</v>
      </c>
    </row>
    <row r="254" spans="1:32" ht="28.5">
      <c r="A254" t="str">
        <f>_xlfn.IFNA(IF(VLOOKUP(C254,'2016_Detail_Commodity_v1.0'!C:C,1,FALSE)=C254,"No change"),"Name changed")</f>
        <v>No change</v>
      </c>
      <c r="B254" t="s">
        <v>435</v>
      </c>
      <c r="C254" t="s">
        <v>436</v>
      </c>
      <c r="E254" t="s">
        <v>3653</v>
      </c>
      <c r="F254" t="s">
        <v>12</v>
      </c>
      <c r="G254">
        <v>0.30499999999999999</v>
      </c>
      <c r="H254" s="413">
        <f>G254*VLOOKUP(E254,GWPs!$B$3:$C$6,2,FALSE)</f>
        <v>0.30499999999999999</v>
      </c>
      <c r="I254">
        <v>7.1999999999999995E-2</v>
      </c>
      <c r="J254" s="413">
        <f>I254*VLOOKUP(E254,GWPs!$B$3:$C$6,2,FALSE)</f>
        <v>7.1999999999999995E-2</v>
      </c>
      <c r="K254">
        <v>0.377</v>
      </c>
      <c r="L254" s="413">
        <f>K254*VLOOKUP(E254,GWPs!$B$3:$C$6,2,FALSE)</f>
        <v>0.377</v>
      </c>
      <c r="N254">
        <v>3</v>
      </c>
      <c r="O254">
        <v>2</v>
      </c>
      <c r="P254">
        <v>1</v>
      </c>
      <c r="Q254">
        <v>4</v>
      </c>
      <c r="R254">
        <v>1</v>
      </c>
      <c r="W254" s="226" t="s">
        <v>586</v>
      </c>
      <c r="X254" s="70" t="s">
        <v>585</v>
      </c>
      <c r="Y254" s="414">
        <v>0.70800000000000007</v>
      </c>
      <c r="Z254" s="70">
        <v>0.67900000000000005</v>
      </c>
      <c r="AA254" s="70">
        <v>2.9000000000000001E-2</v>
      </c>
      <c r="AB254" s="464" t="s">
        <v>4230</v>
      </c>
      <c r="AC254" s="415">
        <f t="shared" si="3"/>
        <v>4.0960451977401127E-2</v>
      </c>
      <c r="AD254" s="226" t="e">
        <f ca="1">_xlfn.XLOOKUP(X254,'USEEIO metadata'!$C$2:$C$393,'USEEIO metadata'!$H$2:$H$393)</f>
        <v>#NAME?</v>
      </c>
      <c r="AE254" s="226" t="e">
        <f ca="1">_xlfn.XLOOKUP(X254,'USEEIO metadata'!$C$2:$C$393,'USEEIO metadata'!$F$2:$F$393)</f>
        <v>#NAME?</v>
      </c>
      <c r="AF254" s="226" t="e">
        <f ca="1">_xlfn.XLOOKUP(X254,'USEEIO metadata'!$C$2:$C$393,'USEEIO metadata'!$G$2:$G$393)</f>
        <v>#NAME?</v>
      </c>
    </row>
    <row r="255" spans="1:32" ht="28.5">
      <c r="A255" t="str">
        <f>_xlfn.IFNA(IF(VLOOKUP(C255,'2016_Detail_Commodity_v1.0'!C:C,1,FALSE)=C255,"No change"),"Name changed")</f>
        <v>No change</v>
      </c>
      <c r="B255" t="s">
        <v>435</v>
      </c>
      <c r="C255" t="s">
        <v>436</v>
      </c>
      <c r="E255" t="s">
        <v>3654</v>
      </c>
      <c r="F255" t="s">
        <v>12</v>
      </c>
      <c r="G255">
        <v>1E-3</v>
      </c>
      <c r="H255" s="413">
        <f>G255*VLOOKUP(E255,GWPs!$B$3:$C$6,2,FALSE)</f>
        <v>2.8000000000000001E-2</v>
      </c>
      <c r="I255">
        <v>0</v>
      </c>
      <c r="J255" s="413">
        <f>I255*VLOOKUP(E255,GWPs!$B$3:$C$6,2,FALSE)</f>
        <v>0</v>
      </c>
      <c r="K255">
        <v>2E-3</v>
      </c>
      <c r="L255" s="413">
        <f>K255*VLOOKUP(E255,GWPs!$B$3:$C$6,2,FALSE)</f>
        <v>5.6000000000000001E-2</v>
      </c>
      <c r="N255">
        <v>3</v>
      </c>
      <c r="O255">
        <v>2</v>
      </c>
      <c r="P255">
        <v>1</v>
      </c>
      <c r="Q255">
        <v>1</v>
      </c>
      <c r="R255">
        <v>1</v>
      </c>
      <c r="W255" s="226" t="s">
        <v>351</v>
      </c>
      <c r="X255" s="70" t="s">
        <v>350</v>
      </c>
      <c r="Y255" s="414">
        <v>0.65300000000000002</v>
      </c>
      <c r="Z255" s="70">
        <v>0.65300000000000002</v>
      </c>
      <c r="AA255" s="70">
        <v>0</v>
      </c>
      <c r="AB255" s="464" t="s">
        <v>4230</v>
      </c>
      <c r="AC255" s="415">
        <f t="shared" si="3"/>
        <v>0</v>
      </c>
      <c r="AD255" s="226" t="e">
        <f ca="1">_xlfn.XLOOKUP(X255,'USEEIO metadata'!$C$2:$C$393,'USEEIO metadata'!$H$2:$H$393)</f>
        <v>#NAME?</v>
      </c>
      <c r="AE255" s="226" t="e">
        <f ca="1">_xlfn.XLOOKUP(X255,'USEEIO metadata'!$C$2:$C$393,'USEEIO metadata'!$F$2:$F$393)</f>
        <v>#NAME?</v>
      </c>
      <c r="AF255" s="226" t="e">
        <f ca="1">_xlfn.XLOOKUP(X255,'USEEIO metadata'!$C$2:$C$393,'USEEIO metadata'!$G$2:$G$393)</f>
        <v>#NAME?</v>
      </c>
    </row>
    <row r="256" spans="1:32">
      <c r="A256" t="str">
        <f>_xlfn.IFNA(IF(VLOOKUP(C256,'2016_Detail_Commodity_v1.0'!C:C,1,FALSE)=C256,"No change"),"Name changed")</f>
        <v>No change</v>
      </c>
      <c r="B256" t="s">
        <v>435</v>
      </c>
      <c r="C256" t="s">
        <v>436</v>
      </c>
      <c r="E256" t="s">
        <v>3655</v>
      </c>
      <c r="F256" t="s">
        <v>12</v>
      </c>
      <c r="G256">
        <v>0</v>
      </c>
      <c r="H256" s="413">
        <f>G256*VLOOKUP(E256,GWPs!$B$3:$C$6,2,FALSE)</f>
        <v>0</v>
      </c>
      <c r="I256">
        <v>0</v>
      </c>
      <c r="J256" s="413">
        <f>I256*VLOOKUP(E256,GWPs!$B$3:$C$6,2,FALSE)</f>
        <v>0</v>
      </c>
      <c r="K256">
        <v>0</v>
      </c>
      <c r="L256" s="413">
        <f>K256*VLOOKUP(E256,GWPs!$B$3:$C$6,2,FALSE)</f>
        <v>0</v>
      </c>
      <c r="N256">
        <v>4</v>
      </c>
      <c r="O256">
        <v>2</v>
      </c>
      <c r="P256">
        <v>1</v>
      </c>
      <c r="Q256">
        <v>4</v>
      </c>
      <c r="R256">
        <v>1</v>
      </c>
      <c r="W256" s="226" t="s">
        <v>1008</v>
      </c>
      <c r="X256" s="70" t="s">
        <v>1007</v>
      </c>
      <c r="Y256" s="414">
        <v>0.159</v>
      </c>
      <c r="Z256" s="70">
        <v>0.159</v>
      </c>
      <c r="AA256" s="70">
        <v>0</v>
      </c>
      <c r="AB256" s="464" t="s">
        <v>4230</v>
      </c>
      <c r="AC256" s="415">
        <f t="shared" si="3"/>
        <v>0</v>
      </c>
      <c r="AD256" s="226" t="e">
        <f ca="1">_xlfn.XLOOKUP(X256,'USEEIO metadata'!$C$2:$C$393,'USEEIO metadata'!$H$2:$H$393)</f>
        <v>#NAME?</v>
      </c>
      <c r="AE256" s="226" t="e">
        <f ca="1">_xlfn.XLOOKUP(X256,'USEEIO metadata'!$C$2:$C$393,'USEEIO metadata'!$F$2:$F$393)</f>
        <v>#NAME?</v>
      </c>
      <c r="AF256" s="226" t="e">
        <f ca="1">_xlfn.XLOOKUP(X256,'USEEIO metadata'!$C$2:$C$393,'USEEIO metadata'!$G$2:$G$393)</f>
        <v>#NAME?</v>
      </c>
    </row>
    <row r="257" spans="1:32">
      <c r="A257" t="str">
        <f>_xlfn.IFNA(IF(VLOOKUP(C257,'2016_Detail_Commodity_v1.0'!C:C,1,FALSE)=C257,"No change"),"Name changed")</f>
        <v>No change</v>
      </c>
      <c r="B257" t="s">
        <v>435</v>
      </c>
      <c r="C257" t="s">
        <v>436</v>
      </c>
      <c r="E257" t="s">
        <v>15</v>
      </c>
      <c r="F257" t="s">
        <v>16</v>
      </c>
      <c r="G257">
        <v>4.0000000000000001E-3</v>
      </c>
      <c r="H257" s="413">
        <f>G257*VLOOKUP(E257,GWPs!$B$3:$C$6,2,FALSE)</f>
        <v>4.0000000000000001E-3</v>
      </c>
      <c r="I257">
        <v>0</v>
      </c>
      <c r="J257" s="413">
        <f>I257*VLOOKUP(E257,GWPs!$B$3:$C$6,2,FALSE)</f>
        <v>0</v>
      </c>
      <c r="K257">
        <v>4.0000000000000001E-3</v>
      </c>
      <c r="L257" s="413">
        <f>K257*VLOOKUP(E257,GWPs!$B$3:$C$6,2,FALSE)</f>
        <v>4.0000000000000001E-3</v>
      </c>
      <c r="N257">
        <v>3</v>
      </c>
      <c r="O257">
        <v>2</v>
      </c>
      <c r="P257">
        <v>1</v>
      </c>
      <c r="Q257">
        <v>4</v>
      </c>
      <c r="R257">
        <v>1</v>
      </c>
      <c r="W257" s="226" t="s">
        <v>450</v>
      </c>
      <c r="X257" s="70" t="s">
        <v>449</v>
      </c>
      <c r="Y257" s="414">
        <v>0.31100000000000005</v>
      </c>
      <c r="Z257" s="70">
        <v>0.23100000000000001</v>
      </c>
      <c r="AA257" s="70">
        <v>8.1000000000000003E-2</v>
      </c>
      <c r="AB257" s="464" t="s">
        <v>4231</v>
      </c>
      <c r="AC257" s="415">
        <f t="shared" si="3"/>
        <v>0.26045016077170413</v>
      </c>
      <c r="AD257" s="226" t="e">
        <f ca="1">_xlfn.XLOOKUP(X257,'USEEIO metadata'!$C$2:$C$393,'USEEIO metadata'!$H$2:$H$393)</f>
        <v>#NAME?</v>
      </c>
      <c r="AE257" s="226" t="e">
        <f ca="1">_xlfn.XLOOKUP(X257,'USEEIO metadata'!$C$2:$C$393,'USEEIO metadata'!$F$2:$F$393)</f>
        <v>#NAME?</v>
      </c>
      <c r="AF257" s="226" t="e">
        <f ca="1">_xlfn.XLOOKUP(X257,'USEEIO metadata'!$C$2:$C$393,'USEEIO metadata'!$G$2:$G$393)</f>
        <v>#NAME?</v>
      </c>
    </row>
    <row r="258" spans="1:32">
      <c r="A258" t="str">
        <f>_xlfn.IFNA(IF(VLOOKUP(C258,'2016_Detail_Commodity_v1.0'!C:C,1,FALSE)=C258,"No change"),"Name changed")</f>
        <v>No change</v>
      </c>
      <c r="B258" t="s">
        <v>437</v>
      </c>
      <c r="C258" t="s">
        <v>438</v>
      </c>
      <c r="E258" t="s">
        <v>3653</v>
      </c>
      <c r="F258" t="s">
        <v>12</v>
      </c>
      <c r="G258">
        <v>7.2999999999999995E-2</v>
      </c>
      <c r="H258" s="413">
        <f>G258*VLOOKUP(E258,GWPs!$B$3:$C$6,2,FALSE)</f>
        <v>7.2999999999999995E-2</v>
      </c>
      <c r="I258">
        <v>5.2999999999999999E-2</v>
      </c>
      <c r="J258" s="413">
        <f>I258*VLOOKUP(E258,GWPs!$B$3:$C$6,2,FALSE)</f>
        <v>5.2999999999999999E-2</v>
      </c>
      <c r="K258">
        <v>0.126</v>
      </c>
      <c r="L258" s="413">
        <f>K258*VLOOKUP(E258,GWPs!$B$3:$C$6,2,FALSE)</f>
        <v>0.126</v>
      </c>
      <c r="N258">
        <v>3</v>
      </c>
      <c r="O258">
        <v>2</v>
      </c>
      <c r="P258">
        <v>1</v>
      </c>
      <c r="Q258">
        <v>3</v>
      </c>
      <c r="R258">
        <v>1</v>
      </c>
      <c r="W258" s="226" t="s">
        <v>18</v>
      </c>
      <c r="X258" s="70" t="s">
        <v>808</v>
      </c>
      <c r="Y258" s="414">
        <v>0.32400000000000001</v>
      </c>
      <c r="Z258" s="70">
        <v>0.26200000000000001</v>
      </c>
      <c r="AA258" s="70">
        <v>6.2E-2</v>
      </c>
      <c r="AB258" s="464" t="s">
        <v>4230</v>
      </c>
      <c r="AC258" s="415">
        <f t="shared" si="3"/>
        <v>0.19135802469135801</v>
      </c>
      <c r="AD258" s="226" t="e">
        <f ca="1">_xlfn.XLOOKUP(X258,'USEEIO metadata'!$C$2:$C$393,'USEEIO metadata'!$H$2:$H$393)</f>
        <v>#NAME?</v>
      </c>
      <c r="AE258" s="226" t="e">
        <f ca="1">_xlfn.XLOOKUP(X258,'USEEIO metadata'!$C$2:$C$393,'USEEIO metadata'!$F$2:$F$393)</f>
        <v>#NAME?</v>
      </c>
      <c r="AF258" s="226" t="e">
        <f ca="1">_xlfn.XLOOKUP(X258,'USEEIO metadata'!$C$2:$C$393,'USEEIO metadata'!$G$2:$G$393)</f>
        <v>#NAME?</v>
      </c>
    </row>
    <row r="259" spans="1:32">
      <c r="A259" t="str">
        <f>_xlfn.IFNA(IF(VLOOKUP(C259,'2016_Detail_Commodity_v1.0'!C:C,1,FALSE)=C259,"No change"),"Name changed")</f>
        <v>No change</v>
      </c>
      <c r="B259" t="s">
        <v>437</v>
      </c>
      <c r="C259" t="s">
        <v>438</v>
      </c>
      <c r="E259" t="s">
        <v>3654</v>
      </c>
      <c r="F259" t="s">
        <v>12</v>
      </c>
      <c r="G259">
        <v>0</v>
      </c>
      <c r="H259" s="413">
        <f>G259*VLOOKUP(E259,GWPs!$B$3:$C$6,2,FALSE)</f>
        <v>0</v>
      </c>
      <c r="I259">
        <v>0</v>
      </c>
      <c r="J259" s="413">
        <f>I259*VLOOKUP(E259,GWPs!$B$3:$C$6,2,FALSE)</f>
        <v>0</v>
      </c>
      <c r="K259">
        <v>1E-3</v>
      </c>
      <c r="L259" s="413">
        <f>K259*VLOOKUP(E259,GWPs!$B$3:$C$6,2,FALSE)</f>
        <v>2.8000000000000001E-2</v>
      </c>
      <c r="N259">
        <v>4</v>
      </c>
      <c r="O259">
        <v>2</v>
      </c>
      <c r="P259">
        <v>1</v>
      </c>
      <c r="Q259">
        <v>1</v>
      </c>
      <c r="R259">
        <v>1</v>
      </c>
      <c r="W259" s="226" t="s">
        <v>786</v>
      </c>
      <c r="X259" s="70" t="s">
        <v>785</v>
      </c>
      <c r="Y259" s="414">
        <v>0.40300000000000002</v>
      </c>
      <c r="Z259" s="70">
        <v>0.36000000000000004</v>
      </c>
      <c r="AA259" s="70">
        <v>4.2999999999999997E-2</v>
      </c>
      <c r="AB259" s="464" t="s">
        <v>4230</v>
      </c>
      <c r="AC259" s="415">
        <f t="shared" ref="AC259:AC322" si="4">IFERROR(AA259/Y259,"")</f>
        <v>0.10669975186104216</v>
      </c>
      <c r="AD259" s="226" t="e">
        <f ca="1">_xlfn.XLOOKUP(X259,'USEEIO metadata'!$C$2:$C$393,'USEEIO metadata'!$H$2:$H$393)</f>
        <v>#NAME?</v>
      </c>
      <c r="AE259" s="226" t="e">
        <f ca="1">_xlfn.XLOOKUP(X259,'USEEIO metadata'!$C$2:$C$393,'USEEIO metadata'!$F$2:$F$393)</f>
        <v>#NAME?</v>
      </c>
      <c r="AF259" s="226" t="e">
        <f ca="1">_xlfn.XLOOKUP(X259,'USEEIO metadata'!$C$2:$C$393,'USEEIO metadata'!$G$2:$G$393)</f>
        <v>#NAME?</v>
      </c>
    </row>
    <row r="260" spans="1:32">
      <c r="A260" t="str">
        <f>_xlfn.IFNA(IF(VLOOKUP(C260,'2016_Detail_Commodity_v1.0'!C:C,1,FALSE)=C260,"No change"),"Name changed")</f>
        <v>No change</v>
      </c>
      <c r="B260" t="s">
        <v>437</v>
      </c>
      <c r="C260" t="s">
        <v>438</v>
      </c>
      <c r="E260" t="s">
        <v>3655</v>
      </c>
      <c r="F260" t="s">
        <v>12</v>
      </c>
      <c r="G260">
        <v>0</v>
      </c>
      <c r="H260" s="413">
        <f>G260*VLOOKUP(E260,GWPs!$B$3:$C$6,2,FALSE)</f>
        <v>0</v>
      </c>
      <c r="I260">
        <v>0</v>
      </c>
      <c r="J260" s="413">
        <f>I260*VLOOKUP(E260,GWPs!$B$3:$C$6,2,FALSE)</f>
        <v>0</v>
      </c>
      <c r="K260">
        <v>0</v>
      </c>
      <c r="L260" s="413">
        <f>K260*VLOOKUP(E260,GWPs!$B$3:$C$6,2,FALSE)</f>
        <v>0</v>
      </c>
      <c r="N260">
        <v>4</v>
      </c>
      <c r="O260">
        <v>2</v>
      </c>
      <c r="P260">
        <v>1</v>
      </c>
      <c r="Q260">
        <v>4</v>
      </c>
      <c r="R260">
        <v>1</v>
      </c>
      <c r="W260" s="226" t="s">
        <v>1024</v>
      </c>
      <c r="X260" s="70" t="s">
        <v>1023</v>
      </c>
      <c r="Y260" s="414">
        <v>0.14600000000000002</v>
      </c>
      <c r="Z260" s="70">
        <v>0.14600000000000002</v>
      </c>
      <c r="AA260" s="70">
        <v>0</v>
      </c>
      <c r="AB260" s="464" t="s">
        <v>4231</v>
      </c>
      <c r="AC260" s="415">
        <f t="shared" si="4"/>
        <v>0</v>
      </c>
      <c r="AD260" s="226" t="e">
        <f ca="1">_xlfn.XLOOKUP(X260,'USEEIO metadata'!$C$2:$C$393,'USEEIO metadata'!$H$2:$H$393)</f>
        <v>#NAME?</v>
      </c>
      <c r="AE260" s="226" t="e">
        <f ca="1">_xlfn.XLOOKUP(X260,'USEEIO metadata'!$C$2:$C$393,'USEEIO metadata'!$F$2:$F$393)</f>
        <v>#NAME?</v>
      </c>
      <c r="AF260" s="226" t="e">
        <f ca="1">_xlfn.XLOOKUP(X260,'USEEIO metadata'!$C$2:$C$393,'USEEIO metadata'!$G$2:$G$393)</f>
        <v>#NAME?</v>
      </c>
    </row>
    <row r="261" spans="1:32">
      <c r="A261" t="str">
        <f>_xlfn.IFNA(IF(VLOOKUP(C261,'2016_Detail_Commodity_v1.0'!C:C,1,FALSE)=C261,"No change"),"Name changed")</f>
        <v>No change</v>
      </c>
      <c r="B261" t="s">
        <v>437</v>
      </c>
      <c r="C261" t="s">
        <v>438</v>
      </c>
      <c r="E261" t="s">
        <v>15</v>
      </c>
      <c r="F261" t="s">
        <v>16</v>
      </c>
      <c r="G261">
        <v>2E-3</v>
      </c>
      <c r="H261" s="413">
        <f>G261*VLOOKUP(E261,GWPs!$B$3:$C$6,2,FALSE)</f>
        <v>2E-3</v>
      </c>
      <c r="I261">
        <v>0</v>
      </c>
      <c r="J261" s="413">
        <f>I261*VLOOKUP(E261,GWPs!$B$3:$C$6,2,FALSE)</f>
        <v>0</v>
      </c>
      <c r="K261">
        <v>2E-3</v>
      </c>
      <c r="L261" s="413">
        <f>K261*VLOOKUP(E261,GWPs!$B$3:$C$6,2,FALSE)</f>
        <v>2E-3</v>
      </c>
      <c r="N261">
        <v>3</v>
      </c>
      <c r="O261">
        <v>2</v>
      </c>
      <c r="P261">
        <v>1</v>
      </c>
      <c r="Q261">
        <v>3</v>
      </c>
      <c r="R261">
        <v>1</v>
      </c>
      <c r="W261" s="226" t="s">
        <v>952</v>
      </c>
      <c r="X261" s="70" t="s">
        <v>951</v>
      </c>
      <c r="Y261" s="414">
        <v>2.0999999999999998E-2</v>
      </c>
      <c r="Z261" s="70">
        <v>2.0999999999999998E-2</v>
      </c>
      <c r="AA261" s="70">
        <v>0</v>
      </c>
      <c r="AB261" s="464" t="s">
        <v>4230</v>
      </c>
      <c r="AC261" s="415">
        <f t="shared" si="4"/>
        <v>0</v>
      </c>
      <c r="AD261" s="226" t="e">
        <f ca="1">_xlfn.XLOOKUP(X261,'USEEIO metadata'!$C$2:$C$393,'USEEIO metadata'!$H$2:$H$393)</f>
        <v>#NAME?</v>
      </c>
      <c r="AE261" s="226" t="e">
        <f ca="1">_xlfn.XLOOKUP(X261,'USEEIO metadata'!$C$2:$C$393,'USEEIO metadata'!$F$2:$F$393)</f>
        <v>#NAME?</v>
      </c>
      <c r="AF261" s="226" t="e">
        <f ca="1">_xlfn.XLOOKUP(X261,'USEEIO metadata'!$C$2:$C$393,'USEEIO metadata'!$G$2:$G$393)</f>
        <v>#NAME?</v>
      </c>
    </row>
    <row r="262" spans="1:32">
      <c r="A262" t="str">
        <f>_xlfn.IFNA(IF(VLOOKUP(C262,'2016_Detail_Commodity_v1.0'!C:C,1,FALSE)=C262,"No change"),"Name changed")</f>
        <v>No change</v>
      </c>
      <c r="B262" t="s">
        <v>439</v>
      </c>
      <c r="C262" t="s">
        <v>440</v>
      </c>
      <c r="E262" t="s">
        <v>3653</v>
      </c>
      <c r="F262" t="s">
        <v>12</v>
      </c>
      <c r="G262">
        <v>0.64900000000000002</v>
      </c>
      <c r="H262" s="413">
        <f>G262*VLOOKUP(E262,GWPs!$B$3:$C$6,2,FALSE)</f>
        <v>0.64900000000000002</v>
      </c>
      <c r="I262">
        <v>4.5999999999999999E-2</v>
      </c>
      <c r="J262" s="413">
        <f>I262*VLOOKUP(E262,GWPs!$B$3:$C$6,2,FALSE)</f>
        <v>4.5999999999999999E-2</v>
      </c>
      <c r="K262">
        <v>0.69499999999999995</v>
      </c>
      <c r="L262" s="413">
        <f>K262*VLOOKUP(E262,GWPs!$B$3:$C$6,2,FALSE)</f>
        <v>0.69499999999999995</v>
      </c>
      <c r="N262">
        <v>3</v>
      </c>
      <c r="O262">
        <v>2</v>
      </c>
      <c r="P262">
        <v>1</v>
      </c>
      <c r="Q262">
        <v>3</v>
      </c>
      <c r="R262">
        <v>1</v>
      </c>
      <c r="W262" s="226" t="s">
        <v>412</v>
      </c>
      <c r="X262" s="70" t="s">
        <v>411</v>
      </c>
      <c r="Y262" s="414">
        <v>2.0470000000000002</v>
      </c>
      <c r="Z262" s="70">
        <v>1.994</v>
      </c>
      <c r="AA262" s="70">
        <v>5.2999999999999999E-2</v>
      </c>
      <c r="AB262" s="464" t="s">
        <v>4231</v>
      </c>
      <c r="AC262" s="415">
        <f t="shared" si="4"/>
        <v>2.5891548607718608E-2</v>
      </c>
      <c r="AD262" s="226" t="e">
        <f ca="1">_xlfn.XLOOKUP(X262,'USEEIO metadata'!$C$2:$C$393,'USEEIO metadata'!$H$2:$H$393)</f>
        <v>#NAME?</v>
      </c>
      <c r="AE262" s="226" t="e">
        <f ca="1">_xlfn.XLOOKUP(X262,'USEEIO metadata'!$C$2:$C$393,'USEEIO metadata'!$F$2:$F$393)</f>
        <v>#NAME?</v>
      </c>
      <c r="AF262" s="226" t="e">
        <f ca="1">_xlfn.XLOOKUP(X262,'USEEIO metadata'!$C$2:$C$393,'USEEIO metadata'!$G$2:$G$393)</f>
        <v>#NAME?</v>
      </c>
    </row>
    <row r="263" spans="1:32">
      <c r="A263" t="str">
        <f>_xlfn.IFNA(IF(VLOOKUP(C263,'2016_Detail_Commodity_v1.0'!C:C,1,FALSE)=C263,"No change"),"Name changed")</f>
        <v>No change</v>
      </c>
      <c r="B263" t="s">
        <v>439</v>
      </c>
      <c r="C263" t="s">
        <v>440</v>
      </c>
      <c r="E263" t="s">
        <v>3654</v>
      </c>
      <c r="F263" t="s">
        <v>12</v>
      </c>
      <c r="G263">
        <v>3.0000000000000001E-3</v>
      </c>
      <c r="H263" s="413">
        <f>G263*VLOOKUP(E263,GWPs!$B$3:$C$6,2,FALSE)</f>
        <v>8.4000000000000005E-2</v>
      </c>
      <c r="I263">
        <v>0</v>
      </c>
      <c r="J263" s="413">
        <f>I263*VLOOKUP(E263,GWPs!$B$3:$C$6,2,FALSE)</f>
        <v>0</v>
      </c>
      <c r="K263">
        <v>3.0000000000000001E-3</v>
      </c>
      <c r="L263" s="413">
        <f>K263*VLOOKUP(E263,GWPs!$B$3:$C$6,2,FALSE)</f>
        <v>8.4000000000000005E-2</v>
      </c>
      <c r="N263">
        <v>3</v>
      </c>
      <c r="O263">
        <v>2</v>
      </c>
      <c r="P263">
        <v>1</v>
      </c>
      <c r="Q263">
        <v>1</v>
      </c>
      <c r="R263">
        <v>1</v>
      </c>
      <c r="W263" s="226" t="s">
        <v>410</v>
      </c>
      <c r="X263" s="70" t="s">
        <v>409</v>
      </c>
      <c r="Y263" s="414">
        <v>0.96300000000000008</v>
      </c>
      <c r="Z263" s="70">
        <v>0.90600000000000003</v>
      </c>
      <c r="AA263" s="70">
        <v>5.7000000000000002E-2</v>
      </c>
      <c r="AB263" s="464" t="s">
        <v>4231</v>
      </c>
      <c r="AC263" s="415">
        <f t="shared" si="4"/>
        <v>5.9190031152647975E-2</v>
      </c>
      <c r="AD263" s="226" t="e">
        <f ca="1">_xlfn.XLOOKUP(X263,'USEEIO metadata'!$C$2:$C$393,'USEEIO metadata'!$H$2:$H$393)</f>
        <v>#NAME?</v>
      </c>
      <c r="AE263" s="226" t="e">
        <f ca="1">_xlfn.XLOOKUP(X263,'USEEIO metadata'!$C$2:$C$393,'USEEIO metadata'!$F$2:$F$393)</f>
        <v>#NAME?</v>
      </c>
      <c r="AF263" s="226" t="e">
        <f ca="1">_xlfn.XLOOKUP(X263,'USEEIO metadata'!$C$2:$C$393,'USEEIO metadata'!$G$2:$G$393)</f>
        <v>#NAME?</v>
      </c>
    </row>
    <row r="264" spans="1:32">
      <c r="A264" t="str">
        <f>_xlfn.IFNA(IF(VLOOKUP(C264,'2016_Detail_Commodity_v1.0'!C:C,1,FALSE)=C264,"No change"),"Name changed")</f>
        <v>No change</v>
      </c>
      <c r="B264" t="s">
        <v>439</v>
      </c>
      <c r="C264" t="s">
        <v>440</v>
      </c>
      <c r="E264" t="s">
        <v>3655</v>
      </c>
      <c r="F264" t="s">
        <v>12</v>
      </c>
      <c r="G264">
        <v>0</v>
      </c>
      <c r="H264" s="413">
        <f>G264*VLOOKUP(E264,GWPs!$B$3:$C$6,2,FALSE)</f>
        <v>0</v>
      </c>
      <c r="I264">
        <v>0</v>
      </c>
      <c r="J264" s="413">
        <f>I264*VLOOKUP(E264,GWPs!$B$3:$C$6,2,FALSE)</f>
        <v>0</v>
      </c>
      <c r="K264">
        <v>0</v>
      </c>
      <c r="L264" s="413">
        <f>K264*VLOOKUP(E264,GWPs!$B$3:$C$6,2,FALSE)</f>
        <v>0</v>
      </c>
      <c r="N264">
        <v>4</v>
      </c>
      <c r="O264">
        <v>2</v>
      </c>
      <c r="P264">
        <v>1</v>
      </c>
      <c r="Q264">
        <v>4</v>
      </c>
      <c r="R264">
        <v>1</v>
      </c>
      <c r="W264" s="226" t="s">
        <v>680</v>
      </c>
      <c r="X264" s="70" t="s">
        <v>679</v>
      </c>
      <c r="Y264" s="414">
        <v>0.20300000000000001</v>
      </c>
      <c r="Z264" s="70">
        <v>0.17599999999999999</v>
      </c>
      <c r="AA264" s="70">
        <v>2.7E-2</v>
      </c>
      <c r="AB264" s="464" t="s">
        <v>4230</v>
      </c>
      <c r="AC264" s="415">
        <f t="shared" si="4"/>
        <v>0.13300492610837436</v>
      </c>
      <c r="AD264" s="226" t="e">
        <f ca="1">_xlfn.XLOOKUP(X264,'USEEIO metadata'!$C$2:$C$393,'USEEIO metadata'!$H$2:$H$393)</f>
        <v>#NAME?</v>
      </c>
      <c r="AE264" s="226" t="e">
        <f ca="1">_xlfn.XLOOKUP(X264,'USEEIO metadata'!$C$2:$C$393,'USEEIO metadata'!$F$2:$F$393)</f>
        <v>#NAME?</v>
      </c>
      <c r="AF264" s="226" t="e">
        <f ca="1">_xlfn.XLOOKUP(X264,'USEEIO metadata'!$C$2:$C$393,'USEEIO metadata'!$G$2:$G$393)</f>
        <v>#NAME?</v>
      </c>
    </row>
    <row r="265" spans="1:32">
      <c r="A265" t="str">
        <f>_xlfn.IFNA(IF(VLOOKUP(C265,'2016_Detail_Commodity_v1.0'!C:C,1,FALSE)=C265,"No change"),"Name changed")</f>
        <v>No change</v>
      </c>
      <c r="B265" t="s">
        <v>439</v>
      </c>
      <c r="C265" t="s">
        <v>440</v>
      </c>
      <c r="E265" t="s">
        <v>15</v>
      </c>
      <c r="F265" t="s">
        <v>16</v>
      </c>
      <c r="G265">
        <v>5.0000000000000001E-3</v>
      </c>
      <c r="H265" s="413">
        <f>G265*VLOOKUP(E265,GWPs!$B$3:$C$6,2,FALSE)</f>
        <v>5.0000000000000001E-3</v>
      </c>
      <c r="I265">
        <v>0</v>
      </c>
      <c r="J265" s="413">
        <f>I265*VLOOKUP(E265,GWPs!$B$3:$C$6,2,FALSE)</f>
        <v>0</v>
      </c>
      <c r="K265">
        <v>5.0000000000000001E-3</v>
      </c>
      <c r="L265" s="413">
        <f>K265*VLOOKUP(E265,GWPs!$B$3:$C$6,2,FALSE)</f>
        <v>5.0000000000000001E-3</v>
      </c>
      <c r="N265">
        <v>3</v>
      </c>
      <c r="O265">
        <v>2</v>
      </c>
      <c r="P265">
        <v>1</v>
      </c>
      <c r="Q265">
        <v>3</v>
      </c>
      <c r="R265">
        <v>1</v>
      </c>
      <c r="W265" s="226" t="s">
        <v>518</v>
      </c>
      <c r="X265" s="70" t="s">
        <v>517</v>
      </c>
      <c r="Y265" s="414">
        <v>0.60500000000000009</v>
      </c>
      <c r="Z265" s="70">
        <v>0.55900000000000005</v>
      </c>
      <c r="AA265" s="70">
        <v>4.5999999999999999E-2</v>
      </c>
      <c r="AB265" s="464" t="s">
        <v>4230</v>
      </c>
      <c r="AC265" s="415">
        <f t="shared" si="4"/>
        <v>7.6033057851239663E-2</v>
      </c>
      <c r="AD265" s="226" t="e">
        <f ca="1">_xlfn.XLOOKUP(X265,'USEEIO metadata'!$C$2:$C$393,'USEEIO metadata'!$H$2:$H$393)</f>
        <v>#NAME?</v>
      </c>
      <c r="AE265" s="226" t="e">
        <f ca="1">_xlfn.XLOOKUP(X265,'USEEIO metadata'!$C$2:$C$393,'USEEIO metadata'!$F$2:$F$393)</f>
        <v>#NAME?</v>
      </c>
      <c r="AF265" s="226" t="e">
        <f ca="1">_xlfn.XLOOKUP(X265,'USEEIO metadata'!$C$2:$C$393,'USEEIO metadata'!$G$2:$G$393)</f>
        <v>#NAME?</v>
      </c>
    </row>
    <row r="266" spans="1:32">
      <c r="A266" t="str">
        <f>_xlfn.IFNA(IF(VLOOKUP(C266,'2016_Detail_Commodity_v1.0'!C:C,1,FALSE)=C266,"No change"),"Name changed")</f>
        <v>No change</v>
      </c>
      <c r="B266" t="s">
        <v>441</v>
      </c>
      <c r="C266" t="s">
        <v>442</v>
      </c>
      <c r="E266" t="s">
        <v>3653</v>
      </c>
      <c r="F266" t="s">
        <v>12</v>
      </c>
      <c r="G266">
        <v>0.48899999999999999</v>
      </c>
      <c r="H266" s="413">
        <f>G266*VLOOKUP(E266,GWPs!$B$3:$C$6,2,FALSE)</f>
        <v>0.48899999999999999</v>
      </c>
      <c r="I266">
        <v>5.5E-2</v>
      </c>
      <c r="J266" s="413">
        <f>I266*VLOOKUP(E266,GWPs!$B$3:$C$6,2,FALSE)</f>
        <v>5.5E-2</v>
      </c>
      <c r="K266">
        <v>0.54400000000000004</v>
      </c>
      <c r="L266" s="413">
        <f>K266*VLOOKUP(E266,GWPs!$B$3:$C$6,2,FALSE)</f>
        <v>0.54400000000000004</v>
      </c>
      <c r="N266">
        <v>3</v>
      </c>
      <c r="O266">
        <v>2</v>
      </c>
      <c r="P266">
        <v>1</v>
      </c>
      <c r="Q266">
        <v>3</v>
      </c>
      <c r="R266">
        <v>1</v>
      </c>
      <c r="W266" s="226" t="s">
        <v>466</v>
      </c>
      <c r="X266" s="70" t="s">
        <v>465</v>
      </c>
      <c r="Y266" s="414">
        <v>0.79400000000000004</v>
      </c>
      <c r="Z266" s="70">
        <v>0.72900000000000009</v>
      </c>
      <c r="AA266" s="70">
        <v>6.5000000000000002E-2</v>
      </c>
      <c r="AB266" s="464" t="s">
        <v>4231</v>
      </c>
      <c r="AC266" s="415">
        <f t="shared" si="4"/>
        <v>8.1863979848866494E-2</v>
      </c>
      <c r="AD266" s="226" t="e">
        <f ca="1">_xlfn.XLOOKUP(X266,'USEEIO metadata'!$C$2:$C$393,'USEEIO metadata'!$H$2:$H$393)</f>
        <v>#NAME?</v>
      </c>
      <c r="AE266" s="226" t="e">
        <f ca="1">_xlfn.XLOOKUP(X266,'USEEIO metadata'!$C$2:$C$393,'USEEIO metadata'!$F$2:$F$393)</f>
        <v>#NAME?</v>
      </c>
      <c r="AF266" s="226" t="e">
        <f ca="1">_xlfn.XLOOKUP(X266,'USEEIO metadata'!$C$2:$C$393,'USEEIO metadata'!$G$2:$G$393)</f>
        <v>#NAME?</v>
      </c>
    </row>
    <row r="267" spans="1:32">
      <c r="A267" t="str">
        <f>_xlfn.IFNA(IF(VLOOKUP(C267,'2016_Detail_Commodity_v1.0'!C:C,1,FALSE)=C267,"No change"),"Name changed")</f>
        <v>No change</v>
      </c>
      <c r="B267" t="s">
        <v>441</v>
      </c>
      <c r="C267" t="s">
        <v>442</v>
      </c>
      <c r="E267" t="s">
        <v>3654</v>
      </c>
      <c r="F267" t="s">
        <v>12</v>
      </c>
      <c r="G267">
        <v>2E-3</v>
      </c>
      <c r="H267" s="413">
        <f>G267*VLOOKUP(E267,GWPs!$B$3:$C$6,2,FALSE)</f>
        <v>5.6000000000000001E-2</v>
      </c>
      <c r="I267">
        <v>0</v>
      </c>
      <c r="J267" s="413">
        <f>I267*VLOOKUP(E267,GWPs!$B$3:$C$6,2,FALSE)</f>
        <v>0</v>
      </c>
      <c r="K267">
        <v>3.0000000000000001E-3</v>
      </c>
      <c r="L267" s="413">
        <f>K267*VLOOKUP(E267,GWPs!$B$3:$C$6,2,FALSE)</f>
        <v>8.4000000000000005E-2</v>
      </c>
      <c r="N267">
        <v>3</v>
      </c>
      <c r="O267">
        <v>2</v>
      </c>
      <c r="P267">
        <v>1</v>
      </c>
      <c r="Q267">
        <v>1</v>
      </c>
      <c r="R267">
        <v>1</v>
      </c>
      <c r="W267" s="226" t="s">
        <v>472</v>
      </c>
      <c r="X267" s="70" t="s">
        <v>471</v>
      </c>
      <c r="Y267" s="414">
        <v>0.6160000000000001</v>
      </c>
      <c r="Z267" s="70">
        <v>0.53600000000000003</v>
      </c>
      <c r="AA267" s="70">
        <v>5.1999999999999998E-2</v>
      </c>
      <c r="AB267" s="464" t="s">
        <v>4230</v>
      </c>
      <c r="AC267" s="415">
        <f t="shared" si="4"/>
        <v>8.4415584415584402E-2</v>
      </c>
      <c r="AD267" s="226" t="e">
        <f ca="1">_xlfn.XLOOKUP(X267,'USEEIO metadata'!$C$2:$C$393,'USEEIO metadata'!$H$2:$H$393)</f>
        <v>#NAME?</v>
      </c>
      <c r="AE267" s="226" t="e">
        <f ca="1">_xlfn.XLOOKUP(X267,'USEEIO metadata'!$C$2:$C$393,'USEEIO metadata'!$F$2:$F$393)</f>
        <v>#NAME?</v>
      </c>
      <c r="AF267" s="226" t="e">
        <f ca="1">_xlfn.XLOOKUP(X267,'USEEIO metadata'!$C$2:$C$393,'USEEIO metadata'!$G$2:$G$393)</f>
        <v>#NAME?</v>
      </c>
    </row>
    <row r="268" spans="1:32">
      <c r="A268" t="str">
        <f>_xlfn.IFNA(IF(VLOOKUP(C268,'2016_Detail_Commodity_v1.0'!C:C,1,FALSE)=C268,"No change"),"Name changed")</f>
        <v>No change</v>
      </c>
      <c r="B268" t="s">
        <v>441</v>
      </c>
      <c r="C268" t="s">
        <v>442</v>
      </c>
      <c r="E268" t="s">
        <v>3655</v>
      </c>
      <c r="F268" t="s">
        <v>12</v>
      </c>
      <c r="G268">
        <v>0</v>
      </c>
      <c r="H268" s="413">
        <f>G268*VLOOKUP(E268,GWPs!$B$3:$C$6,2,FALSE)</f>
        <v>0</v>
      </c>
      <c r="I268">
        <v>0</v>
      </c>
      <c r="J268" s="413">
        <f>I268*VLOOKUP(E268,GWPs!$B$3:$C$6,2,FALSE)</f>
        <v>0</v>
      </c>
      <c r="K268">
        <v>0</v>
      </c>
      <c r="L268" s="413">
        <f>K268*VLOOKUP(E268,GWPs!$B$3:$C$6,2,FALSE)</f>
        <v>0</v>
      </c>
      <c r="N268">
        <v>4</v>
      </c>
      <c r="O268">
        <v>2</v>
      </c>
      <c r="P268">
        <v>1</v>
      </c>
      <c r="Q268">
        <v>3</v>
      </c>
      <c r="R268">
        <v>1</v>
      </c>
      <c r="W268" s="226" t="s">
        <v>892</v>
      </c>
      <c r="X268" s="70" t="s">
        <v>891</v>
      </c>
      <c r="Y268" s="414">
        <v>0.52700000000000002</v>
      </c>
      <c r="Z268" s="70">
        <v>0.52700000000000002</v>
      </c>
      <c r="AA268" s="70">
        <v>0</v>
      </c>
      <c r="AB268" s="464" t="s">
        <v>4230</v>
      </c>
      <c r="AC268" s="415">
        <f t="shared" si="4"/>
        <v>0</v>
      </c>
      <c r="AD268" s="226" t="e">
        <f ca="1">_xlfn.XLOOKUP(X268,'USEEIO metadata'!$C$2:$C$393,'USEEIO metadata'!$H$2:$H$393)</f>
        <v>#NAME?</v>
      </c>
      <c r="AE268" s="226" t="e">
        <f ca="1">_xlfn.XLOOKUP(X268,'USEEIO metadata'!$C$2:$C$393,'USEEIO metadata'!$F$2:$F$393)</f>
        <v>#NAME?</v>
      </c>
      <c r="AF268" s="226" t="e">
        <f ca="1">_xlfn.XLOOKUP(X268,'USEEIO metadata'!$C$2:$C$393,'USEEIO metadata'!$G$2:$G$393)</f>
        <v>#NAME?</v>
      </c>
    </row>
    <row r="269" spans="1:32">
      <c r="A269" t="str">
        <f>_xlfn.IFNA(IF(VLOOKUP(C269,'2016_Detail_Commodity_v1.0'!C:C,1,FALSE)=C269,"No change"),"Name changed")</f>
        <v>No change</v>
      </c>
      <c r="B269" t="s">
        <v>441</v>
      </c>
      <c r="C269" t="s">
        <v>442</v>
      </c>
      <c r="E269" t="s">
        <v>15</v>
      </c>
      <c r="F269" t="s">
        <v>16</v>
      </c>
      <c r="G269">
        <v>4.0000000000000001E-3</v>
      </c>
      <c r="H269" s="413">
        <f>G269*VLOOKUP(E269,GWPs!$B$3:$C$6,2,FALSE)</f>
        <v>4.0000000000000001E-3</v>
      </c>
      <c r="I269">
        <v>0</v>
      </c>
      <c r="J269" s="413">
        <f>I269*VLOOKUP(E269,GWPs!$B$3:$C$6,2,FALSE)</f>
        <v>0</v>
      </c>
      <c r="K269">
        <v>4.0000000000000001E-3</v>
      </c>
      <c r="L269" s="413">
        <f>K269*VLOOKUP(E269,GWPs!$B$3:$C$6,2,FALSE)</f>
        <v>4.0000000000000001E-3</v>
      </c>
      <c r="N269">
        <v>3</v>
      </c>
      <c r="O269">
        <v>2</v>
      </c>
      <c r="P269">
        <v>1</v>
      </c>
      <c r="Q269">
        <v>3</v>
      </c>
      <c r="R269">
        <v>1</v>
      </c>
      <c r="W269" s="226" t="s">
        <v>1043</v>
      </c>
      <c r="X269" s="70" t="s">
        <v>1042</v>
      </c>
      <c r="Y269" s="414">
        <v>8.6000000000000007E-2</v>
      </c>
      <c r="Z269" s="70">
        <v>8.6000000000000007E-2</v>
      </c>
      <c r="AA269" s="70">
        <v>0</v>
      </c>
      <c r="AB269" s="464" t="s">
        <v>4230</v>
      </c>
      <c r="AC269" s="415">
        <f t="shared" si="4"/>
        <v>0</v>
      </c>
      <c r="AD269" s="226" t="e">
        <f ca="1">_xlfn.XLOOKUP(X269,'USEEIO metadata'!$C$2:$C$393,'USEEIO metadata'!$H$2:$H$393)</f>
        <v>#NAME?</v>
      </c>
      <c r="AE269" s="226" t="e">
        <f ca="1">_xlfn.XLOOKUP(X269,'USEEIO metadata'!$C$2:$C$393,'USEEIO metadata'!$F$2:$F$393)</f>
        <v>#NAME?</v>
      </c>
      <c r="AF269" s="226" t="e">
        <f ca="1">_xlfn.XLOOKUP(X269,'USEEIO metadata'!$C$2:$C$393,'USEEIO metadata'!$G$2:$G$393)</f>
        <v>#NAME?</v>
      </c>
    </row>
    <row r="270" spans="1:32">
      <c r="A270" t="str">
        <f>_xlfn.IFNA(IF(VLOOKUP(C270,'2016_Detail_Commodity_v1.0'!C:C,1,FALSE)=C270,"No change"),"Name changed")</f>
        <v>No change</v>
      </c>
      <c r="B270" t="s">
        <v>443</v>
      </c>
      <c r="C270" t="s">
        <v>444</v>
      </c>
      <c r="E270" t="s">
        <v>3653</v>
      </c>
      <c r="F270" t="s">
        <v>12</v>
      </c>
      <c r="G270">
        <v>0.48299999999999998</v>
      </c>
      <c r="H270" s="413">
        <f>G270*VLOOKUP(E270,GWPs!$B$3:$C$6,2,FALSE)</f>
        <v>0.48299999999999998</v>
      </c>
      <c r="I270">
        <v>4.4999999999999998E-2</v>
      </c>
      <c r="J270" s="413">
        <f>I270*VLOOKUP(E270,GWPs!$B$3:$C$6,2,FALSE)</f>
        <v>4.4999999999999998E-2</v>
      </c>
      <c r="K270">
        <v>0.52700000000000002</v>
      </c>
      <c r="L270" s="413">
        <f>K270*VLOOKUP(E270,GWPs!$B$3:$C$6,2,FALSE)</f>
        <v>0.52700000000000002</v>
      </c>
      <c r="N270">
        <v>3</v>
      </c>
      <c r="O270">
        <v>2</v>
      </c>
      <c r="P270">
        <v>1</v>
      </c>
      <c r="Q270">
        <v>4</v>
      </c>
      <c r="R270">
        <v>1</v>
      </c>
      <c r="W270" s="226" t="s">
        <v>508</v>
      </c>
      <c r="X270" s="70" t="s">
        <v>507</v>
      </c>
      <c r="Y270" s="414">
        <v>0.55200000000000005</v>
      </c>
      <c r="Z270" s="70">
        <v>0.501</v>
      </c>
      <c r="AA270" s="70">
        <v>5.0999999999999997E-2</v>
      </c>
      <c r="AB270" s="464" t="s">
        <v>4230</v>
      </c>
      <c r="AC270" s="415">
        <f t="shared" si="4"/>
        <v>9.2391304347826067E-2</v>
      </c>
      <c r="AD270" s="226" t="e">
        <f ca="1">_xlfn.XLOOKUP(X270,'USEEIO metadata'!$C$2:$C$393,'USEEIO metadata'!$H$2:$H$393)</f>
        <v>#NAME?</v>
      </c>
      <c r="AE270" s="226" t="e">
        <f ca="1">_xlfn.XLOOKUP(X270,'USEEIO metadata'!$C$2:$C$393,'USEEIO metadata'!$F$2:$F$393)</f>
        <v>#NAME?</v>
      </c>
      <c r="AF270" s="226" t="e">
        <f ca="1">_xlfn.XLOOKUP(X270,'USEEIO metadata'!$C$2:$C$393,'USEEIO metadata'!$G$2:$G$393)</f>
        <v>#NAME?</v>
      </c>
    </row>
    <row r="271" spans="1:32" ht="28.5">
      <c r="A271" t="str">
        <f>_xlfn.IFNA(IF(VLOOKUP(C271,'2016_Detail_Commodity_v1.0'!C:C,1,FALSE)=C271,"No change"),"Name changed")</f>
        <v>No change</v>
      </c>
      <c r="B271" t="s">
        <v>443</v>
      </c>
      <c r="C271" t="s">
        <v>444</v>
      </c>
      <c r="E271" t="s">
        <v>3654</v>
      </c>
      <c r="F271" t="s">
        <v>12</v>
      </c>
      <c r="G271">
        <v>2E-3</v>
      </c>
      <c r="H271" s="413">
        <f>G271*VLOOKUP(E271,GWPs!$B$3:$C$6,2,FALSE)</f>
        <v>5.6000000000000001E-2</v>
      </c>
      <c r="I271">
        <v>0</v>
      </c>
      <c r="J271" s="413">
        <f>I271*VLOOKUP(E271,GWPs!$B$3:$C$6,2,FALSE)</f>
        <v>0</v>
      </c>
      <c r="K271">
        <v>2E-3</v>
      </c>
      <c r="L271" s="413">
        <f>K271*VLOOKUP(E271,GWPs!$B$3:$C$6,2,FALSE)</f>
        <v>5.6000000000000001E-2</v>
      </c>
      <c r="N271">
        <v>3</v>
      </c>
      <c r="O271">
        <v>2</v>
      </c>
      <c r="P271">
        <v>1</v>
      </c>
      <c r="Q271">
        <v>1</v>
      </c>
      <c r="R271">
        <v>1</v>
      </c>
      <c r="W271" s="226" t="s">
        <v>1081</v>
      </c>
      <c r="X271" s="70" t="s">
        <v>1080</v>
      </c>
      <c r="Y271" s="414">
        <v>0.13900000000000001</v>
      </c>
      <c r="Z271" s="70">
        <v>0.13900000000000001</v>
      </c>
      <c r="AA271" s="70">
        <v>0</v>
      </c>
      <c r="AB271" s="464" t="s">
        <v>4230</v>
      </c>
      <c r="AC271" s="415">
        <f t="shared" si="4"/>
        <v>0</v>
      </c>
      <c r="AD271" s="226" t="e">
        <f ca="1">_xlfn.XLOOKUP(X271,'USEEIO metadata'!$C$2:$C$393,'USEEIO metadata'!$H$2:$H$393)</f>
        <v>#NAME?</v>
      </c>
      <c r="AE271" s="226" t="e">
        <f ca="1">_xlfn.XLOOKUP(X271,'USEEIO metadata'!$C$2:$C$393,'USEEIO metadata'!$F$2:$F$393)</f>
        <v>#NAME?</v>
      </c>
      <c r="AF271" s="226" t="e">
        <f ca="1">_xlfn.XLOOKUP(X271,'USEEIO metadata'!$C$2:$C$393,'USEEIO metadata'!$G$2:$G$393)</f>
        <v>#NAME?</v>
      </c>
    </row>
    <row r="272" spans="1:32">
      <c r="A272" t="str">
        <f>_xlfn.IFNA(IF(VLOOKUP(C272,'2016_Detail_Commodity_v1.0'!C:C,1,FALSE)=C272,"No change"),"Name changed")</f>
        <v>No change</v>
      </c>
      <c r="B272" t="s">
        <v>443</v>
      </c>
      <c r="C272" t="s">
        <v>444</v>
      </c>
      <c r="E272" t="s">
        <v>3655</v>
      </c>
      <c r="F272" t="s">
        <v>12</v>
      </c>
      <c r="G272">
        <v>0</v>
      </c>
      <c r="H272" s="413">
        <f>G272*VLOOKUP(E272,GWPs!$B$3:$C$6,2,FALSE)</f>
        <v>0</v>
      </c>
      <c r="I272">
        <v>0</v>
      </c>
      <c r="J272" s="413">
        <f>I272*VLOOKUP(E272,GWPs!$B$3:$C$6,2,FALSE)</f>
        <v>0</v>
      </c>
      <c r="K272">
        <v>0</v>
      </c>
      <c r="L272" s="413">
        <f>K272*VLOOKUP(E272,GWPs!$B$3:$C$6,2,FALSE)</f>
        <v>0</v>
      </c>
      <c r="N272">
        <v>4</v>
      </c>
      <c r="O272">
        <v>2</v>
      </c>
      <c r="P272">
        <v>1</v>
      </c>
      <c r="Q272">
        <v>3</v>
      </c>
      <c r="R272">
        <v>1</v>
      </c>
      <c r="W272" s="226" t="s">
        <v>492</v>
      </c>
      <c r="X272" s="70" t="s">
        <v>491</v>
      </c>
      <c r="Y272" s="414">
        <v>1.0680000000000001</v>
      </c>
      <c r="Z272" s="70">
        <v>1.038</v>
      </c>
      <c r="AA272" s="70">
        <v>3.1E-2</v>
      </c>
      <c r="AB272" s="464" t="s">
        <v>4230</v>
      </c>
      <c r="AC272" s="415">
        <f t="shared" si="4"/>
        <v>2.9026217228464418E-2</v>
      </c>
      <c r="AD272" s="226" t="e">
        <f ca="1">_xlfn.XLOOKUP(X272,'USEEIO metadata'!$C$2:$C$393,'USEEIO metadata'!$H$2:$H$393)</f>
        <v>#NAME?</v>
      </c>
      <c r="AE272" s="226" t="e">
        <f ca="1">_xlfn.XLOOKUP(X272,'USEEIO metadata'!$C$2:$C$393,'USEEIO metadata'!$F$2:$F$393)</f>
        <v>#NAME?</v>
      </c>
      <c r="AF272" s="226" t="e">
        <f ca="1">_xlfn.XLOOKUP(X272,'USEEIO metadata'!$C$2:$C$393,'USEEIO metadata'!$G$2:$G$393)</f>
        <v>#NAME?</v>
      </c>
    </row>
    <row r="273" spans="1:32" ht="28.5">
      <c r="A273" t="str">
        <f>_xlfn.IFNA(IF(VLOOKUP(C273,'2016_Detail_Commodity_v1.0'!C:C,1,FALSE)=C273,"No change"),"Name changed")</f>
        <v>No change</v>
      </c>
      <c r="B273" t="s">
        <v>443</v>
      </c>
      <c r="C273" t="s">
        <v>444</v>
      </c>
      <c r="E273" t="s">
        <v>15</v>
      </c>
      <c r="F273" t="s">
        <v>16</v>
      </c>
      <c r="G273">
        <v>5.0000000000000001E-3</v>
      </c>
      <c r="H273" s="413">
        <f>G273*VLOOKUP(E273,GWPs!$B$3:$C$6,2,FALSE)</f>
        <v>5.0000000000000001E-3</v>
      </c>
      <c r="I273">
        <v>0</v>
      </c>
      <c r="J273" s="413">
        <f>I273*VLOOKUP(E273,GWPs!$B$3:$C$6,2,FALSE)</f>
        <v>0</v>
      </c>
      <c r="K273">
        <v>5.0000000000000001E-3</v>
      </c>
      <c r="L273" s="413">
        <f>K273*VLOOKUP(E273,GWPs!$B$3:$C$6,2,FALSE)</f>
        <v>5.0000000000000001E-3</v>
      </c>
      <c r="N273">
        <v>3</v>
      </c>
      <c r="O273">
        <v>2</v>
      </c>
      <c r="P273">
        <v>1</v>
      </c>
      <c r="Q273">
        <v>3</v>
      </c>
      <c r="R273">
        <v>1</v>
      </c>
      <c r="W273" s="226" t="s">
        <v>864</v>
      </c>
      <c r="X273" s="70" t="s">
        <v>863</v>
      </c>
      <c r="Y273" s="414">
        <v>0.10199999999999999</v>
      </c>
      <c r="Z273" s="70">
        <v>0.10199999999999999</v>
      </c>
      <c r="AA273" s="70">
        <v>0</v>
      </c>
      <c r="AB273" s="464" t="s">
        <v>4230</v>
      </c>
      <c r="AC273" s="415">
        <f t="shared" si="4"/>
        <v>0</v>
      </c>
      <c r="AD273" s="226" t="e">
        <f ca="1">_xlfn.XLOOKUP(X273,'USEEIO metadata'!$C$2:$C$393,'USEEIO metadata'!$H$2:$H$393)</f>
        <v>#NAME?</v>
      </c>
      <c r="AE273" s="226" t="e">
        <f ca="1">_xlfn.XLOOKUP(X273,'USEEIO metadata'!$C$2:$C$393,'USEEIO metadata'!$F$2:$F$393)</f>
        <v>#NAME?</v>
      </c>
      <c r="AF273" s="226" t="e">
        <f ca="1">_xlfn.XLOOKUP(X273,'USEEIO metadata'!$C$2:$C$393,'USEEIO metadata'!$G$2:$G$393)</f>
        <v>#NAME?</v>
      </c>
    </row>
    <row r="274" spans="1:32" ht="28.5">
      <c r="A274" t="str">
        <f>_xlfn.IFNA(IF(VLOOKUP(C274,'2016_Detail_Commodity_v1.0'!C:C,1,FALSE)=C274,"No change"),"Name changed")</f>
        <v>No change</v>
      </c>
      <c r="B274" t="s">
        <v>445</v>
      </c>
      <c r="C274" t="s">
        <v>446</v>
      </c>
      <c r="E274" t="s">
        <v>3653</v>
      </c>
      <c r="F274" t="s">
        <v>12</v>
      </c>
      <c r="G274">
        <v>0.22</v>
      </c>
      <c r="H274" s="413">
        <f>G274*VLOOKUP(E274,GWPs!$B$3:$C$6,2,FALSE)</f>
        <v>0.22</v>
      </c>
      <c r="I274">
        <v>9.7000000000000003E-2</v>
      </c>
      <c r="J274" s="413">
        <f>I274*VLOOKUP(E274,GWPs!$B$3:$C$6,2,FALSE)</f>
        <v>9.7000000000000003E-2</v>
      </c>
      <c r="K274">
        <v>0.317</v>
      </c>
      <c r="L274" s="413">
        <f>K274*VLOOKUP(E274,GWPs!$B$3:$C$6,2,FALSE)</f>
        <v>0.317</v>
      </c>
      <c r="N274">
        <v>3</v>
      </c>
      <c r="O274">
        <v>2</v>
      </c>
      <c r="P274">
        <v>1</v>
      </c>
      <c r="Q274">
        <v>3</v>
      </c>
      <c r="R274">
        <v>1</v>
      </c>
      <c r="W274" s="226" t="s">
        <v>512</v>
      </c>
      <c r="X274" s="70" t="s">
        <v>511</v>
      </c>
      <c r="Y274" s="414">
        <v>0.14000000000000001</v>
      </c>
      <c r="Z274" s="70">
        <v>5.7000000000000002E-2</v>
      </c>
      <c r="AA274" s="70">
        <v>5.5E-2</v>
      </c>
      <c r="AB274" s="464" t="s">
        <v>4231</v>
      </c>
      <c r="AC274" s="415">
        <f t="shared" si="4"/>
        <v>0.39285714285714285</v>
      </c>
      <c r="AD274" s="226" t="e">
        <f ca="1">_xlfn.XLOOKUP(X274,'USEEIO metadata'!$C$2:$C$393,'USEEIO metadata'!$H$2:$H$393)</f>
        <v>#NAME?</v>
      </c>
      <c r="AE274" s="226" t="e">
        <f ca="1">_xlfn.XLOOKUP(X274,'USEEIO metadata'!$C$2:$C$393,'USEEIO metadata'!$F$2:$F$393)</f>
        <v>#NAME?</v>
      </c>
      <c r="AF274" s="226" t="e">
        <f ca="1">_xlfn.XLOOKUP(X274,'USEEIO metadata'!$C$2:$C$393,'USEEIO metadata'!$G$2:$G$393)</f>
        <v>#NAME?</v>
      </c>
    </row>
    <row r="275" spans="1:32">
      <c r="A275" t="str">
        <f>_xlfn.IFNA(IF(VLOOKUP(C275,'2016_Detail_Commodity_v1.0'!C:C,1,FALSE)=C275,"No change"),"Name changed")</f>
        <v>No change</v>
      </c>
      <c r="B275" t="s">
        <v>445</v>
      </c>
      <c r="C275" t="s">
        <v>446</v>
      </c>
      <c r="E275" t="s">
        <v>3654</v>
      </c>
      <c r="F275" t="s">
        <v>12</v>
      </c>
      <c r="G275">
        <v>1E-3</v>
      </c>
      <c r="H275" s="413">
        <f>G275*VLOOKUP(E275,GWPs!$B$3:$C$6,2,FALSE)</f>
        <v>2.8000000000000001E-2</v>
      </c>
      <c r="I275">
        <v>0</v>
      </c>
      <c r="J275" s="413">
        <f>I275*VLOOKUP(E275,GWPs!$B$3:$C$6,2,FALSE)</f>
        <v>0</v>
      </c>
      <c r="K275">
        <v>1E-3</v>
      </c>
      <c r="L275" s="413">
        <f>K275*VLOOKUP(E275,GWPs!$B$3:$C$6,2,FALSE)</f>
        <v>2.8000000000000001E-2</v>
      </c>
      <c r="N275">
        <v>3</v>
      </c>
      <c r="O275">
        <v>2</v>
      </c>
      <c r="P275">
        <v>1</v>
      </c>
      <c r="Q275">
        <v>1</v>
      </c>
      <c r="R275">
        <v>1</v>
      </c>
      <c r="W275" s="226" t="s">
        <v>986</v>
      </c>
      <c r="X275" s="70" t="s">
        <v>985</v>
      </c>
      <c r="Y275" s="414">
        <v>0.11600000000000001</v>
      </c>
      <c r="Z275" s="70">
        <v>0.11600000000000001</v>
      </c>
      <c r="AA275" s="70">
        <v>0</v>
      </c>
      <c r="AB275" s="464" t="s">
        <v>4230</v>
      </c>
      <c r="AC275" s="415">
        <f t="shared" si="4"/>
        <v>0</v>
      </c>
      <c r="AD275" s="226" t="e">
        <f ca="1">_xlfn.XLOOKUP(X275,'USEEIO metadata'!$C$2:$C$393,'USEEIO metadata'!$H$2:$H$393)</f>
        <v>#NAME?</v>
      </c>
      <c r="AE275" s="226" t="e">
        <f ca="1">_xlfn.XLOOKUP(X275,'USEEIO metadata'!$C$2:$C$393,'USEEIO metadata'!$F$2:$F$393)</f>
        <v>#NAME?</v>
      </c>
      <c r="AF275" s="226" t="e">
        <f ca="1">_xlfn.XLOOKUP(X275,'USEEIO metadata'!$C$2:$C$393,'USEEIO metadata'!$G$2:$G$393)</f>
        <v>#NAME?</v>
      </c>
    </row>
    <row r="276" spans="1:32" ht="28.5">
      <c r="A276" t="str">
        <f>_xlfn.IFNA(IF(VLOOKUP(C276,'2016_Detail_Commodity_v1.0'!C:C,1,FALSE)=C276,"No change"),"Name changed")</f>
        <v>No change</v>
      </c>
      <c r="B276" t="s">
        <v>445</v>
      </c>
      <c r="C276" t="s">
        <v>446</v>
      </c>
      <c r="E276" t="s">
        <v>3655</v>
      </c>
      <c r="F276" t="s">
        <v>12</v>
      </c>
      <c r="G276">
        <v>0</v>
      </c>
      <c r="H276" s="413">
        <f>G276*VLOOKUP(E276,GWPs!$B$3:$C$6,2,FALSE)</f>
        <v>0</v>
      </c>
      <c r="I276">
        <v>0</v>
      </c>
      <c r="J276" s="413">
        <f>I276*VLOOKUP(E276,GWPs!$B$3:$C$6,2,FALSE)</f>
        <v>0</v>
      </c>
      <c r="K276">
        <v>0</v>
      </c>
      <c r="L276" s="413">
        <f>K276*VLOOKUP(E276,GWPs!$B$3:$C$6,2,FALSE)</f>
        <v>0</v>
      </c>
      <c r="N276">
        <v>4</v>
      </c>
      <c r="O276">
        <v>2</v>
      </c>
      <c r="P276">
        <v>1</v>
      </c>
      <c r="Q276">
        <v>3</v>
      </c>
      <c r="R276">
        <v>1</v>
      </c>
      <c r="W276" s="226" t="s">
        <v>646</v>
      </c>
      <c r="X276" s="70" t="s">
        <v>645</v>
      </c>
      <c r="Y276" s="414">
        <v>0.23200000000000001</v>
      </c>
      <c r="Z276" s="70">
        <v>0.10199999999999999</v>
      </c>
      <c r="AA276" s="70">
        <v>0.10199999999999999</v>
      </c>
      <c r="AB276" s="464" t="s">
        <v>4230</v>
      </c>
      <c r="AC276" s="415">
        <f t="shared" si="4"/>
        <v>0.43965517241379304</v>
      </c>
      <c r="AD276" s="226" t="e">
        <f ca="1">_xlfn.XLOOKUP(X276,'USEEIO metadata'!$C$2:$C$393,'USEEIO metadata'!$H$2:$H$393)</f>
        <v>#NAME?</v>
      </c>
      <c r="AE276" s="226" t="e">
        <f ca="1">_xlfn.XLOOKUP(X276,'USEEIO metadata'!$C$2:$C$393,'USEEIO metadata'!$F$2:$F$393)</f>
        <v>#NAME?</v>
      </c>
      <c r="AF276" s="226" t="e">
        <f ca="1">_xlfn.XLOOKUP(X276,'USEEIO metadata'!$C$2:$C$393,'USEEIO metadata'!$G$2:$G$393)</f>
        <v>#NAME?</v>
      </c>
    </row>
    <row r="277" spans="1:32">
      <c r="A277" t="str">
        <f>_xlfn.IFNA(IF(VLOOKUP(C277,'2016_Detail_Commodity_v1.0'!C:C,1,FALSE)=C277,"No change"),"Name changed")</f>
        <v>No change</v>
      </c>
      <c r="B277" t="s">
        <v>445</v>
      </c>
      <c r="C277" t="s">
        <v>446</v>
      </c>
      <c r="E277" t="s">
        <v>15</v>
      </c>
      <c r="F277" t="s">
        <v>16</v>
      </c>
      <c r="G277">
        <v>6.0000000000000001E-3</v>
      </c>
      <c r="H277" s="413">
        <f>G277*VLOOKUP(E277,GWPs!$B$3:$C$6,2,FALSE)</f>
        <v>6.0000000000000001E-3</v>
      </c>
      <c r="I277">
        <v>0</v>
      </c>
      <c r="J277" s="413">
        <f>I277*VLOOKUP(E277,GWPs!$B$3:$C$6,2,FALSE)</f>
        <v>0</v>
      </c>
      <c r="K277">
        <v>6.0000000000000001E-3</v>
      </c>
      <c r="L277" s="413">
        <f>K277*VLOOKUP(E277,GWPs!$B$3:$C$6,2,FALSE)</f>
        <v>6.0000000000000001E-3</v>
      </c>
      <c r="N277">
        <v>3</v>
      </c>
      <c r="O277">
        <v>2</v>
      </c>
      <c r="P277">
        <v>1</v>
      </c>
      <c r="Q277">
        <v>4</v>
      </c>
      <c r="R277">
        <v>1</v>
      </c>
      <c r="W277" s="226" t="s">
        <v>1018</v>
      </c>
      <c r="X277" s="70" t="s">
        <v>1017</v>
      </c>
      <c r="Y277" s="414">
        <v>8.2000000000000003E-2</v>
      </c>
      <c r="Z277" s="70">
        <v>8.2000000000000003E-2</v>
      </c>
      <c r="AA277" s="70">
        <v>0</v>
      </c>
      <c r="AB277" s="464" t="s">
        <v>4231</v>
      </c>
      <c r="AC277" s="415">
        <f t="shared" si="4"/>
        <v>0</v>
      </c>
      <c r="AD277" s="226" t="e">
        <f ca="1">_xlfn.XLOOKUP(X277,'USEEIO metadata'!$C$2:$C$393,'USEEIO metadata'!$H$2:$H$393)</f>
        <v>#NAME?</v>
      </c>
      <c r="AE277" s="226" t="e">
        <f ca="1">_xlfn.XLOOKUP(X277,'USEEIO metadata'!$C$2:$C$393,'USEEIO metadata'!$F$2:$F$393)</f>
        <v>#NAME?</v>
      </c>
      <c r="AF277" s="226" t="e">
        <f ca="1">_xlfn.XLOOKUP(X277,'USEEIO metadata'!$C$2:$C$393,'USEEIO metadata'!$G$2:$G$393)</f>
        <v>#NAME?</v>
      </c>
    </row>
    <row r="278" spans="1:32">
      <c r="A278" t="str">
        <f>_xlfn.IFNA(IF(VLOOKUP(C278,'2016_Detail_Commodity_v1.0'!C:C,1,FALSE)=C278,"No change"),"Name changed")</f>
        <v>No change</v>
      </c>
      <c r="B278" t="s">
        <v>447</v>
      </c>
      <c r="C278" t="s">
        <v>448</v>
      </c>
      <c r="E278" t="s">
        <v>3653</v>
      </c>
      <c r="F278" t="s">
        <v>12</v>
      </c>
      <c r="G278">
        <v>0.127</v>
      </c>
      <c r="H278" s="413">
        <f>G278*VLOOKUP(E278,GWPs!$B$3:$C$6,2,FALSE)</f>
        <v>0.127</v>
      </c>
      <c r="I278">
        <v>0.108</v>
      </c>
      <c r="J278" s="413">
        <f>I278*VLOOKUP(E278,GWPs!$B$3:$C$6,2,FALSE)</f>
        <v>0.108</v>
      </c>
      <c r="K278">
        <v>0.23499999999999999</v>
      </c>
      <c r="L278" s="413">
        <f>K278*VLOOKUP(E278,GWPs!$B$3:$C$6,2,FALSE)</f>
        <v>0.23499999999999999</v>
      </c>
      <c r="N278">
        <v>3</v>
      </c>
      <c r="O278">
        <v>2</v>
      </c>
      <c r="P278">
        <v>1</v>
      </c>
      <c r="Q278">
        <v>3</v>
      </c>
      <c r="R278">
        <v>1</v>
      </c>
      <c r="W278" s="226" t="s">
        <v>764</v>
      </c>
      <c r="X278" s="70" t="s">
        <v>763</v>
      </c>
      <c r="Y278" s="414">
        <v>0.33</v>
      </c>
      <c r="Z278" s="70">
        <v>0.30200000000000005</v>
      </c>
      <c r="AA278" s="70">
        <v>2.8000000000000001E-2</v>
      </c>
      <c r="AB278" s="464" t="s">
        <v>4230</v>
      </c>
      <c r="AC278" s="415">
        <f t="shared" si="4"/>
        <v>8.484848484848484E-2</v>
      </c>
      <c r="AD278" s="226" t="e">
        <f ca="1">_xlfn.XLOOKUP(X278,'USEEIO metadata'!$C$2:$C$393,'USEEIO metadata'!$H$2:$H$393)</f>
        <v>#NAME?</v>
      </c>
      <c r="AE278" s="226" t="e">
        <f ca="1">_xlfn.XLOOKUP(X278,'USEEIO metadata'!$C$2:$C$393,'USEEIO metadata'!$F$2:$F$393)</f>
        <v>#NAME?</v>
      </c>
      <c r="AF278" s="226" t="e">
        <f ca="1">_xlfn.XLOOKUP(X278,'USEEIO metadata'!$C$2:$C$393,'USEEIO metadata'!$G$2:$G$393)</f>
        <v>#NAME?</v>
      </c>
    </row>
    <row r="279" spans="1:32">
      <c r="A279" t="str">
        <f>_xlfn.IFNA(IF(VLOOKUP(C279,'2016_Detail_Commodity_v1.0'!C:C,1,FALSE)=C279,"No change"),"Name changed")</f>
        <v>No change</v>
      </c>
      <c r="B279" t="s">
        <v>447</v>
      </c>
      <c r="C279" t="s">
        <v>448</v>
      </c>
      <c r="E279" t="s">
        <v>3654</v>
      </c>
      <c r="F279" t="s">
        <v>12</v>
      </c>
      <c r="G279">
        <v>0</v>
      </c>
      <c r="H279" s="413">
        <f>G279*VLOOKUP(E279,GWPs!$B$3:$C$6,2,FALSE)</f>
        <v>0</v>
      </c>
      <c r="I279">
        <v>1E-3</v>
      </c>
      <c r="J279" s="413">
        <f>I279*VLOOKUP(E279,GWPs!$B$3:$C$6,2,FALSE)</f>
        <v>2.8000000000000001E-2</v>
      </c>
      <c r="K279">
        <v>1E-3</v>
      </c>
      <c r="L279" s="413">
        <f>K279*VLOOKUP(E279,GWPs!$B$3:$C$6,2,FALSE)</f>
        <v>2.8000000000000001E-2</v>
      </c>
      <c r="N279">
        <v>3</v>
      </c>
      <c r="O279">
        <v>2</v>
      </c>
      <c r="P279">
        <v>1</v>
      </c>
      <c r="Q279">
        <v>1</v>
      </c>
      <c r="R279">
        <v>1</v>
      </c>
      <c r="W279" s="226" t="s">
        <v>894</v>
      </c>
      <c r="X279" s="70" t="s">
        <v>893</v>
      </c>
      <c r="Y279" s="414">
        <v>1.7489999999999999</v>
      </c>
      <c r="Z279" s="70">
        <v>1.7489999999999999</v>
      </c>
      <c r="AA279" s="70">
        <v>0</v>
      </c>
      <c r="AB279" s="464" t="s">
        <v>4230</v>
      </c>
      <c r="AC279" s="415">
        <f t="shared" si="4"/>
        <v>0</v>
      </c>
      <c r="AD279" s="226" t="e">
        <f ca="1">_xlfn.XLOOKUP(X279,'USEEIO metadata'!$C$2:$C$393,'USEEIO metadata'!$H$2:$H$393)</f>
        <v>#NAME?</v>
      </c>
      <c r="AE279" s="226" t="e">
        <f ca="1">_xlfn.XLOOKUP(X279,'USEEIO metadata'!$C$2:$C$393,'USEEIO metadata'!$F$2:$F$393)</f>
        <v>#NAME?</v>
      </c>
      <c r="AF279" s="226" t="e">
        <f ca="1">_xlfn.XLOOKUP(X279,'USEEIO metadata'!$C$2:$C$393,'USEEIO metadata'!$G$2:$G$393)</f>
        <v>#NAME?</v>
      </c>
    </row>
    <row r="280" spans="1:32">
      <c r="A280" t="str">
        <f>_xlfn.IFNA(IF(VLOOKUP(C280,'2016_Detail_Commodity_v1.0'!C:C,1,FALSE)=C280,"No change"),"Name changed")</f>
        <v>No change</v>
      </c>
      <c r="B280" t="s">
        <v>447</v>
      </c>
      <c r="C280" t="s">
        <v>448</v>
      </c>
      <c r="E280" t="s">
        <v>3655</v>
      </c>
      <c r="F280" t="s">
        <v>12</v>
      </c>
      <c r="G280">
        <v>0</v>
      </c>
      <c r="H280" s="413">
        <f>G280*VLOOKUP(E280,GWPs!$B$3:$C$6,2,FALSE)</f>
        <v>0</v>
      </c>
      <c r="I280">
        <v>0</v>
      </c>
      <c r="J280" s="413">
        <f>I280*VLOOKUP(E280,GWPs!$B$3:$C$6,2,FALSE)</f>
        <v>0</v>
      </c>
      <c r="K280">
        <v>0</v>
      </c>
      <c r="L280" s="413">
        <f>K280*VLOOKUP(E280,GWPs!$B$3:$C$6,2,FALSE)</f>
        <v>0</v>
      </c>
      <c r="N280">
        <v>4</v>
      </c>
      <c r="O280">
        <v>2</v>
      </c>
      <c r="P280">
        <v>1</v>
      </c>
      <c r="Q280">
        <v>3</v>
      </c>
      <c r="R280">
        <v>1</v>
      </c>
      <c r="W280" s="226" t="s">
        <v>530</v>
      </c>
      <c r="X280" s="70" t="s">
        <v>529</v>
      </c>
      <c r="Y280" s="414">
        <v>0.78400000000000003</v>
      </c>
      <c r="Z280" s="70">
        <v>0.754</v>
      </c>
      <c r="AA280" s="70">
        <v>3.1E-2</v>
      </c>
      <c r="AB280" s="464" t="s">
        <v>4230</v>
      </c>
      <c r="AC280" s="415">
        <f t="shared" si="4"/>
        <v>3.9540816326530608E-2</v>
      </c>
      <c r="AD280" s="226" t="e">
        <f ca="1">_xlfn.XLOOKUP(X280,'USEEIO metadata'!$C$2:$C$393,'USEEIO metadata'!$H$2:$H$393)</f>
        <v>#NAME?</v>
      </c>
      <c r="AE280" s="226" t="e">
        <f ca="1">_xlfn.XLOOKUP(X280,'USEEIO metadata'!$C$2:$C$393,'USEEIO metadata'!$F$2:$F$393)</f>
        <v>#NAME?</v>
      </c>
      <c r="AF280" s="226" t="e">
        <f ca="1">_xlfn.XLOOKUP(X280,'USEEIO metadata'!$C$2:$C$393,'USEEIO metadata'!$G$2:$G$393)</f>
        <v>#NAME?</v>
      </c>
    </row>
    <row r="281" spans="1:32">
      <c r="A281" t="str">
        <f>_xlfn.IFNA(IF(VLOOKUP(C281,'2016_Detail_Commodity_v1.0'!C:C,1,FALSE)=C281,"No change"),"Name changed")</f>
        <v>No change</v>
      </c>
      <c r="B281" t="s">
        <v>447</v>
      </c>
      <c r="C281" t="s">
        <v>448</v>
      </c>
      <c r="E281" t="s">
        <v>15</v>
      </c>
      <c r="F281" t="s">
        <v>16</v>
      </c>
      <c r="G281">
        <v>7.0000000000000001E-3</v>
      </c>
      <c r="H281" s="413">
        <f>G281*VLOOKUP(E281,GWPs!$B$3:$C$6,2,FALSE)</f>
        <v>7.0000000000000001E-3</v>
      </c>
      <c r="I281">
        <v>0</v>
      </c>
      <c r="J281" s="413">
        <f>I281*VLOOKUP(E281,GWPs!$B$3:$C$6,2,FALSE)</f>
        <v>0</v>
      </c>
      <c r="K281">
        <v>7.0000000000000001E-3</v>
      </c>
      <c r="L281" s="413">
        <f>K281*VLOOKUP(E281,GWPs!$B$3:$C$6,2,FALSE)</f>
        <v>7.0000000000000001E-3</v>
      </c>
      <c r="N281">
        <v>3</v>
      </c>
      <c r="O281">
        <v>2</v>
      </c>
      <c r="P281">
        <v>1</v>
      </c>
      <c r="Q281">
        <v>3</v>
      </c>
      <c r="R281">
        <v>1</v>
      </c>
      <c r="W281" s="226" t="s">
        <v>540</v>
      </c>
      <c r="X281" s="70" t="s">
        <v>539</v>
      </c>
      <c r="Y281" s="414">
        <v>0.86900000000000011</v>
      </c>
      <c r="Z281" s="70">
        <v>0.83800000000000008</v>
      </c>
      <c r="AA281" s="70">
        <v>3.1E-2</v>
      </c>
      <c r="AB281" s="464" t="s">
        <v>4230</v>
      </c>
      <c r="AC281" s="415">
        <f t="shared" si="4"/>
        <v>3.5673187571921741E-2</v>
      </c>
      <c r="AD281" s="226" t="e">
        <f ca="1">_xlfn.XLOOKUP(X281,'USEEIO metadata'!$C$2:$C$393,'USEEIO metadata'!$H$2:$H$393)</f>
        <v>#NAME?</v>
      </c>
      <c r="AE281" s="226" t="e">
        <f ca="1">_xlfn.XLOOKUP(X281,'USEEIO metadata'!$C$2:$C$393,'USEEIO metadata'!$F$2:$F$393)</f>
        <v>#NAME?</v>
      </c>
      <c r="AF281" s="226" t="e">
        <f ca="1">_xlfn.XLOOKUP(X281,'USEEIO metadata'!$C$2:$C$393,'USEEIO metadata'!$G$2:$G$393)</f>
        <v>#NAME?</v>
      </c>
    </row>
    <row r="282" spans="1:32" ht="28.5">
      <c r="A282" t="str">
        <f>_xlfn.IFNA(IF(VLOOKUP(C282,'2016_Detail_Commodity_v1.0'!C:C,1,FALSE)=C282,"No change"),"Name changed")</f>
        <v>No change</v>
      </c>
      <c r="B282" t="s">
        <v>449</v>
      </c>
      <c r="C282" t="s">
        <v>450</v>
      </c>
      <c r="E282" t="s">
        <v>3653</v>
      </c>
      <c r="F282" t="s">
        <v>12</v>
      </c>
      <c r="G282">
        <v>0.19400000000000001</v>
      </c>
      <c r="H282" s="413">
        <f>G282*VLOOKUP(E282,GWPs!$B$3:$C$6,2,FALSE)</f>
        <v>0.19400000000000001</v>
      </c>
      <c r="I282">
        <v>8.1000000000000003E-2</v>
      </c>
      <c r="J282" s="413">
        <f>I282*VLOOKUP(E282,GWPs!$B$3:$C$6,2,FALSE)</f>
        <v>8.1000000000000003E-2</v>
      </c>
      <c r="K282">
        <v>0.27400000000000002</v>
      </c>
      <c r="L282" s="413">
        <f>K282*VLOOKUP(E282,GWPs!$B$3:$C$6,2,FALSE)</f>
        <v>0.27400000000000002</v>
      </c>
      <c r="N282">
        <v>3</v>
      </c>
      <c r="O282">
        <v>2</v>
      </c>
      <c r="P282">
        <v>1</v>
      </c>
      <c r="Q282">
        <v>3</v>
      </c>
      <c r="R282">
        <v>1</v>
      </c>
      <c r="W282" s="226" t="s">
        <v>532</v>
      </c>
      <c r="X282" s="70" t="s">
        <v>531</v>
      </c>
      <c r="Y282" s="414">
        <v>0.67800000000000005</v>
      </c>
      <c r="Z282" s="70">
        <v>0.63300000000000001</v>
      </c>
      <c r="AA282" s="70">
        <v>4.4999999999999998E-2</v>
      </c>
      <c r="AB282" s="464" t="s">
        <v>4230</v>
      </c>
      <c r="AC282" s="415">
        <f t="shared" si="4"/>
        <v>6.6371681415929196E-2</v>
      </c>
      <c r="AD282" s="226" t="e">
        <f ca="1">_xlfn.XLOOKUP(X282,'USEEIO metadata'!$C$2:$C$393,'USEEIO metadata'!$H$2:$H$393)</f>
        <v>#NAME?</v>
      </c>
      <c r="AE282" s="226" t="e">
        <f ca="1">_xlfn.XLOOKUP(X282,'USEEIO metadata'!$C$2:$C$393,'USEEIO metadata'!$F$2:$F$393)</f>
        <v>#NAME?</v>
      </c>
      <c r="AF282" s="226" t="e">
        <f ca="1">_xlfn.XLOOKUP(X282,'USEEIO metadata'!$C$2:$C$393,'USEEIO metadata'!$G$2:$G$393)</f>
        <v>#NAME?</v>
      </c>
    </row>
    <row r="283" spans="1:32">
      <c r="A283" t="str">
        <f>_xlfn.IFNA(IF(VLOOKUP(C283,'2016_Detail_Commodity_v1.0'!C:C,1,FALSE)=C283,"No change"),"Name changed")</f>
        <v>No change</v>
      </c>
      <c r="B283" t="s">
        <v>449</v>
      </c>
      <c r="C283" t="s">
        <v>450</v>
      </c>
      <c r="E283" t="s">
        <v>3654</v>
      </c>
      <c r="F283" t="s">
        <v>12</v>
      </c>
      <c r="G283">
        <v>1E-3</v>
      </c>
      <c r="H283" s="413">
        <f>G283*VLOOKUP(E283,GWPs!$B$3:$C$6,2,FALSE)</f>
        <v>2.8000000000000001E-2</v>
      </c>
      <c r="I283">
        <v>0</v>
      </c>
      <c r="J283" s="413">
        <f>I283*VLOOKUP(E283,GWPs!$B$3:$C$6,2,FALSE)</f>
        <v>0</v>
      </c>
      <c r="K283">
        <v>1E-3</v>
      </c>
      <c r="L283" s="413">
        <f>K283*VLOOKUP(E283,GWPs!$B$3:$C$6,2,FALSE)</f>
        <v>2.8000000000000001E-2</v>
      </c>
      <c r="N283">
        <v>3</v>
      </c>
      <c r="O283">
        <v>2</v>
      </c>
      <c r="P283">
        <v>1</v>
      </c>
      <c r="Q283">
        <v>1</v>
      </c>
      <c r="R283">
        <v>1</v>
      </c>
      <c r="W283" s="226" t="s">
        <v>502</v>
      </c>
      <c r="X283" s="70" t="s">
        <v>501</v>
      </c>
      <c r="Y283" s="414">
        <v>1.528</v>
      </c>
      <c r="Z283" s="70">
        <v>1.496</v>
      </c>
      <c r="AA283" s="70">
        <v>3.2000000000000001E-2</v>
      </c>
      <c r="AB283" s="464" t="s">
        <v>4230</v>
      </c>
      <c r="AC283" s="415">
        <f t="shared" si="4"/>
        <v>2.0942408376963352E-2</v>
      </c>
      <c r="AD283" s="226" t="e">
        <f ca="1">_xlfn.XLOOKUP(X283,'USEEIO metadata'!$C$2:$C$393,'USEEIO metadata'!$H$2:$H$393)</f>
        <v>#NAME?</v>
      </c>
      <c r="AE283" s="226" t="e">
        <f ca="1">_xlfn.XLOOKUP(X283,'USEEIO metadata'!$C$2:$C$393,'USEEIO metadata'!$F$2:$F$393)</f>
        <v>#NAME?</v>
      </c>
      <c r="AF283" s="226" t="e">
        <f ca="1">_xlfn.XLOOKUP(X283,'USEEIO metadata'!$C$2:$C$393,'USEEIO metadata'!$G$2:$G$393)</f>
        <v>#NAME?</v>
      </c>
    </row>
    <row r="284" spans="1:32">
      <c r="A284" t="str">
        <f>_xlfn.IFNA(IF(VLOOKUP(C284,'2016_Detail_Commodity_v1.0'!C:C,1,FALSE)=C284,"No change"),"Name changed")</f>
        <v>No change</v>
      </c>
      <c r="B284" t="s">
        <v>449</v>
      </c>
      <c r="C284" t="s">
        <v>450</v>
      </c>
      <c r="E284" t="s">
        <v>3655</v>
      </c>
      <c r="F284" t="s">
        <v>12</v>
      </c>
      <c r="G284">
        <v>0</v>
      </c>
      <c r="H284" s="413">
        <f>G284*VLOOKUP(E284,GWPs!$B$3:$C$6,2,FALSE)</f>
        <v>0</v>
      </c>
      <c r="I284">
        <v>0</v>
      </c>
      <c r="J284" s="413">
        <f>I284*VLOOKUP(E284,GWPs!$B$3:$C$6,2,FALSE)</f>
        <v>0</v>
      </c>
      <c r="K284">
        <v>0</v>
      </c>
      <c r="L284" s="413">
        <f>K284*VLOOKUP(E284,GWPs!$B$3:$C$6,2,FALSE)</f>
        <v>0</v>
      </c>
      <c r="N284">
        <v>4</v>
      </c>
      <c r="O284">
        <v>2</v>
      </c>
      <c r="P284">
        <v>1</v>
      </c>
      <c r="Q284">
        <v>3</v>
      </c>
      <c r="R284">
        <v>1</v>
      </c>
      <c r="W284" s="226" t="s">
        <v>458</v>
      </c>
      <c r="X284" s="70" t="s">
        <v>457</v>
      </c>
      <c r="Y284" s="414">
        <v>0.38800000000000001</v>
      </c>
      <c r="Z284" s="70">
        <v>0.34400000000000003</v>
      </c>
      <c r="AA284" s="70">
        <v>4.3999999999999997E-2</v>
      </c>
      <c r="AB284" s="464" t="s">
        <v>4230</v>
      </c>
      <c r="AC284" s="415">
        <f t="shared" si="4"/>
        <v>0.11340206185567009</v>
      </c>
      <c r="AD284" s="226" t="e">
        <f ca="1">_xlfn.XLOOKUP(X284,'USEEIO metadata'!$C$2:$C$393,'USEEIO metadata'!$H$2:$H$393)</f>
        <v>#NAME?</v>
      </c>
      <c r="AE284" s="226" t="e">
        <f ca="1">_xlfn.XLOOKUP(X284,'USEEIO metadata'!$C$2:$C$393,'USEEIO metadata'!$F$2:$F$393)</f>
        <v>#NAME?</v>
      </c>
      <c r="AF284" s="226" t="e">
        <f ca="1">_xlfn.XLOOKUP(X284,'USEEIO metadata'!$C$2:$C$393,'USEEIO metadata'!$G$2:$G$393)</f>
        <v>#NAME?</v>
      </c>
    </row>
    <row r="285" spans="1:32">
      <c r="A285" t="str">
        <f>_xlfn.IFNA(IF(VLOOKUP(C285,'2016_Detail_Commodity_v1.0'!C:C,1,FALSE)=C285,"No change"),"Name changed")</f>
        <v>No change</v>
      </c>
      <c r="B285" t="s">
        <v>449</v>
      </c>
      <c r="C285" t="s">
        <v>450</v>
      </c>
      <c r="E285" t="s">
        <v>15</v>
      </c>
      <c r="F285" t="s">
        <v>16</v>
      </c>
      <c r="G285">
        <v>8.9999999999999993E-3</v>
      </c>
      <c r="H285" s="413">
        <f>G285*VLOOKUP(E285,GWPs!$B$3:$C$6,2,FALSE)</f>
        <v>8.9999999999999993E-3</v>
      </c>
      <c r="I285">
        <v>0</v>
      </c>
      <c r="J285" s="413">
        <f>I285*VLOOKUP(E285,GWPs!$B$3:$C$6,2,FALSE)</f>
        <v>0</v>
      </c>
      <c r="K285">
        <v>8.9999999999999993E-3</v>
      </c>
      <c r="L285" s="413">
        <f>K285*VLOOKUP(E285,GWPs!$B$3:$C$6,2,FALSE)</f>
        <v>8.9999999999999993E-3</v>
      </c>
      <c r="N285">
        <v>3</v>
      </c>
      <c r="O285">
        <v>2</v>
      </c>
      <c r="P285">
        <v>1</v>
      </c>
      <c r="Q285">
        <v>3</v>
      </c>
      <c r="R285">
        <v>1</v>
      </c>
      <c r="W285" s="226" t="s">
        <v>536</v>
      </c>
      <c r="X285" s="70" t="s">
        <v>535</v>
      </c>
      <c r="Y285" s="414">
        <v>0.53500000000000003</v>
      </c>
      <c r="Z285" s="70">
        <v>0.46200000000000002</v>
      </c>
      <c r="AA285" s="70">
        <v>4.4999999999999998E-2</v>
      </c>
      <c r="AB285" s="464" t="s">
        <v>4230</v>
      </c>
      <c r="AC285" s="415">
        <f t="shared" si="4"/>
        <v>8.4112149532710276E-2</v>
      </c>
      <c r="AD285" s="226" t="e">
        <f ca="1">_xlfn.XLOOKUP(X285,'USEEIO metadata'!$C$2:$C$393,'USEEIO metadata'!$H$2:$H$393)</f>
        <v>#NAME?</v>
      </c>
      <c r="AE285" s="226" t="e">
        <f ca="1">_xlfn.XLOOKUP(X285,'USEEIO metadata'!$C$2:$C$393,'USEEIO metadata'!$F$2:$F$393)</f>
        <v>#NAME?</v>
      </c>
      <c r="AF285" s="226" t="e">
        <f ca="1">_xlfn.XLOOKUP(X285,'USEEIO metadata'!$C$2:$C$393,'USEEIO metadata'!$G$2:$G$393)</f>
        <v>#NAME?</v>
      </c>
    </row>
    <row r="286" spans="1:32">
      <c r="A286" t="str">
        <f>_xlfn.IFNA(IF(VLOOKUP(C286,'2016_Detail_Commodity_v1.0'!C:C,1,FALSE)=C286,"No change"),"Name changed")</f>
        <v>No change</v>
      </c>
      <c r="B286" t="s">
        <v>451</v>
      </c>
      <c r="C286" t="s">
        <v>452</v>
      </c>
      <c r="E286" t="s">
        <v>3653</v>
      </c>
      <c r="F286" t="s">
        <v>12</v>
      </c>
      <c r="G286">
        <v>5.8000000000000003E-2</v>
      </c>
      <c r="H286" s="413">
        <f>G286*VLOOKUP(E286,GWPs!$B$3:$C$6,2,FALSE)</f>
        <v>5.8000000000000003E-2</v>
      </c>
      <c r="I286">
        <v>0.10299999999999999</v>
      </c>
      <c r="J286" s="413">
        <f>I286*VLOOKUP(E286,GWPs!$B$3:$C$6,2,FALSE)</f>
        <v>0.10299999999999999</v>
      </c>
      <c r="K286">
        <v>0.16</v>
      </c>
      <c r="L286" s="413">
        <f>K286*VLOOKUP(E286,GWPs!$B$3:$C$6,2,FALSE)</f>
        <v>0.16</v>
      </c>
      <c r="N286">
        <v>3</v>
      </c>
      <c r="O286">
        <v>2</v>
      </c>
      <c r="P286">
        <v>1</v>
      </c>
      <c r="Q286">
        <v>3</v>
      </c>
      <c r="R286">
        <v>1</v>
      </c>
      <c r="W286" s="226" t="s">
        <v>898</v>
      </c>
      <c r="X286" s="70" t="s">
        <v>897</v>
      </c>
      <c r="Y286" s="414">
        <v>0.19900000000000001</v>
      </c>
      <c r="Z286" s="70">
        <v>0.19900000000000001</v>
      </c>
      <c r="AA286" s="70">
        <v>0</v>
      </c>
      <c r="AB286" s="464" t="s">
        <v>4230</v>
      </c>
      <c r="AC286" s="415">
        <f t="shared" si="4"/>
        <v>0</v>
      </c>
      <c r="AD286" s="226" t="e">
        <f ca="1">_xlfn.XLOOKUP(X286,'USEEIO metadata'!$C$2:$C$393,'USEEIO metadata'!$H$2:$H$393)</f>
        <v>#NAME?</v>
      </c>
      <c r="AE286" s="226" t="e">
        <f ca="1">_xlfn.XLOOKUP(X286,'USEEIO metadata'!$C$2:$C$393,'USEEIO metadata'!$F$2:$F$393)</f>
        <v>#NAME?</v>
      </c>
      <c r="AF286" s="226" t="e">
        <f ca="1">_xlfn.XLOOKUP(X286,'USEEIO metadata'!$C$2:$C$393,'USEEIO metadata'!$G$2:$G$393)</f>
        <v>#NAME?</v>
      </c>
    </row>
    <row r="287" spans="1:32">
      <c r="A287" t="str">
        <f>_xlfn.IFNA(IF(VLOOKUP(C287,'2016_Detail_Commodity_v1.0'!C:C,1,FALSE)=C287,"No change"),"Name changed")</f>
        <v>No change</v>
      </c>
      <c r="B287" t="s">
        <v>451</v>
      </c>
      <c r="C287" t="s">
        <v>452</v>
      </c>
      <c r="E287" t="s">
        <v>3654</v>
      </c>
      <c r="F287" t="s">
        <v>12</v>
      </c>
      <c r="G287">
        <v>0</v>
      </c>
      <c r="H287" s="413">
        <f>G287*VLOOKUP(E287,GWPs!$B$3:$C$6,2,FALSE)</f>
        <v>0</v>
      </c>
      <c r="I287">
        <v>0</v>
      </c>
      <c r="J287" s="413">
        <f>I287*VLOOKUP(E287,GWPs!$B$3:$C$6,2,FALSE)</f>
        <v>0</v>
      </c>
      <c r="K287">
        <v>1E-3</v>
      </c>
      <c r="L287" s="413">
        <f>K287*VLOOKUP(E287,GWPs!$B$3:$C$6,2,FALSE)</f>
        <v>2.8000000000000001E-2</v>
      </c>
      <c r="N287">
        <v>3</v>
      </c>
      <c r="O287">
        <v>2</v>
      </c>
      <c r="P287">
        <v>1</v>
      </c>
      <c r="Q287">
        <v>1</v>
      </c>
      <c r="R287">
        <v>1</v>
      </c>
      <c r="W287" s="226" t="s">
        <v>327</v>
      </c>
      <c r="X287" s="70" t="s">
        <v>326</v>
      </c>
      <c r="Y287" s="414">
        <v>1.0369999999999999</v>
      </c>
      <c r="Z287" s="70">
        <v>0.9870000000000001</v>
      </c>
      <c r="AA287" s="70">
        <v>0.05</v>
      </c>
      <c r="AB287" s="464" t="s">
        <v>4230</v>
      </c>
      <c r="AC287" s="415">
        <f t="shared" si="4"/>
        <v>4.8216007714561242E-2</v>
      </c>
      <c r="AD287" s="226" t="e">
        <f ca="1">_xlfn.XLOOKUP(X287,'USEEIO metadata'!$C$2:$C$393,'USEEIO metadata'!$H$2:$H$393)</f>
        <v>#NAME?</v>
      </c>
      <c r="AE287" s="226" t="e">
        <f ca="1">_xlfn.XLOOKUP(X287,'USEEIO metadata'!$C$2:$C$393,'USEEIO metadata'!$F$2:$F$393)</f>
        <v>#NAME?</v>
      </c>
      <c r="AF287" s="226" t="e">
        <f ca="1">_xlfn.XLOOKUP(X287,'USEEIO metadata'!$C$2:$C$393,'USEEIO metadata'!$G$2:$G$393)</f>
        <v>#NAME?</v>
      </c>
    </row>
    <row r="288" spans="1:32" ht="28.5">
      <c r="A288" t="str">
        <f>_xlfn.IFNA(IF(VLOOKUP(C288,'2016_Detail_Commodity_v1.0'!C:C,1,FALSE)=C288,"No change"),"Name changed")</f>
        <v>No change</v>
      </c>
      <c r="B288" t="s">
        <v>451</v>
      </c>
      <c r="C288" t="s">
        <v>452</v>
      </c>
      <c r="E288" t="s">
        <v>3655</v>
      </c>
      <c r="F288" t="s">
        <v>12</v>
      </c>
      <c r="G288">
        <v>0</v>
      </c>
      <c r="H288" s="413">
        <f>G288*VLOOKUP(E288,GWPs!$B$3:$C$6,2,FALSE)</f>
        <v>0</v>
      </c>
      <c r="I288">
        <v>0</v>
      </c>
      <c r="J288" s="413">
        <f>I288*VLOOKUP(E288,GWPs!$B$3:$C$6,2,FALSE)</f>
        <v>0</v>
      </c>
      <c r="K288">
        <v>0</v>
      </c>
      <c r="L288" s="413">
        <f>K288*VLOOKUP(E288,GWPs!$B$3:$C$6,2,FALSE)</f>
        <v>0</v>
      </c>
      <c r="N288">
        <v>4</v>
      </c>
      <c r="O288">
        <v>2</v>
      </c>
      <c r="P288">
        <v>1</v>
      </c>
      <c r="Q288">
        <v>3</v>
      </c>
      <c r="R288">
        <v>1</v>
      </c>
      <c r="W288" s="226" t="s">
        <v>604</v>
      </c>
      <c r="X288" s="70" t="s">
        <v>603</v>
      </c>
      <c r="Y288" s="414">
        <v>0.28300000000000003</v>
      </c>
      <c r="Z288" s="70">
        <v>0.248</v>
      </c>
      <c r="AA288" s="70">
        <v>3.5000000000000003E-2</v>
      </c>
      <c r="AB288" s="464" t="s">
        <v>4230</v>
      </c>
      <c r="AC288" s="415">
        <f t="shared" si="4"/>
        <v>0.12367491166077739</v>
      </c>
      <c r="AD288" s="226" t="e">
        <f ca="1">_xlfn.XLOOKUP(X288,'USEEIO metadata'!$C$2:$C$393,'USEEIO metadata'!$H$2:$H$393)</f>
        <v>#NAME?</v>
      </c>
      <c r="AE288" s="226" t="e">
        <f ca="1">_xlfn.XLOOKUP(X288,'USEEIO metadata'!$C$2:$C$393,'USEEIO metadata'!$F$2:$F$393)</f>
        <v>#NAME?</v>
      </c>
      <c r="AF288" s="226" t="e">
        <f ca="1">_xlfn.XLOOKUP(X288,'USEEIO metadata'!$C$2:$C$393,'USEEIO metadata'!$G$2:$G$393)</f>
        <v>#NAME?</v>
      </c>
    </row>
    <row r="289" spans="1:32">
      <c r="A289" t="str">
        <f>_xlfn.IFNA(IF(VLOOKUP(C289,'2016_Detail_Commodity_v1.0'!C:C,1,FALSE)=C289,"No change"),"Name changed")</f>
        <v>No change</v>
      </c>
      <c r="B289" t="s">
        <v>451</v>
      </c>
      <c r="C289" t="s">
        <v>452</v>
      </c>
      <c r="E289" t="s">
        <v>15</v>
      </c>
      <c r="F289" t="s">
        <v>16</v>
      </c>
      <c r="G289">
        <v>2E-3</v>
      </c>
      <c r="H289" s="413">
        <f>G289*VLOOKUP(E289,GWPs!$B$3:$C$6,2,FALSE)</f>
        <v>2E-3</v>
      </c>
      <c r="I289">
        <v>0</v>
      </c>
      <c r="J289" s="413">
        <f>I289*VLOOKUP(E289,GWPs!$B$3:$C$6,2,FALSE)</f>
        <v>0</v>
      </c>
      <c r="K289">
        <v>2E-3</v>
      </c>
      <c r="L289" s="413">
        <f>K289*VLOOKUP(E289,GWPs!$B$3:$C$6,2,FALSE)</f>
        <v>2E-3</v>
      </c>
      <c r="N289">
        <v>3</v>
      </c>
      <c r="O289">
        <v>2</v>
      </c>
      <c r="P289">
        <v>1</v>
      </c>
      <c r="Q289">
        <v>4</v>
      </c>
      <c r="R289">
        <v>1</v>
      </c>
      <c r="W289" s="226" t="s">
        <v>678</v>
      </c>
      <c r="X289" s="70" t="s">
        <v>677</v>
      </c>
      <c r="Y289" s="414">
        <v>0.224</v>
      </c>
      <c r="Z289" s="70">
        <v>0.10700000000000001</v>
      </c>
      <c r="AA289" s="70">
        <v>8.8999999999999996E-2</v>
      </c>
      <c r="AB289" s="464" t="s">
        <v>4230</v>
      </c>
      <c r="AC289" s="415">
        <f t="shared" si="4"/>
        <v>0.39732142857142855</v>
      </c>
      <c r="AD289" s="226" t="e">
        <f ca="1">_xlfn.XLOOKUP(X289,'USEEIO metadata'!$C$2:$C$393,'USEEIO metadata'!$H$2:$H$393)</f>
        <v>#NAME?</v>
      </c>
      <c r="AE289" s="226" t="e">
        <f ca="1">_xlfn.XLOOKUP(X289,'USEEIO metadata'!$C$2:$C$393,'USEEIO metadata'!$F$2:$F$393)</f>
        <v>#NAME?</v>
      </c>
      <c r="AF289" s="226" t="e">
        <f ca="1">_xlfn.XLOOKUP(X289,'USEEIO metadata'!$C$2:$C$393,'USEEIO metadata'!$G$2:$G$393)</f>
        <v>#NAME?</v>
      </c>
    </row>
    <row r="290" spans="1:32">
      <c r="A290" t="str">
        <f>_xlfn.IFNA(IF(VLOOKUP(C290,'2016_Detail_Commodity_v1.0'!C:C,1,FALSE)=C290,"No change"),"Name changed")</f>
        <v>No change</v>
      </c>
      <c r="B290" t="s">
        <v>453</v>
      </c>
      <c r="C290" t="s">
        <v>454</v>
      </c>
      <c r="E290" t="s">
        <v>3653</v>
      </c>
      <c r="F290" t="s">
        <v>12</v>
      </c>
      <c r="G290">
        <v>9.6000000000000002E-2</v>
      </c>
      <c r="H290" s="413">
        <f>G290*VLOOKUP(E290,GWPs!$B$3:$C$6,2,FALSE)</f>
        <v>9.6000000000000002E-2</v>
      </c>
      <c r="I290">
        <v>9.9000000000000005E-2</v>
      </c>
      <c r="J290" s="413">
        <f>I290*VLOOKUP(E290,GWPs!$B$3:$C$6,2,FALSE)</f>
        <v>9.9000000000000005E-2</v>
      </c>
      <c r="K290">
        <v>0.19500000000000001</v>
      </c>
      <c r="L290" s="413">
        <f>K290*VLOOKUP(E290,GWPs!$B$3:$C$6,2,FALSE)</f>
        <v>0.19500000000000001</v>
      </c>
      <c r="N290">
        <v>3</v>
      </c>
      <c r="O290">
        <v>2</v>
      </c>
      <c r="P290">
        <v>1</v>
      </c>
      <c r="Q290">
        <v>4</v>
      </c>
      <c r="R290">
        <v>1</v>
      </c>
      <c r="W290" s="226" t="s">
        <v>1616</v>
      </c>
      <c r="X290" s="70" t="s">
        <v>577</v>
      </c>
      <c r="Y290" s="414">
        <v>1.4470000000000001</v>
      </c>
      <c r="Z290" s="70">
        <v>1.419</v>
      </c>
      <c r="AA290" s="70">
        <v>2.8000000000000001E-2</v>
      </c>
      <c r="AB290" s="464" t="s">
        <v>4230</v>
      </c>
      <c r="AC290" s="415">
        <f t="shared" si="4"/>
        <v>1.9350380096751899E-2</v>
      </c>
      <c r="AD290" s="226" t="e">
        <f ca="1">_xlfn.XLOOKUP(X290,'USEEIO metadata'!$C$2:$C$393,'USEEIO metadata'!$H$2:$H$393)</f>
        <v>#NAME?</v>
      </c>
      <c r="AE290" s="226" t="e">
        <f ca="1">_xlfn.XLOOKUP(X290,'USEEIO metadata'!$C$2:$C$393,'USEEIO metadata'!$F$2:$F$393)</f>
        <v>#NAME?</v>
      </c>
      <c r="AF290" s="226" t="e">
        <f ca="1">_xlfn.XLOOKUP(X290,'USEEIO metadata'!$C$2:$C$393,'USEEIO metadata'!$G$2:$G$393)</f>
        <v>#NAME?</v>
      </c>
    </row>
    <row r="291" spans="1:32">
      <c r="A291" t="str">
        <f>_xlfn.IFNA(IF(VLOOKUP(C291,'2016_Detail_Commodity_v1.0'!C:C,1,FALSE)=C291,"No change"),"Name changed")</f>
        <v>No change</v>
      </c>
      <c r="B291" t="s">
        <v>453</v>
      </c>
      <c r="C291" t="s">
        <v>454</v>
      </c>
      <c r="E291" t="s">
        <v>3654</v>
      </c>
      <c r="F291" t="s">
        <v>12</v>
      </c>
      <c r="G291">
        <v>3.0000000000000001E-3</v>
      </c>
      <c r="H291" s="413">
        <f>G291*VLOOKUP(E291,GWPs!$B$3:$C$6,2,FALSE)</f>
        <v>8.4000000000000005E-2</v>
      </c>
      <c r="I291">
        <v>0</v>
      </c>
      <c r="J291" s="413">
        <f>I291*VLOOKUP(E291,GWPs!$B$3:$C$6,2,FALSE)</f>
        <v>0</v>
      </c>
      <c r="K291">
        <v>3.0000000000000001E-3</v>
      </c>
      <c r="L291" s="413">
        <f>K291*VLOOKUP(E291,GWPs!$B$3:$C$6,2,FALSE)</f>
        <v>8.4000000000000005E-2</v>
      </c>
      <c r="N291">
        <v>4</v>
      </c>
      <c r="O291">
        <v>2</v>
      </c>
      <c r="P291">
        <v>1</v>
      </c>
      <c r="Q291">
        <v>1</v>
      </c>
      <c r="R291">
        <v>1</v>
      </c>
      <c r="W291" s="226" t="s">
        <v>752</v>
      </c>
      <c r="X291" s="70" t="s">
        <v>751</v>
      </c>
      <c r="Y291" s="414">
        <v>0.27300000000000002</v>
      </c>
      <c r="Z291" s="70">
        <v>0.14700000000000002</v>
      </c>
      <c r="AA291" s="70">
        <v>9.7000000000000003E-2</v>
      </c>
      <c r="AB291" s="464" t="s">
        <v>4230</v>
      </c>
      <c r="AC291" s="415">
        <f t="shared" si="4"/>
        <v>0.35531135531135527</v>
      </c>
      <c r="AD291" s="226" t="e">
        <f ca="1">_xlfn.XLOOKUP(X291,'USEEIO metadata'!$C$2:$C$393,'USEEIO metadata'!$H$2:$H$393)</f>
        <v>#NAME?</v>
      </c>
      <c r="AE291" s="226" t="e">
        <f ca="1">_xlfn.XLOOKUP(X291,'USEEIO metadata'!$C$2:$C$393,'USEEIO metadata'!$F$2:$F$393)</f>
        <v>#NAME?</v>
      </c>
      <c r="AF291" s="226" t="e">
        <f ca="1">_xlfn.XLOOKUP(X291,'USEEIO metadata'!$C$2:$C$393,'USEEIO metadata'!$G$2:$G$393)</f>
        <v>#NAME?</v>
      </c>
    </row>
    <row r="292" spans="1:32" ht="28.5">
      <c r="A292" t="str">
        <f>_xlfn.IFNA(IF(VLOOKUP(C292,'2016_Detail_Commodity_v1.0'!C:C,1,FALSE)=C292,"No change"),"Name changed")</f>
        <v>No change</v>
      </c>
      <c r="B292" t="s">
        <v>453</v>
      </c>
      <c r="C292" t="s">
        <v>454</v>
      </c>
      <c r="E292" t="s">
        <v>3655</v>
      </c>
      <c r="F292" t="s">
        <v>12</v>
      </c>
      <c r="G292">
        <v>0</v>
      </c>
      <c r="H292" s="413">
        <f>G292*VLOOKUP(E292,GWPs!$B$3:$C$6,2,FALSE)</f>
        <v>0</v>
      </c>
      <c r="I292">
        <v>0</v>
      </c>
      <c r="J292" s="413">
        <f>I292*VLOOKUP(E292,GWPs!$B$3:$C$6,2,FALSE)</f>
        <v>0</v>
      </c>
      <c r="K292">
        <v>0</v>
      </c>
      <c r="L292" s="413">
        <f>K292*VLOOKUP(E292,GWPs!$B$3:$C$6,2,FALSE)</f>
        <v>0</v>
      </c>
      <c r="N292">
        <v>4</v>
      </c>
      <c r="O292">
        <v>2</v>
      </c>
      <c r="P292">
        <v>1</v>
      </c>
      <c r="Q292">
        <v>4</v>
      </c>
      <c r="R292">
        <v>1</v>
      </c>
      <c r="W292" s="226" t="s">
        <v>574</v>
      </c>
      <c r="X292" s="70" t="s">
        <v>573</v>
      </c>
      <c r="Y292" s="414">
        <v>1.0889999999999997</v>
      </c>
      <c r="Z292" s="70">
        <v>1.0519999999999998</v>
      </c>
      <c r="AA292" s="70">
        <v>3.6999999999999998E-2</v>
      </c>
      <c r="AB292" s="464" t="s">
        <v>4230</v>
      </c>
      <c r="AC292" s="415">
        <f t="shared" si="4"/>
        <v>3.39761248852158E-2</v>
      </c>
      <c r="AD292" s="226" t="e">
        <f ca="1">_xlfn.XLOOKUP(X292,'USEEIO metadata'!$C$2:$C$393,'USEEIO metadata'!$H$2:$H$393)</f>
        <v>#NAME?</v>
      </c>
      <c r="AE292" s="226" t="e">
        <f ca="1">_xlfn.XLOOKUP(X292,'USEEIO metadata'!$C$2:$C$393,'USEEIO metadata'!$F$2:$F$393)</f>
        <v>#NAME?</v>
      </c>
      <c r="AF292" s="226" t="e">
        <f ca="1">_xlfn.XLOOKUP(X292,'USEEIO metadata'!$C$2:$C$393,'USEEIO metadata'!$G$2:$G$393)</f>
        <v>#NAME?</v>
      </c>
    </row>
    <row r="293" spans="1:32" ht="28.5">
      <c r="A293" t="str">
        <f>_xlfn.IFNA(IF(VLOOKUP(C293,'2016_Detail_Commodity_v1.0'!C:C,1,FALSE)=C293,"No change"),"Name changed")</f>
        <v>No change</v>
      </c>
      <c r="B293" t="s">
        <v>453</v>
      </c>
      <c r="C293" t="s">
        <v>454</v>
      </c>
      <c r="E293" t="s">
        <v>15</v>
      </c>
      <c r="F293" t="s">
        <v>16</v>
      </c>
      <c r="G293">
        <v>4.0000000000000001E-3</v>
      </c>
      <c r="H293" s="413">
        <f>G293*VLOOKUP(E293,GWPs!$B$3:$C$6,2,FALSE)</f>
        <v>4.0000000000000001E-3</v>
      </c>
      <c r="I293">
        <v>0</v>
      </c>
      <c r="J293" s="413">
        <f>I293*VLOOKUP(E293,GWPs!$B$3:$C$6,2,FALSE)</f>
        <v>0</v>
      </c>
      <c r="K293">
        <v>4.0000000000000001E-3</v>
      </c>
      <c r="L293" s="413">
        <f>K293*VLOOKUP(E293,GWPs!$B$3:$C$6,2,FALSE)</f>
        <v>4.0000000000000001E-3</v>
      </c>
      <c r="N293">
        <v>4</v>
      </c>
      <c r="O293">
        <v>2</v>
      </c>
      <c r="P293">
        <v>1</v>
      </c>
      <c r="Q293">
        <v>4</v>
      </c>
      <c r="R293">
        <v>1</v>
      </c>
      <c r="W293" s="226" t="s">
        <v>704</v>
      </c>
      <c r="X293" s="70" t="s">
        <v>703</v>
      </c>
      <c r="Y293" s="414">
        <v>0.17900000000000002</v>
      </c>
      <c r="Z293" s="70">
        <v>0.122</v>
      </c>
      <c r="AA293" s="70">
        <v>2.9000000000000001E-2</v>
      </c>
      <c r="AB293" s="464" t="s">
        <v>4230</v>
      </c>
      <c r="AC293" s="415">
        <f t="shared" si="4"/>
        <v>0.16201117318435754</v>
      </c>
      <c r="AD293" s="226" t="e">
        <f ca="1">_xlfn.XLOOKUP(X293,'USEEIO metadata'!$C$2:$C$393,'USEEIO metadata'!$H$2:$H$393)</f>
        <v>#NAME?</v>
      </c>
      <c r="AE293" s="226" t="e">
        <f ca="1">_xlfn.XLOOKUP(X293,'USEEIO metadata'!$C$2:$C$393,'USEEIO metadata'!$F$2:$F$393)</f>
        <v>#NAME?</v>
      </c>
      <c r="AF293" s="226" t="e">
        <f ca="1">_xlfn.XLOOKUP(X293,'USEEIO metadata'!$C$2:$C$393,'USEEIO metadata'!$G$2:$G$393)</f>
        <v>#NAME?</v>
      </c>
    </row>
    <row r="294" spans="1:32">
      <c r="A294" t="str">
        <f>_xlfn.IFNA(IF(VLOOKUP(C294,'2016_Detail_Commodity_v1.0'!C:C,1,FALSE)=C294,"No change"),"Name changed")</f>
        <v>No change</v>
      </c>
      <c r="B294" t="s">
        <v>455</v>
      </c>
      <c r="C294" t="s">
        <v>456</v>
      </c>
      <c r="E294" t="s">
        <v>3653</v>
      </c>
      <c r="F294" t="s">
        <v>12</v>
      </c>
      <c r="G294">
        <v>0.23599999999999999</v>
      </c>
      <c r="H294" s="413">
        <f>G294*VLOOKUP(E294,GWPs!$B$3:$C$6,2,FALSE)</f>
        <v>0.23599999999999999</v>
      </c>
      <c r="I294">
        <v>4.4999999999999998E-2</v>
      </c>
      <c r="J294" s="413">
        <f>I294*VLOOKUP(E294,GWPs!$B$3:$C$6,2,FALSE)</f>
        <v>4.4999999999999998E-2</v>
      </c>
      <c r="K294">
        <v>0.28100000000000003</v>
      </c>
      <c r="L294" s="413">
        <f>K294*VLOOKUP(E294,GWPs!$B$3:$C$6,2,FALSE)</f>
        <v>0.28100000000000003</v>
      </c>
      <c r="N294">
        <v>3</v>
      </c>
      <c r="O294">
        <v>2</v>
      </c>
      <c r="P294">
        <v>1</v>
      </c>
      <c r="Q294">
        <v>3</v>
      </c>
      <c r="R294">
        <v>1</v>
      </c>
      <c r="W294" s="226" t="s">
        <v>482</v>
      </c>
      <c r="X294" s="70" t="s">
        <v>481</v>
      </c>
      <c r="Y294" s="414">
        <v>0.30300000000000005</v>
      </c>
      <c r="Z294" s="70">
        <v>0.27600000000000002</v>
      </c>
      <c r="AA294" s="70">
        <v>2.7E-2</v>
      </c>
      <c r="AB294" s="464" t="s">
        <v>4230</v>
      </c>
      <c r="AC294" s="415">
        <f t="shared" si="4"/>
        <v>8.9108910891089091E-2</v>
      </c>
      <c r="AD294" s="226" t="e">
        <f ca="1">_xlfn.XLOOKUP(X294,'USEEIO metadata'!$C$2:$C$393,'USEEIO metadata'!$H$2:$H$393)</f>
        <v>#NAME?</v>
      </c>
      <c r="AE294" s="226" t="e">
        <f ca="1">_xlfn.XLOOKUP(X294,'USEEIO metadata'!$C$2:$C$393,'USEEIO metadata'!$F$2:$F$393)</f>
        <v>#NAME?</v>
      </c>
      <c r="AF294" s="226" t="e">
        <f ca="1">_xlfn.XLOOKUP(X294,'USEEIO metadata'!$C$2:$C$393,'USEEIO metadata'!$G$2:$G$393)</f>
        <v>#NAME?</v>
      </c>
    </row>
    <row r="295" spans="1:32" ht="28.5">
      <c r="A295" t="str">
        <f>_xlfn.IFNA(IF(VLOOKUP(C295,'2016_Detail_Commodity_v1.0'!C:C,1,FALSE)=C295,"No change"),"Name changed")</f>
        <v>No change</v>
      </c>
      <c r="B295" t="s">
        <v>455</v>
      </c>
      <c r="C295" t="s">
        <v>456</v>
      </c>
      <c r="E295" t="s">
        <v>3654</v>
      </c>
      <c r="F295" t="s">
        <v>12</v>
      </c>
      <c r="G295">
        <v>1E-3</v>
      </c>
      <c r="H295" s="413">
        <f>G295*VLOOKUP(E295,GWPs!$B$3:$C$6,2,FALSE)</f>
        <v>2.8000000000000001E-2</v>
      </c>
      <c r="I295">
        <v>0</v>
      </c>
      <c r="J295" s="413">
        <f>I295*VLOOKUP(E295,GWPs!$B$3:$C$6,2,FALSE)</f>
        <v>0</v>
      </c>
      <c r="K295">
        <v>1E-3</v>
      </c>
      <c r="L295" s="413">
        <f>K295*VLOOKUP(E295,GWPs!$B$3:$C$6,2,FALSE)</f>
        <v>2.8000000000000001E-2</v>
      </c>
      <c r="N295">
        <v>4</v>
      </c>
      <c r="O295">
        <v>2</v>
      </c>
      <c r="P295">
        <v>1</v>
      </c>
      <c r="Q295">
        <v>1</v>
      </c>
      <c r="R295">
        <v>1</v>
      </c>
      <c r="W295" s="226" t="s">
        <v>852</v>
      </c>
      <c r="X295" s="70" t="s">
        <v>851</v>
      </c>
      <c r="Y295" s="414">
        <v>9.1999999999999998E-2</v>
      </c>
      <c r="Z295" s="70">
        <v>9.1999999999999998E-2</v>
      </c>
      <c r="AA295" s="70">
        <v>0</v>
      </c>
      <c r="AB295" s="464" t="s">
        <v>4230</v>
      </c>
      <c r="AC295" s="415">
        <f t="shared" si="4"/>
        <v>0</v>
      </c>
      <c r="AD295" s="226" t="e">
        <f ca="1">_xlfn.XLOOKUP(X295,'USEEIO metadata'!$C$2:$C$393,'USEEIO metadata'!$H$2:$H$393)</f>
        <v>#NAME?</v>
      </c>
      <c r="AE295" s="226" t="e">
        <f ca="1">_xlfn.XLOOKUP(X295,'USEEIO metadata'!$C$2:$C$393,'USEEIO metadata'!$F$2:$F$393)</f>
        <v>#NAME?</v>
      </c>
      <c r="AF295" s="226" t="e">
        <f ca="1">_xlfn.XLOOKUP(X295,'USEEIO metadata'!$C$2:$C$393,'USEEIO metadata'!$G$2:$G$393)</f>
        <v>#NAME?</v>
      </c>
    </row>
    <row r="296" spans="1:32">
      <c r="A296" t="str">
        <f>_xlfn.IFNA(IF(VLOOKUP(C296,'2016_Detail_Commodity_v1.0'!C:C,1,FALSE)=C296,"No change"),"Name changed")</f>
        <v>No change</v>
      </c>
      <c r="B296" t="s">
        <v>455</v>
      </c>
      <c r="C296" t="s">
        <v>456</v>
      </c>
      <c r="E296" t="s">
        <v>3655</v>
      </c>
      <c r="F296" t="s">
        <v>12</v>
      </c>
      <c r="G296">
        <v>0</v>
      </c>
      <c r="H296" s="413">
        <f>G296*VLOOKUP(E296,GWPs!$B$3:$C$6,2,FALSE)</f>
        <v>0</v>
      </c>
      <c r="I296">
        <v>0</v>
      </c>
      <c r="J296" s="413">
        <f>I296*VLOOKUP(E296,GWPs!$B$3:$C$6,2,FALSE)</f>
        <v>0</v>
      </c>
      <c r="K296">
        <v>0</v>
      </c>
      <c r="L296" s="413">
        <f>K296*VLOOKUP(E296,GWPs!$B$3:$C$6,2,FALSE)</f>
        <v>0</v>
      </c>
      <c r="N296">
        <v>3</v>
      </c>
      <c r="O296">
        <v>2</v>
      </c>
      <c r="P296">
        <v>1</v>
      </c>
      <c r="Q296">
        <v>3</v>
      </c>
      <c r="R296">
        <v>1</v>
      </c>
      <c r="W296" s="226" t="s">
        <v>1049</v>
      </c>
      <c r="X296" s="70" t="s">
        <v>1048</v>
      </c>
      <c r="Y296" s="414">
        <v>8.2000000000000003E-2</v>
      </c>
      <c r="Z296" s="70">
        <v>8.2000000000000003E-2</v>
      </c>
      <c r="AA296" s="70">
        <v>0</v>
      </c>
      <c r="AB296" s="464" t="s">
        <v>4230</v>
      </c>
      <c r="AC296" s="415">
        <f t="shared" si="4"/>
        <v>0</v>
      </c>
      <c r="AD296" s="226" t="e">
        <f ca="1">_xlfn.XLOOKUP(X296,'USEEIO metadata'!$C$2:$C$393,'USEEIO metadata'!$H$2:$H$393)</f>
        <v>#NAME?</v>
      </c>
      <c r="AE296" s="226" t="e">
        <f ca="1">_xlfn.XLOOKUP(X296,'USEEIO metadata'!$C$2:$C$393,'USEEIO metadata'!$F$2:$F$393)</f>
        <v>#NAME?</v>
      </c>
      <c r="AF296" s="226" t="e">
        <f ca="1">_xlfn.XLOOKUP(X296,'USEEIO metadata'!$C$2:$C$393,'USEEIO metadata'!$G$2:$G$393)</f>
        <v>#NAME?</v>
      </c>
    </row>
    <row r="297" spans="1:32" ht="42.75">
      <c r="A297" t="str">
        <f>_xlfn.IFNA(IF(VLOOKUP(C297,'2016_Detail_Commodity_v1.0'!C:C,1,FALSE)=C297,"No change"),"Name changed")</f>
        <v>No change</v>
      </c>
      <c r="B297" t="s">
        <v>455</v>
      </c>
      <c r="C297" t="s">
        <v>456</v>
      </c>
      <c r="E297" t="s">
        <v>15</v>
      </c>
      <c r="F297" t="s">
        <v>16</v>
      </c>
      <c r="G297">
        <v>6.0000000000000001E-3</v>
      </c>
      <c r="H297" s="413">
        <f>G297*VLOOKUP(E297,GWPs!$B$3:$C$6,2,FALSE)</f>
        <v>6.0000000000000001E-3</v>
      </c>
      <c r="I297">
        <v>0</v>
      </c>
      <c r="J297" s="413">
        <f>I297*VLOOKUP(E297,GWPs!$B$3:$C$6,2,FALSE)</f>
        <v>0</v>
      </c>
      <c r="K297">
        <v>6.0000000000000001E-3</v>
      </c>
      <c r="L297" s="413">
        <f>K297*VLOOKUP(E297,GWPs!$B$3:$C$6,2,FALSE)</f>
        <v>6.0000000000000001E-3</v>
      </c>
      <c r="N297">
        <v>3</v>
      </c>
      <c r="O297">
        <v>2</v>
      </c>
      <c r="P297">
        <v>1</v>
      </c>
      <c r="Q297">
        <v>4</v>
      </c>
      <c r="R297">
        <v>1</v>
      </c>
      <c r="W297" s="226" t="s">
        <v>797</v>
      </c>
      <c r="X297" s="70" t="s">
        <v>796</v>
      </c>
      <c r="Y297" s="414">
        <v>0.152</v>
      </c>
      <c r="Z297" s="70">
        <v>0.14100000000000001</v>
      </c>
      <c r="AA297" s="70">
        <v>0.01</v>
      </c>
      <c r="AB297" s="464" t="s">
        <v>4230</v>
      </c>
      <c r="AC297" s="415">
        <f t="shared" si="4"/>
        <v>6.5789473684210523E-2</v>
      </c>
      <c r="AD297" s="226" t="e">
        <f ca="1">_xlfn.XLOOKUP(X297,'USEEIO metadata'!$C$2:$C$393,'USEEIO metadata'!$H$2:$H$393)</f>
        <v>#NAME?</v>
      </c>
      <c r="AE297" s="226" t="e">
        <f ca="1">_xlfn.XLOOKUP(X297,'USEEIO metadata'!$C$2:$C$393,'USEEIO metadata'!$F$2:$F$393)</f>
        <v>#NAME?</v>
      </c>
      <c r="AF297" s="226" t="e">
        <f ca="1">_xlfn.XLOOKUP(X297,'USEEIO metadata'!$C$2:$C$393,'USEEIO metadata'!$G$2:$G$393)</f>
        <v>#NAME?</v>
      </c>
    </row>
    <row r="298" spans="1:32">
      <c r="A298" t="str">
        <f>_xlfn.IFNA(IF(VLOOKUP(C298,'2016_Detail_Commodity_v1.0'!C:C,1,FALSE)=C298,"No change"),"Name changed")</f>
        <v>No change</v>
      </c>
      <c r="B298" t="s">
        <v>457</v>
      </c>
      <c r="C298" t="s">
        <v>458</v>
      </c>
      <c r="E298" t="s">
        <v>3653</v>
      </c>
      <c r="F298" t="s">
        <v>12</v>
      </c>
      <c r="G298">
        <v>0.311</v>
      </c>
      <c r="H298" s="413">
        <f>G298*VLOOKUP(E298,GWPs!$B$3:$C$6,2,FALSE)</f>
        <v>0.311</v>
      </c>
      <c r="I298">
        <v>4.3999999999999997E-2</v>
      </c>
      <c r="J298" s="413">
        <f>I298*VLOOKUP(E298,GWPs!$B$3:$C$6,2,FALSE)</f>
        <v>4.3999999999999997E-2</v>
      </c>
      <c r="K298">
        <v>0.35499999999999998</v>
      </c>
      <c r="L298" s="413">
        <f>K298*VLOOKUP(E298,GWPs!$B$3:$C$6,2,FALSE)</f>
        <v>0.35499999999999998</v>
      </c>
      <c r="N298">
        <v>3</v>
      </c>
      <c r="O298">
        <v>2</v>
      </c>
      <c r="P298">
        <v>1</v>
      </c>
      <c r="Q298">
        <v>4</v>
      </c>
      <c r="R298">
        <v>1</v>
      </c>
      <c r="W298" s="226" t="s">
        <v>674</v>
      </c>
      <c r="X298" s="70" t="s">
        <v>673</v>
      </c>
      <c r="Y298" s="414">
        <v>0.22800000000000001</v>
      </c>
      <c r="Z298" s="70">
        <v>0.2</v>
      </c>
      <c r="AA298" s="70">
        <v>2.7E-2</v>
      </c>
      <c r="AB298" s="464" t="s">
        <v>4230</v>
      </c>
      <c r="AC298" s="415">
        <f t="shared" si="4"/>
        <v>0.11842105263157894</v>
      </c>
      <c r="AD298" s="226" t="e">
        <f ca="1">_xlfn.XLOOKUP(X298,'USEEIO metadata'!$C$2:$C$393,'USEEIO metadata'!$H$2:$H$393)</f>
        <v>#NAME?</v>
      </c>
      <c r="AE298" s="226" t="e">
        <f ca="1">_xlfn.XLOOKUP(X298,'USEEIO metadata'!$C$2:$C$393,'USEEIO metadata'!$F$2:$F$393)</f>
        <v>#NAME?</v>
      </c>
      <c r="AF298" s="226" t="e">
        <f ca="1">_xlfn.XLOOKUP(X298,'USEEIO metadata'!$C$2:$C$393,'USEEIO metadata'!$G$2:$G$393)</f>
        <v>#NAME?</v>
      </c>
    </row>
    <row r="299" spans="1:32">
      <c r="A299" t="str">
        <f>_xlfn.IFNA(IF(VLOOKUP(C299,'2016_Detail_Commodity_v1.0'!C:C,1,FALSE)=C299,"No change"),"Name changed")</f>
        <v>No change</v>
      </c>
      <c r="B299" t="s">
        <v>457</v>
      </c>
      <c r="C299" t="s">
        <v>458</v>
      </c>
      <c r="E299" t="s">
        <v>3654</v>
      </c>
      <c r="F299" t="s">
        <v>12</v>
      </c>
      <c r="G299">
        <v>1E-3</v>
      </c>
      <c r="H299" s="413">
        <f>G299*VLOOKUP(E299,GWPs!$B$3:$C$6,2,FALSE)</f>
        <v>2.8000000000000001E-2</v>
      </c>
      <c r="I299">
        <v>0</v>
      </c>
      <c r="J299" s="413">
        <f>I299*VLOOKUP(E299,GWPs!$B$3:$C$6,2,FALSE)</f>
        <v>0</v>
      </c>
      <c r="K299">
        <v>1E-3</v>
      </c>
      <c r="L299" s="413">
        <f>K299*VLOOKUP(E299,GWPs!$B$3:$C$6,2,FALSE)</f>
        <v>2.8000000000000001E-2</v>
      </c>
      <c r="N299">
        <v>4</v>
      </c>
      <c r="O299">
        <v>2</v>
      </c>
      <c r="P299">
        <v>1</v>
      </c>
      <c r="Q299">
        <v>1</v>
      </c>
      <c r="R299">
        <v>1</v>
      </c>
      <c r="W299" s="226" t="s">
        <v>920</v>
      </c>
      <c r="X299" s="70" t="s">
        <v>919</v>
      </c>
      <c r="Y299" s="414">
        <v>8.6999999999999994E-2</v>
      </c>
      <c r="Z299" s="70">
        <v>8.6999999999999994E-2</v>
      </c>
      <c r="AA299" s="70">
        <v>0</v>
      </c>
      <c r="AB299" s="464" t="s">
        <v>4230</v>
      </c>
      <c r="AC299" s="415">
        <f t="shared" si="4"/>
        <v>0</v>
      </c>
      <c r="AD299" s="226" t="e">
        <f ca="1">_xlfn.XLOOKUP(X299,'USEEIO metadata'!$C$2:$C$393,'USEEIO metadata'!$H$2:$H$393)</f>
        <v>#NAME?</v>
      </c>
      <c r="AE299" s="226" t="e">
        <f ca="1">_xlfn.XLOOKUP(X299,'USEEIO metadata'!$C$2:$C$393,'USEEIO metadata'!$F$2:$F$393)</f>
        <v>#NAME?</v>
      </c>
      <c r="AF299" s="226" t="e">
        <f ca="1">_xlfn.XLOOKUP(X299,'USEEIO metadata'!$C$2:$C$393,'USEEIO metadata'!$G$2:$G$393)</f>
        <v>#NAME?</v>
      </c>
    </row>
    <row r="300" spans="1:32">
      <c r="A300" t="str">
        <f>_xlfn.IFNA(IF(VLOOKUP(C300,'2016_Detail_Commodity_v1.0'!C:C,1,FALSE)=C300,"No change"),"Name changed")</f>
        <v>No change</v>
      </c>
      <c r="B300" t="s">
        <v>457</v>
      </c>
      <c r="C300" t="s">
        <v>458</v>
      </c>
      <c r="E300" t="s">
        <v>3655</v>
      </c>
      <c r="F300" t="s">
        <v>12</v>
      </c>
      <c r="G300">
        <v>0</v>
      </c>
      <c r="H300" s="413">
        <f>G300*VLOOKUP(E300,GWPs!$B$3:$C$6,2,FALSE)</f>
        <v>0</v>
      </c>
      <c r="I300">
        <v>0</v>
      </c>
      <c r="J300" s="413">
        <f>I300*VLOOKUP(E300,GWPs!$B$3:$C$6,2,FALSE)</f>
        <v>0</v>
      </c>
      <c r="K300">
        <v>0</v>
      </c>
      <c r="L300" s="413">
        <f>K300*VLOOKUP(E300,GWPs!$B$3:$C$6,2,FALSE)</f>
        <v>0</v>
      </c>
      <c r="N300">
        <v>3</v>
      </c>
      <c r="O300">
        <v>2</v>
      </c>
      <c r="P300">
        <v>1</v>
      </c>
      <c r="Q300">
        <v>3</v>
      </c>
      <c r="R300">
        <v>1</v>
      </c>
      <c r="W300" s="226" t="s">
        <v>886</v>
      </c>
      <c r="X300" s="70" t="s">
        <v>885</v>
      </c>
      <c r="Y300" s="414">
        <v>0.71300000000000008</v>
      </c>
      <c r="Z300" s="70">
        <v>0.71300000000000008</v>
      </c>
      <c r="AA300" s="70">
        <v>0</v>
      </c>
      <c r="AB300" s="464" t="s">
        <v>4230</v>
      </c>
      <c r="AC300" s="415">
        <f t="shared" si="4"/>
        <v>0</v>
      </c>
      <c r="AD300" s="226" t="e">
        <f ca="1">_xlfn.XLOOKUP(X300,'USEEIO metadata'!$C$2:$C$393,'USEEIO metadata'!$H$2:$H$393)</f>
        <v>#NAME?</v>
      </c>
      <c r="AE300" s="226" t="e">
        <f ca="1">_xlfn.XLOOKUP(X300,'USEEIO metadata'!$C$2:$C$393,'USEEIO metadata'!$F$2:$F$393)</f>
        <v>#NAME?</v>
      </c>
      <c r="AF300" s="226" t="e">
        <f ca="1">_xlfn.XLOOKUP(X300,'USEEIO metadata'!$C$2:$C$393,'USEEIO metadata'!$G$2:$G$393)</f>
        <v>#NAME?</v>
      </c>
    </row>
    <row r="301" spans="1:32">
      <c r="A301" t="str">
        <f>_xlfn.IFNA(IF(VLOOKUP(C301,'2016_Detail_Commodity_v1.0'!C:C,1,FALSE)=C301,"No change"),"Name changed")</f>
        <v>No change</v>
      </c>
      <c r="B301" t="s">
        <v>457</v>
      </c>
      <c r="C301" t="s">
        <v>458</v>
      </c>
      <c r="E301" t="s">
        <v>15</v>
      </c>
      <c r="F301" t="s">
        <v>16</v>
      </c>
      <c r="G301">
        <v>5.0000000000000001E-3</v>
      </c>
      <c r="H301" s="413">
        <f>G301*VLOOKUP(E301,GWPs!$B$3:$C$6,2,FALSE)</f>
        <v>5.0000000000000001E-3</v>
      </c>
      <c r="I301">
        <v>0</v>
      </c>
      <c r="J301" s="413">
        <f>I301*VLOOKUP(E301,GWPs!$B$3:$C$6,2,FALSE)</f>
        <v>0</v>
      </c>
      <c r="K301">
        <v>5.0000000000000001E-3</v>
      </c>
      <c r="L301" s="413">
        <f>K301*VLOOKUP(E301,GWPs!$B$3:$C$6,2,FALSE)</f>
        <v>5.0000000000000001E-3</v>
      </c>
      <c r="N301">
        <v>3</v>
      </c>
      <c r="O301">
        <v>2</v>
      </c>
      <c r="P301">
        <v>1</v>
      </c>
      <c r="Q301">
        <v>3</v>
      </c>
      <c r="R301">
        <v>1</v>
      </c>
      <c r="W301" s="226" t="s">
        <v>799</v>
      </c>
      <c r="X301" s="70" t="s">
        <v>798</v>
      </c>
      <c r="Y301" s="414">
        <v>0.36600000000000005</v>
      </c>
      <c r="Z301" s="70">
        <v>0.34200000000000003</v>
      </c>
      <c r="AA301" s="70">
        <v>2.3E-2</v>
      </c>
      <c r="AB301" s="464" t="s">
        <v>4230</v>
      </c>
      <c r="AC301" s="415">
        <f t="shared" si="4"/>
        <v>6.2841530054644795E-2</v>
      </c>
      <c r="AD301" s="226" t="e">
        <f ca="1">_xlfn.XLOOKUP(X301,'USEEIO metadata'!$C$2:$C$393,'USEEIO metadata'!$H$2:$H$393)</f>
        <v>#NAME?</v>
      </c>
      <c r="AE301" s="226" t="e">
        <f ca="1">_xlfn.XLOOKUP(X301,'USEEIO metadata'!$C$2:$C$393,'USEEIO metadata'!$F$2:$F$393)</f>
        <v>#NAME?</v>
      </c>
      <c r="AF301" s="226" t="e">
        <f ca="1">_xlfn.XLOOKUP(X301,'USEEIO metadata'!$C$2:$C$393,'USEEIO metadata'!$G$2:$G$393)</f>
        <v>#NAME?</v>
      </c>
    </row>
    <row r="302" spans="1:32">
      <c r="A302" t="str">
        <f>_xlfn.IFNA(IF(VLOOKUP(C302,'2016_Detail_Commodity_v1.0'!C:C,1,FALSE)=C302,"No change"),"Name changed")</f>
        <v>No change</v>
      </c>
      <c r="B302" t="s">
        <v>459</v>
      </c>
      <c r="C302" t="s">
        <v>460</v>
      </c>
      <c r="E302" t="s">
        <v>3653</v>
      </c>
      <c r="F302" t="s">
        <v>12</v>
      </c>
      <c r="G302">
        <v>0.17699999999999999</v>
      </c>
      <c r="H302" s="413">
        <f>G302*VLOOKUP(E302,GWPs!$B$3:$C$6,2,FALSE)</f>
        <v>0.17699999999999999</v>
      </c>
      <c r="I302">
        <v>5.5E-2</v>
      </c>
      <c r="J302" s="413">
        <f>I302*VLOOKUP(E302,GWPs!$B$3:$C$6,2,FALSE)</f>
        <v>5.5E-2</v>
      </c>
      <c r="K302">
        <v>0.23100000000000001</v>
      </c>
      <c r="L302" s="413">
        <f>K302*VLOOKUP(E302,GWPs!$B$3:$C$6,2,FALSE)</f>
        <v>0.23100000000000001</v>
      </c>
      <c r="N302">
        <v>3</v>
      </c>
      <c r="O302">
        <v>2</v>
      </c>
      <c r="P302">
        <v>1</v>
      </c>
      <c r="Q302">
        <v>3</v>
      </c>
      <c r="R302">
        <v>1</v>
      </c>
      <c r="W302" s="226" t="s">
        <v>556</v>
      </c>
      <c r="X302" s="70" t="s">
        <v>555</v>
      </c>
      <c r="Y302" s="414">
        <v>0.89200000000000002</v>
      </c>
      <c r="Z302" s="70">
        <v>0.78900000000000003</v>
      </c>
      <c r="AA302" s="70">
        <v>0.10299999999999999</v>
      </c>
      <c r="AB302" s="464" t="s">
        <v>4230</v>
      </c>
      <c r="AC302" s="415">
        <f t="shared" si="4"/>
        <v>0.11547085201793721</v>
      </c>
      <c r="AD302" s="226" t="e">
        <f ca="1">_xlfn.XLOOKUP(X302,'USEEIO metadata'!$C$2:$C$393,'USEEIO metadata'!$H$2:$H$393)</f>
        <v>#NAME?</v>
      </c>
      <c r="AE302" s="226" t="e">
        <f ca="1">_xlfn.XLOOKUP(X302,'USEEIO metadata'!$C$2:$C$393,'USEEIO metadata'!$F$2:$F$393)</f>
        <v>#NAME?</v>
      </c>
      <c r="AF302" s="226" t="e">
        <f ca="1">_xlfn.XLOOKUP(X302,'USEEIO metadata'!$C$2:$C$393,'USEEIO metadata'!$G$2:$G$393)</f>
        <v>#NAME?</v>
      </c>
    </row>
    <row r="303" spans="1:32" ht="28.5">
      <c r="A303" t="str">
        <f>_xlfn.IFNA(IF(VLOOKUP(C303,'2016_Detail_Commodity_v1.0'!C:C,1,FALSE)=C303,"No change"),"Name changed")</f>
        <v>No change</v>
      </c>
      <c r="B303" t="s">
        <v>459</v>
      </c>
      <c r="C303" t="s">
        <v>460</v>
      </c>
      <c r="E303" t="s">
        <v>3654</v>
      </c>
      <c r="F303" t="s">
        <v>12</v>
      </c>
      <c r="G303">
        <v>1E-3</v>
      </c>
      <c r="H303" s="413">
        <f>G303*VLOOKUP(E303,GWPs!$B$3:$C$6,2,FALSE)</f>
        <v>2.8000000000000001E-2</v>
      </c>
      <c r="I303">
        <v>0</v>
      </c>
      <c r="J303" s="413">
        <f>I303*VLOOKUP(E303,GWPs!$B$3:$C$6,2,FALSE)</f>
        <v>0</v>
      </c>
      <c r="K303">
        <v>1E-3</v>
      </c>
      <c r="L303" s="413">
        <f>K303*VLOOKUP(E303,GWPs!$B$3:$C$6,2,FALSE)</f>
        <v>2.8000000000000001E-2</v>
      </c>
      <c r="N303">
        <v>3</v>
      </c>
      <c r="O303">
        <v>2</v>
      </c>
      <c r="P303">
        <v>1</v>
      </c>
      <c r="Q303">
        <v>1</v>
      </c>
      <c r="R303">
        <v>1</v>
      </c>
      <c r="W303" s="226" t="s">
        <v>392</v>
      </c>
      <c r="X303" s="70" t="s">
        <v>391</v>
      </c>
      <c r="Y303" s="414">
        <v>0.96099999999999997</v>
      </c>
      <c r="Z303" s="70">
        <v>0.90800000000000003</v>
      </c>
      <c r="AA303" s="70">
        <v>5.2999999999999999E-2</v>
      </c>
      <c r="AB303" s="464" t="s">
        <v>4231</v>
      </c>
      <c r="AC303" s="415">
        <f t="shared" si="4"/>
        <v>5.5150884495317382E-2</v>
      </c>
      <c r="AD303" s="226" t="e">
        <f ca="1">_xlfn.XLOOKUP(X303,'USEEIO metadata'!$C$2:$C$393,'USEEIO metadata'!$H$2:$H$393)</f>
        <v>#NAME?</v>
      </c>
      <c r="AE303" s="226" t="e">
        <f ca="1">_xlfn.XLOOKUP(X303,'USEEIO metadata'!$C$2:$C$393,'USEEIO metadata'!$F$2:$F$393)</f>
        <v>#NAME?</v>
      </c>
      <c r="AF303" s="226" t="e">
        <f ca="1">_xlfn.XLOOKUP(X303,'USEEIO metadata'!$C$2:$C$393,'USEEIO metadata'!$G$2:$G$393)</f>
        <v>#NAME?</v>
      </c>
    </row>
    <row r="304" spans="1:32">
      <c r="A304" t="str">
        <f>_xlfn.IFNA(IF(VLOOKUP(C304,'2016_Detail_Commodity_v1.0'!C:C,1,FALSE)=C304,"No change"),"Name changed")</f>
        <v>No change</v>
      </c>
      <c r="B304" t="s">
        <v>459</v>
      </c>
      <c r="C304" t="s">
        <v>460</v>
      </c>
      <c r="E304" t="s">
        <v>3655</v>
      </c>
      <c r="F304" t="s">
        <v>12</v>
      </c>
      <c r="G304">
        <v>0</v>
      </c>
      <c r="H304" s="413">
        <f>G304*VLOOKUP(E304,GWPs!$B$3:$C$6,2,FALSE)</f>
        <v>0</v>
      </c>
      <c r="I304">
        <v>0</v>
      </c>
      <c r="J304" s="413">
        <f>I304*VLOOKUP(E304,GWPs!$B$3:$C$6,2,FALSE)</f>
        <v>0</v>
      </c>
      <c r="K304">
        <v>0</v>
      </c>
      <c r="L304" s="413">
        <f>K304*VLOOKUP(E304,GWPs!$B$3:$C$6,2,FALSE)</f>
        <v>0</v>
      </c>
      <c r="N304">
        <v>3</v>
      </c>
      <c r="O304">
        <v>2</v>
      </c>
      <c r="P304">
        <v>1</v>
      </c>
      <c r="Q304">
        <v>3</v>
      </c>
      <c r="R304">
        <v>1</v>
      </c>
      <c r="W304" s="226" t="s">
        <v>748</v>
      </c>
      <c r="X304" s="70" t="s">
        <v>747</v>
      </c>
      <c r="Y304" s="414">
        <v>0.19500000000000001</v>
      </c>
      <c r="Z304" s="70">
        <v>0.13800000000000001</v>
      </c>
      <c r="AA304" s="70">
        <v>2.9000000000000001E-2</v>
      </c>
      <c r="AB304" s="464" t="s">
        <v>4230</v>
      </c>
      <c r="AC304" s="415">
        <f t="shared" si="4"/>
        <v>0.14871794871794872</v>
      </c>
      <c r="AD304" s="226" t="e">
        <f ca="1">_xlfn.XLOOKUP(X304,'USEEIO metadata'!$C$2:$C$393,'USEEIO metadata'!$H$2:$H$393)</f>
        <v>#NAME?</v>
      </c>
      <c r="AE304" s="226" t="e">
        <f ca="1">_xlfn.XLOOKUP(X304,'USEEIO metadata'!$C$2:$C$393,'USEEIO metadata'!$F$2:$F$393)</f>
        <v>#NAME?</v>
      </c>
      <c r="AF304" s="226" t="e">
        <f ca="1">_xlfn.XLOOKUP(X304,'USEEIO metadata'!$C$2:$C$393,'USEEIO metadata'!$G$2:$G$393)</f>
        <v>#NAME?</v>
      </c>
    </row>
    <row r="305" spans="1:32">
      <c r="A305" t="str">
        <f>_xlfn.IFNA(IF(VLOOKUP(C305,'2016_Detail_Commodity_v1.0'!C:C,1,FALSE)=C305,"No change"),"Name changed")</f>
        <v>No change</v>
      </c>
      <c r="B305" t="s">
        <v>459</v>
      </c>
      <c r="C305" t="s">
        <v>460</v>
      </c>
      <c r="E305" t="s">
        <v>15</v>
      </c>
      <c r="F305" t="s">
        <v>16</v>
      </c>
      <c r="G305">
        <v>1.9E-2</v>
      </c>
      <c r="H305" s="413">
        <f>G305*VLOOKUP(E305,GWPs!$B$3:$C$6,2,FALSE)</f>
        <v>1.9E-2</v>
      </c>
      <c r="I305">
        <v>0</v>
      </c>
      <c r="J305" s="413">
        <f>I305*VLOOKUP(E305,GWPs!$B$3:$C$6,2,FALSE)</f>
        <v>0</v>
      </c>
      <c r="K305">
        <v>1.9E-2</v>
      </c>
      <c r="L305" s="413">
        <f>K305*VLOOKUP(E305,GWPs!$B$3:$C$6,2,FALSE)</f>
        <v>1.9E-2</v>
      </c>
      <c r="N305">
        <v>4</v>
      </c>
      <c r="O305">
        <v>2</v>
      </c>
      <c r="P305">
        <v>1</v>
      </c>
      <c r="Q305">
        <v>5</v>
      </c>
      <c r="R305">
        <v>1</v>
      </c>
      <c r="W305" s="226" t="s">
        <v>1083</v>
      </c>
      <c r="X305" s="70" t="s">
        <v>1082</v>
      </c>
      <c r="Y305" s="414">
        <v>0.22900000000000001</v>
      </c>
      <c r="Z305" s="70">
        <v>0.22900000000000001</v>
      </c>
      <c r="AA305" s="70">
        <v>0</v>
      </c>
      <c r="AB305" s="464" t="s">
        <v>4230</v>
      </c>
      <c r="AC305" s="415">
        <f t="shared" si="4"/>
        <v>0</v>
      </c>
      <c r="AD305" s="226" t="e">
        <f ca="1">_xlfn.XLOOKUP(X305,'USEEIO metadata'!$C$2:$C$393,'USEEIO metadata'!$H$2:$H$393)</f>
        <v>#NAME?</v>
      </c>
      <c r="AE305" s="226" t="e">
        <f ca="1">_xlfn.XLOOKUP(X305,'USEEIO metadata'!$C$2:$C$393,'USEEIO metadata'!$F$2:$F$393)</f>
        <v>#NAME?</v>
      </c>
      <c r="AF305" s="226" t="e">
        <f ca="1">_xlfn.XLOOKUP(X305,'USEEIO metadata'!$C$2:$C$393,'USEEIO metadata'!$G$2:$G$393)</f>
        <v>#NAME?</v>
      </c>
    </row>
    <row r="306" spans="1:32" ht="28.5">
      <c r="A306" t="str">
        <f>_xlfn.IFNA(IF(VLOOKUP(C306,'2016_Detail_Commodity_v1.0'!C:C,1,FALSE)=C306,"No change"),"Name changed")</f>
        <v>No change</v>
      </c>
      <c r="B306" t="s">
        <v>461</v>
      </c>
      <c r="C306" t="s">
        <v>462</v>
      </c>
      <c r="E306" t="s">
        <v>3653</v>
      </c>
      <c r="F306" t="s">
        <v>12</v>
      </c>
      <c r="G306">
        <v>0.19800000000000001</v>
      </c>
      <c r="H306" s="413">
        <f>G306*VLOOKUP(E306,GWPs!$B$3:$C$6,2,FALSE)</f>
        <v>0.19800000000000001</v>
      </c>
      <c r="I306">
        <v>5.8999999999999997E-2</v>
      </c>
      <c r="J306" s="413">
        <f>I306*VLOOKUP(E306,GWPs!$B$3:$C$6,2,FALSE)</f>
        <v>5.8999999999999997E-2</v>
      </c>
      <c r="K306">
        <v>0.25700000000000001</v>
      </c>
      <c r="L306" s="413">
        <f>K306*VLOOKUP(E306,GWPs!$B$3:$C$6,2,FALSE)</f>
        <v>0.25700000000000001</v>
      </c>
      <c r="N306">
        <v>3</v>
      </c>
      <c r="O306">
        <v>2</v>
      </c>
      <c r="P306">
        <v>1</v>
      </c>
      <c r="Q306">
        <v>3</v>
      </c>
      <c r="R306">
        <v>1</v>
      </c>
      <c r="W306" s="226" t="s">
        <v>1390</v>
      </c>
      <c r="X306" s="70" t="s">
        <v>359</v>
      </c>
      <c r="Y306" s="414">
        <v>0.35</v>
      </c>
      <c r="Z306" s="70">
        <v>0.35</v>
      </c>
      <c r="AA306" s="70">
        <v>0</v>
      </c>
      <c r="AB306" s="464" t="s">
        <v>4230</v>
      </c>
      <c r="AC306" s="415">
        <f t="shared" si="4"/>
        <v>0</v>
      </c>
      <c r="AD306" s="226" t="e">
        <f ca="1">_xlfn.XLOOKUP(X306,'USEEIO metadata'!$C$2:$C$393,'USEEIO metadata'!$H$2:$H$393)</f>
        <v>#NAME?</v>
      </c>
      <c r="AE306" s="226" t="e">
        <f ca="1">_xlfn.XLOOKUP(X306,'USEEIO metadata'!$C$2:$C$393,'USEEIO metadata'!$F$2:$F$393)</f>
        <v>#NAME?</v>
      </c>
      <c r="AF306" s="226" t="e">
        <f ca="1">_xlfn.XLOOKUP(X306,'USEEIO metadata'!$C$2:$C$393,'USEEIO metadata'!$G$2:$G$393)</f>
        <v>#NAME?</v>
      </c>
    </row>
    <row r="307" spans="1:32" ht="42.75">
      <c r="A307" t="str">
        <f>_xlfn.IFNA(IF(VLOOKUP(C307,'2016_Detail_Commodity_v1.0'!C:C,1,FALSE)=C307,"No change"),"Name changed")</f>
        <v>No change</v>
      </c>
      <c r="B307" t="s">
        <v>461</v>
      </c>
      <c r="C307" t="s">
        <v>462</v>
      </c>
      <c r="E307" t="s">
        <v>3654</v>
      </c>
      <c r="F307" t="s">
        <v>12</v>
      </c>
      <c r="G307">
        <v>1E-3</v>
      </c>
      <c r="H307" s="413">
        <f>G307*VLOOKUP(E307,GWPs!$B$3:$C$6,2,FALSE)</f>
        <v>2.8000000000000001E-2</v>
      </c>
      <c r="I307">
        <v>0</v>
      </c>
      <c r="J307" s="413">
        <f>I307*VLOOKUP(E307,GWPs!$B$3:$C$6,2,FALSE)</f>
        <v>0</v>
      </c>
      <c r="K307">
        <v>1E-3</v>
      </c>
      <c r="L307" s="413">
        <f>K307*VLOOKUP(E307,GWPs!$B$3:$C$6,2,FALSE)</f>
        <v>2.8000000000000001E-2</v>
      </c>
      <c r="N307">
        <v>4</v>
      </c>
      <c r="O307">
        <v>2</v>
      </c>
      <c r="P307">
        <v>1</v>
      </c>
      <c r="Q307">
        <v>1</v>
      </c>
      <c r="R307">
        <v>1</v>
      </c>
      <c r="W307" s="226" t="s">
        <v>1035</v>
      </c>
      <c r="X307" s="70" t="s">
        <v>1034</v>
      </c>
      <c r="Y307" s="414">
        <v>0.17100000000000001</v>
      </c>
      <c r="Z307" s="70">
        <v>0.17100000000000001</v>
      </c>
      <c r="AA307" s="70">
        <v>0</v>
      </c>
      <c r="AB307" s="464" t="s">
        <v>4231</v>
      </c>
      <c r="AC307" s="415">
        <f t="shared" si="4"/>
        <v>0</v>
      </c>
      <c r="AD307" s="226" t="e">
        <f ca="1">_xlfn.XLOOKUP(X307,'USEEIO metadata'!$C$2:$C$393,'USEEIO metadata'!$H$2:$H$393)</f>
        <v>#NAME?</v>
      </c>
      <c r="AE307" s="226" t="e">
        <f ca="1">_xlfn.XLOOKUP(X307,'USEEIO metadata'!$C$2:$C$393,'USEEIO metadata'!$F$2:$F$393)</f>
        <v>#NAME?</v>
      </c>
      <c r="AF307" s="226" t="e">
        <f ca="1">_xlfn.XLOOKUP(X307,'USEEIO metadata'!$C$2:$C$393,'USEEIO metadata'!$G$2:$G$393)</f>
        <v>#NAME?</v>
      </c>
    </row>
    <row r="308" spans="1:32" ht="28.5">
      <c r="A308" t="str">
        <f>_xlfn.IFNA(IF(VLOOKUP(C308,'2016_Detail_Commodity_v1.0'!C:C,1,FALSE)=C308,"No change"),"Name changed")</f>
        <v>No change</v>
      </c>
      <c r="B308" t="s">
        <v>461</v>
      </c>
      <c r="C308" t="s">
        <v>462</v>
      </c>
      <c r="E308" t="s">
        <v>3655</v>
      </c>
      <c r="F308" t="s">
        <v>12</v>
      </c>
      <c r="G308">
        <v>0</v>
      </c>
      <c r="H308" s="413">
        <f>G308*VLOOKUP(E308,GWPs!$B$3:$C$6,2,FALSE)</f>
        <v>0</v>
      </c>
      <c r="I308">
        <v>0</v>
      </c>
      <c r="J308" s="413">
        <f>I308*VLOOKUP(E308,GWPs!$B$3:$C$6,2,FALSE)</f>
        <v>0</v>
      </c>
      <c r="K308">
        <v>0</v>
      </c>
      <c r="L308" s="413">
        <f>K308*VLOOKUP(E308,GWPs!$B$3:$C$6,2,FALSE)</f>
        <v>0</v>
      </c>
      <c r="N308">
        <v>3</v>
      </c>
      <c r="O308">
        <v>2</v>
      </c>
      <c r="P308">
        <v>1</v>
      </c>
      <c r="Q308">
        <v>3</v>
      </c>
      <c r="R308">
        <v>1</v>
      </c>
      <c r="W308" s="226" t="s">
        <v>546</v>
      </c>
      <c r="X308" s="70" t="s">
        <v>545</v>
      </c>
      <c r="Y308" s="414">
        <v>0.36800000000000005</v>
      </c>
      <c r="Z308" s="70">
        <v>0.32400000000000001</v>
      </c>
      <c r="AA308" s="70">
        <v>4.3999999999999997E-2</v>
      </c>
      <c r="AB308" s="464" t="s">
        <v>4230</v>
      </c>
      <c r="AC308" s="415">
        <f t="shared" si="4"/>
        <v>0.11956521739130432</v>
      </c>
      <c r="AD308" s="226" t="e">
        <f ca="1">_xlfn.XLOOKUP(X308,'USEEIO metadata'!$C$2:$C$393,'USEEIO metadata'!$H$2:$H$393)</f>
        <v>#NAME?</v>
      </c>
      <c r="AE308" s="226" t="e">
        <f ca="1">_xlfn.XLOOKUP(X308,'USEEIO metadata'!$C$2:$C$393,'USEEIO metadata'!$F$2:$F$393)</f>
        <v>#NAME?</v>
      </c>
      <c r="AF308" s="226" t="e">
        <f ca="1">_xlfn.XLOOKUP(X308,'USEEIO metadata'!$C$2:$C$393,'USEEIO metadata'!$G$2:$G$393)</f>
        <v>#NAME?</v>
      </c>
    </row>
    <row r="309" spans="1:32">
      <c r="A309" t="str">
        <f>_xlfn.IFNA(IF(VLOOKUP(C309,'2016_Detail_Commodity_v1.0'!C:C,1,FALSE)=C309,"No change"),"Name changed")</f>
        <v>No change</v>
      </c>
      <c r="B309" t="s">
        <v>461</v>
      </c>
      <c r="C309" t="s">
        <v>462</v>
      </c>
      <c r="E309" t="s">
        <v>15</v>
      </c>
      <c r="F309" t="s">
        <v>16</v>
      </c>
      <c r="G309">
        <v>1.7000000000000001E-2</v>
      </c>
      <c r="H309" s="413">
        <f>G309*VLOOKUP(E309,GWPs!$B$3:$C$6,2,FALSE)</f>
        <v>1.7000000000000001E-2</v>
      </c>
      <c r="I309">
        <v>0</v>
      </c>
      <c r="J309" s="413">
        <f>I309*VLOOKUP(E309,GWPs!$B$3:$C$6,2,FALSE)</f>
        <v>0</v>
      </c>
      <c r="K309">
        <v>1.7000000000000001E-2</v>
      </c>
      <c r="L309" s="413">
        <f>K309*VLOOKUP(E309,GWPs!$B$3:$C$6,2,FALSE)</f>
        <v>1.7000000000000001E-2</v>
      </c>
      <c r="N309">
        <v>4</v>
      </c>
      <c r="O309">
        <v>2</v>
      </c>
      <c r="P309">
        <v>1</v>
      </c>
      <c r="Q309">
        <v>4</v>
      </c>
      <c r="R309">
        <v>1</v>
      </c>
      <c r="W309" s="226" t="s">
        <v>544</v>
      </c>
      <c r="X309" s="70" t="s">
        <v>543</v>
      </c>
      <c r="Y309" s="414">
        <v>0.47199999999999998</v>
      </c>
      <c r="Z309" s="70">
        <v>0.36100000000000004</v>
      </c>
      <c r="AA309" s="70">
        <v>8.3000000000000004E-2</v>
      </c>
      <c r="AB309" s="464" t="s">
        <v>4230</v>
      </c>
      <c r="AC309" s="415">
        <f t="shared" si="4"/>
        <v>0.17584745762711868</v>
      </c>
      <c r="AD309" s="226" t="e">
        <f ca="1">_xlfn.XLOOKUP(X309,'USEEIO metadata'!$C$2:$C$393,'USEEIO metadata'!$H$2:$H$393)</f>
        <v>#NAME?</v>
      </c>
      <c r="AE309" s="226" t="e">
        <f ca="1">_xlfn.XLOOKUP(X309,'USEEIO metadata'!$C$2:$C$393,'USEEIO metadata'!$F$2:$F$393)</f>
        <v>#NAME?</v>
      </c>
      <c r="AF309" s="226" t="e">
        <f ca="1">_xlfn.XLOOKUP(X309,'USEEIO metadata'!$C$2:$C$393,'USEEIO metadata'!$G$2:$G$393)</f>
        <v>#NAME?</v>
      </c>
    </row>
    <row r="310" spans="1:32">
      <c r="A310" t="str">
        <f>_xlfn.IFNA(IF(VLOOKUP(C310,'2016_Detail_Commodity_v1.0'!C:C,1,FALSE)=C310,"No change"),"Name changed")</f>
        <v>No change</v>
      </c>
      <c r="B310" t="s">
        <v>463</v>
      </c>
      <c r="C310" t="s">
        <v>464</v>
      </c>
      <c r="E310" t="s">
        <v>3653</v>
      </c>
      <c r="F310" t="s">
        <v>12</v>
      </c>
      <c r="G310">
        <v>0.66400000000000003</v>
      </c>
      <c r="H310" s="413">
        <f>G310*VLOOKUP(E310,GWPs!$B$3:$C$6,2,FALSE)</f>
        <v>0.66400000000000003</v>
      </c>
      <c r="I310">
        <v>4.2000000000000003E-2</v>
      </c>
      <c r="J310" s="413">
        <f>I310*VLOOKUP(E310,GWPs!$B$3:$C$6,2,FALSE)</f>
        <v>4.2000000000000003E-2</v>
      </c>
      <c r="K310">
        <v>0.70599999999999996</v>
      </c>
      <c r="L310" s="413">
        <f>K310*VLOOKUP(E310,GWPs!$B$3:$C$6,2,FALSE)</f>
        <v>0.70599999999999996</v>
      </c>
      <c r="N310">
        <v>3</v>
      </c>
      <c r="O310">
        <v>2</v>
      </c>
      <c r="P310">
        <v>1</v>
      </c>
      <c r="Q310">
        <v>4</v>
      </c>
      <c r="R310">
        <v>1</v>
      </c>
      <c r="W310" s="226" t="s">
        <v>1075</v>
      </c>
      <c r="X310" s="70" t="s">
        <v>1074</v>
      </c>
      <c r="Y310" s="414">
        <v>0.122</v>
      </c>
      <c r="Z310" s="70">
        <v>0.122</v>
      </c>
      <c r="AA310" s="70">
        <v>0</v>
      </c>
      <c r="AB310" s="464" t="s">
        <v>4230</v>
      </c>
      <c r="AC310" s="415">
        <f t="shared" si="4"/>
        <v>0</v>
      </c>
      <c r="AD310" s="226" t="e">
        <f ca="1">_xlfn.XLOOKUP(X310,'USEEIO metadata'!$C$2:$C$393,'USEEIO metadata'!$H$2:$H$393)</f>
        <v>#NAME?</v>
      </c>
      <c r="AE310" s="226" t="e">
        <f ca="1">_xlfn.XLOOKUP(X310,'USEEIO metadata'!$C$2:$C$393,'USEEIO metadata'!$F$2:$F$393)</f>
        <v>#NAME?</v>
      </c>
      <c r="AF310" s="226" t="e">
        <f ca="1">_xlfn.XLOOKUP(X310,'USEEIO metadata'!$C$2:$C$393,'USEEIO metadata'!$G$2:$G$393)</f>
        <v>#NAME?</v>
      </c>
    </row>
    <row r="311" spans="1:32" ht="28.5">
      <c r="A311" t="str">
        <f>_xlfn.IFNA(IF(VLOOKUP(C311,'2016_Detail_Commodity_v1.0'!C:C,1,FALSE)=C311,"No change"),"Name changed")</f>
        <v>No change</v>
      </c>
      <c r="B311" t="s">
        <v>463</v>
      </c>
      <c r="C311" t="s">
        <v>464</v>
      </c>
      <c r="E311" t="s">
        <v>3654</v>
      </c>
      <c r="F311" t="s">
        <v>12</v>
      </c>
      <c r="G311">
        <v>3.0000000000000001E-3</v>
      </c>
      <c r="H311" s="413">
        <f>G311*VLOOKUP(E311,GWPs!$B$3:$C$6,2,FALSE)</f>
        <v>8.4000000000000005E-2</v>
      </c>
      <c r="I311">
        <v>0</v>
      </c>
      <c r="J311" s="413">
        <f>I311*VLOOKUP(E311,GWPs!$B$3:$C$6,2,FALSE)</f>
        <v>0</v>
      </c>
      <c r="K311">
        <v>3.0000000000000001E-3</v>
      </c>
      <c r="L311" s="413">
        <f>K311*VLOOKUP(E311,GWPs!$B$3:$C$6,2,FALSE)</f>
        <v>8.4000000000000005E-2</v>
      </c>
      <c r="N311">
        <v>4</v>
      </c>
      <c r="O311">
        <v>2</v>
      </c>
      <c r="P311">
        <v>1</v>
      </c>
      <c r="Q311">
        <v>1</v>
      </c>
      <c r="R311">
        <v>1</v>
      </c>
      <c r="W311" s="226" t="s">
        <v>347</v>
      </c>
      <c r="X311" s="70" t="s">
        <v>346</v>
      </c>
      <c r="Y311" s="414">
        <v>0.81099999999999994</v>
      </c>
      <c r="Z311" s="70">
        <v>0.58500000000000008</v>
      </c>
      <c r="AA311" s="70">
        <v>0.22500000000000001</v>
      </c>
      <c r="AB311" s="464" t="s">
        <v>4230</v>
      </c>
      <c r="AC311" s="415">
        <f t="shared" si="4"/>
        <v>0.27743526510480893</v>
      </c>
      <c r="AD311" s="226" t="e">
        <f ca="1">_xlfn.XLOOKUP(X311,'USEEIO metadata'!$C$2:$C$393,'USEEIO metadata'!$H$2:$H$393)</f>
        <v>#NAME?</v>
      </c>
      <c r="AE311" s="226" t="e">
        <f ca="1">_xlfn.XLOOKUP(X311,'USEEIO metadata'!$C$2:$C$393,'USEEIO metadata'!$F$2:$F$393)</f>
        <v>#NAME?</v>
      </c>
      <c r="AF311" s="226" t="e">
        <f ca="1">_xlfn.XLOOKUP(X311,'USEEIO metadata'!$C$2:$C$393,'USEEIO metadata'!$G$2:$G$393)</f>
        <v>#NAME?</v>
      </c>
    </row>
    <row r="312" spans="1:32" ht="28.5">
      <c r="A312" t="str">
        <f>_xlfn.IFNA(IF(VLOOKUP(C312,'2016_Detail_Commodity_v1.0'!C:C,1,FALSE)=C312,"No change"),"Name changed")</f>
        <v>No change</v>
      </c>
      <c r="B312" t="s">
        <v>463</v>
      </c>
      <c r="C312" t="s">
        <v>464</v>
      </c>
      <c r="E312" t="s">
        <v>3655</v>
      </c>
      <c r="F312" t="s">
        <v>12</v>
      </c>
      <c r="G312">
        <v>0</v>
      </c>
      <c r="H312" s="413">
        <f>G312*VLOOKUP(E312,GWPs!$B$3:$C$6,2,FALSE)</f>
        <v>0</v>
      </c>
      <c r="I312">
        <v>0</v>
      </c>
      <c r="J312" s="413">
        <f>I312*VLOOKUP(E312,GWPs!$B$3:$C$6,2,FALSE)</f>
        <v>0</v>
      </c>
      <c r="K312">
        <v>0</v>
      </c>
      <c r="L312" s="413">
        <f>K312*VLOOKUP(E312,GWPs!$B$3:$C$6,2,FALSE)</f>
        <v>0</v>
      </c>
      <c r="N312">
        <v>3</v>
      </c>
      <c r="O312">
        <v>2</v>
      </c>
      <c r="P312">
        <v>1</v>
      </c>
      <c r="Q312">
        <v>3</v>
      </c>
      <c r="R312">
        <v>1</v>
      </c>
      <c r="W312" s="226" t="s">
        <v>476</v>
      </c>
      <c r="X312" s="70" t="s">
        <v>475</v>
      </c>
      <c r="Y312" s="414">
        <v>0.504</v>
      </c>
      <c r="Z312" s="70">
        <v>0.36600000000000005</v>
      </c>
      <c r="AA312" s="70">
        <v>0.13800000000000001</v>
      </c>
      <c r="AB312" s="464" t="s">
        <v>4231</v>
      </c>
      <c r="AC312" s="415">
        <f t="shared" si="4"/>
        <v>0.27380952380952384</v>
      </c>
      <c r="AD312" s="226" t="e">
        <f ca="1">_xlfn.XLOOKUP(X312,'USEEIO metadata'!$C$2:$C$393,'USEEIO metadata'!$H$2:$H$393)</f>
        <v>#NAME?</v>
      </c>
      <c r="AE312" s="226" t="e">
        <f ca="1">_xlfn.XLOOKUP(X312,'USEEIO metadata'!$C$2:$C$393,'USEEIO metadata'!$F$2:$F$393)</f>
        <v>#NAME?</v>
      </c>
      <c r="AF312" s="226" t="e">
        <f ca="1">_xlfn.XLOOKUP(X312,'USEEIO metadata'!$C$2:$C$393,'USEEIO metadata'!$G$2:$G$393)</f>
        <v>#NAME?</v>
      </c>
    </row>
    <row r="313" spans="1:32" ht="42.75">
      <c r="A313" t="str">
        <f>_xlfn.IFNA(IF(VLOOKUP(C313,'2016_Detail_Commodity_v1.0'!C:C,1,FALSE)=C313,"No change"),"Name changed")</f>
        <v>No change</v>
      </c>
      <c r="B313" t="s">
        <v>463</v>
      </c>
      <c r="C313" t="s">
        <v>464</v>
      </c>
      <c r="E313" t="s">
        <v>15</v>
      </c>
      <c r="F313" t="s">
        <v>16</v>
      </c>
      <c r="G313">
        <v>5.0000000000000001E-3</v>
      </c>
      <c r="H313" s="413">
        <f>G313*VLOOKUP(E313,GWPs!$B$3:$C$6,2,FALSE)</f>
        <v>5.0000000000000001E-3</v>
      </c>
      <c r="I313">
        <v>0</v>
      </c>
      <c r="J313" s="413">
        <f>I313*VLOOKUP(E313,GWPs!$B$3:$C$6,2,FALSE)</f>
        <v>0</v>
      </c>
      <c r="K313">
        <v>5.0000000000000001E-3</v>
      </c>
      <c r="L313" s="413">
        <f>K313*VLOOKUP(E313,GWPs!$B$3:$C$6,2,FALSE)</f>
        <v>5.0000000000000001E-3</v>
      </c>
      <c r="N313">
        <v>3</v>
      </c>
      <c r="O313">
        <v>2</v>
      </c>
      <c r="P313">
        <v>1</v>
      </c>
      <c r="Q313">
        <v>3</v>
      </c>
      <c r="R313">
        <v>1</v>
      </c>
      <c r="W313" s="226" t="s">
        <v>928</v>
      </c>
      <c r="X313" s="70" t="s">
        <v>927</v>
      </c>
      <c r="Y313" s="414">
        <v>0.123</v>
      </c>
      <c r="Z313" s="70">
        <v>0.123</v>
      </c>
      <c r="AA313" s="70">
        <v>0</v>
      </c>
      <c r="AB313" s="464" t="s">
        <v>4230</v>
      </c>
      <c r="AC313" s="415">
        <f t="shared" si="4"/>
        <v>0</v>
      </c>
      <c r="AD313" s="226" t="e">
        <f ca="1">_xlfn.XLOOKUP(X313,'USEEIO metadata'!$C$2:$C$393,'USEEIO metadata'!$H$2:$H$393)</f>
        <v>#NAME?</v>
      </c>
      <c r="AE313" s="226" t="e">
        <f ca="1">_xlfn.XLOOKUP(X313,'USEEIO metadata'!$C$2:$C$393,'USEEIO metadata'!$F$2:$F$393)</f>
        <v>#NAME?</v>
      </c>
      <c r="AF313" s="226" t="e">
        <f ca="1">_xlfn.XLOOKUP(X313,'USEEIO metadata'!$C$2:$C$393,'USEEIO metadata'!$G$2:$G$393)</f>
        <v>#NAME?</v>
      </c>
    </row>
    <row r="314" spans="1:32" ht="42.75">
      <c r="A314" t="str">
        <f>_xlfn.IFNA(IF(VLOOKUP(C314,'2016_Detail_Commodity_v1.0'!C:C,1,FALSE)=C314,"No change"),"Name changed")</f>
        <v>No change</v>
      </c>
      <c r="B314" t="s">
        <v>465</v>
      </c>
      <c r="C314" t="s">
        <v>466</v>
      </c>
      <c r="E314" t="s">
        <v>3653</v>
      </c>
      <c r="F314" t="s">
        <v>12</v>
      </c>
      <c r="G314">
        <v>0.66800000000000004</v>
      </c>
      <c r="H314" s="413">
        <f>G314*VLOOKUP(E314,GWPs!$B$3:$C$6,2,FALSE)</f>
        <v>0.66800000000000004</v>
      </c>
      <c r="I314">
        <v>6.5000000000000002E-2</v>
      </c>
      <c r="J314" s="413">
        <f>I314*VLOOKUP(E314,GWPs!$B$3:$C$6,2,FALSE)</f>
        <v>6.5000000000000002E-2</v>
      </c>
      <c r="K314">
        <v>0.73299999999999998</v>
      </c>
      <c r="L314" s="413">
        <f>K314*VLOOKUP(E314,GWPs!$B$3:$C$6,2,FALSE)</f>
        <v>0.73299999999999998</v>
      </c>
      <c r="N314">
        <v>3</v>
      </c>
      <c r="O314">
        <v>2</v>
      </c>
      <c r="P314">
        <v>1</v>
      </c>
      <c r="Q314">
        <v>4</v>
      </c>
      <c r="R314">
        <v>1</v>
      </c>
      <c r="W314" s="226" t="s">
        <v>896</v>
      </c>
      <c r="X314" s="70" t="s">
        <v>895</v>
      </c>
      <c r="Y314" s="414">
        <v>0.26500000000000001</v>
      </c>
      <c r="Z314" s="70">
        <v>0.26500000000000001</v>
      </c>
      <c r="AA314" s="70">
        <v>0</v>
      </c>
      <c r="AB314" s="464" t="s">
        <v>4230</v>
      </c>
      <c r="AC314" s="415">
        <f t="shared" si="4"/>
        <v>0</v>
      </c>
      <c r="AD314" s="226" t="e">
        <f ca="1">_xlfn.XLOOKUP(X314,'USEEIO metadata'!$C$2:$C$393,'USEEIO metadata'!$H$2:$H$393)</f>
        <v>#NAME?</v>
      </c>
      <c r="AE314" s="226" t="e">
        <f ca="1">_xlfn.XLOOKUP(X314,'USEEIO metadata'!$C$2:$C$393,'USEEIO metadata'!$F$2:$F$393)</f>
        <v>#NAME?</v>
      </c>
      <c r="AF314" s="226" t="e">
        <f ca="1">_xlfn.XLOOKUP(X314,'USEEIO metadata'!$C$2:$C$393,'USEEIO metadata'!$G$2:$G$393)</f>
        <v>#NAME?</v>
      </c>
    </row>
    <row r="315" spans="1:32">
      <c r="A315" t="str">
        <f>_xlfn.IFNA(IF(VLOOKUP(C315,'2016_Detail_Commodity_v1.0'!C:C,1,FALSE)=C315,"No change"),"Name changed")</f>
        <v>No change</v>
      </c>
      <c r="B315" t="s">
        <v>465</v>
      </c>
      <c r="C315" t="s">
        <v>466</v>
      </c>
      <c r="E315" t="s">
        <v>3654</v>
      </c>
      <c r="F315" t="s">
        <v>12</v>
      </c>
      <c r="G315">
        <v>2E-3</v>
      </c>
      <c r="H315" s="413">
        <f>G315*VLOOKUP(E315,GWPs!$B$3:$C$6,2,FALSE)</f>
        <v>5.6000000000000001E-2</v>
      </c>
      <c r="I315">
        <v>0</v>
      </c>
      <c r="J315" s="413">
        <f>I315*VLOOKUP(E315,GWPs!$B$3:$C$6,2,FALSE)</f>
        <v>0</v>
      </c>
      <c r="K315">
        <v>2E-3</v>
      </c>
      <c r="L315" s="413">
        <f>K315*VLOOKUP(E315,GWPs!$B$3:$C$6,2,FALSE)</f>
        <v>5.6000000000000001E-2</v>
      </c>
      <c r="N315">
        <v>4</v>
      </c>
      <c r="O315">
        <v>2</v>
      </c>
      <c r="P315">
        <v>1</v>
      </c>
      <c r="Q315">
        <v>1</v>
      </c>
      <c r="R315">
        <v>1</v>
      </c>
      <c r="W315" s="226" t="s">
        <v>1394</v>
      </c>
      <c r="X315" s="70" t="s">
        <v>367</v>
      </c>
      <c r="Y315" s="414">
        <v>0.26400000000000001</v>
      </c>
      <c r="Z315" s="70">
        <v>0.26400000000000001</v>
      </c>
      <c r="AA315" s="70">
        <v>0</v>
      </c>
      <c r="AB315" s="464" t="s">
        <v>4230</v>
      </c>
      <c r="AC315" s="415">
        <f t="shared" si="4"/>
        <v>0</v>
      </c>
      <c r="AD315" s="226" t="e">
        <f ca="1">_xlfn.XLOOKUP(X315,'USEEIO metadata'!$C$2:$C$393,'USEEIO metadata'!$H$2:$H$393)</f>
        <v>#NAME?</v>
      </c>
      <c r="AE315" s="226" t="e">
        <f ca="1">_xlfn.XLOOKUP(X315,'USEEIO metadata'!$C$2:$C$393,'USEEIO metadata'!$F$2:$F$393)</f>
        <v>#NAME?</v>
      </c>
      <c r="AF315" s="226" t="e">
        <f ca="1">_xlfn.XLOOKUP(X315,'USEEIO metadata'!$C$2:$C$393,'USEEIO metadata'!$G$2:$G$393)</f>
        <v>#NAME?</v>
      </c>
    </row>
    <row r="316" spans="1:32" ht="28.5">
      <c r="A316" t="str">
        <f>_xlfn.IFNA(IF(VLOOKUP(C316,'2016_Detail_Commodity_v1.0'!C:C,1,FALSE)=C316,"No change"),"Name changed")</f>
        <v>No change</v>
      </c>
      <c r="B316" t="s">
        <v>465</v>
      </c>
      <c r="C316" t="s">
        <v>466</v>
      </c>
      <c r="E316" t="s">
        <v>3655</v>
      </c>
      <c r="F316" t="s">
        <v>12</v>
      </c>
      <c r="G316">
        <v>0</v>
      </c>
      <c r="H316" s="413">
        <f>G316*VLOOKUP(E316,GWPs!$B$3:$C$6,2,FALSE)</f>
        <v>0</v>
      </c>
      <c r="I316">
        <v>0</v>
      </c>
      <c r="J316" s="413">
        <f>I316*VLOOKUP(E316,GWPs!$B$3:$C$6,2,FALSE)</f>
        <v>0</v>
      </c>
      <c r="K316">
        <v>0</v>
      </c>
      <c r="L316" s="413">
        <f>K316*VLOOKUP(E316,GWPs!$B$3:$C$6,2,FALSE)</f>
        <v>0</v>
      </c>
      <c r="N316">
        <v>4</v>
      </c>
      <c r="O316">
        <v>2</v>
      </c>
      <c r="P316">
        <v>1</v>
      </c>
      <c r="Q316">
        <v>3</v>
      </c>
      <c r="R316">
        <v>1</v>
      </c>
      <c r="W316" s="226" t="s">
        <v>982</v>
      </c>
      <c r="X316" s="70" t="s">
        <v>981</v>
      </c>
      <c r="Y316" s="414">
        <v>0.186</v>
      </c>
      <c r="Z316" s="70">
        <v>0.186</v>
      </c>
      <c r="AA316" s="70">
        <v>0</v>
      </c>
      <c r="AB316" s="464" t="s">
        <v>4231</v>
      </c>
      <c r="AC316" s="415">
        <f t="shared" si="4"/>
        <v>0</v>
      </c>
      <c r="AD316" s="226" t="e">
        <f ca="1">_xlfn.XLOOKUP(X316,'USEEIO metadata'!$C$2:$C$393,'USEEIO metadata'!$H$2:$H$393)</f>
        <v>#NAME?</v>
      </c>
      <c r="AE316" s="226" t="e">
        <f ca="1">_xlfn.XLOOKUP(X316,'USEEIO metadata'!$C$2:$C$393,'USEEIO metadata'!$F$2:$F$393)</f>
        <v>#NAME?</v>
      </c>
      <c r="AF316" s="226" t="e">
        <f ca="1">_xlfn.XLOOKUP(X316,'USEEIO metadata'!$C$2:$C$393,'USEEIO metadata'!$G$2:$G$393)</f>
        <v>#NAME?</v>
      </c>
    </row>
    <row r="317" spans="1:32">
      <c r="A317" t="str">
        <f>_xlfn.IFNA(IF(VLOOKUP(C317,'2016_Detail_Commodity_v1.0'!C:C,1,FALSE)=C317,"No change"),"Name changed")</f>
        <v>No change</v>
      </c>
      <c r="B317" t="s">
        <v>465</v>
      </c>
      <c r="C317" t="s">
        <v>466</v>
      </c>
      <c r="E317" t="s">
        <v>15</v>
      </c>
      <c r="F317" t="s">
        <v>16</v>
      </c>
      <c r="G317">
        <v>5.0000000000000001E-3</v>
      </c>
      <c r="H317" s="413">
        <f>G317*VLOOKUP(E317,GWPs!$B$3:$C$6,2,FALSE)</f>
        <v>5.0000000000000001E-3</v>
      </c>
      <c r="I317">
        <v>0</v>
      </c>
      <c r="J317" s="413">
        <f>I317*VLOOKUP(E317,GWPs!$B$3:$C$6,2,FALSE)</f>
        <v>0</v>
      </c>
      <c r="K317">
        <v>5.0000000000000001E-3</v>
      </c>
      <c r="L317" s="413">
        <f>K317*VLOOKUP(E317,GWPs!$B$3:$C$6,2,FALSE)</f>
        <v>5.0000000000000001E-3</v>
      </c>
      <c r="N317">
        <v>3</v>
      </c>
      <c r="O317">
        <v>2</v>
      </c>
      <c r="P317">
        <v>1</v>
      </c>
      <c r="Q317">
        <v>3</v>
      </c>
      <c r="R317">
        <v>1</v>
      </c>
      <c r="W317" s="226" t="s">
        <v>616</v>
      </c>
      <c r="X317" s="70" t="s">
        <v>615</v>
      </c>
      <c r="Y317" s="414">
        <v>0.35800000000000004</v>
      </c>
      <c r="Z317" s="70">
        <v>0.32700000000000001</v>
      </c>
      <c r="AA317" s="70">
        <v>3.1E-2</v>
      </c>
      <c r="AB317" s="464" t="s">
        <v>4230</v>
      </c>
      <c r="AC317" s="415">
        <f t="shared" si="4"/>
        <v>8.6592178770949713E-2</v>
      </c>
      <c r="AD317" s="226" t="e">
        <f ca="1">_xlfn.XLOOKUP(X317,'USEEIO metadata'!$C$2:$C$393,'USEEIO metadata'!$H$2:$H$393)</f>
        <v>#NAME?</v>
      </c>
      <c r="AE317" s="226" t="e">
        <f ca="1">_xlfn.XLOOKUP(X317,'USEEIO metadata'!$C$2:$C$393,'USEEIO metadata'!$F$2:$F$393)</f>
        <v>#NAME?</v>
      </c>
      <c r="AF317" s="226" t="e">
        <f ca="1">_xlfn.XLOOKUP(X317,'USEEIO metadata'!$C$2:$C$393,'USEEIO metadata'!$G$2:$G$393)</f>
        <v>#NAME?</v>
      </c>
    </row>
    <row r="318" spans="1:32">
      <c r="A318" t="str">
        <f>_xlfn.IFNA(IF(VLOOKUP(C318,'2016_Detail_Commodity_v1.0'!C:C,1,FALSE)=C318,"No change"),"Name changed")</f>
        <v>No change</v>
      </c>
      <c r="B318" t="s">
        <v>467</v>
      </c>
      <c r="C318" t="s">
        <v>468</v>
      </c>
      <c r="E318" t="s">
        <v>3653</v>
      </c>
      <c r="F318" t="s">
        <v>12</v>
      </c>
      <c r="G318">
        <v>0.751</v>
      </c>
      <c r="H318" s="413">
        <f>G318*VLOOKUP(E318,GWPs!$B$3:$C$6,2,FALSE)</f>
        <v>0.751</v>
      </c>
      <c r="I318">
        <v>0.05</v>
      </c>
      <c r="J318" s="413">
        <f>I318*VLOOKUP(E318,GWPs!$B$3:$C$6,2,FALSE)</f>
        <v>0.05</v>
      </c>
      <c r="K318">
        <v>0.80100000000000005</v>
      </c>
      <c r="L318" s="413">
        <f>K318*VLOOKUP(E318,GWPs!$B$3:$C$6,2,FALSE)</f>
        <v>0.80100000000000005</v>
      </c>
      <c r="N318">
        <v>3</v>
      </c>
      <c r="O318">
        <v>2</v>
      </c>
      <c r="P318">
        <v>1</v>
      </c>
      <c r="Q318">
        <v>4</v>
      </c>
      <c r="R318">
        <v>1</v>
      </c>
      <c r="W318" s="226" t="s">
        <v>414</v>
      </c>
      <c r="X318" s="70" t="s">
        <v>413</v>
      </c>
      <c r="Y318" s="414">
        <v>0.41899999999999998</v>
      </c>
      <c r="Z318" s="70">
        <v>0.35000000000000003</v>
      </c>
      <c r="AA318" s="70">
        <v>4.2000000000000003E-2</v>
      </c>
      <c r="AB318" s="464" t="s">
        <v>4231</v>
      </c>
      <c r="AC318" s="415">
        <f t="shared" si="4"/>
        <v>0.10023866348448689</v>
      </c>
      <c r="AD318" s="226" t="e">
        <f ca="1">_xlfn.XLOOKUP(X318,'USEEIO metadata'!$C$2:$C$393,'USEEIO metadata'!$H$2:$H$393)</f>
        <v>#NAME?</v>
      </c>
      <c r="AE318" s="226" t="e">
        <f ca="1">_xlfn.XLOOKUP(X318,'USEEIO metadata'!$C$2:$C$393,'USEEIO metadata'!$F$2:$F$393)</f>
        <v>#NAME?</v>
      </c>
      <c r="AF318" s="226" t="e">
        <f ca="1">_xlfn.XLOOKUP(X318,'USEEIO metadata'!$C$2:$C$393,'USEEIO metadata'!$G$2:$G$393)</f>
        <v>#NAME?</v>
      </c>
    </row>
    <row r="319" spans="1:32">
      <c r="A319" t="str">
        <f>_xlfn.IFNA(IF(VLOOKUP(C319,'2016_Detail_Commodity_v1.0'!C:C,1,FALSE)=C319,"No change"),"Name changed")</f>
        <v>No change</v>
      </c>
      <c r="B319" t="s">
        <v>467</v>
      </c>
      <c r="C319" t="s">
        <v>468</v>
      </c>
      <c r="E319" t="s">
        <v>3654</v>
      </c>
      <c r="F319" t="s">
        <v>12</v>
      </c>
      <c r="G319">
        <v>2E-3</v>
      </c>
      <c r="H319" s="413">
        <f>G319*VLOOKUP(E319,GWPs!$B$3:$C$6,2,FALSE)</f>
        <v>5.6000000000000001E-2</v>
      </c>
      <c r="I319">
        <v>1E-3</v>
      </c>
      <c r="J319" s="413">
        <f>I319*VLOOKUP(E319,GWPs!$B$3:$C$6,2,FALSE)</f>
        <v>2.8000000000000001E-2</v>
      </c>
      <c r="K319">
        <v>3.0000000000000001E-3</v>
      </c>
      <c r="L319" s="413">
        <f>K319*VLOOKUP(E319,GWPs!$B$3:$C$6,2,FALSE)</f>
        <v>8.4000000000000005E-2</v>
      </c>
      <c r="N319">
        <v>4</v>
      </c>
      <c r="O319">
        <v>2</v>
      </c>
      <c r="P319">
        <v>1</v>
      </c>
      <c r="Q319">
        <v>1</v>
      </c>
      <c r="R319">
        <v>1</v>
      </c>
      <c r="W319" s="226" t="s">
        <v>426</v>
      </c>
      <c r="X319" s="70" t="s">
        <v>425</v>
      </c>
      <c r="Y319" s="414">
        <v>0.40900000000000003</v>
      </c>
      <c r="Z319" s="70">
        <v>0.36000000000000004</v>
      </c>
      <c r="AA319" s="70">
        <v>0.05</v>
      </c>
      <c r="AB319" s="464" t="s">
        <v>4231</v>
      </c>
      <c r="AC319" s="415">
        <f t="shared" si="4"/>
        <v>0.12224938875305623</v>
      </c>
      <c r="AD319" s="226" t="e">
        <f ca="1">_xlfn.XLOOKUP(X319,'USEEIO metadata'!$C$2:$C$393,'USEEIO metadata'!$H$2:$H$393)</f>
        <v>#NAME?</v>
      </c>
      <c r="AE319" s="226" t="e">
        <f ca="1">_xlfn.XLOOKUP(X319,'USEEIO metadata'!$C$2:$C$393,'USEEIO metadata'!$F$2:$F$393)</f>
        <v>#NAME?</v>
      </c>
      <c r="AF319" s="226" t="e">
        <f ca="1">_xlfn.XLOOKUP(X319,'USEEIO metadata'!$C$2:$C$393,'USEEIO metadata'!$G$2:$G$393)</f>
        <v>#NAME?</v>
      </c>
    </row>
    <row r="320" spans="1:32">
      <c r="A320" t="str">
        <f>_xlfn.IFNA(IF(VLOOKUP(C320,'2016_Detail_Commodity_v1.0'!C:C,1,FALSE)=C320,"No change"),"Name changed")</f>
        <v>No change</v>
      </c>
      <c r="B320" t="s">
        <v>467</v>
      </c>
      <c r="C320" t="s">
        <v>468</v>
      </c>
      <c r="E320" t="s">
        <v>3655</v>
      </c>
      <c r="F320" t="s">
        <v>12</v>
      </c>
      <c r="G320">
        <v>0</v>
      </c>
      <c r="H320" s="413">
        <f>G320*VLOOKUP(E320,GWPs!$B$3:$C$6,2,FALSE)</f>
        <v>0</v>
      </c>
      <c r="I320">
        <v>0</v>
      </c>
      <c r="J320" s="413">
        <f>I320*VLOOKUP(E320,GWPs!$B$3:$C$6,2,FALSE)</f>
        <v>0</v>
      </c>
      <c r="K320">
        <v>0</v>
      </c>
      <c r="L320" s="413">
        <f>K320*VLOOKUP(E320,GWPs!$B$3:$C$6,2,FALSE)</f>
        <v>0</v>
      </c>
      <c r="N320">
        <v>4</v>
      </c>
      <c r="O320">
        <v>2</v>
      </c>
      <c r="P320">
        <v>1</v>
      </c>
      <c r="Q320">
        <v>3</v>
      </c>
      <c r="R320">
        <v>1</v>
      </c>
      <c r="W320" s="226" t="s">
        <v>1619</v>
      </c>
      <c r="X320" s="70" t="s">
        <v>579</v>
      </c>
      <c r="Y320" s="414">
        <v>0.76500000000000012</v>
      </c>
      <c r="Z320" s="70">
        <v>0.7410000000000001</v>
      </c>
      <c r="AA320" s="70">
        <v>2.5000000000000001E-2</v>
      </c>
      <c r="AB320" s="464" t="s">
        <v>4230</v>
      </c>
      <c r="AC320" s="415">
        <f t="shared" si="4"/>
        <v>3.2679738562091498E-2</v>
      </c>
      <c r="AD320" s="226" t="e">
        <f ca="1">_xlfn.XLOOKUP(X320,'USEEIO metadata'!$C$2:$C$393,'USEEIO metadata'!$H$2:$H$393)</f>
        <v>#NAME?</v>
      </c>
      <c r="AE320" s="226" t="e">
        <f ca="1">_xlfn.XLOOKUP(X320,'USEEIO metadata'!$C$2:$C$393,'USEEIO metadata'!$F$2:$F$393)</f>
        <v>#NAME?</v>
      </c>
      <c r="AF320" s="226" t="e">
        <f ca="1">_xlfn.XLOOKUP(X320,'USEEIO metadata'!$C$2:$C$393,'USEEIO metadata'!$G$2:$G$393)</f>
        <v>#NAME?</v>
      </c>
    </row>
    <row r="321" spans="1:32">
      <c r="A321" t="str">
        <f>_xlfn.IFNA(IF(VLOOKUP(C321,'2016_Detail_Commodity_v1.0'!C:C,1,FALSE)=C321,"No change"),"Name changed")</f>
        <v>No change</v>
      </c>
      <c r="B321" t="s">
        <v>467</v>
      </c>
      <c r="C321" t="s">
        <v>468</v>
      </c>
      <c r="E321" t="s">
        <v>15</v>
      </c>
      <c r="F321" t="s">
        <v>16</v>
      </c>
      <c r="G321">
        <v>5.0000000000000001E-3</v>
      </c>
      <c r="H321" s="413">
        <f>G321*VLOOKUP(E321,GWPs!$B$3:$C$6,2,FALSE)</f>
        <v>5.0000000000000001E-3</v>
      </c>
      <c r="I321">
        <v>0</v>
      </c>
      <c r="J321" s="413">
        <f>I321*VLOOKUP(E321,GWPs!$B$3:$C$6,2,FALSE)</f>
        <v>0</v>
      </c>
      <c r="K321">
        <v>5.0000000000000001E-3</v>
      </c>
      <c r="L321" s="413">
        <f>K321*VLOOKUP(E321,GWPs!$B$3:$C$6,2,FALSE)</f>
        <v>5.0000000000000001E-3</v>
      </c>
      <c r="N321">
        <v>3</v>
      </c>
      <c r="O321">
        <v>2</v>
      </c>
      <c r="P321">
        <v>1</v>
      </c>
      <c r="Q321">
        <v>3</v>
      </c>
      <c r="R321">
        <v>1</v>
      </c>
      <c r="W321" s="226" t="s">
        <v>584</v>
      </c>
      <c r="X321" s="70" t="s">
        <v>583</v>
      </c>
      <c r="Y321" s="414">
        <v>0.70900000000000007</v>
      </c>
      <c r="Z321" s="70">
        <v>0.67900000000000005</v>
      </c>
      <c r="AA321" s="70">
        <v>2.9000000000000001E-2</v>
      </c>
      <c r="AB321" s="464" t="s">
        <v>4230</v>
      </c>
      <c r="AC321" s="415">
        <f t="shared" si="4"/>
        <v>4.0902679830747531E-2</v>
      </c>
      <c r="AD321" s="226" t="e">
        <f ca="1">_xlfn.XLOOKUP(X321,'USEEIO metadata'!$C$2:$C$393,'USEEIO metadata'!$H$2:$H$393)</f>
        <v>#NAME?</v>
      </c>
      <c r="AE321" s="226" t="e">
        <f ca="1">_xlfn.XLOOKUP(X321,'USEEIO metadata'!$C$2:$C$393,'USEEIO metadata'!$F$2:$F$393)</f>
        <v>#NAME?</v>
      </c>
      <c r="AF321" s="226" t="e">
        <f ca="1">_xlfn.XLOOKUP(X321,'USEEIO metadata'!$C$2:$C$393,'USEEIO metadata'!$G$2:$G$393)</f>
        <v>#NAME?</v>
      </c>
    </row>
    <row r="322" spans="1:32">
      <c r="A322" t="str">
        <f>_xlfn.IFNA(IF(VLOOKUP(C322,'2016_Detail_Commodity_v1.0'!C:C,1,FALSE)=C322,"No change"),"Name changed")</f>
        <v>No change</v>
      </c>
      <c r="B322" t="s">
        <v>469</v>
      </c>
      <c r="C322" t="s">
        <v>470</v>
      </c>
      <c r="E322" t="s">
        <v>3653</v>
      </c>
      <c r="F322" t="s">
        <v>12</v>
      </c>
      <c r="G322">
        <v>0.47899999999999998</v>
      </c>
      <c r="H322" s="413">
        <f>G322*VLOOKUP(E322,GWPs!$B$3:$C$6,2,FALSE)</f>
        <v>0.47899999999999998</v>
      </c>
      <c r="I322">
        <v>3.1E-2</v>
      </c>
      <c r="J322" s="413">
        <f>I322*VLOOKUP(E322,GWPs!$B$3:$C$6,2,FALSE)</f>
        <v>3.1E-2</v>
      </c>
      <c r="K322">
        <v>0.51100000000000001</v>
      </c>
      <c r="L322" s="413">
        <f>K322*VLOOKUP(E322,GWPs!$B$3:$C$6,2,FALSE)</f>
        <v>0.51100000000000001</v>
      </c>
      <c r="N322">
        <v>3</v>
      </c>
      <c r="O322">
        <v>2</v>
      </c>
      <c r="P322">
        <v>1</v>
      </c>
      <c r="Q322">
        <v>4</v>
      </c>
      <c r="R322">
        <v>1</v>
      </c>
      <c r="W322" s="226" t="s">
        <v>576</v>
      </c>
      <c r="X322" s="70" t="s">
        <v>575</v>
      </c>
      <c r="Y322" s="414">
        <v>0.68799999999999994</v>
      </c>
      <c r="Z322" s="70">
        <v>0.62100000000000011</v>
      </c>
      <c r="AA322" s="70">
        <v>0.04</v>
      </c>
      <c r="AB322" s="464" t="s">
        <v>4230</v>
      </c>
      <c r="AC322" s="415">
        <f t="shared" si="4"/>
        <v>5.8139534883720936E-2</v>
      </c>
      <c r="AD322" s="226" t="e">
        <f ca="1">_xlfn.XLOOKUP(X322,'USEEIO metadata'!$C$2:$C$393,'USEEIO metadata'!$H$2:$H$393)</f>
        <v>#NAME?</v>
      </c>
      <c r="AE322" s="226" t="e">
        <f ca="1">_xlfn.XLOOKUP(X322,'USEEIO metadata'!$C$2:$C$393,'USEEIO metadata'!$F$2:$F$393)</f>
        <v>#NAME?</v>
      </c>
      <c r="AF322" s="226" t="e">
        <f ca="1">_xlfn.XLOOKUP(X322,'USEEIO metadata'!$C$2:$C$393,'USEEIO metadata'!$G$2:$G$393)</f>
        <v>#NAME?</v>
      </c>
    </row>
    <row r="323" spans="1:32" ht="28.5">
      <c r="A323" t="str">
        <f>_xlfn.IFNA(IF(VLOOKUP(C323,'2016_Detail_Commodity_v1.0'!C:C,1,FALSE)=C323,"No change"),"Name changed")</f>
        <v>No change</v>
      </c>
      <c r="B323" t="s">
        <v>469</v>
      </c>
      <c r="C323" t="s">
        <v>470</v>
      </c>
      <c r="E323" t="s">
        <v>3654</v>
      </c>
      <c r="F323" t="s">
        <v>12</v>
      </c>
      <c r="G323">
        <v>2E-3</v>
      </c>
      <c r="H323" s="413">
        <f>G323*VLOOKUP(E323,GWPs!$B$3:$C$6,2,FALSE)</f>
        <v>5.6000000000000001E-2</v>
      </c>
      <c r="I323">
        <v>0</v>
      </c>
      <c r="J323" s="413">
        <f>I323*VLOOKUP(E323,GWPs!$B$3:$C$6,2,FALSE)</f>
        <v>0</v>
      </c>
      <c r="K323">
        <v>2E-3</v>
      </c>
      <c r="L323" s="413">
        <f>K323*VLOOKUP(E323,GWPs!$B$3:$C$6,2,FALSE)</f>
        <v>5.6000000000000001E-2</v>
      </c>
      <c r="N323">
        <v>4</v>
      </c>
      <c r="O323">
        <v>2</v>
      </c>
      <c r="P323">
        <v>1</v>
      </c>
      <c r="Q323">
        <v>1</v>
      </c>
      <c r="R323">
        <v>1</v>
      </c>
      <c r="W323" s="226" t="s">
        <v>940</v>
      </c>
      <c r="X323" s="70" t="s">
        <v>939</v>
      </c>
      <c r="Y323" s="414">
        <v>6.3E-2</v>
      </c>
      <c r="Z323" s="70">
        <v>6.3E-2</v>
      </c>
      <c r="AA323" s="70">
        <v>0</v>
      </c>
      <c r="AB323" s="464" t="s">
        <v>4230</v>
      </c>
      <c r="AC323" s="415">
        <f t="shared" ref="AC323:AC386" si="5">IFERROR(AA323/Y323,"")</f>
        <v>0</v>
      </c>
      <c r="AD323" s="226" t="e">
        <f ca="1">_xlfn.XLOOKUP(X323,'USEEIO metadata'!$C$2:$C$393,'USEEIO metadata'!$H$2:$H$393)</f>
        <v>#NAME?</v>
      </c>
      <c r="AE323" s="226" t="e">
        <f ca="1">_xlfn.XLOOKUP(X323,'USEEIO metadata'!$C$2:$C$393,'USEEIO metadata'!$F$2:$F$393)</f>
        <v>#NAME?</v>
      </c>
      <c r="AF323" s="226" t="e">
        <f ca="1">_xlfn.XLOOKUP(X323,'USEEIO metadata'!$C$2:$C$393,'USEEIO metadata'!$G$2:$G$393)</f>
        <v>#NAME?</v>
      </c>
    </row>
    <row r="324" spans="1:32">
      <c r="A324" t="str">
        <f>_xlfn.IFNA(IF(VLOOKUP(C324,'2016_Detail_Commodity_v1.0'!C:C,1,FALSE)=C324,"No change"),"Name changed")</f>
        <v>No change</v>
      </c>
      <c r="B324" t="s">
        <v>469</v>
      </c>
      <c r="C324" t="s">
        <v>470</v>
      </c>
      <c r="E324" t="s">
        <v>3655</v>
      </c>
      <c r="F324" t="s">
        <v>12</v>
      </c>
      <c r="G324">
        <v>0</v>
      </c>
      <c r="H324" s="413">
        <f>G324*VLOOKUP(E324,GWPs!$B$3:$C$6,2,FALSE)</f>
        <v>0</v>
      </c>
      <c r="I324">
        <v>0</v>
      </c>
      <c r="J324" s="413">
        <f>I324*VLOOKUP(E324,GWPs!$B$3:$C$6,2,FALSE)</f>
        <v>0</v>
      </c>
      <c r="K324">
        <v>0</v>
      </c>
      <c r="L324" s="413">
        <f>K324*VLOOKUP(E324,GWPs!$B$3:$C$6,2,FALSE)</f>
        <v>0</v>
      </c>
      <c r="N324">
        <v>3</v>
      </c>
      <c r="O324">
        <v>2</v>
      </c>
      <c r="P324">
        <v>1</v>
      </c>
      <c r="Q324">
        <v>3</v>
      </c>
      <c r="R324">
        <v>1</v>
      </c>
      <c r="W324" s="226" t="s">
        <v>640</v>
      </c>
      <c r="X324" s="70" t="s">
        <v>639</v>
      </c>
      <c r="Y324" s="414">
        <v>0.23400000000000001</v>
      </c>
      <c r="Z324" s="70">
        <v>0.2</v>
      </c>
      <c r="AA324" s="70">
        <v>3.4000000000000002E-2</v>
      </c>
      <c r="AB324" s="464" t="s">
        <v>4230</v>
      </c>
      <c r="AC324" s="415">
        <f t="shared" si="5"/>
        <v>0.14529914529914531</v>
      </c>
      <c r="AD324" s="226" t="e">
        <f ca="1">_xlfn.XLOOKUP(X324,'USEEIO metadata'!$C$2:$C$393,'USEEIO metadata'!$H$2:$H$393)</f>
        <v>#NAME?</v>
      </c>
      <c r="AE324" s="226" t="e">
        <f ca="1">_xlfn.XLOOKUP(X324,'USEEIO metadata'!$C$2:$C$393,'USEEIO metadata'!$F$2:$F$393)</f>
        <v>#NAME?</v>
      </c>
      <c r="AF324" s="226" t="e">
        <f ca="1">_xlfn.XLOOKUP(X324,'USEEIO metadata'!$C$2:$C$393,'USEEIO metadata'!$G$2:$G$393)</f>
        <v>#NAME?</v>
      </c>
    </row>
    <row r="325" spans="1:32">
      <c r="A325" t="str">
        <f>_xlfn.IFNA(IF(VLOOKUP(C325,'2016_Detail_Commodity_v1.0'!C:C,1,FALSE)=C325,"No change"),"Name changed")</f>
        <v>No change</v>
      </c>
      <c r="B325" t="s">
        <v>469</v>
      </c>
      <c r="C325" t="s">
        <v>470</v>
      </c>
      <c r="E325" t="s">
        <v>15</v>
      </c>
      <c r="F325" t="s">
        <v>16</v>
      </c>
      <c r="G325">
        <v>6.0000000000000001E-3</v>
      </c>
      <c r="H325" s="413">
        <f>G325*VLOOKUP(E325,GWPs!$B$3:$C$6,2,FALSE)</f>
        <v>6.0000000000000001E-3</v>
      </c>
      <c r="I325">
        <v>0</v>
      </c>
      <c r="J325" s="413">
        <f>I325*VLOOKUP(E325,GWPs!$B$3:$C$6,2,FALSE)</f>
        <v>0</v>
      </c>
      <c r="K325">
        <v>6.0000000000000001E-3</v>
      </c>
      <c r="L325" s="413">
        <f>K325*VLOOKUP(E325,GWPs!$B$3:$C$6,2,FALSE)</f>
        <v>6.0000000000000001E-3</v>
      </c>
      <c r="N325">
        <v>3</v>
      </c>
      <c r="O325">
        <v>2</v>
      </c>
      <c r="P325">
        <v>1</v>
      </c>
      <c r="Q325">
        <v>4</v>
      </c>
      <c r="R325">
        <v>1</v>
      </c>
      <c r="W325" s="226" t="s">
        <v>702</v>
      </c>
      <c r="X325" s="70" t="s">
        <v>701</v>
      </c>
      <c r="Y325" s="414">
        <v>0.27899999999999997</v>
      </c>
      <c r="Z325" s="70">
        <v>0.21700000000000003</v>
      </c>
      <c r="AA325" s="70">
        <v>3.4000000000000002E-2</v>
      </c>
      <c r="AB325" s="464" t="s">
        <v>4230</v>
      </c>
      <c r="AC325" s="415">
        <f t="shared" si="5"/>
        <v>0.12186379928315415</v>
      </c>
      <c r="AD325" s="226" t="e">
        <f ca="1">_xlfn.XLOOKUP(X325,'USEEIO metadata'!$C$2:$C$393,'USEEIO metadata'!$H$2:$H$393)</f>
        <v>#NAME?</v>
      </c>
      <c r="AE325" s="226" t="e">
        <f ca="1">_xlfn.XLOOKUP(X325,'USEEIO metadata'!$C$2:$C$393,'USEEIO metadata'!$F$2:$F$393)</f>
        <v>#NAME?</v>
      </c>
      <c r="AF325" s="226" t="e">
        <f ca="1">_xlfn.XLOOKUP(X325,'USEEIO metadata'!$C$2:$C$393,'USEEIO metadata'!$G$2:$G$393)</f>
        <v>#NAME?</v>
      </c>
    </row>
    <row r="326" spans="1:32">
      <c r="A326" t="str">
        <f>_xlfn.IFNA(IF(VLOOKUP(C326,'2016_Detail_Commodity_v1.0'!C:C,1,FALSE)=C326,"No change"),"Name changed")</f>
        <v>No change</v>
      </c>
      <c r="B326" t="s">
        <v>471</v>
      </c>
      <c r="C326" t="s">
        <v>472</v>
      </c>
      <c r="E326" t="s">
        <v>3653</v>
      </c>
      <c r="F326" t="s">
        <v>12</v>
      </c>
      <c r="G326">
        <v>0.502</v>
      </c>
      <c r="H326" s="413">
        <f>G326*VLOOKUP(E326,GWPs!$B$3:$C$6,2,FALSE)</f>
        <v>0.502</v>
      </c>
      <c r="I326">
        <v>5.1999999999999998E-2</v>
      </c>
      <c r="J326" s="413">
        <f>I326*VLOOKUP(E326,GWPs!$B$3:$C$6,2,FALSE)</f>
        <v>5.1999999999999998E-2</v>
      </c>
      <c r="K326">
        <v>0.55400000000000005</v>
      </c>
      <c r="L326" s="413">
        <f>K326*VLOOKUP(E326,GWPs!$B$3:$C$6,2,FALSE)</f>
        <v>0.55400000000000005</v>
      </c>
      <c r="N326">
        <v>3</v>
      </c>
      <c r="O326">
        <v>2</v>
      </c>
      <c r="P326">
        <v>1</v>
      </c>
      <c r="Q326">
        <v>4</v>
      </c>
      <c r="R326">
        <v>1</v>
      </c>
      <c r="W326" s="226" t="s">
        <v>820</v>
      </c>
      <c r="X326" s="70" t="s">
        <v>819</v>
      </c>
      <c r="Y326" s="414">
        <v>0.41699999999999998</v>
      </c>
      <c r="Z326" s="70">
        <v>0.30300000000000005</v>
      </c>
      <c r="AA326" s="70">
        <v>0.11499999999999999</v>
      </c>
      <c r="AB326" s="464" t="s">
        <v>4230</v>
      </c>
      <c r="AC326" s="415">
        <f t="shared" si="5"/>
        <v>0.27577937649880097</v>
      </c>
      <c r="AD326" s="226" t="e">
        <f ca="1">_xlfn.XLOOKUP(X326,'USEEIO metadata'!$C$2:$C$393,'USEEIO metadata'!$H$2:$H$393)</f>
        <v>#NAME?</v>
      </c>
      <c r="AE326" s="226" t="e">
        <f ca="1">_xlfn.XLOOKUP(X326,'USEEIO metadata'!$C$2:$C$393,'USEEIO metadata'!$F$2:$F$393)</f>
        <v>#NAME?</v>
      </c>
      <c r="AF326" s="226" t="e">
        <f ca="1">_xlfn.XLOOKUP(X326,'USEEIO metadata'!$C$2:$C$393,'USEEIO metadata'!$G$2:$G$393)</f>
        <v>#NAME?</v>
      </c>
    </row>
    <row r="327" spans="1:32">
      <c r="A327" t="str">
        <f>_xlfn.IFNA(IF(VLOOKUP(C327,'2016_Detail_Commodity_v1.0'!C:C,1,FALSE)=C327,"No change"),"Name changed")</f>
        <v>No change</v>
      </c>
      <c r="B327" t="s">
        <v>471</v>
      </c>
      <c r="C327" t="s">
        <v>472</v>
      </c>
      <c r="E327" t="s">
        <v>3654</v>
      </c>
      <c r="F327" t="s">
        <v>12</v>
      </c>
      <c r="G327">
        <v>1E-3</v>
      </c>
      <c r="H327" s="413">
        <f>G327*VLOOKUP(E327,GWPs!$B$3:$C$6,2,FALSE)</f>
        <v>2.8000000000000001E-2</v>
      </c>
      <c r="I327">
        <v>0</v>
      </c>
      <c r="J327" s="413">
        <f>I327*VLOOKUP(E327,GWPs!$B$3:$C$6,2,FALSE)</f>
        <v>0</v>
      </c>
      <c r="K327">
        <v>2E-3</v>
      </c>
      <c r="L327" s="413">
        <f>K327*VLOOKUP(E327,GWPs!$B$3:$C$6,2,FALSE)</f>
        <v>5.6000000000000001E-2</v>
      </c>
      <c r="N327">
        <v>4</v>
      </c>
      <c r="O327">
        <v>2</v>
      </c>
      <c r="P327">
        <v>1</v>
      </c>
      <c r="Q327">
        <v>1</v>
      </c>
      <c r="R327">
        <v>1</v>
      </c>
      <c r="W327" s="226" t="s">
        <v>801</v>
      </c>
      <c r="X327" s="70" t="s">
        <v>800</v>
      </c>
      <c r="Y327" s="414">
        <v>0.246</v>
      </c>
      <c r="Z327" s="70">
        <v>0.23400000000000001</v>
      </c>
      <c r="AA327" s="70">
        <v>1.0999999999999999E-2</v>
      </c>
      <c r="AB327" s="464" t="s">
        <v>4230</v>
      </c>
      <c r="AC327" s="415">
        <f t="shared" si="5"/>
        <v>4.4715447154471545E-2</v>
      </c>
      <c r="AD327" s="226" t="e">
        <f ca="1">_xlfn.XLOOKUP(X327,'USEEIO metadata'!$C$2:$C$393,'USEEIO metadata'!$H$2:$H$393)</f>
        <v>#NAME?</v>
      </c>
      <c r="AE327" s="226" t="e">
        <f ca="1">_xlfn.XLOOKUP(X327,'USEEIO metadata'!$C$2:$C$393,'USEEIO metadata'!$F$2:$F$393)</f>
        <v>#NAME?</v>
      </c>
      <c r="AF327" s="226" t="e">
        <f ca="1">_xlfn.XLOOKUP(X327,'USEEIO metadata'!$C$2:$C$393,'USEEIO metadata'!$G$2:$G$393)</f>
        <v>#NAME?</v>
      </c>
    </row>
    <row r="328" spans="1:32">
      <c r="A328" t="str">
        <f>_xlfn.IFNA(IF(VLOOKUP(C328,'2016_Detail_Commodity_v1.0'!C:C,1,FALSE)=C328,"No change"),"Name changed")</f>
        <v>No change</v>
      </c>
      <c r="B328" t="s">
        <v>471</v>
      </c>
      <c r="C328" t="s">
        <v>472</v>
      </c>
      <c r="E328" t="s">
        <v>3655</v>
      </c>
      <c r="F328" t="s">
        <v>12</v>
      </c>
      <c r="G328">
        <v>0</v>
      </c>
      <c r="H328" s="413">
        <f>G328*VLOOKUP(E328,GWPs!$B$3:$C$6,2,FALSE)</f>
        <v>0</v>
      </c>
      <c r="I328">
        <v>0</v>
      </c>
      <c r="J328" s="413">
        <f>I328*VLOOKUP(E328,GWPs!$B$3:$C$6,2,FALSE)</f>
        <v>0</v>
      </c>
      <c r="K328">
        <v>0</v>
      </c>
      <c r="L328" s="413">
        <f>K328*VLOOKUP(E328,GWPs!$B$3:$C$6,2,FALSE)</f>
        <v>0</v>
      </c>
      <c r="N328">
        <v>3</v>
      </c>
      <c r="O328">
        <v>2</v>
      </c>
      <c r="P328">
        <v>1</v>
      </c>
      <c r="Q328">
        <v>3</v>
      </c>
      <c r="R328">
        <v>1</v>
      </c>
      <c r="W328" s="226" t="s">
        <v>718</v>
      </c>
      <c r="X328" s="70" t="s">
        <v>717</v>
      </c>
      <c r="Y328" s="414">
        <v>0.11</v>
      </c>
      <c r="Z328" s="70">
        <v>8.1000000000000003E-2</v>
      </c>
      <c r="AA328" s="70">
        <v>2.9000000000000001E-2</v>
      </c>
      <c r="AB328" s="464" t="s">
        <v>4230</v>
      </c>
      <c r="AC328" s="415">
        <f t="shared" si="5"/>
        <v>0.26363636363636367</v>
      </c>
      <c r="AD328" s="226" t="e">
        <f ca="1">_xlfn.XLOOKUP(X328,'USEEIO metadata'!$C$2:$C$393,'USEEIO metadata'!$H$2:$H$393)</f>
        <v>#NAME?</v>
      </c>
      <c r="AE328" s="226" t="e">
        <f ca="1">_xlfn.XLOOKUP(X328,'USEEIO metadata'!$C$2:$C$393,'USEEIO metadata'!$F$2:$F$393)</f>
        <v>#NAME?</v>
      </c>
      <c r="AF328" s="226" t="e">
        <f ca="1">_xlfn.XLOOKUP(X328,'USEEIO metadata'!$C$2:$C$393,'USEEIO metadata'!$G$2:$G$393)</f>
        <v>#NAME?</v>
      </c>
    </row>
    <row r="329" spans="1:32">
      <c r="A329" t="str">
        <f>_xlfn.IFNA(IF(VLOOKUP(C329,'2016_Detail_Commodity_v1.0'!C:C,1,FALSE)=C329,"No change"),"Name changed")</f>
        <v>No change</v>
      </c>
      <c r="B329" t="s">
        <v>471</v>
      </c>
      <c r="C329" t="s">
        <v>472</v>
      </c>
      <c r="E329" t="s">
        <v>15</v>
      </c>
      <c r="F329" t="s">
        <v>16</v>
      </c>
      <c r="G329">
        <v>6.0000000000000001E-3</v>
      </c>
      <c r="H329" s="413">
        <f>G329*VLOOKUP(E329,GWPs!$B$3:$C$6,2,FALSE)</f>
        <v>6.0000000000000001E-3</v>
      </c>
      <c r="I329">
        <v>0</v>
      </c>
      <c r="J329" s="413">
        <f>I329*VLOOKUP(E329,GWPs!$B$3:$C$6,2,FALSE)</f>
        <v>0</v>
      </c>
      <c r="K329">
        <v>6.0000000000000001E-3</v>
      </c>
      <c r="L329" s="413">
        <f>K329*VLOOKUP(E329,GWPs!$B$3:$C$6,2,FALSE)</f>
        <v>6.0000000000000001E-3</v>
      </c>
      <c r="N329">
        <v>3</v>
      </c>
      <c r="O329">
        <v>2</v>
      </c>
      <c r="P329">
        <v>1</v>
      </c>
      <c r="Q329">
        <v>3</v>
      </c>
      <c r="R329">
        <v>1</v>
      </c>
      <c r="W329" s="226" t="s">
        <v>844</v>
      </c>
      <c r="X329" s="70" t="s">
        <v>843</v>
      </c>
      <c r="Y329" s="414">
        <v>0.36299999999999999</v>
      </c>
      <c r="Z329" s="70">
        <v>0.253</v>
      </c>
      <c r="AA329" s="70">
        <v>0.11</v>
      </c>
      <c r="AB329" s="464" t="s">
        <v>4230</v>
      </c>
      <c r="AC329" s="415">
        <f t="shared" si="5"/>
        <v>0.30303030303030304</v>
      </c>
      <c r="AD329" s="226" t="e">
        <f ca="1">_xlfn.XLOOKUP(X329,'USEEIO metadata'!$C$2:$C$393,'USEEIO metadata'!$H$2:$H$393)</f>
        <v>#NAME?</v>
      </c>
      <c r="AE329" s="226" t="e">
        <f ca="1">_xlfn.XLOOKUP(X329,'USEEIO metadata'!$C$2:$C$393,'USEEIO metadata'!$F$2:$F$393)</f>
        <v>#NAME?</v>
      </c>
      <c r="AF329" s="226" t="e">
        <f ca="1">_xlfn.XLOOKUP(X329,'USEEIO metadata'!$C$2:$C$393,'USEEIO metadata'!$G$2:$G$393)</f>
        <v>#NAME?</v>
      </c>
    </row>
    <row r="330" spans="1:32">
      <c r="A330" t="str">
        <f>_xlfn.IFNA(IF(VLOOKUP(C330,'2016_Detail_Commodity_v1.0'!C:C,1,FALSE)=C330,"No change"),"Name changed")</f>
        <v>No change</v>
      </c>
      <c r="B330" t="s">
        <v>473</v>
      </c>
      <c r="C330" t="s">
        <v>474</v>
      </c>
      <c r="E330" t="s">
        <v>3653</v>
      </c>
      <c r="F330" t="s">
        <v>12</v>
      </c>
      <c r="G330">
        <v>0.38600000000000001</v>
      </c>
      <c r="H330" s="413">
        <f>G330*VLOOKUP(E330,GWPs!$B$3:$C$6,2,FALSE)</f>
        <v>0.38600000000000001</v>
      </c>
      <c r="I330">
        <v>4.2000000000000003E-2</v>
      </c>
      <c r="J330" s="413">
        <f>I330*VLOOKUP(E330,GWPs!$B$3:$C$6,2,FALSE)</f>
        <v>4.2000000000000003E-2</v>
      </c>
      <c r="K330">
        <v>0.42899999999999999</v>
      </c>
      <c r="L330" s="413">
        <f>K330*VLOOKUP(E330,GWPs!$B$3:$C$6,2,FALSE)</f>
        <v>0.42899999999999999</v>
      </c>
      <c r="N330">
        <v>3</v>
      </c>
      <c r="O330">
        <v>2</v>
      </c>
      <c r="P330">
        <v>1</v>
      </c>
      <c r="Q330">
        <v>4</v>
      </c>
      <c r="R330">
        <v>1</v>
      </c>
      <c r="W330" s="226" t="s">
        <v>1396</v>
      </c>
      <c r="X330" s="70" t="s">
        <v>375</v>
      </c>
      <c r="Y330" s="414">
        <v>0.192</v>
      </c>
      <c r="Z330" s="70">
        <v>0.192</v>
      </c>
      <c r="AA330" s="70">
        <v>0</v>
      </c>
      <c r="AB330" s="464" t="s">
        <v>4230</v>
      </c>
      <c r="AC330" s="415">
        <f t="shared" si="5"/>
        <v>0</v>
      </c>
      <c r="AD330" s="226" t="e">
        <f ca="1">_xlfn.XLOOKUP(X330,'USEEIO metadata'!$C$2:$C$393,'USEEIO metadata'!$H$2:$H$393)</f>
        <v>#NAME?</v>
      </c>
      <c r="AE330" s="226" t="e">
        <f ca="1">_xlfn.XLOOKUP(X330,'USEEIO metadata'!$C$2:$C$393,'USEEIO metadata'!$F$2:$F$393)</f>
        <v>#NAME?</v>
      </c>
      <c r="AF330" s="226" t="e">
        <f ca="1">_xlfn.XLOOKUP(X330,'USEEIO metadata'!$C$2:$C$393,'USEEIO metadata'!$G$2:$G$393)</f>
        <v>#NAME?</v>
      </c>
    </row>
    <row r="331" spans="1:32">
      <c r="A331" t="str">
        <f>_xlfn.IFNA(IF(VLOOKUP(C331,'2016_Detail_Commodity_v1.0'!C:C,1,FALSE)=C331,"No change"),"Name changed")</f>
        <v>No change</v>
      </c>
      <c r="B331" t="s">
        <v>473</v>
      </c>
      <c r="C331" t="s">
        <v>474</v>
      </c>
      <c r="E331" t="s">
        <v>3654</v>
      </c>
      <c r="F331" t="s">
        <v>12</v>
      </c>
      <c r="G331">
        <v>1E-3</v>
      </c>
      <c r="H331" s="413">
        <f>G331*VLOOKUP(E331,GWPs!$B$3:$C$6,2,FALSE)</f>
        <v>2.8000000000000001E-2</v>
      </c>
      <c r="I331">
        <v>0</v>
      </c>
      <c r="J331" s="413">
        <f>I331*VLOOKUP(E331,GWPs!$B$3:$C$6,2,FALSE)</f>
        <v>0</v>
      </c>
      <c r="K331">
        <v>2E-3</v>
      </c>
      <c r="L331" s="413">
        <f>K331*VLOOKUP(E331,GWPs!$B$3:$C$6,2,FALSE)</f>
        <v>5.6000000000000001E-2</v>
      </c>
      <c r="N331">
        <v>4</v>
      </c>
      <c r="O331">
        <v>2</v>
      </c>
      <c r="P331">
        <v>1</v>
      </c>
      <c r="Q331">
        <v>1</v>
      </c>
      <c r="R331">
        <v>1</v>
      </c>
      <c r="W331" s="226" t="s">
        <v>732</v>
      </c>
      <c r="X331" s="70" t="s">
        <v>731</v>
      </c>
      <c r="Y331" s="414">
        <v>0.36799999999999999</v>
      </c>
      <c r="Z331" s="70">
        <v>0.20899999999999999</v>
      </c>
      <c r="AA331" s="70">
        <v>0.159</v>
      </c>
      <c r="AB331" s="464" t="s">
        <v>4230</v>
      </c>
      <c r="AC331" s="415">
        <f t="shared" si="5"/>
        <v>0.43206521739130438</v>
      </c>
      <c r="AD331" s="226" t="e">
        <f ca="1">_xlfn.XLOOKUP(X331,'USEEIO metadata'!$C$2:$C$393,'USEEIO metadata'!$H$2:$H$393)</f>
        <v>#NAME?</v>
      </c>
      <c r="AE331" s="226" t="e">
        <f ca="1">_xlfn.XLOOKUP(X331,'USEEIO metadata'!$C$2:$C$393,'USEEIO metadata'!$F$2:$F$393)</f>
        <v>#NAME?</v>
      </c>
      <c r="AF331" s="226" t="e">
        <f ca="1">_xlfn.XLOOKUP(X331,'USEEIO metadata'!$C$2:$C$393,'USEEIO metadata'!$G$2:$G$393)</f>
        <v>#NAME?</v>
      </c>
    </row>
    <row r="332" spans="1:32">
      <c r="A332" t="str">
        <f>_xlfn.IFNA(IF(VLOOKUP(C332,'2016_Detail_Commodity_v1.0'!C:C,1,FALSE)=C332,"No change"),"Name changed")</f>
        <v>No change</v>
      </c>
      <c r="B332" t="s">
        <v>473</v>
      </c>
      <c r="C332" t="s">
        <v>474</v>
      </c>
      <c r="E332" t="s">
        <v>3655</v>
      </c>
      <c r="F332" t="s">
        <v>12</v>
      </c>
      <c r="G332">
        <v>0</v>
      </c>
      <c r="H332" s="413">
        <f>G332*VLOOKUP(E332,GWPs!$B$3:$C$6,2,FALSE)</f>
        <v>0</v>
      </c>
      <c r="I332">
        <v>0</v>
      </c>
      <c r="J332" s="413">
        <f>I332*VLOOKUP(E332,GWPs!$B$3:$C$6,2,FALSE)</f>
        <v>0</v>
      </c>
      <c r="K332">
        <v>0</v>
      </c>
      <c r="L332" s="413">
        <f>K332*VLOOKUP(E332,GWPs!$B$3:$C$6,2,FALSE)</f>
        <v>0</v>
      </c>
      <c r="N332">
        <v>3</v>
      </c>
      <c r="O332">
        <v>2</v>
      </c>
      <c r="P332">
        <v>1</v>
      </c>
      <c r="Q332">
        <v>3</v>
      </c>
      <c r="R332">
        <v>1</v>
      </c>
      <c r="W332" s="226" t="s">
        <v>420</v>
      </c>
      <c r="X332" s="70" t="s">
        <v>419</v>
      </c>
      <c r="Y332" s="414">
        <v>0.41399999999999998</v>
      </c>
      <c r="Z332" s="70">
        <v>0.34799999999999998</v>
      </c>
      <c r="AA332" s="70">
        <v>6.6000000000000003E-2</v>
      </c>
      <c r="AB332" s="464" t="s">
        <v>4231</v>
      </c>
      <c r="AC332" s="415">
        <f t="shared" si="5"/>
        <v>0.15942028985507248</v>
      </c>
      <c r="AD332" s="226" t="e">
        <f ca="1">_xlfn.XLOOKUP(X332,'USEEIO metadata'!$C$2:$C$393,'USEEIO metadata'!$H$2:$H$393)</f>
        <v>#NAME?</v>
      </c>
      <c r="AE332" s="226" t="e">
        <f ca="1">_xlfn.XLOOKUP(X332,'USEEIO metadata'!$C$2:$C$393,'USEEIO metadata'!$F$2:$F$393)</f>
        <v>#NAME?</v>
      </c>
      <c r="AF332" s="226" t="e">
        <f ca="1">_xlfn.XLOOKUP(X332,'USEEIO metadata'!$C$2:$C$393,'USEEIO metadata'!$G$2:$G$393)</f>
        <v>#NAME?</v>
      </c>
    </row>
    <row r="333" spans="1:32">
      <c r="A333" t="str">
        <f>_xlfn.IFNA(IF(VLOOKUP(C333,'2016_Detail_Commodity_v1.0'!C:C,1,FALSE)=C333,"No change"),"Name changed")</f>
        <v>No change</v>
      </c>
      <c r="B333" t="s">
        <v>473</v>
      </c>
      <c r="C333" t="s">
        <v>474</v>
      </c>
      <c r="E333" t="s">
        <v>15</v>
      </c>
      <c r="F333" t="s">
        <v>16</v>
      </c>
      <c r="G333">
        <v>5.0000000000000001E-3</v>
      </c>
      <c r="H333" s="413">
        <f>G333*VLOOKUP(E333,GWPs!$B$3:$C$6,2,FALSE)</f>
        <v>5.0000000000000001E-3</v>
      </c>
      <c r="I333">
        <v>0</v>
      </c>
      <c r="J333" s="413">
        <f>I333*VLOOKUP(E333,GWPs!$B$3:$C$6,2,FALSE)</f>
        <v>0</v>
      </c>
      <c r="K333">
        <v>5.0000000000000001E-3</v>
      </c>
      <c r="L333" s="413">
        <f>K333*VLOOKUP(E333,GWPs!$B$3:$C$6,2,FALSE)</f>
        <v>5.0000000000000001E-3</v>
      </c>
      <c r="N333">
        <v>3</v>
      </c>
      <c r="O333">
        <v>2</v>
      </c>
      <c r="P333">
        <v>1</v>
      </c>
      <c r="Q333">
        <v>4</v>
      </c>
      <c r="R333">
        <v>1</v>
      </c>
      <c r="W333" s="226" t="s">
        <v>522</v>
      </c>
      <c r="X333" s="70" t="s">
        <v>521</v>
      </c>
      <c r="Y333" s="414">
        <v>0.49100000000000005</v>
      </c>
      <c r="Z333" s="70">
        <v>0.43400000000000005</v>
      </c>
      <c r="AA333" s="70">
        <v>5.7000000000000002E-2</v>
      </c>
      <c r="AB333" s="464" t="s">
        <v>4231</v>
      </c>
      <c r="AC333" s="415">
        <f t="shared" si="5"/>
        <v>0.11608961303462322</v>
      </c>
      <c r="AD333" s="226" t="e">
        <f ca="1">_xlfn.XLOOKUP(X333,'USEEIO metadata'!$C$2:$C$393,'USEEIO metadata'!$H$2:$H$393)</f>
        <v>#NAME?</v>
      </c>
      <c r="AE333" s="226" t="e">
        <f ca="1">_xlfn.XLOOKUP(X333,'USEEIO metadata'!$C$2:$C$393,'USEEIO metadata'!$F$2:$F$393)</f>
        <v>#NAME?</v>
      </c>
      <c r="AF333" s="226" t="e">
        <f ca="1">_xlfn.XLOOKUP(X333,'USEEIO metadata'!$C$2:$C$393,'USEEIO metadata'!$G$2:$G$393)</f>
        <v>#NAME?</v>
      </c>
    </row>
    <row r="334" spans="1:32">
      <c r="A334" t="str">
        <f>_xlfn.IFNA(IF(VLOOKUP(C334,'2016_Detail_Commodity_v1.0'!C:C,1,FALSE)=C334,"No change"),"Name changed")</f>
        <v>No change</v>
      </c>
      <c r="B334" t="s">
        <v>475</v>
      </c>
      <c r="C334" t="s">
        <v>476</v>
      </c>
      <c r="E334" t="s">
        <v>3653</v>
      </c>
      <c r="F334" t="s">
        <v>12</v>
      </c>
      <c r="G334">
        <v>0.33300000000000002</v>
      </c>
      <c r="H334" s="413">
        <f>G334*VLOOKUP(E334,GWPs!$B$3:$C$6,2,FALSE)</f>
        <v>0.33300000000000002</v>
      </c>
      <c r="I334">
        <v>0.11</v>
      </c>
      <c r="J334" s="413">
        <f>I334*VLOOKUP(E334,GWPs!$B$3:$C$6,2,FALSE)</f>
        <v>0.11</v>
      </c>
      <c r="K334">
        <v>0.443</v>
      </c>
      <c r="L334" s="413">
        <f>K334*VLOOKUP(E334,GWPs!$B$3:$C$6,2,FALSE)</f>
        <v>0.443</v>
      </c>
      <c r="N334">
        <v>3</v>
      </c>
      <c r="O334">
        <v>2</v>
      </c>
      <c r="P334">
        <v>1</v>
      </c>
      <c r="Q334">
        <v>3</v>
      </c>
      <c r="R334">
        <v>1</v>
      </c>
      <c r="W334" s="226" t="s">
        <v>430</v>
      </c>
      <c r="X334" s="70" t="s">
        <v>429</v>
      </c>
      <c r="Y334" s="414">
        <v>0.45</v>
      </c>
      <c r="Z334" s="70">
        <v>0.38500000000000001</v>
      </c>
      <c r="AA334" s="70">
        <v>6.4000000000000001E-2</v>
      </c>
      <c r="AB334" s="464" t="s">
        <v>4230</v>
      </c>
      <c r="AC334" s="415">
        <f t="shared" si="5"/>
        <v>0.14222222222222222</v>
      </c>
      <c r="AD334" s="226" t="e">
        <f ca="1">_xlfn.XLOOKUP(X334,'USEEIO metadata'!$C$2:$C$393,'USEEIO metadata'!$H$2:$H$393)</f>
        <v>#NAME?</v>
      </c>
      <c r="AE334" s="226" t="e">
        <f ca="1">_xlfn.XLOOKUP(X334,'USEEIO metadata'!$C$2:$C$393,'USEEIO metadata'!$F$2:$F$393)</f>
        <v>#NAME?</v>
      </c>
      <c r="AF334" s="226" t="e">
        <f ca="1">_xlfn.XLOOKUP(X334,'USEEIO metadata'!$C$2:$C$393,'USEEIO metadata'!$G$2:$G$393)</f>
        <v>#NAME?</v>
      </c>
    </row>
    <row r="335" spans="1:32">
      <c r="A335" t="str">
        <f>_xlfn.IFNA(IF(VLOOKUP(C335,'2016_Detail_Commodity_v1.0'!C:C,1,FALSE)=C335,"No change"),"Name changed")</f>
        <v>No change</v>
      </c>
      <c r="B335" t="s">
        <v>475</v>
      </c>
      <c r="C335" t="s">
        <v>476</v>
      </c>
      <c r="E335" t="s">
        <v>3654</v>
      </c>
      <c r="F335" t="s">
        <v>12</v>
      </c>
      <c r="G335">
        <v>1E-3</v>
      </c>
      <c r="H335" s="413">
        <f>G335*VLOOKUP(E335,GWPs!$B$3:$C$6,2,FALSE)</f>
        <v>2.8000000000000001E-2</v>
      </c>
      <c r="I335">
        <v>1E-3</v>
      </c>
      <c r="J335" s="413">
        <f>I335*VLOOKUP(E335,GWPs!$B$3:$C$6,2,FALSE)</f>
        <v>2.8000000000000001E-2</v>
      </c>
      <c r="K335">
        <v>2E-3</v>
      </c>
      <c r="L335" s="413">
        <f>K335*VLOOKUP(E335,GWPs!$B$3:$C$6,2,FALSE)</f>
        <v>5.6000000000000001E-2</v>
      </c>
      <c r="N335">
        <v>4</v>
      </c>
      <c r="O335">
        <v>2</v>
      </c>
      <c r="P335">
        <v>1</v>
      </c>
      <c r="Q335">
        <v>1</v>
      </c>
      <c r="R335">
        <v>1</v>
      </c>
      <c r="W335" s="226" t="s">
        <v>914</v>
      </c>
      <c r="X335" s="70" t="s">
        <v>913</v>
      </c>
      <c r="Y335" s="414">
        <v>8.2000000000000003E-2</v>
      </c>
      <c r="Z335" s="70">
        <v>0.04</v>
      </c>
      <c r="AA335" s="70">
        <v>4.2000000000000003E-2</v>
      </c>
      <c r="AB335" s="464" t="s">
        <v>4230</v>
      </c>
      <c r="AC335" s="415">
        <f t="shared" si="5"/>
        <v>0.51219512195121952</v>
      </c>
      <c r="AD335" s="226" t="e">
        <f ca="1">_xlfn.XLOOKUP(X335,'USEEIO metadata'!$C$2:$C$393,'USEEIO metadata'!$H$2:$H$393)</f>
        <v>#NAME?</v>
      </c>
      <c r="AE335" s="226" t="e">
        <f ca="1">_xlfn.XLOOKUP(X335,'USEEIO metadata'!$C$2:$C$393,'USEEIO metadata'!$F$2:$F$393)</f>
        <v>#NAME?</v>
      </c>
      <c r="AF335" s="226" t="e">
        <f ca="1">_xlfn.XLOOKUP(X335,'USEEIO metadata'!$C$2:$C$393,'USEEIO metadata'!$G$2:$G$393)</f>
        <v>#NAME?</v>
      </c>
    </row>
    <row r="336" spans="1:32">
      <c r="A336" t="str">
        <f>_xlfn.IFNA(IF(VLOOKUP(C336,'2016_Detail_Commodity_v1.0'!C:C,1,FALSE)=C336,"No change"),"Name changed")</f>
        <v>No change</v>
      </c>
      <c r="B336" t="s">
        <v>475</v>
      </c>
      <c r="C336" t="s">
        <v>476</v>
      </c>
      <c r="E336" t="s">
        <v>3655</v>
      </c>
      <c r="F336" t="s">
        <v>12</v>
      </c>
      <c r="G336">
        <v>0</v>
      </c>
      <c r="H336" s="413">
        <f>G336*VLOOKUP(E336,GWPs!$B$3:$C$6,2,FALSE)</f>
        <v>0</v>
      </c>
      <c r="I336">
        <v>0</v>
      </c>
      <c r="J336" s="413">
        <f>I336*VLOOKUP(E336,GWPs!$B$3:$C$6,2,FALSE)</f>
        <v>0</v>
      </c>
      <c r="K336">
        <v>0</v>
      </c>
      <c r="L336" s="413">
        <f>K336*VLOOKUP(E336,GWPs!$B$3:$C$6,2,FALSE)</f>
        <v>0</v>
      </c>
      <c r="N336">
        <v>4</v>
      </c>
      <c r="O336">
        <v>2</v>
      </c>
      <c r="P336">
        <v>1</v>
      </c>
      <c r="Q336">
        <v>3</v>
      </c>
      <c r="R336">
        <v>1</v>
      </c>
      <c r="W336" s="226" t="s">
        <v>918</v>
      </c>
      <c r="X336" s="70" t="s">
        <v>917</v>
      </c>
      <c r="Y336" s="414">
        <v>6.3E-2</v>
      </c>
      <c r="Z336" s="70">
        <v>2.5000000000000001E-2</v>
      </c>
      <c r="AA336" s="70">
        <v>3.9E-2</v>
      </c>
      <c r="AB336" s="464" t="s">
        <v>4230</v>
      </c>
      <c r="AC336" s="415">
        <f t="shared" si="5"/>
        <v>0.61904761904761907</v>
      </c>
      <c r="AD336" s="226" t="e">
        <f ca="1">_xlfn.XLOOKUP(X336,'USEEIO metadata'!$C$2:$C$393,'USEEIO metadata'!$H$2:$H$393)</f>
        <v>#NAME?</v>
      </c>
      <c r="AE336" s="226" t="e">
        <f ca="1">_xlfn.XLOOKUP(X336,'USEEIO metadata'!$C$2:$C$393,'USEEIO metadata'!$F$2:$F$393)</f>
        <v>#NAME?</v>
      </c>
      <c r="AF336" s="226" t="e">
        <f ca="1">_xlfn.XLOOKUP(X336,'USEEIO metadata'!$C$2:$C$393,'USEEIO metadata'!$G$2:$G$393)</f>
        <v>#NAME?</v>
      </c>
    </row>
    <row r="337" spans="1:32" ht="28.5">
      <c r="A337" t="str">
        <f>_xlfn.IFNA(IF(VLOOKUP(C337,'2016_Detail_Commodity_v1.0'!C:C,1,FALSE)=C337,"No change"),"Name changed")</f>
        <v>No change</v>
      </c>
      <c r="B337" t="s">
        <v>475</v>
      </c>
      <c r="C337" t="s">
        <v>476</v>
      </c>
      <c r="E337" t="s">
        <v>15</v>
      </c>
      <c r="F337" t="s">
        <v>16</v>
      </c>
      <c r="G337">
        <v>5.0000000000000001E-3</v>
      </c>
      <c r="H337" s="413">
        <f>G337*VLOOKUP(E337,GWPs!$B$3:$C$6,2,FALSE)</f>
        <v>5.0000000000000001E-3</v>
      </c>
      <c r="I337">
        <v>0</v>
      </c>
      <c r="J337" s="413">
        <f>I337*VLOOKUP(E337,GWPs!$B$3:$C$6,2,FALSE)</f>
        <v>0</v>
      </c>
      <c r="K337">
        <v>5.0000000000000001E-3</v>
      </c>
      <c r="L337" s="413">
        <f>K337*VLOOKUP(E337,GWPs!$B$3:$C$6,2,FALSE)</f>
        <v>5.0000000000000001E-3</v>
      </c>
      <c r="N337">
        <v>3</v>
      </c>
      <c r="O337">
        <v>2</v>
      </c>
      <c r="P337">
        <v>1</v>
      </c>
      <c r="Q337">
        <v>3</v>
      </c>
      <c r="R337">
        <v>1</v>
      </c>
      <c r="W337" s="226" t="s">
        <v>658</v>
      </c>
      <c r="X337" s="70" t="s">
        <v>657</v>
      </c>
      <c r="Y337" s="414">
        <v>0.26900000000000002</v>
      </c>
      <c r="Z337" s="70">
        <v>0.23799999999999999</v>
      </c>
      <c r="AA337" s="70">
        <v>3.1E-2</v>
      </c>
      <c r="AB337" s="464" t="s">
        <v>4230</v>
      </c>
      <c r="AC337" s="415">
        <f t="shared" si="5"/>
        <v>0.11524163568773234</v>
      </c>
      <c r="AD337" s="226" t="e">
        <f ca="1">_xlfn.XLOOKUP(X337,'USEEIO metadata'!$C$2:$C$393,'USEEIO metadata'!$H$2:$H$393)</f>
        <v>#NAME?</v>
      </c>
      <c r="AE337" s="226" t="e">
        <f ca="1">_xlfn.XLOOKUP(X337,'USEEIO metadata'!$C$2:$C$393,'USEEIO metadata'!$F$2:$F$393)</f>
        <v>#NAME?</v>
      </c>
      <c r="AF337" s="226" t="e">
        <f ca="1">_xlfn.XLOOKUP(X337,'USEEIO metadata'!$C$2:$C$393,'USEEIO metadata'!$G$2:$G$393)</f>
        <v>#NAME?</v>
      </c>
    </row>
    <row r="338" spans="1:32">
      <c r="A338" t="str">
        <f>_xlfn.IFNA(IF(VLOOKUP(C338,'2016_Detail_Commodity_v1.0'!C:C,1,FALSE)=C338,"No change"),"Name changed")</f>
        <v>No change</v>
      </c>
      <c r="B338" t="s">
        <v>477</v>
      </c>
      <c r="C338" t="s">
        <v>478</v>
      </c>
      <c r="E338" t="s">
        <v>3653</v>
      </c>
      <c r="F338" t="s">
        <v>12</v>
      </c>
      <c r="G338">
        <v>0.434</v>
      </c>
      <c r="H338" s="413">
        <f>G338*VLOOKUP(E338,GWPs!$B$3:$C$6,2,FALSE)</f>
        <v>0.434</v>
      </c>
      <c r="I338">
        <v>5.3999999999999999E-2</v>
      </c>
      <c r="J338" s="413">
        <f>I338*VLOOKUP(E338,GWPs!$B$3:$C$6,2,FALSE)</f>
        <v>5.3999999999999999E-2</v>
      </c>
      <c r="K338">
        <v>0.48799999999999999</v>
      </c>
      <c r="L338" s="413">
        <f>K338*VLOOKUP(E338,GWPs!$B$3:$C$6,2,FALSE)</f>
        <v>0.48799999999999999</v>
      </c>
      <c r="N338">
        <v>3</v>
      </c>
      <c r="O338">
        <v>2</v>
      </c>
      <c r="P338">
        <v>1</v>
      </c>
      <c r="Q338">
        <v>4</v>
      </c>
      <c r="R338">
        <v>1</v>
      </c>
      <c r="W338" s="226" t="s">
        <v>970</v>
      </c>
      <c r="X338" s="70" t="s">
        <v>969</v>
      </c>
      <c r="Y338" s="414">
        <v>8.5000000000000006E-2</v>
      </c>
      <c r="Z338" s="70">
        <v>8.5000000000000006E-2</v>
      </c>
      <c r="AA338" s="70">
        <v>0</v>
      </c>
      <c r="AB338" s="464" t="s">
        <v>4230</v>
      </c>
      <c r="AC338" s="415">
        <f t="shared" si="5"/>
        <v>0</v>
      </c>
      <c r="AD338" s="226" t="e">
        <f ca="1">_xlfn.XLOOKUP(X338,'USEEIO metadata'!$C$2:$C$393,'USEEIO metadata'!$H$2:$H$393)</f>
        <v>#NAME?</v>
      </c>
      <c r="AE338" s="226" t="e">
        <f ca="1">_xlfn.XLOOKUP(X338,'USEEIO metadata'!$C$2:$C$393,'USEEIO metadata'!$F$2:$F$393)</f>
        <v>#NAME?</v>
      </c>
      <c r="AF338" s="226" t="e">
        <f ca="1">_xlfn.XLOOKUP(X338,'USEEIO metadata'!$C$2:$C$393,'USEEIO metadata'!$G$2:$G$393)</f>
        <v>#NAME?</v>
      </c>
    </row>
    <row r="339" spans="1:32">
      <c r="A339" t="str">
        <f>_xlfn.IFNA(IF(VLOOKUP(C339,'2016_Detail_Commodity_v1.0'!C:C,1,FALSE)=C339,"No change"),"Name changed")</f>
        <v>No change</v>
      </c>
      <c r="B339" t="s">
        <v>477</v>
      </c>
      <c r="C339" t="s">
        <v>478</v>
      </c>
      <c r="E339" t="s">
        <v>3654</v>
      </c>
      <c r="F339" t="s">
        <v>12</v>
      </c>
      <c r="G339">
        <v>1E-3</v>
      </c>
      <c r="H339" s="413">
        <f>G339*VLOOKUP(E339,GWPs!$B$3:$C$6,2,FALSE)</f>
        <v>2.8000000000000001E-2</v>
      </c>
      <c r="I339">
        <v>0</v>
      </c>
      <c r="J339" s="413">
        <f>I339*VLOOKUP(E339,GWPs!$B$3:$C$6,2,FALSE)</f>
        <v>0</v>
      </c>
      <c r="K339">
        <v>2E-3</v>
      </c>
      <c r="L339" s="413">
        <f>K339*VLOOKUP(E339,GWPs!$B$3:$C$6,2,FALSE)</f>
        <v>5.6000000000000001E-2</v>
      </c>
      <c r="N339">
        <v>4</v>
      </c>
      <c r="O339">
        <v>2</v>
      </c>
      <c r="P339">
        <v>1</v>
      </c>
      <c r="Q339">
        <v>1</v>
      </c>
      <c r="R339">
        <v>1</v>
      </c>
      <c r="W339" s="226" t="s">
        <v>742</v>
      </c>
      <c r="X339" s="70" t="s">
        <v>741</v>
      </c>
      <c r="Y339" s="414">
        <v>0.32400000000000001</v>
      </c>
      <c r="Z339" s="70">
        <v>0.29200000000000004</v>
      </c>
      <c r="AA339" s="70">
        <v>3.3000000000000002E-2</v>
      </c>
      <c r="AB339" s="464" t="s">
        <v>4230</v>
      </c>
      <c r="AC339" s="415">
        <f t="shared" si="5"/>
        <v>0.10185185185185186</v>
      </c>
      <c r="AD339" s="226" t="e">
        <f ca="1">_xlfn.XLOOKUP(X339,'USEEIO metadata'!$C$2:$C$393,'USEEIO metadata'!$H$2:$H$393)</f>
        <v>#NAME?</v>
      </c>
      <c r="AE339" s="226" t="e">
        <f ca="1">_xlfn.XLOOKUP(X339,'USEEIO metadata'!$C$2:$C$393,'USEEIO metadata'!$F$2:$F$393)</f>
        <v>#NAME?</v>
      </c>
      <c r="AF339" s="226" t="e">
        <f ca="1">_xlfn.XLOOKUP(X339,'USEEIO metadata'!$C$2:$C$393,'USEEIO metadata'!$G$2:$G$393)</f>
        <v>#NAME?</v>
      </c>
    </row>
    <row r="340" spans="1:32" ht="28.5">
      <c r="A340" t="str">
        <f>_xlfn.IFNA(IF(VLOOKUP(C340,'2016_Detail_Commodity_v1.0'!C:C,1,FALSE)=C340,"No change"),"Name changed")</f>
        <v>No change</v>
      </c>
      <c r="B340" t="s">
        <v>477</v>
      </c>
      <c r="C340" t="s">
        <v>478</v>
      </c>
      <c r="E340" t="s">
        <v>3655</v>
      </c>
      <c r="F340" t="s">
        <v>12</v>
      </c>
      <c r="G340">
        <v>0</v>
      </c>
      <c r="H340" s="413">
        <f>G340*VLOOKUP(E340,GWPs!$B$3:$C$6,2,FALSE)</f>
        <v>0</v>
      </c>
      <c r="I340">
        <v>0</v>
      </c>
      <c r="J340" s="413">
        <f>I340*VLOOKUP(E340,GWPs!$B$3:$C$6,2,FALSE)</f>
        <v>0</v>
      </c>
      <c r="K340">
        <v>0</v>
      </c>
      <c r="L340" s="413">
        <f>K340*VLOOKUP(E340,GWPs!$B$3:$C$6,2,FALSE)</f>
        <v>0</v>
      </c>
      <c r="N340">
        <v>3</v>
      </c>
      <c r="O340">
        <v>2</v>
      </c>
      <c r="P340">
        <v>1</v>
      </c>
      <c r="Q340">
        <v>3</v>
      </c>
      <c r="R340">
        <v>1</v>
      </c>
      <c r="W340" s="226" t="s">
        <v>666</v>
      </c>
      <c r="X340" s="70" t="s">
        <v>665</v>
      </c>
      <c r="Y340" s="414">
        <v>0.26</v>
      </c>
      <c r="Z340" s="70">
        <v>0.23100000000000001</v>
      </c>
      <c r="AA340" s="70">
        <v>2.9000000000000001E-2</v>
      </c>
      <c r="AB340" s="464" t="s">
        <v>4230</v>
      </c>
      <c r="AC340" s="415">
        <f t="shared" si="5"/>
        <v>0.11153846153846154</v>
      </c>
      <c r="AD340" s="226" t="e">
        <f ca="1">_xlfn.XLOOKUP(X340,'USEEIO metadata'!$C$2:$C$393,'USEEIO metadata'!$H$2:$H$393)</f>
        <v>#NAME?</v>
      </c>
      <c r="AE340" s="226" t="e">
        <f ca="1">_xlfn.XLOOKUP(X340,'USEEIO metadata'!$C$2:$C$393,'USEEIO metadata'!$F$2:$F$393)</f>
        <v>#NAME?</v>
      </c>
      <c r="AF340" s="226" t="e">
        <f ca="1">_xlfn.XLOOKUP(X340,'USEEIO metadata'!$C$2:$C$393,'USEEIO metadata'!$G$2:$G$393)</f>
        <v>#NAME?</v>
      </c>
    </row>
    <row r="341" spans="1:32">
      <c r="A341" t="str">
        <f>_xlfn.IFNA(IF(VLOOKUP(C341,'2016_Detail_Commodity_v1.0'!C:C,1,FALSE)=C341,"No change"),"Name changed")</f>
        <v>No change</v>
      </c>
      <c r="B341" t="s">
        <v>477</v>
      </c>
      <c r="C341" t="s">
        <v>478</v>
      </c>
      <c r="E341" t="s">
        <v>15</v>
      </c>
      <c r="F341" t="s">
        <v>16</v>
      </c>
      <c r="G341">
        <v>5.0000000000000001E-3</v>
      </c>
      <c r="H341" s="413">
        <f>G341*VLOOKUP(E341,GWPs!$B$3:$C$6,2,FALSE)</f>
        <v>5.0000000000000001E-3</v>
      </c>
      <c r="I341">
        <v>0</v>
      </c>
      <c r="J341" s="413">
        <f>I341*VLOOKUP(E341,GWPs!$B$3:$C$6,2,FALSE)</f>
        <v>0</v>
      </c>
      <c r="K341">
        <v>5.0000000000000001E-3</v>
      </c>
      <c r="L341" s="413">
        <f>K341*VLOOKUP(E341,GWPs!$B$3:$C$6,2,FALSE)</f>
        <v>5.0000000000000001E-3</v>
      </c>
      <c r="N341">
        <v>3</v>
      </c>
      <c r="O341">
        <v>2</v>
      </c>
      <c r="P341">
        <v>1</v>
      </c>
      <c r="Q341">
        <v>3</v>
      </c>
      <c r="R341">
        <v>1</v>
      </c>
      <c r="W341" s="226" t="s">
        <v>838</v>
      </c>
      <c r="X341" s="70" t="s">
        <v>837</v>
      </c>
      <c r="Y341" s="414">
        <v>0.28700000000000003</v>
      </c>
      <c r="Z341" s="70">
        <v>0.14000000000000001</v>
      </c>
      <c r="AA341" s="70">
        <v>0.14799999999999999</v>
      </c>
      <c r="AB341" s="464" t="s">
        <v>4230</v>
      </c>
      <c r="AC341" s="415">
        <f t="shared" si="5"/>
        <v>0.51567944250871067</v>
      </c>
      <c r="AD341" s="226" t="e">
        <f ca="1">_xlfn.XLOOKUP(X341,'USEEIO metadata'!$C$2:$C$393,'USEEIO metadata'!$H$2:$H$393)</f>
        <v>#NAME?</v>
      </c>
      <c r="AE341" s="226" t="e">
        <f ca="1">_xlfn.XLOOKUP(X341,'USEEIO metadata'!$C$2:$C$393,'USEEIO metadata'!$F$2:$F$393)</f>
        <v>#NAME?</v>
      </c>
      <c r="AF341" s="226" t="e">
        <f ca="1">_xlfn.XLOOKUP(X341,'USEEIO metadata'!$C$2:$C$393,'USEEIO metadata'!$G$2:$G$393)</f>
        <v>#NAME?</v>
      </c>
    </row>
    <row r="342" spans="1:32">
      <c r="A342" t="str">
        <f>_xlfn.IFNA(IF(VLOOKUP(C342,'2016_Detail_Commodity_v1.0'!C:C,1,FALSE)=C342,"No change"),"Name changed")</f>
        <v>No change</v>
      </c>
      <c r="B342" t="s">
        <v>479</v>
      </c>
      <c r="C342" t="s">
        <v>480</v>
      </c>
      <c r="E342" t="s">
        <v>3653</v>
      </c>
      <c r="F342" t="s">
        <v>12</v>
      </c>
      <c r="G342">
        <v>0.29799999999999999</v>
      </c>
      <c r="H342" s="413">
        <f>G342*VLOOKUP(E342,GWPs!$B$3:$C$6,2,FALSE)</f>
        <v>0.29799999999999999</v>
      </c>
      <c r="I342">
        <v>4.9000000000000002E-2</v>
      </c>
      <c r="J342" s="413">
        <f>I342*VLOOKUP(E342,GWPs!$B$3:$C$6,2,FALSE)</f>
        <v>4.9000000000000002E-2</v>
      </c>
      <c r="K342">
        <v>0.34699999999999998</v>
      </c>
      <c r="L342" s="413">
        <f>K342*VLOOKUP(E342,GWPs!$B$3:$C$6,2,FALSE)</f>
        <v>0.34699999999999998</v>
      </c>
      <c r="N342">
        <v>3</v>
      </c>
      <c r="O342">
        <v>2</v>
      </c>
      <c r="P342">
        <v>1</v>
      </c>
      <c r="Q342">
        <v>4</v>
      </c>
      <c r="R342">
        <v>1</v>
      </c>
      <c r="W342" s="226" t="s">
        <v>1045</v>
      </c>
      <c r="X342" s="70" t="s">
        <v>1044</v>
      </c>
      <c r="Y342" s="414">
        <v>6.8000000000000005E-2</v>
      </c>
      <c r="Z342" s="70">
        <v>6.8000000000000005E-2</v>
      </c>
      <c r="AA342" s="70">
        <v>0</v>
      </c>
      <c r="AB342" s="464" t="s">
        <v>4230</v>
      </c>
      <c r="AC342" s="415">
        <f t="shared" si="5"/>
        <v>0</v>
      </c>
      <c r="AD342" s="226" t="e">
        <f ca="1">_xlfn.XLOOKUP(X342,'USEEIO metadata'!$C$2:$C$393,'USEEIO metadata'!$H$2:$H$393)</f>
        <v>#NAME?</v>
      </c>
      <c r="AE342" s="226" t="e">
        <f ca="1">_xlfn.XLOOKUP(X342,'USEEIO metadata'!$C$2:$C$393,'USEEIO metadata'!$F$2:$F$393)</f>
        <v>#NAME?</v>
      </c>
      <c r="AF342" s="226" t="e">
        <f ca="1">_xlfn.XLOOKUP(X342,'USEEIO metadata'!$C$2:$C$393,'USEEIO metadata'!$G$2:$G$393)</f>
        <v>#NAME?</v>
      </c>
    </row>
    <row r="343" spans="1:32">
      <c r="A343" t="str">
        <f>_xlfn.IFNA(IF(VLOOKUP(C343,'2016_Detail_Commodity_v1.0'!C:C,1,FALSE)=C343,"No change"),"Name changed")</f>
        <v>No change</v>
      </c>
      <c r="B343" t="s">
        <v>479</v>
      </c>
      <c r="C343" t="s">
        <v>480</v>
      </c>
      <c r="E343" t="s">
        <v>3654</v>
      </c>
      <c r="F343" t="s">
        <v>12</v>
      </c>
      <c r="G343">
        <v>1E-3</v>
      </c>
      <c r="H343" s="413">
        <f>G343*VLOOKUP(E343,GWPs!$B$3:$C$6,2,FALSE)</f>
        <v>2.8000000000000001E-2</v>
      </c>
      <c r="I343">
        <v>0</v>
      </c>
      <c r="J343" s="413">
        <f>I343*VLOOKUP(E343,GWPs!$B$3:$C$6,2,FALSE)</f>
        <v>0</v>
      </c>
      <c r="K343">
        <v>1E-3</v>
      </c>
      <c r="L343" s="413">
        <f>K343*VLOOKUP(E343,GWPs!$B$3:$C$6,2,FALSE)</f>
        <v>2.8000000000000001E-2</v>
      </c>
      <c r="N343">
        <v>4</v>
      </c>
      <c r="O343">
        <v>2</v>
      </c>
      <c r="P343">
        <v>1</v>
      </c>
      <c r="Q343">
        <v>1</v>
      </c>
      <c r="R343">
        <v>1</v>
      </c>
      <c r="W343" s="226" t="s">
        <v>612</v>
      </c>
      <c r="X343" s="70" t="s">
        <v>611</v>
      </c>
      <c r="Y343" s="414">
        <v>0.41500000000000004</v>
      </c>
      <c r="Z343" s="70">
        <v>0.38800000000000001</v>
      </c>
      <c r="AA343" s="70">
        <v>2.7E-2</v>
      </c>
      <c r="AB343" s="464" t="s">
        <v>4230</v>
      </c>
      <c r="AC343" s="415">
        <f t="shared" si="5"/>
        <v>6.5060240963855417E-2</v>
      </c>
      <c r="AD343" s="226" t="e">
        <f ca="1">_xlfn.XLOOKUP(X343,'USEEIO metadata'!$C$2:$C$393,'USEEIO metadata'!$H$2:$H$393)</f>
        <v>#NAME?</v>
      </c>
      <c r="AE343" s="226" t="e">
        <f ca="1">_xlfn.XLOOKUP(X343,'USEEIO metadata'!$C$2:$C$393,'USEEIO metadata'!$F$2:$F$393)</f>
        <v>#NAME?</v>
      </c>
      <c r="AF343" s="226" t="e">
        <f ca="1">_xlfn.XLOOKUP(X343,'USEEIO metadata'!$C$2:$C$393,'USEEIO metadata'!$G$2:$G$393)</f>
        <v>#NAME?</v>
      </c>
    </row>
    <row r="344" spans="1:32">
      <c r="A344" t="str">
        <f>_xlfn.IFNA(IF(VLOOKUP(C344,'2016_Detail_Commodity_v1.0'!C:C,1,FALSE)=C344,"No change"),"Name changed")</f>
        <v>No change</v>
      </c>
      <c r="B344" t="s">
        <v>479</v>
      </c>
      <c r="C344" t="s">
        <v>480</v>
      </c>
      <c r="E344" t="s">
        <v>3655</v>
      </c>
      <c r="F344" t="s">
        <v>12</v>
      </c>
      <c r="G344">
        <v>0</v>
      </c>
      <c r="H344" s="413">
        <f>G344*VLOOKUP(E344,GWPs!$B$3:$C$6,2,FALSE)</f>
        <v>0</v>
      </c>
      <c r="I344">
        <v>0</v>
      </c>
      <c r="J344" s="413">
        <f>I344*VLOOKUP(E344,GWPs!$B$3:$C$6,2,FALSE)</f>
        <v>0</v>
      </c>
      <c r="K344">
        <v>0</v>
      </c>
      <c r="L344" s="413">
        <f>K344*VLOOKUP(E344,GWPs!$B$3:$C$6,2,FALSE)</f>
        <v>0</v>
      </c>
      <c r="N344">
        <v>4</v>
      </c>
      <c r="O344">
        <v>2</v>
      </c>
      <c r="P344">
        <v>1</v>
      </c>
      <c r="Q344">
        <v>3</v>
      </c>
      <c r="R344">
        <v>1</v>
      </c>
      <c r="W344" s="226" t="s">
        <v>474</v>
      </c>
      <c r="X344" s="70" t="s">
        <v>473</v>
      </c>
      <c r="Y344" s="414">
        <v>0.49</v>
      </c>
      <c r="Z344" s="70">
        <v>0.41900000000000004</v>
      </c>
      <c r="AA344" s="70">
        <v>4.2000000000000003E-2</v>
      </c>
      <c r="AB344" s="464" t="s">
        <v>4230</v>
      </c>
      <c r="AC344" s="415">
        <f t="shared" si="5"/>
        <v>8.5714285714285715E-2</v>
      </c>
      <c r="AD344" s="226" t="e">
        <f ca="1">_xlfn.XLOOKUP(X344,'USEEIO metadata'!$C$2:$C$393,'USEEIO metadata'!$H$2:$H$393)</f>
        <v>#NAME?</v>
      </c>
      <c r="AE344" s="226" t="e">
        <f ca="1">_xlfn.XLOOKUP(X344,'USEEIO metadata'!$C$2:$C$393,'USEEIO metadata'!$F$2:$F$393)</f>
        <v>#NAME?</v>
      </c>
      <c r="AF344" s="226" t="e">
        <f ca="1">_xlfn.XLOOKUP(X344,'USEEIO metadata'!$C$2:$C$393,'USEEIO metadata'!$G$2:$G$393)</f>
        <v>#NAME?</v>
      </c>
    </row>
    <row r="345" spans="1:32">
      <c r="A345" t="str">
        <f>_xlfn.IFNA(IF(VLOOKUP(C345,'2016_Detail_Commodity_v1.0'!C:C,1,FALSE)=C345,"No change"),"Name changed")</f>
        <v>No change</v>
      </c>
      <c r="B345" t="s">
        <v>479</v>
      </c>
      <c r="C345" t="s">
        <v>480</v>
      </c>
      <c r="E345" t="s">
        <v>15</v>
      </c>
      <c r="F345" t="s">
        <v>16</v>
      </c>
      <c r="G345">
        <v>4.0000000000000001E-3</v>
      </c>
      <c r="H345" s="413">
        <f>G345*VLOOKUP(E345,GWPs!$B$3:$C$6,2,FALSE)</f>
        <v>4.0000000000000001E-3</v>
      </c>
      <c r="I345">
        <v>0</v>
      </c>
      <c r="J345" s="413">
        <f>I345*VLOOKUP(E345,GWPs!$B$3:$C$6,2,FALSE)</f>
        <v>0</v>
      </c>
      <c r="K345">
        <v>4.0000000000000001E-3</v>
      </c>
      <c r="L345" s="413">
        <f>K345*VLOOKUP(E345,GWPs!$B$3:$C$6,2,FALSE)</f>
        <v>4.0000000000000001E-3</v>
      </c>
      <c r="N345">
        <v>3</v>
      </c>
      <c r="O345">
        <v>2</v>
      </c>
      <c r="P345">
        <v>1</v>
      </c>
      <c r="Q345">
        <v>3</v>
      </c>
      <c r="R345">
        <v>1</v>
      </c>
      <c r="W345" s="226" t="s">
        <v>750</v>
      </c>
      <c r="X345" s="70" t="s">
        <v>749</v>
      </c>
      <c r="Y345" s="414">
        <v>0.35100000000000003</v>
      </c>
      <c r="Z345" s="70">
        <v>0.29900000000000004</v>
      </c>
      <c r="AA345" s="70">
        <v>5.1999999999999998E-2</v>
      </c>
      <c r="AB345" s="464" t="s">
        <v>4230</v>
      </c>
      <c r="AC345" s="415">
        <f t="shared" si="5"/>
        <v>0.14814814814814814</v>
      </c>
      <c r="AD345" s="226" t="e">
        <f ca="1">_xlfn.XLOOKUP(X345,'USEEIO metadata'!$C$2:$C$393,'USEEIO metadata'!$H$2:$H$393)</f>
        <v>#NAME?</v>
      </c>
      <c r="AE345" s="226" t="e">
        <f ca="1">_xlfn.XLOOKUP(X345,'USEEIO metadata'!$C$2:$C$393,'USEEIO metadata'!$F$2:$F$393)</f>
        <v>#NAME?</v>
      </c>
      <c r="AF345" s="226" t="e">
        <f ca="1">_xlfn.XLOOKUP(X345,'USEEIO metadata'!$C$2:$C$393,'USEEIO metadata'!$G$2:$G$393)</f>
        <v>#NAME?</v>
      </c>
    </row>
    <row r="346" spans="1:32">
      <c r="A346" t="str">
        <f>_xlfn.IFNA(IF(VLOOKUP(C346,'2016_Detail_Commodity_v1.0'!C:C,1,FALSE)=C346,"No change"),"Name changed")</f>
        <v>No change</v>
      </c>
      <c r="B346" t="s">
        <v>481</v>
      </c>
      <c r="C346" t="s">
        <v>482</v>
      </c>
      <c r="E346" t="s">
        <v>3653</v>
      </c>
      <c r="F346" t="s">
        <v>12</v>
      </c>
      <c r="G346">
        <v>0.245</v>
      </c>
      <c r="H346" s="413">
        <f>G346*VLOOKUP(E346,GWPs!$B$3:$C$6,2,FALSE)</f>
        <v>0.245</v>
      </c>
      <c r="I346">
        <v>2.7E-2</v>
      </c>
      <c r="J346" s="413">
        <f>I346*VLOOKUP(E346,GWPs!$B$3:$C$6,2,FALSE)</f>
        <v>2.7E-2</v>
      </c>
      <c r="K346">
        <v>0.27200000000000002</v>
      </c>
      <c r="L346" s="413">
        <f>K346*VLOOKUP(E346,GWPs!$B$3:$C$6,2,FALSE)</f>
        <v>0.27200000000000002</v>
      </c>
      <c r="N346">
        <v>3</v>
      </c>
      <c r="O346">
        <v>2</v>
      </c>
      <c r="P346">
        <v>1</v>
      </c>
      <c r="Q346">
        <v>3</v>
      </c>
      <c r="R346">
        <v>1</v>
      </c>
      <c r="W346" s="226" t="s">
        <v>396</v>
      </c>
      <c r="X346" s="70" t="s">
        <v>395</v>
      </c>
      <c r="Y346" s="414">
        <v>0.53400000000000003</v>
      </c>
      <c r="Z346" s="70">
        <v>0.44400000000000001</v>
      </c>
      <c r="AA346" s="70">
        <v>6.2E-2</v>
      </c>
      <c r="AB346" s="464" t="s">
        <v>4231</v>
      </c>
      <c r="AC346" s="415">
        <f t="shared" si="5"/>
        <v>0.11610486891385767</v>
      </c>
      <c r="AD346" s="226" t="e">
        <f ca="1">_xlfn.XLOOKUP(X346,'USEEIO metadata'!$C$2:$C$393,'USEEIO metadata'!$H$2:$H$393)</f>
        <v>#NAME?</v>
      </c>
      <c r="AE346" s="226" t="e">
        <f ca="1">_xlfn.XLOOKUP(X346,'USEEIO metadata'!$C$2:$C$393,'USEEIO metadata'!$F$2:$F$393)</f>
        <v>#NAME?</v>
      </c>
      <c r="AF346" s="226" t="e">
        <f ca="1">_xlfn.XLOOKUP(X346,'USEEIO metadata'!$C$2:$C$393,'USEEIO metadata'!$G$2:$G$393)</f>
        <v>#NAME?</v>
      </c>
    </row>
    <row r="347" spans="1:32" ht="28.5">
      <c r="A347" t="str">
        <f>_xlfn.IFNA(IF(VLOOKUP(C347,'2016_Detail_Commodity_v1.0'!C:C,1,FALSE)=C347,"No change"),"Name changed")</f>
        <v>No change</v>
      </c>
      <c r="B347" t="s">
        <v>481</v>
      </c>
      <c r="C347" t="s">
        <v>482</v>
      </c>
      <c r="E347" t="s">
        <v>3654</v>
      </c>
      <c r="F347" t="s">
        <v>12</v>
      </c>
      <c r="G347">
        <v>1E-3</v>
      </c>
      <c r="H347" s="413">
        <f>G347*VLOOKUP(E347,GWPs!$B$3:$C$6,2,FALSE)</f>
        <v>2.8000000000000001E-2</v>
      </c>
      <c r="I347">
        <v>0</v>
      </c>
      <c r="J347" s="413">
        <f>I347*VLOOKUP(E347,GWPs!$B$3:$C$6,2,FALSE)</f>
        <v>0</v>
      </c>
      <c r="K347">
        <v>1E-3</v>
      </c>
      <c r="L347" s="413">
        <f>K347*VLOOKUP(E347,GWPs!$B$3:$C$6,2,FALSE)</f>
        <v>2.8000000000000001E-2</v>
      </c>
      <c r="N347">
        <v>4</v>
      </c>
      <c r="O347">
        <v>2</v>
      </c>
      <c r="P347">
        <v>1</v>
      </c>
      <c r="Q347">
        <v>1</v>
      </c>
      <c r="R347">
        <v>1</v>
      </c>
      <c r="W347" s="226" t="s">
        <v>826</v>
      </c>
      <c r="X347" s="70" t="s">
        <v>825</v>
      </c>
      <c r="Y347" s="414">
        <v>0.20799999999999999</v>
      </c>
      <c r="Z347" s="70">
        <v>0.17100000000000001</v>
      </c>
      <c r="AA347" s="70">
        <v>3.6999999999999998E-2</v>
      </c>
      <c r="AB347" s="464" t="s">
        <v>4231</v>
      </c>
      <c r="AC347" s="415">
        <f t="shared" si="5"/>
        <v>0.17788461538461539</v>
      </c>
      <c r="AD347" s="226" t="e">
        <f ca="1">_xlfn.XLOOKUP(X347,'USEEIO metadata'!$C$2:$C$393,'USEEIO metadata'!$H$2:$H$393)</f>
        <v>#NAME?</v>
      </c>
      <c r="AE347" s="226" t="e">
        <f ca="1">_xlfn.XLOOKUP(X347,'USEEIO metadata'!$C$2:$C$393,'USEEIO metadata'!$F$2:$F$393)</f>
        <v>#NAME?</v>
      </c>
      <c r="AF347" s="226" t="e">
        <f ca="1">_xlfn.XLOOKUP(X347,'USEEIO metadata'!$C$2:$C$393,'USEEIO metadata'!$G$2:$G$393)</f>
        <v>#NAME?</v>
      </c>
    </row>
    <row r="348" spans="1:32">
      <c r="A348" t="str">
        <f>_xlfn.IFNA(IF(VLOOKUP(C348,'2016_Detail_Commodity_v1.0'!C:C,1,FALSE)=C348,"No change"),"Name changed")</f>
        <v>No change</v>
      </c>
      <c r="B348" t="s">
        <v>481</v>
      </c>
      <c r="C348" t="s">
        <v>482</v>
      </c>
      <c r="E348" t="s">
        <v>3655</v>
      </c>
      <c r="F348" t="s">
        <v>12</v>
      </c>
      <c r="G348">
        <v>0</v>
      </c>
      <c r="H348" s="413">
        <f>G348*VLOOKUP(E348,GWPs!$B$3:$C$6,2,FALSE)</f>
        <v>0</v>
      </c>
      <c r="I348">
        <v>0</v>
      </c>
      <c r="J348" s="413">
        <f>I348*VLOOKUP(E348,GWPs!$B$3:$C$6,2,FALSE)</f>
        <v>0</v>
      </c>
      <c r="K348">
        <v>0</v>
      </c>
      <c r="L348" s="413">
        <f>K348*VLOOKUP(E348,GWPs!$B$3:$C$6,2,FALSE)</f>
        <v>0</v>
      </c>
      <c r="N348">
        <v>3</v>
      </c>
      <c r="O348">
        <v>2</v>
      </c>
      <c r="P348">
        <v>1</v>
      </c>
      <c r="Q348">
        <v>3</v>
      </c>
      <c r="R348">
        <v>1</v>
      </c>
      <c r="W348" s="226" t="s">
        <v>828</v>
      </c>
      <c r="X348" s="70" t="s">
        <v>827</v>
      </c>
      <c r="Y348" s="414">
        <v>0.20599999999999999</v>
      </c>
      <c r="Z348" s="70">
        <v>0.11700000000000001</v>
      </c>
      <c r="AA348" s="70">
        <v>6.0999999999999999E-2</v>
      </c>
      <c r="AB348" s="464" t="s">
        <v>4231</v>
      </c>
      <c r="AC348" s="415">
        <f t="shared" si="5"/>
        <v>0.29611650485436897</v>
      </c>
      <c r="AD348" s="226" t="e">
        <f ca="1">_xlfn.XLOOKUP(X348,'USEEIO metadata'!$C$2:$C$393,'USEEIO metadata'!$H$2:$H$393)</f>
        <v>#NAME?</v>
      </c>
      <c r="AE348" s="226" t="e">
        <f ca="1">_xlfn.XLOOKUP(X348,'USEEIO metadata'!$C$2:$C$393,'USEEIO metadata'!$F$2:$F$393)</f>
        <v>#NAME?</v>
      </c>
      <c r="AF348" s="226" t="e">
        <f ca="1">_xlfn.XLOOKUP(X348,'USEEIO metadata'!$C$2:$C$393,'USEEIO metadata'!$G$2:$G$393)</f>
        <v>#NAME?</v>
      </c>
    </row>
    <row r="349" spans="1:32">
      <c r="A349" t="str">
        <f>_xlfn.IFNA(IF(VLOOKUP(C349,'2016_Detail_Commodity_v1.0'!C:C,1,FALSE)=C349,"No change"),"Name changed")</f>
        <v>No change</v>
      </c>
      <c r="B349" t="s">
        <v>481</v>
      </c>
      <c r="C349" t="s">
        <v>482</v>
      </c>
      <c r="E349" t="s">
        <v>15</v>
      </c>
      <c r="F349" t="s">
        <v>16</v>
      </c>
      <c r="G349">
        <v>3.0000000000000001E-3</v>
      </c>
      <c r="H349" s="413">
        <f>G349*VLOOKUP(E349,GWPs!$B$3:$C$6,2,FALSE)</f>
        <v>3.0000000000000001E-3</v>
      </c>
      <c r="I349">
        <v>0</v>
      </c>
      <c r="J349" s="413">
        <f>I349*VLOOKUP(E349,GWPs!$B$3:$C$6,2,FALSE)</f>
        <v>0</v>
      </c>
      <c r="K349">
        <v>3.0000000000000001E-3</v>
      </c>
      <c r="L349" s="413">
        <f>K349*VLOOKUP(E349,GWPs!$B$3:$C$6,2,FALSE)</f>
        <v>3.0000000000000001E-3</v>
      </c>
      <c r="N349">
        <v>3</v>
      </c>
      <c r="O349">
        <v>2</v>
      </c>
      <c r="P349">
        <v>1</v>
      </c>
      <c r="Q349">
        <v>3</v>
      </c>
      <c r="R349">
        <v>1</v>
      </c>
      <c r="W349" s="226" t="s">
        <v>746</v>
      </c>
      <c r="X349" s="70" t="s">
        <v>745</v>
      </c>
      <c r="Y349" s="414">
        <v>0.27400000000000002</v>
      </c>
      <c r="Z349" s="70">
        <v>0.24</v>
      </c>
      <c r="AA349" s="70">
        <v>3.4000000000000002E-2</v>
      </c>
      <c r="AB349" s="464" t="s">
        <v>4230</v>
      </c>
      <c r="AC349" s="415">
        <f t="shared" si="5"/>
        <v>0.12408759124087591</v>
      </c>
      <c r="AD349" s="226" t="e">
        <f ca="1">_xlfn.XLOOKUP(X349,'USEEIO metadata'!$C$2:$C$393,'USEEIO metadata'!$H$2:$H$393)</f>
        <v>#NAME?</v>
      </c>
      <c r="AE349" s="226" t="e">
        <f ca="1">_xlfn.XLOOKUP(X349,'USEEIO metadata'!$C$2:$C$393,'USEEIO metadata'!$F$2:$F$393)</f>
        <v>#NAME?</v>
      </c>
      <c r="AF349" s="226" t="e">
        <f ca="1">_xlfn.XLOOKUP(X349,'USEEIO metadata'!$C$2:$C$393,'USEEIO metadata'!$G$2:$G$393)</f>
        <v>#NAME?</v>
      </c>
    </row>
    <row r="350" spans="1:32">
      <c r="A350" t="str">
        <f>_xlfn.IFNA(IF(VLOOKUP(C350,'2016_Detail_Commodity_v1.0'!C:C,1,FALSE)=C350,"No change"),"Name changed")</f>
        <v>No change</v>
      </c>
      <c r="B350" t="s">
        <v>483</v>
      </c>
      <c r="C350" t="s">
        <v>484</v>
      </c>
      <c r="E350" t="s">
        <v>3653</v>
      </c>
      <c r="F350" t="s">
        <v>12</v>
      </c>
      <c r="G350">
        <v>0.60299999999999998</v>
      </c>
      <c r="H350" s="413">
        <f>G350*VLOOKUP(E350,GWPs!$B$3:$C$6,2,FALSE)</f>
        <v>0.60299999999999998</v>
      </c>
      <c r="I350">
        <v>6.7000000000000004E-2</v>
      </c>
      <c r="J350" s="413">
        <f>I350*VLOOKUP(E350,GWPs!$B$3:$C$6,2,FALSE)</f>
        <v>6.7000000000000004E-2</v>
      </c>
      <c r="K350">
        <v>0.66900000000000004</v>
      </c>
      <c r="L350" s="413">
        <f>K350*VLOOKUP(E350,GWPs!$B$3:$C$6,2,FALSE)</f>
        <v>0.66900000000000004</v>
      </c>
      <c r="N350">
        <v>4</v>
      </c>
      <c r="O350">
        <v>2</v>
      </c>
      <c r="P350">
        <v>1</v>
      </c>
      <c r="Q350">
        <v>3</v>
      </c>
      <c r="R350">
        <v>1</v>
      </c>
      <c r="W350" s="226" t="s">
        <v>496</v>
      </c>
      <c r="X350" s="70" t="s">
        <v>495</v>
      </c>
      <c r="Y350" s="414">
        <v>1.86</v>
      </c>
      <c r="Z350" s="70">
        <v>1.7750000000000001</v>
      </c>
      <c r="AA350" s="70">
        <v>8.5000000000000006E-2</v>
      </c>
      <c r="AB350" s="464" t="s">
        <v>4230</v>
      </c>
      <c r="AC350" s="415">
        <f t="shared" si="5"/>
        <v>4.5698924731182797E-2</v>
      </c>
      <c r="AD350" s="226" t="e">
        <f ca="1">_xlfn.XLOOKUP(X350,'USEEIO metadata'!$C$2:$C$393,'USEEIO metadata'!$H$2:$H$393)</f>
        <v>#NAME?</v>
      </c>
      <c r="AE350" s="226" t="e">
        <f ca="1">_xlfn.XLOOKUP(X350,'USEEIO metadata'!$C$2:$C$393,'USEEIO metadata'!$F$2:$F$393)</f>
        <v>#NAME?</v>
      </c>
      <c r="AF350" s="226" t="e">
        <f ca="1">_xlfn.XLOOKUP(X350,'USEEIO metadata'!$C$2:$C$393,'USEEIO metadata'!$G$2:$G$393)</f>
        <v>#NAME?</v>
      </c>
    </row>
    <row r="351" spans="1:32" ht="28.5">
      <c r="A351" t="str">
        <f>_xlfn.IFNA(IF(VLOOKUP(C351,'2016_Detail_Commodity_v1.0'!C:C,1,FALSE)=C351,"No change"),"Name changed")</f>
        <v>No change</v>
      </c>
      <c r="B351" t="s">
        <v>483</v>
      </c>
      <c r="C351" t="s">
        <v>484</v>
      </c>
      <c r="E351" t="s">
        <v>3654</v>
      </c>
      <c r="F351" t="s">
        <v>12</v>
      </c>
      <c r="G351">
        <v>1.6E-2</v>
      </c>
      <c r="H351" s="413">
        <f>G351*VLOOKUP(E351,GWPs!$B$3:$C$6,2,FALSE)</f>
        <v>0.44800000000000001</v>
      </c>
      <c r="I351">
        <v>0</v>
      </c>
      <c r="J351" s="413">
        <f>I351*VLOOKUP(E351,GWPs!$B$3:$C$6,2,FALSE)</f>
        <v>0</v>
      </c>
      <c r="K351">
        <v>1.6E-2</v>
      </c>
      <c r="L351" s="413">
        <f>K351*VLOOKUP(E351,GWPs!$B$3:$C$6,2,FALSE)</f>
        <v>0.44800000000000001</v>
      </c>
      <c r="N351">
        <v>4</v>
      </c>
      <c r="O351">
        <v>2</v>
      </c>
      <c r="P351">
        <v>1</v>
      </c>
      <c r="Q351">
        <v>1</v>
      </c>
      <c r="R351">
        <v>1</v>
      </c>
      <c r="W351" s="226" t="s">
        <v>504</v>
      </c>
      <c r="X351" s="70" t="s">
        <v>503</v>
      </c>
      <c r="Y351" s="414">
        <v>1.1499999999999999</v>
      </c>
      <c r="Z351" s="70">
        <v>1.1279999999999999</v>
      </c>
      <c r="AA351" s="70">
        <v>2.1000000000000001E-2</v>
      </c>
      <c r="AB351" s="464" t="s">
        <v>4230</v>
      </c>
      <c r="AC351" s="415">
        <f t="shared" si="5"/>
        <v>1.8260869565217393E-2</v>
      </c>
      <c r="AD351" s="226" t="e">
        <f ca="1">_xlfn.XLOOKUP(X351,'USEEIO metadata'!$C$2:$C$393,'USEEIO metadata'!$H$2:$H$393)</f>
        <v>#NAME?</v>
      </c>
      <c r="AE351" s="226" t="e">
        <f ca="1">_xlfn.XLOOKUP(X351,'USEEIO metadata'!$C$2:$C$393,'USEEIO metadata'!$F$2:$F$393)</f>
        <v>#NAME?</v>
      </c>
      <c r="AF351" s="226" t="e">
        <f ca="1">_xlfn.XLOOKUP(X351,'USEEIO metadata'!$C$2:$C$393,'USEEIO metadata'!$G$2:$G$393)</f>
        <v>#NAME?</v>
      </c>
    </row>
    <row r="352" spans="1:32">
      <c r="A352" t="str">
        <f>_xlfn.IFNA(IF(VLOOKUP(C352,'2016_Detail_Commodity_v1.0'!C:C,1,FALSE)=C352,"No change"),"Name changed")</f>
        <v>No change</v>
      </c>
      <c r="B352" t="s">
        <v>483</v>
      </c>
      <c r="C352" t="s">
        <v>484</v>
      </c>
      <c r="E352" t="s">
        <v>3655</v>
      </c>
      <c r="F352" t="s">
        <v>12</v>
      </c>
      <c r="G352">
        <v>0</v>
      </c>
      <c r="H352" s="413">
        <f>G352*VLOOKUP(E352,GWPs!$B$3:$C$6,2,FALSE)</f>
        <v>0</v>
      </c>
      <c r="I352">
        <v>0</v>
      </c>
      <c r="J352" s="413">
        <f>I352*VLOOKUP(E352,GWPs!$B$3:$C$6,2,FALSE)</f>
        <v>0</v>
      </c>
      <c r="K352">
        <v>0</v>
      </c>
      <c r="L352" s="413">
        <f>K352*VLOOKUP(E352,GWPs!$B$3:$C$6,2,FALSE)</f>
        <v>0</v>
      </c>
      <c r="N352">
        <v>3</v>
      </c>
      <c r="O352">
        <v>2</v>
      </c>
      <c r="P352">
        <v>1</v>
      </c>
      <c r="Q352">
        <v>3</v>
      </c>
      <c r="R352">
        <v>1</v>
      </c>
      <c r="W352" s="226" t="s">
        <v>924</v>
      </c>
      <c r="X352" s="70" t="s">
        <v>923</v>
      </c>
      <c r="Y352" s="414">
        <v>8.5000000000000006E-2</v>
      </c>
      <c r="Z352" s="70">
        <v>8.5000000000000006E-2</v>
      </c>
      <c r="AA352" s="70">
        <v>0</v>
      </c>
      <c r="AB352" s="464" t="s">
        <v>4230</v>
      </c>
      <c r="AC352" s="415">
        <f t="shared" si="5"/>
        <v>0</v>
      </c>
      <c r="AD352" s="226" t="e">
        <f ca="1">_xlfn.XLOOKUP(X352,'USEEIO metadata'!$C$2:$C$393,'USEEIO metadata'!$H$2:$H$393)</f>
        <v>#NAME?</v>
      </c>
      <c r="AE352" s="226" t="e">
        <f ca="1">_xlfn.XLOOKUP(X352,'USEEIO metadata'!$C$2:$C$393,'USEEIO metadata'!$F$2:$F$393)</f>
        <v>#NAME?</v>
      </c>
      <c r="AF352" s="226" t="e">
        <f ca="1">_xlfn.XLOOKUP(X352,'USEEIO metadata'!$C$2:$C$393,'USEEIO metadata'!$G$2:$G$393)</f>
        <v>#NAME?</v>
      </c>
    </row>
    <row r="353" spans="1:32">
      <c r="A353" t="str">
        <f>_xlfn.IFNA(IF(VLOOKUP(C353,'2016_Detail_Commodity_v1.0'!C:C,1,FALSE)=C353,"No change"),"Name changed")</f>
        <v>No change</v>
      </c>
      <c r="B353" t="s">
        <v>483</v>
      </c>
      <c r="C353" t="s">
        <v>484</v>
      </c>
      <c r="E353" t="s">
        <v>15</v>
      </c>
      <c r="F353" t="s">
        <v>16</v>
      </c>
      <c r="G353">
        <v>4.0000000000000001E-3</v>
      </c>
      <c r="H353" s="413">
        <f>G353*VLOOKUP(E353,GWPs!$B$3:$C$6,2,FALSE)</f>
        <v>4.0000000000000001E-3</v>
      </c>
      <c r="I353">
        <v>0</v>
      </c>
      <c r="J353" s="413">
        <f>I353*VLOOKUP(E353,GWPs!$B$3:$C$6,2,FALSE)</f>
        <v>0</v>
      </c>
      <c r="K353">
        <v>4.0000000000000001E-3</v>
      </c>
      <c r="L353" s="413">
        <f>K353*VLOOKUP(E353,GWPs!$B$3:$C$6,2,FALSE)</f>
        <v>4.0000000000000001E-3</v>
      </c>
      <c r="N353">
        <v>3</v>
      </c>
      <c r="O353">
        <v>2</v>
      </c>
      <c r="P353">
        <v>1</v>
      </c>
      <c r="Q353">
        <v>3</v>
      </c>
      <c r="R353">
        <v>1</v>
      </c>
      <c r="W353" s="226" t="s">
        <v>694</v>
      </c>
      <c r="X353" s="70" t="s">
        <v>693</v>
      </c>
      <c r="Y353" s="414">
        <v>0.19400000000000001</v>
      </c>
      <c r="Z353" s="70">
        <v>6.9000000000000006E-2</v>
      </c>
      <c r="AA353" s="70">
        <v>9.7000000000000003E-2</v>
      </c>
      <c r="AB353" s="464" t="s">
        <v>4231</v>
      </c>
      <c r="AC353" s="415">
        <f t="shared" si="5"/>
        <v>0.5</v>
      </c>
      <c r="AD353" s="226" t="e">
        <f ca="1">_xlfn.XLOOKUP(X353,'USEEIO metadata'!$C$2:$C$393,'USEEIO metadata'!$H$2:$H$393)</f>
        <v>#NAME?</v>
      </c>
      <c r="AE353" s="226" t="e">
        <f ca="1">_xlfn.XLOOKUP(X353,'USEEIO metadata'!$C$2:$C$393,'USEEIO metadata'!$F$2:$F$393)</f>
        <v>#NAME?</v>
      </c>
      <c r="AF353" s="226" t="e">
        <f ca="1">_xlfn.XLOOKUP(X353,'USEEIO metadata'!$C$2:$C$393,'USEEIO metadata'!$G$2:$G$393)</f>
        <v>#NAME?</v>
      </c>
    </row>
    <row r="354" spans="1:32">
      <c r="A354" t="str">
        <f>_xlfn.IFNA(IF(VLOOKUP(C354,'2016_Detail_Commodity_v1.0'!C:C,1,FALSE)=C354,"No change"),"Name changed")</f>
        <v>No change</v>
      </c>
      <c r="B354" t="s">
        <v>485</v>
      </c>
      <c r="C354" t="s">
        <v>486</v>
      </c>
      <c r="E354" t="s">
        <v>3653</v>
      </c>
      <c r="F354" t="s">
        <v>12</v>
      </c>
      <c r="G354">
        <v>1.1000000000000001</v>
      </c>
      <c r="H354" s="413">
        <f>G354*VLOOKUP(E354,GWPs!$B$3:$C$6,2,FALSE)</f>
        <v>1.1000000000000001</v>
      </c>
      <c r="I354">
        <v>4.1000000000000002E-2</v>
      </c>
      <c r="J354" s="413">
        <f>I354*VLOOKUP(E354,GWPs!$B$3:$C$6,2,FALSE)</f>
        <v>4.1000000000000002E-2</v>
      </c>
      <c r="K354">
        <v>1.141</v>
      </c>
      <c r="L354" s="413">
        <f>K354*VLOOKUP(E354,GWPs!$B$3:$C$6,2,FALSE)</f>
        <v>1.141</v>
      </c>
      <c r="N354">
        <v>4</v>
      </c>
      <c r="O354">
        <v>2</v>
      </c>
      <c r="P354">
        <v>1</v>
      </c>
      <c r="Q354">
        <v>4</v>
      </c>
      <c r="R354">
        <v>1</v>
      </c>
      <c r="W354" s="226" t="s">
        <v>954</v>
      </c>
      <c r="X354" s="70" t="s">
        <v>953</v>
      </c>
      <c r="Y354" s="414">
        <v>9.0000000000000011E-3</v>
      </c>
      <c r="Z354" s="70">
        <v>9.0000000000000011E-3</v>
      </c>
      <c r="AA354" s="70">
        <v>0</v>
      </c>
      <c r="AB354" s="464" t="s">
        <v>4230</v>
      </c>
      <c r="AC354" s="415">
        <f t="shared" si="5"/>
        <v>0</v>
      </c>
      <c r="AD354" s="226" t="e">
        <f ca="1">_xlfn.XLOOKUP(X354,'USEEIO metadata'!$C$2:$C$393,'USEEIO metadata'!$H$2:$H$393)</f>
        <v>#NAME?</v>
      </c>
      <c r="AE354" s="226" t="e">
        <f ca="1">_xlfn.XLOOKUP(X354,'USEEIO metadata'!$C$2:$C$393,'USEEIO metadata'!$F$2:$F$393)</f>
        <v>#NAME?</v>
      </c>
      <c r="AF354" s="226" t="e">
        <f ca="1">_xlfn.XLOOKUP(X354,'USEEIO metadata'!$C$2:$C$393,'USEEIO metadata'!$G$2:$G$393)</f>
        <v>#NAME?</v>
      </c>
    </row>
    <row r="355" spans="1:32">
      <c r="A355" t="str">
        <f>_xlfn.IFNA(IF(VLOOKUP(C355,'2016_Detail_Commodity_v1.0'!C:C,1,FALSE)=C355,"No change"),"Name changed")</f>
        <v>No change</v>
      </c>
      <c r="B355" t="s">
        <v>485</v>
      </c>
      <c r="C355" t="s">
        <v>486</v>
      </c>
      <c r="E355" t="s">
        <v>3654</v>
      </c>
      <c r="F355" t="s">
        <v>12</v>
      </c>
      <c r="G355">
        <v>6.0000000000000001E-3</v>
      </c>
      <c r="H355" s="413">
        <f>G355*VLOOKUP(E355,GWPs!$B$3:$C$6,2,FALSE)</f>
        <v>0.16800000000000001</v>
      </c>
      <c r="I355">
        <v>0</v>
      </c>
      <c r="J355" s="413">
        <f>I355*VLOOKUP(E355,GWPs!$B$3:$C$6,2,FALSE)</f>
        <v>0</v>
      </c>
      <c r="K355">
        <v>6.0000000000000001E-3</v>
      </c>
      <c r="L355" s="413">
        <f>K355*VLOOKUP(E355,GWPs!$B$3:$C$6,2,FALSE)</f>
        <v>0.16800000000000001</v>
      </c>
      <c r="N355">
        <v>4</v>
      </c>
      <c r="O355">
        <v>2</v>
      </c>
      <c r="P355">
        <v>1</v>
      </c>
      <c r="Q355">
        <v>1</v>
      </c>
      <c r="R355">
        <v>1</v>
      </c>
      <c r="W355" s="226" t="s">
        <v>331</v>
      </c>
      <c r="X355" s="70" t="s">
        <v>330</v>
      </c>
      <c r="Y355" s="414">
        <v>0.30099999999999999</v>
      </c>
      <c r="Z355" s="70">
        <v>0.215</v>
      </c>
      <c r="AA355" s="70">
        <v>5.8999999999999997E-2</v>
      </c>
      <c r="AB355" s="464" t="s">
        <v>4230</v>
      </c>
      <c r="AC355" s="415">
        <f t="shared" si="5"/>
        <v>0.19601328903654486</v>
      </c>
      <c r="AD355" s="226" t="e">
        <f ca="1">_xlfn.XLOOKUP(X355,'USEEIO metadata'!$C$2:$C$393,'USEEIO metadata'!$H$2:$H$393)</f>
        <v>#NAME?</v>
      </c>
      <c r="AE355" s="226" t="e">
        <f ca="1">_xlfn.XLOOKUP(X355,'USEEIO metadata'!$C$2:$C$393,'USEEIO metadata'!$F$2:$F$393)</f>
        <v>#NAME?</v>
      </c>
      <c r="AF355" s="226" t="e">
        <f ca="1">_xlfn.XLOOKUP(X355,'USEEIO metadata'!$C$2:$C$393,'USEEIO metadata'!$G$2:$G$393)</f>
        <v>#NAME?</v>
      </c>
    </row>
    <row r="356" spans="1:32">
      <c r="A356" t="str">
        <f>_xlfn.IFNA(IF(VLOOKUP(C356,'2016_Detail_Commodity_v1.0'!C:C,1,FALSE)=C356,"No change"),"Name changed")</f>
        <v>No change</v>
      </c>
      <c r="B356" t="s">
        <v>485</v>
      </c>
      <c r="C356" t="s">
        <v>486</v>
      </c>
      <c r="E356" t="s">
        <v>3655</v>
      </c>
      <c r="F356" t="s">
        <v>12</v>
      </c>
      <c r="G356">
        <v>0</v>
      </c>
      <c r="H356" s="413">
        <f>G356*VLOOKUP(E356,GWPs!$B$3:$C$6,2,FALSE)</f>
        <v>0</v>
      </c>
      <c r="I356">
        <v>0</v>
      </c>
      <c r="J356" s="413">
        <f>I356*VLOOKUP(E356,GWPs!$B$3:$C$6,2,FALSE)</f>
        <v>0</v>
      </c>
      <c r="K356">
        <v>0</v>
      </c>
      <c r="L356" s="413">
        <f>K356*VLOOKUP(E356,GWPs!$B$3:$C$6,2,FALSE)</f>
        <v>0</v>
      </c>
      <c r="N356">
        <v>3</v>
      </c>
      <c r="O356">
        <v>2</v>
      </c>
      <c r="P356">
        <v>1</v>
      </c>
      <c r="Q356">
        <v>3</v>
      </c>
      <c r="R356">
        <v>1</v>
      </c>
      <c r="W356" s="226" t="s">
        <v>438</v>
      </c>
      <c r="X356" s="70" t="s">
        <v>437</v>
      </c>
      <c r="Y356" s="414">
        <v>0.156</v>
      </c>
      <c r="Z356" s="70">
        <v>7.4999999999999997E-2</v>
      </c>
      <c r="AA356" s="70">
        <v>5.2999999999999999E-2</v>
      </c>
      <c r="AB356" s="464" t="s">
        <v>4230</v>
      </c>
      <c r="AC356" s="415">
        <f t="shared" si="5"/>
        <v>0.33974358974358976</v>
      </c>
      <c r="AD356" s="226" t="e">
        <f ca="1">_xlfn.XLOOKUP(X356,'USEEIO metadata'!$C$2:$C$393,'USEEIO metadata'!$H$2:$H$393)</f>
        <v>#NAME?</v>
      </c>
      <c r="AE356" s="226" t="e">
        <f ca="1">_xlfn.XLOOKUP(X356,'USEEIO metadata'!$C$2:$C$393,'USEEIO metadata'!$F$2:$F$393)</f>
        <v>#NAME?</v>
      </c>
      <c r="AF356" s="226" t="e">
        <f ca="1">_xlfn.XLOOKUP(X356,'USEEIO metadata'!$C$2:$C$393,'USEEIO metadata'!$G$2:$G$393)</f>
        <v>#NAME?</v>
      </c>
    </row>
    <row r="357" spans="1:32" ht="42.75">
      <c r="A357" t="str">
        <f>_xlfn.IFNA(IF(VLOOKUP(C357,'2016_Detail_Commodity_v1.0'!C:C,1,FALSE)=C357,"No change"),"Name changed")</f>
        <v>No change</v>
      </c>
      <c r="B357" t="s">
        <v>485</v>
      </c>
      <c r="C357" t="s">
        <v>486</v>
      </c>
      <c r="E357" t="s">
        <v>15</v>
      </c>
      <c r="F357" t="s">
        <v>16</v>
      </c>
      <c r="G357">
        <v>7.0000000000000001E-3</v>
      </c>
      <c r="H357" s="413">
        <f>G357*VLOOKUP(E357,GWPs!$B$3:$C$6,2,FALSE)</f>
        <v>7.0000000000000001E-3</v>
      </c>
      <c r="I357">
        <v>0</v>
      </c>
      <c r="J357" s="413">
        <f>I357*VLOOKUP(E357,GWPs!$B$3:$C$6,2,FALSE)</f>
        <v>0</v>
      </c>
      <c r="K357">
        <v>7.0000000000000001E-3</v>
      </c>
      <c r="L357" s="413">
        <f>K357*VLOOKUP(E357,GWPs!$B$3:$C$6,2,FALSE)</f>
        <v>7.0000000000000001E-3</v>
      </c>
      <c r="N357">
        <v>4</v>
      </c>
      <c r="O357">
        <v>2</v>
      </c>
      <c r="P357">
        <v>1</v>
      </c>
      <c r="Q357">
        <v>4</v>
      </c>
      <c r="R357">
        <v>1</v>
      </c>
      <c r="W357" s="226" t="s">
        <v>321</v>
      </c>
      <c r="X357" s="70" t="s">
        <v>320</v>
      </c>
      <c r="Y357" s="414">
        <v>1.554</v>
      </c>
      <c r="Z357" s="70">
        <v>1.401</v>
      </c>
      <c r="AA357" s="70">
        <v>0.153</v>
      </c>
      <c r="AB357" s="464" t="s">
        <v>4230</v>
      </c>
      <c r="AC357" s="415">
        <f t="shared" si="5"/>
        <v>9.8455598455598453E-2</v>
      </c>
      <c r="AD357" s="226" t="e">
        <f ca="1">_xlfn.XLOOKUP(X357,'USEEIO metadata'!$C$2:$C$393,'USEEIO metadata'!$H$2:$H$393)</f>
        <v>#NAME?</v>
      </c>
      <c r="AE357" s="226" t="e">
        <f ca="1">_xlfn.XLOOKUP(X357,'USEEIO metadata'!$C$2:$C$393,'USEEIO metadata'!$F$2:$F$393)</f>
        <v>#NAME?</v>
      </c>
      <c r="AF357" s="226" t="e">
        <f ca="1">_xlfn.XLOOKUP(X357,'USEEIO metadata'!$C$2:$C$393,'USEEIO metadata'!$G$2:$G$393)</f>
        <v>#NAME?</v>
      </c>
    </row>
    <row r="358" spans="1:32">
      <c r="A358" t="str">
        <f>_xlfn.IFNA(IF(VLOOKUP(C358,'2016_Detail_Commodity_v1.0'!C:C,1,FALSE)=C358,"No change"),"Name changed")</f>
        <v>No change</v>
      </c>
      <c r="B358" t="s">
        <v>487</v>
      </c>
      <c r="C358" t="s">
        <v>488</v>
      </c>
      <c r="E358" t="s">
        <v>3653</v>
      </c>
      <c r="F358" t="s">
        <v>12</v>
      </c>
      <c r="G358">
        <v>0.84699999999999998</v>
      </c>
      <c r="H358" s="413">
        <f>G358*VLOOKUP(E358,GWPs!$B$3:$C$6,2,FALSE)</f>
        <v>0.84699999999999998</v>
      </c>
      <c r="I358">
        <v>3.9E-2</v>
      </c>
      <c r="J358" s="413">
        <f>I358*VLOOKUP(E358,GWPs!$B$3:$C$6,2,FALSE)</f>
        <v>3.9E-2</v>
      </c>
      <c r="K358">
        <v>0.88500000000000001</v>
      </c>
      <c r="L358" s="413">
        <f>K358*VLOOKUP(E358,GWPs!$B$3:$C$6,2,FALSE)</f>
        <v>0.88500000000000001</v>
      </c>
      <c r="N358">
        <v>4</v>
      </c>
      <c r="O358">
        <v>2</v>
      </c>
      <c r="P358">
        <v>1</v>
      </c>
      <c r="Q358">
        <v>4</v>
      </c>
      <c r="R358">
        <v>1</v>
      </c>
      <c r="W358" s="226" t="s">
        <v>524</v>
      </c>
      <c r="X358" s="70" t="s">
        <v>523</v>
      </c>
      <c r="Y358" s="414">
        <v>0.24399999999999999</v>
      </c>
      <c r="Z358" s="70">
        <v>0.125</v>
      </c>
      <c r="AA358" s="70">
        <v>9.0999999999999998E-2</v>
      </c>
      <c r="AB358" s="464" t="s">
        <v>4231</v>
      </c>
      <c r="AC358" s="415">
        <f t="shared" si="5"/>
        <v>0.37295081967213117</v>
      </c>
      <c r="AD358" s="226" t="e">
        <f ca="1">_xlfn.XLOOKUP(X358,'USEEIO metadata'!$C$2:$C$393,'USEEIO metadata'!$H$2:$H$393)</f>
        <v>#NAME?</v>
      </c>
      <c r="AE358" s="226" t="e">
        <f ca="1">_xlfn.XLOOKUP(X358,'USEEIO metadata'!$C$2:$C$393,'USEEIO metadata'!$F$2:$F$393)</f>
        <v>#NAME?</v>
      </c>
      <c r="AF358" s="226" t="e">
        <f ca="1">_xlfn.XLOOKUP(X358,'USEEIO metadata'!$C$2:$C$393,'USEEIO metadata'!$G$2:$G$393)</f>
        <v>#NAME?</v>
      </c>
    </row>
    <row r="359" spans="1:32" ht="28.5">
      <c r="A359" t="str">
        <f>_xlfn.IFNA(IF(VLOOKUP(C359,'2016_Detail_Commodity_v1.0'!C:C,1,FALSE)=C359,"No change"),"Name changed")</f>
        <v>No change</v>
      </c>
      <c r="B359" t="s">
        <v>487</v>
      </c>
      <c r="C359" t="s">
        <v>488</v>
      </c>
      <c r="E359" t="s">
        <v>3654</v>
      </c>
      <c r="F359" t="s">
        <v>12</v>
      </c>
      <c r="G359">
        <v>4.0000000000000001E-3</v>
      </c>
      <c r="H359" s="413">
        <f>G359*VLOOKUP(E359,GWPs!$B$3:$C$6,2,FALSE)</f>
        <v>0.112</v>
      </c>
      <c r="I359">
        <v>0</v>
      </c>
      <c r="J359" s="413">
        <f>I359*VLOOKUP(E359,GWPs!$B$3:$C$6,2,FALSE)</f>
        <v>0</v>
      </c>
      <c r="K359">
        <v>5.0000000000000001E-3</v>
      </c>
      <c r="L359" s="413">
        <f>K359*VLOOKUP(E359,GWPs!$B$3:$C$6,2,FALSE)</f>
        <v>0.14000000000000001</v>
      </c>
      <c r="N359">
        <v>4</v>
      </c>
      <c r="O359">
        <v>2</v>
      </c>
      <c r="P359">
        <v>1</v>
      </c>
      <c r="Q359">
        <v>1</v>
      </c>
      <c r="R359">
        <v>1</v>
      </c>
      <c r="W359" s="226" t="s">
        <v>780</v>
      </c>
      <c r="X359" s="70" t="s">
        <v>779</v>
      </c>
      <c r="Y359" s="414">
        <v>0.37900000000000006</v>
      </c>
      <c r="Z359" s="70">
        <v>0.34500000000000003</v>
      </c>
      <c r="AA359" s="70">
        <v>3.4000000000000002E-2</v>
      </c>
      <c r="AB359" s="464" t="s">
        <v>4230</v>
      </c>
      <c r="AC359" s="415">
        <f t="shared" si="5"/>
        <v>8.9709762532981518E-2</v>
      </c>
      <c r="AD359" s="226" t="e">
        <f ca="1">_xlfn.XLOOKUP(X359,'USEEIO metadata'!$C$2:$C$393,'USEEIO metadata'!$H$2:$H$393)</f>
        <v>#NAME?</v>
      </c>
      <c r="AE359" s="226" t="e">
        <f ca="1">_xlfn.XLOOKUP(X359,'USEEIO metadata'!$C$2:$C$393,'USEEIO metadata'!$F$2:$F$393)</f>
        <v>#NAME?</v>
      </c>
      <c r="AF359" s="226" t="e">
        <f ca="1">_xlfn.XLOOKUP(X359,'USEEIO metadata'!$C$2:$C$393,'USEEIO metadata'!$G$2:$G$393)</f>
        <v>#NAME?</v>
      </c>
    </row>
    <row r="360" spans="1:32" ht="28.5">
      <c r="A360" t="str">
        <f>_xlfn.IFNA(IF(VLOOKUP(C360,'2016_Detail_Commodity_v1.0'!C:C,1,FALSE)=C360,"No change"),"Name changed")</f>
        <v>No change</v>
      </c>
      <c r="B360" t="s">
        <v>487</v>
      </c>
      <c r="C360" t="s">
        <v>488</v>
      </c>
      <c r="E360" t="s">
        <v>3655</v>
      </c>
      <c r="F360" t="s">
        <v>12</v>
      </c>
      <c r="G360">
        <v>0</v>
      </c>
      <c r="H360" s="413">
        <f>G360*VLOOKUP(E360,GWPs!$B$3:$C$6,2,FALSE)</f>
        <v>0</v>
      </c>
      <c r="I360">
        <v>0</v>
      </c>
      <c r="J360" s="413">
        <f>I360*VLOOKUP(E360,GWPs!$B$3:$C$6,2,FALSE)</f>
        <v>0</v>
      </c>
      <c r="K360">
        <v>0</v>
      </c>
      <c r="L360" s="413">
        <f>K360*VLOOKUP(E360,GWPs!$B$3:$C$6,2,FALSE)</f>
        <v>0</v>
      </c>
      <c r="N360">
        <v>3</v>
      </c>
      <c r="O360">
        <v>2</v>
      </c>
      <c r="P360">
        <v>1</v>
      </c>
      <c r="Q360">
        <v>3</v>
      </c>
      <c r="R360">
        <v>1</v>
      </c>
      <c r="W360" s="226" t="s">
        <v>1002</v>
      </c>
      <c r="X360" s="70" t="s">
        <v>1001</v>
      </c>
      <c r="Y360" s="414">
        <v>9.7000000000000003E-2</v>
      </c>
      <c r="Z360" s="70">
        <v>9.7000000000000003E-2</v>
      </c>
      <c r="AA360" s="70">
        <v>0</v>
      </c>
      <c r="AB360" s="464" t="s">
        <v>4230</v>
      </c>
      <c r="AC360" s="415">
        <f t="shared" si="5"/>
        <v>0</v>
      </c>
      <c r="AD360" s="226" t="e">
        <f ca="1">_xlfn.XLOOKUP(X360,'USEEIO metadata'!$C$2:$C$393,'USEEIO metadata'!$H$2:$H$393)</f>
        <v>#NAME?</v>
      </c>
      <c r="AE360" s="226" t="e">
        <f ca="1">_xlfn.XLOOKUP(X360,'USEEIO metadata'!$C$2:$C$393,'USEEIO metadata'!$F$2:$F$393)</f>
        <v>#NAME?</v>
      </c>
      <c r="AF360" s="226" t="e">
        <f ca="1">_xlfn.XLOOKUP(X360,'USEEIO metadata'!$C$2:$C$393,'USEEIO metadata'!$G$2:$G$393)</f>
        <v>#NAME?</v>
      </c>
    </row>
    <row r="361" spans="1:32">
      <c r="A361" t="str">
        <f>_xlfn.IFNA(IF(VLOOKUP(C361,'2016_Detail_Commodity_v1.0'!C:C,1,FALSE)=C361,"No change"),"Name changed")</f>
        <v>No change</v>
      </c>
      <c r="B361" t="s">
        <v>487</v>
      </c>
      <c r="C361" t="s">
        <v>488</v>
      </c>
      <c r="E361" t="s">
        <v>15</v>
      </c>
      <c r="F361" t="s">
        <v>16</v>
      </c>
      <c r="G361">
        <v>4.0000000000000001E-3</v>
      </c>
      <c r="H361" s="413">
        <f>G361*VLOOKUP(E361,GWPs!$B$3:$C$6,2,FALSE)</f>
        <v>4.0000000000000001E-3</v>
      </c>
      <c r="I361">
        <v>0</v>
      </c>
      <c r="J361" s="413">
        <f>I361*VLOOKUP(E361,GWPs!$B$3:$C$6,2,FALSE)</f>
        <v>0</v>
      </c>
      <c r="K361">
        <v>4.0000000000000001E-3</v>
      </c>
      <c r="L361" s="413">
        <f>K361*VLOOKUP(E361,GWPs!$B$3:$C$6,2,FALSE)</f>
        <v>4.0000000000000001E-3</v>
      </c>
      <c r="N361">
        <v>3</v>
      </c>
      <c r="O361">
        <v>2</v>
      </c>
      <c r="P361">
        <v>1</v>
      </c>
      <c r="Q361">
        <v>3</v>
      </c>
      <c r="R361">
        <v>1</v>
      </c>
      <c r="W361" s="226" t="s">
        <v>774</v>
      </c>
      <c r="X361" s="70" t="s">
        <v>773</v>
      </c>
      <c r="Y361" s="414">
        <v>0.33500000000000002</v>
      </c>
      <c r="Z361" s="70">
        <v>0.28599999999999998</v>
      </c>
      <c r="AA361" s="70">
        <v>4.9000000000000002E-2</v>
      </c>
      <c r="AB361" s="464" t="s">
        <v>4230</v>
      </c>
      <c r="AC361" s="415">
        <f t="shared" si="5"/>
        <v>0.14626865671641789</v>
      </c>
      <c r="AD361" s="226" t="e">
        <f ca="1">_xlfn.XLOOKUP(X361,'USEEIO metadata'!$C$2:$C$393,'USEEIO metadata'!$H$2:$H$393)</f>
        <v>#NAME?</v>
      </c>
      <c r="AE361" s="226" t="e">
        <f ca="1">_xlfn.XLOOKUP(X361,'USEEIO metadata'!$C$2:$C$393,'USEEIO metadata'!$F$2:$F$393)</f>
        <v>#NAME?</v>
      </c>
      <c r="AF361" s="226" t="e">
        <f ca="1">_xlfn.XLOOKUP(X361,'USEEIO metadata'!$C$2:$C$393,'USEEIO metadata'!$G$2:$G$393)</f>
        <v>#NAME?</v>
      </c>
    </row>
    <row r="362" spans="1:32">
      <c r="A362" t="str">
        <f>_xlfn.IFNA(IF(VLOOKUP(C362,'2016_Detail_Commodity_v1.0'!C:C,1,FALSE)=C362,"No change"),"Name changed")</f>
        <v>No change</v>
      </c>
      <c r="B362" t="s">
        <v>489</v>
      </c>
      <c r="C362" t="s">
        <v>490</v>
      </c>
      <c r="E362" t="s">
        <v>3653</v>
      </c>
      <c r="F362" t="s">
        <v>12</v>
      </c>
      <c r="G362">
        <v>0.64600000000000002</v>
      </c>
      <c r="H362" s="413">
        <f>G362*VLOOKUP(E362,GWPs!$B$3:$C$6,2,FALSE)</f>
        <v>0.64600000000000002</v>
      </c>
      <c r="I362">
        <v>6.8000000000000005E-2</v>
      </c>
      <c r="J362" s="413">
        <f>I362*VLOOKUP(E362,GWPs!$B$3:$C$6,2,FALSE)</f>
        <v>6.8000000000000005E-2</v>
      </c>
      <c r="K362">
        <v>0.71399999999999997</v>
      </c>
      <c r="L362" s="413">
        <f>K362*VLOOKUP(E362,GWPs!$B$3:$C$6,2,FALSE)</f>
        <v>0.71399999999999997</v>
      </c>
      <c r="N362">
        <v>4</v>
      </c>
      <c r="O362">
        <v>2</v>
      </c>
      <c r="P362">
        <v>1</v>
      </c>
      <c r="Q362">
        <v>4</v>
      </c>
      <c r="R362">
        <v>1</v>
      </c>
      <c r="W362" s="226" t="s">
        <v>770</v>
      </c>
      <c r="X362" s="70" t="s">
        <v>769</v>
      </c>
      <c r="Y362" s="414">
        <v>0.33900000000000002</v>
      </c>
      <c r="Z362" s="70">
        <v>0.30499999999999999</v>
      </c>
      <c r="AA362" s="70">
        <v>3.4000000000000002E-2</v>
      </c>
      <c r="AB362" s="464" t="s">
        <v>4230</v>
      </c>
      <c r="AC362" s="415">
        <f t="shared" si="5"/>
        <v>0.10029498525073746</v>
      </c>
      <c r="AD362" s="226" t="e">
        <f ca="1">_xlfn.XLOOKUP(X362,'USEEIO metadata'!$C$2:$C$393,'USEEIO metadata'!$H$2:$H$393)</f>
        <v>#NAME?</v>
      </c>
      <c r="AE362" s="226" t="e">
        <f ca="1">_xlfn.XLOOKUP(X362,'USEEIO metadata'!$C$2:$C$393,'USEEIO metadata'!$F$2:$F$393)</f>
        <v>#NAME?</v>
      </c>
      <c r="AF362" s="226" t="e">
        <f ca="1">_xlfn.XLOOKUP(X362,'USEEIO metadata'!$C$2:$C$393,'USEEIO metadata'!$G$2:$G$393)</f>
        <v>#NAME?</v>
      </c>
    </row>
    <row r="363" spans="1:32">
      <c r="A363" t="str">
        <f>_xlfn.IFNA(IF(VLOOKUP(C363,'2016_Detail_Commodity_v1.0'!C:C,1,FALSE)=C363,"No change"),"Name changed")</f>
        <v>No change</v>
      </c>
      <c r="B363" t="s">
        <v>489</v>
      </c>
      <c r="C363" t="s">
        <v>490</v>
      </c>
      <c r="E363" t="s">
        <v>3654</v>
      </c>
      <c r="F363" t="s">
        <v>12</v>
      </c>
      <c r="G363">
        <v>8.0000000000000002E-3</v>
      </c>
      <c r="H363" s="413">
        <f>G363*VLOOKUP(E363,GWPs!$B$3:$C$6,2,FALSE)</f>
        <v>0.224</v>
      </c>
      <c r="I363">
        <v>1E-3</v>
      </c>
      <c r="J363" s="413">
        <f>I363*VLOOKUP(E363,GWPs!$B$3:$C$6,2,FALSE)</f>
        <v>2.8000000000000001E-2</v>
      </c>
      <c r="K363">
        <v>8.9999999999999993E-3</v>
      </c>
      <c r="L363" s="413">
        <f>K363*VLOOKUP(E363,GWPs!$B$3:$C$6,2,FALSE)</f>
        <v>0.252</v>
      </c>
      <c r="N363">
        <v>4</v>
      </c>
      <c r="O363">
        <v>2</v>
      </c>
      <c r="P363">
        <v>1</v>
      </c>
      <c r="Q363">
        <v>1</v>
      </c>
      <c r="R363">
        <v>1</v>
      </c>
      <c r="W363" s="226" t="s">
        <v>890</v>
      </c>
      <c r="X363" s="70" t="s">
        <v>889</v>
      </c>
      <c r="Y363" s="414">
        <v>1.341</v>
      </c>
      <c r="Z363" s="70">
        <v>1.341</v>
      </c>
      <c r="AA363" s="70">
        <v>0</v>
      </c>
      <c r="AB363" s="464" t="s">
        <v>4230</v>
      </c>
      <c r="AC363" s="415">
        <f t="shared" si="5"/>
        <v>0</v>
      </c>
      <c r="AD363" s="226" t="e">
        <f ca="1">_xlfn.XLOOKUP(X363,'USEEIO metadata'!$C$2:$C$393,'USEEIO metadata'!$H$2:$H$393)</f>
        <v>#NAME?</v>
      </c>
      <c r="AE363" s="226" t="e">
        <f ca="1">_xlfn.XLOOKUP(X363,'USEEIO metadata'!$C$2:$C$393,'USEEIO metadata'!$F$2:$F$393)</f>
        <v>#NAME?</v>
      </c>
      <c r="AF363" s="226" t="e">
        <f ca="1">_xlfn.XLOOKUP(X363,'USEEIO metadata'!$C$2:$C$393,'USEEIO metadata'!$G$2:$G$393)</f>
        <v>#NAME?</v>
      </c>
    </row>
    <row r="364" spans="1:32" ht="28.5">
      <c r="A364" t="str">
        <f>_xlfn.IFNA(IF(VLOOKUP(C364,'2016_Detail_Commodity_v1.0'!C:C,1,FALSE)=C364,"No change"),"Name changed")</f>
        <v>No change</v>
      </c>
      <c r="B364" t="s">
        <v>489</v>
      </c>
      <c r="C364" t="s">
        <v>490</v>
      </c>
      <c r="E364" t="s">
        <v>3655</v>
      </c>
      <c r="F364" t="s">
        <v>12</v>
      </c>
      <c r="G364">
        <v>0</v>
      </c>
      <c r="H364" s="413">
        <f>G364*VLOOKUP(E364,GWPs!$B$3:$C$6,2,FALSE)</f>
        <v>0</v>
      </c>
      <c r="I364">
        <v>0</v>
      </c>
      <c r="J364" s="413">
        <f>I364*VLOOKUP(E364,GWPs!$B$3:$C$6,2,FALSE)</f>
        <v>0</v>
      </c>
      <c r="K364">
        <v>0</v>
      </c>
      <c r="L364" s="413">
        <f>K364*VLOOKUP(E364,GWPs!$B$3:$C$6,2,FALSE)</f>
        <v>0</v>
      </c>
      <c r="N364">
        <v>4</v>
      </c>
      <c r="O364">
        <v>2</v>
      </c>
      <c r="P364">
        <v>1</v>
      </c>
      <c r="Q364">
        <v>3</v>
      </c>
      <c r="R364">
        <v>1</v>
      </c>
      <c r="W364" s="226" t="s">
        <v>664</v>
      </c>
      <c r="X364" s="70" t="s">
        <v>663</v>
      </c>
      <c r="Y364" s="414">
        <v>0.28100000000000003</v>
      </c>
      <c r="Z364" s="70">
        <v>0.249</v>
      </c>
      <c r="AA364" s="70">
        <v>3.3000000000000002E-2</v>
      </c>
      <c r="AB364" s="464" t="s">
        <v>4230</v>
      </c>
      <c r="AC364" s="415">
        <f t="shared" si="5"/>
        <v>0.11743772241992882</v>
      </c>
      <c r="AD364" s="226" t="e">
        <f ca="1">_xlfn.XLOOKUP(X364,'USEEIO metadata'!$C$2:$C$393,'USEEIO metadata'!$H$2:$H$393)</f>
        <v>#NAME?</v>
      </c>
      <c r="AE364" s="226" t="e">
        <f ca="1">_xlfn.XLOOKUP(X364,'USEEIO metadata'!$C$2:$C$393,'USEEIO metadata'!$F$2:$F$393)</f>
        <v>#NAME?</v>
      </c>
      <c r="AF364" s="226" t="e">
        <f ca="1">_xlfn.XLOOKUP(X364,'USEEIO metadata'!$C$2:$C$393,'USEEIO metadata'!$G$2:$G$393)</f>
        <v>#NAME?</v>
      </c>
    </row>
    <row r="365" spans="1:32">
      <c r="A365" t="str">
        <f>_xlfn.IFNA(IF(VLOOKUP(C365,'2016_Detail_Commodity_v1.0'!C:C,1,FALSE)=C365,"No change"),"Name changed")</f>
        <v>No change</v>
      </c>
      <c r="B365" t="s">
        <v>489</v>
      </c>
      <c r="C365" t="s">
        <v>490</v>
      </c>
      <c r="E365" t="s">
        <v>15</v>
      </c>
      <c r="F365" t="s">
        <v>16</v>
      </c>
      <c r="G365">
        <v>5.0000000000000001E-3</v>
      </c>
      <c r="H365" s="413">
        <f>G365*VLOOKUP(E365,GWPs!$B$3:$C$6,2,FALSE)</f>
        <v>5.0000000000000001E-3</v>
      </c>
      <c r="I365">
        <v>0</v>
      </c>
      <c r="J365" s="413">
        <f>I365*VLOOKUP(E365,GWPs!$B$3:$C$6,2,FALSE)</f>
        <v>0</v>
      </c>
      <c r="K365">
        <v>5.0000000000000001E-3</v>
      </c>
      <c r="L365" s="413">
        <f>K365*VLOOKUP(E365,GWPs!$B$3:$C$6,2,FALSE)</f>
        <v>5.0000000000000001E-3</v>
      </c>
      <c r="N365">
        <v>3</v>
      </c>
      <c r="O365">
        <v>2</v>
      </c>
      <c r="P365">
        <v>1</v>
      </c>
      <c r="Q365">
        <v>4</v>
      </c>
      <c r="R365">
        <v>1</v>
      </c>
      <c r="W365" s="226" t="s">
        <v>337</v>
      </c>
      <c r="X365" s="70" t="s">
        <v>336</v>
      </c>
      <c r="Y365" s="414">
        <v>1.1930000000000001</v>
      </c>
      <c r="Z365" s="70">
        <v>1.1160000000000001</v>
      </c>
      <c r="AA365" s="70">
        <v>7.6999999999999999E-2</v>
      </c>
      <c r="AB365" s="464" t="s">
        <v>4230</v>
      </c>
      <c r="AC365" s="415">
        <f t="shared" si="5"/>
        <v>6.4543168482816424E-2</v>
      </c>
      <c r="AD365" s="226" t="e">
        <f ca="1">_xlfn.XLOOKUP(X365,'USEEIO metadata'!$C$2:$C$393,'USEEIO metadata'!$H$2:$H$393)</f>
        <v>#NAME?</v>
      </c>
      <c r="AE365" s="226" t="e">
        <f ca="1">_xlfn.XLOOKUP(X365,'USEEIO metadata'!$C$2:$C$393,'USEEIO metadata'!$F$2:$F$393)</f>
        <v>#NAME?</v>
      </c>
      <c r="AF365" s="226" t="e">
        <f ca="1">_xlfn.XLOOKUP(X365,'USEEIO metadata'!$C$2:$C$393,'USEEIO metadata'!$G$2:$G$393)</f>
        <v>#NAME?</v>
      </c>
    </row>
    <row r="366" spans="1:32" ht="28.5">
      <c r="A366" t="str">
        <f>_xlfn.IFNA(IF(VLOOKUP(C366,'2016_Detail_Commodity_v1.0'!C:C,1,FALSE)=C366,"No change"),"Name changed")</f>
        <v>No change</v>
      </c>
      <c r="B366" t="s">
        <v>491</v>
      </c>
      <c r="C366" t="s">
        <v>492</v>
      </c>
      <c r="E366" t="s">
        <v>3653</v>
      </c>
      <c r="F366" t="s">
        <v>12</v>
      </c>
      <c r="G366">
        <v>0.78200000000000003</v>
      </c>
      <c r="H366" s="413">
        <f>G366*VLOOKUP(E366,GWPs!$B$3:$C$6,2,FALSE)</f>
        <v>0.78200000000000003</v>
      </c>
      <c r="I366">
        <v>3.1E-2</v>
      </c>
      <c r="J366" s="413">
        <f>I366*VLOOKUP(E366,GWPs!$B$3:$C$6,2,FALSE)</f>
        <v>3.1E-2</v>
      </c>
      <c r="K366">
        <v>0.81200000000000006</v>
      </c>
      <c r="L366" s="413">
        <f>K366*VLOOKUP(E366,GWPs!$B$3:$C$6,2,FALSE)</f>
        <v>0.81200000000000006</v>
      </c>
      <c r="N366">
        <v>4</v>
      </c>
      <c r="O366">
        <v>2</v>
      </c>
      <c r="P366">
        <v>1</v>
      </c>
      <c r="Q366">
        <v>4</v>
      </c>
      <c r="R366">
        <v>1</v>
      </c>
      <c r="W366" s="226" t="s">
        <v>538</v>
      </c>
      <c r="X366" s="70" t="s">
        <v>537</v>
      </c>
      <c r="Y366" s="414">
        <v>0.503</v>
      </c>
      <c r="Z366" s="70">
        <v>0.44800000000000006</v>
      </c>
      <c r="AA366" s="70">
        <v>5.3999999999999999E-2</v>
      </c>
      <c r="AB366" s="464" t="s">
        <v>4230</v>
      </c>
      <c r="AC366" s="415">
        <f t="shared" si="5"/>
        <v>0.1073558648111332</v>
      </c>
      <c r="AD366" s="226" t="e">
        <f ca="1">_xlfn.XLOOKUP(X366,'USEEIO metadata'!$C$2:$C$393,'USEEIO metadata'!$H$2:$H$393)</f>
        <v>#NAME?</v>
      </c>
      <c r="AE366" s="226" t="e">
        <f ca="1">_xlfn.XLOOKUP(X366,'USEEIO metadata'!$C$2:$C$393,'USEEIO metadata'!$F$2:$F$393)</f>
        <v>#NAME?</v>
      </c>
      <c r="AF366" s="226" t="e">
        <f ca="1">_xlfn.XLOOKUP(X366,'USEEIO metadata'!$C$2:$C$393,'USEEIO metadata'!$G$2:$G$393)</f>
        <v>#NAME?</v>
      </c>
    </row>
    <row r="367" spans="1:32" ht="28.5">
      <c r="A367" t="str">
        <f>_xlfn.IFNA(IF(VLOOKUP(C367,'2016_Detail_Commodity_v1.0'!C:C,1,FALSE)=C367,"No change"),"Name changed")</f>
        <v>No change</v>
      </c>
      <c r="B367" t="s">
        <v>491</v>
      </c>
      <c r="C367" t="s">
        <v>492</v>
      </c>
      <c r="E367" t="s">
        <v>3654</v>
      </c>
      <c r="F367" t="s">
        <v>12</v>
      </c>
      <c r="G367">
        <v>8.9999999999999993E-3</v>
      </c>
      <c r="H367" s="413">
        <f>G367*VLOOKUP(E367,GWPs!$B$3:$C$6,2,FALSE)</f>
        <v>0.252</v>
      </c>
      <c r="I367">
        <v>0</v>
      </c>
      <c r="J367" s="413">
        <f>I367*VLOOKUP(E367,GWPs!$B$3:$C$6,2,FALSE)</f>
        <v>0</v>
      </c>
      <c r="K367">
        <v>8.9999999999999993E-3</v>
      </c>
      <c r="L367" s="413">
        <f>K367*VLOOKUP(E367,GWPs!$B$3:$C$6,2,FALSE)</f>
        <v>0.252</v>
      </c>
      <c r="N367">
        <v>4</v>
      </c>
      <c r="O367">
        <v>2</v>
      </c>
      <c r="P367">
        <v>1</v>
      </c>
      <c r="Q367">
        <v>1</v>
      </c>
      <c r="R367">
        <v>1</v>
      </c>
      <c r="W367" s="226" t="s">
        <v>1393</v>
      </c>
      <c r="X367" s="70" t="s">
        <v>365</v>
      </c>
      <c r="Y367" s="414">
        <v>0.437</v>
      </c>
      <c r="Z367" s="70">
        <v>0.437</v>
      </c>
      <c r="AA367" s="70">
        <v>0</v>
      </c>
      <c r="AB367" s="464" t="s">
        <v>4230</v>
      </c>
      <c r="AC367" s="415">
        <f t="shared" si="5"/>
        <v>0</v>
      </c>
      <c r="AD367" s="226" t="e">
        <f ca="1">_xlfn.XLOOKUP(X367,'USEEIO metadata'!$C$2:$C$393,'USEEIO metadata'!$H$2:$H$393)</f>
        <v>#NAME?</v>
      </c>
      <c r="AE367" s="226" t="e">
        <f ca="1">_xlfn.XLOOKUP(X367,'USEEIO metadata'!$C$2:$C$393,'USEEIO metadata'!$F$2:$F$393)</f>
        <v>#NAME?</v>
      </c>
      <c r="AF367" s="226" t="e">
        <f ca="1">_xlfn.XLOOKUP(X367,'USEEIO metadata'!$C$2:$C$393,'USEEIO metadata'!$G$2:$G$393)</f>
        <v>#NAME?</v>
      </c>
    </row>
    <row r="368" spans="1:32" ht="28.5">
      <c r="A368" t="str">
        <f>_xlfn.IFNA(IF(VLOOKUP(C368,'2016_Detail_Commodity_v1.0'!C:C,1,FALSE)=C368,"No change"),"Name changed")</f>
        <v>No change</v>
      </c>
      <c r="B368" t="s">
        <v>491</v>
      </c>
      <c r="C368" t="s">
        <v>492</v>
      </c>
      <c r="E368" t="s">
        <v>3655</v>
      </c>
      <c r="F368" t="s">
        <v>12</v>
      </c>
      <c r="G368">
        <v>0</v>
      </c>
      <c r="H368" s="413">
        <f>G368*VLOOKUP(E368,GWPs!$B$3:$C$6,2,FALSE)</f>
        <v>0</v>
      </c>
      <c r="I368">
        <v>0</v>
      </c>
      <c r="J368" s="413">
        <f>I368*VLOOKUP(E368,GWPs!$B$3:$C$6,2,FALSE)</f>
        <v>0</v>
      </c>
      <c r="K368">
        <v>0</v>
      </c>
      <c r="L368" s="413">
        <f>K368*VLOOKUP(E368,GWPs!$B$3:$C$6,2,FALSE)</f>
        <v>0</v>
      </c>
      <c r="N368">
        <v>3</v>
      </c>
      <c r="O368">
        <v>2</v>
      </c>
      <c r="P368">
        <v>1</v>
      </c>
      <c r="Q368">
        <v>3</v>
      </c>
      <c r="R368">
        <v>1</v>
      </c>
      <c r="W368" s="226" t="s">
        <v>516</v>
      </c>
      <c r="X368" s="70" t="s">
        <v>515</v>
      </c>
      <c r="Y368" s="414">
        <v>8.6000000000000007E-2</v>
      </c>
      <c r="Z368" s="70">
        <v>0.05</v>
      </c>
      <c r="AA368" s="70">
        <v>3.5999999999999997E-2</v>
      </c>
      <c r="AB368" s="464" t="s">
        <v>4231</v>
      </c>
      <c r="AC368" s="415">
        <f t="shared" si="5"/>
        <v>0.41860465116279061</v>
      </c>
      <c r="AD368" s="226" t="e">
        <f ca="1">_xlfn.XLOOKUP(X368,'USEEIO metadata'!$C$2:$C$393,'USEEIO metadata'!$H$2:$H$393)</f>
        <v>#NAME?</v>
      </c>
      <c r="AE368" s="226" t="e">
        <f ca="1">_xlfn.XLOOKUP(X368,'USEEIO metadata'!$C$2:$C$393,'USEEIO metadata'!$F$2:$F$393)</f>
        <v>#NAME?</v>
      </c>
      <c r="AF368" s="226" t="e">
        <f ca="1">_xlfn.XLOOKUP(X368,'USEEIO metadata'!$C$2:$C$393,'USEEIO metadata'!$G$2:$G$393)</f>
        <v>#NAME?</v>
      </c>
    </row>
    <row r="369" spans="1:32" ht="28.5">
      <c r="A369" t="str">
        <f>_xlfn.IFNA(IF(VLOOKUP(C369,'2016_Detail_Commodity_v1.0'!C:C,1,FALSE)=C369,"No change"),"Name changed")</f>
        <v>No change</v>
      </c>
      <c r="B369" t="s">
        <v>491</v>
      </c>
      <c r="C369" t="s">
        <v>492</v>
      </c>
      <c r="E369" t="s">
        <v>15</v>
      </c>
      <c r="F369" t="s">
        <v>16</v>
      </c>
      <c r="G369">
        <v>4.0000000000000001E-3</v>
      </c>
      <c r="H369" s="413">
        <f>G369*VLOOKUP(E369,GWPs!$B$3:$C$6,2,FALSE)</f>
        <v>4.0000000000000001E-3</v>
      </c>
      <c r="I369">
        <v>0</v>
      </c>
      <c r="J369" s="413">
        <f>I369*VLOOKUP(E369,GWPs!$B$3:$C$6,2,FALSE)</f>
        <v>0</v>
      </c>
      <c r="K369">
        <v>4.0000000000000001E-3</v>
      </c>
      <c r="L369" s="413">
        <f>K369*VLOOKUP(E369,GWPs!$B$3:$C$6,2,FALSE)</f>
        <v>4.0000000000000001E-3</v>
      </c>
      <c r="N369">
        <v>3</v>
      </c>
      <c r="O369">
        <v>2</v>
      </c>
      <c r="P369">
        <v>1</v>
      </c>
      <c r="Q369">
        <v>3</v>
      </c>
      <c r="R369">
        <v>1</v>
      </c>
      <c r="W369" s="226" t="s">
        <v>622</v>
      </c>
      <c r="X369" s="70" t="s">
        <v>621</v>
      </c>
      <c r="Y369" s="414">
        <v>0.26900000000000002</v>
      </c>
      <c r="Z369" s="70">
        <v>0.23400000000000001</v>
      </c>
      <c r="AA369" s="70">
        <v>3.5000000000000003E-2</v>
      </c>
      <c r="AB369" s="464" t="s">
        <v>4230</v>
      </c>
      <c r="AC369" s="415">
        <f t="shared" si="5"/>
        <v>0.13011152416356878</v>
      </c>
      <c r="AD369" s="226" t="e">
        <f ca="1">_xlfn.XLOOKUP(X369,'USEEIO metadata'!$C$2:$C$393,'USEEIO metadata'!$H$2:$H$393)</f>
        <v>#NAME?</v>
      </c>
      <c r="AE369" s="226" t="e">
        <f ca="1">_xlfn.XLOOKUP(X369,'USEEIO metadata'!$C$2:$C$393,'USEEIO metadata'!$F$2:$F$393)</f>
        <v>#NAME?</v>
      </c>
      <c r="AF369" s="226" t="e">
        <f ca="1">_xlfn.XLOOKUP(X369,'USEEIO metadata'!$C$2:$C$393,'USEEIO metadata'!$G$2:$G$393)</f>
        <v>#NAME?</v>
      </c>
    </row>
    <row r="370" spans="1:32">
      <c r="A370" t="str">
        <f>_xlfn.IFNA(IF(VLOOKUP(C370,'2016_Detail_Commodity_v1.0'!C:C,1,FALSE)=C370,"No change"),"Name changed")</f>
        <v>No change</v>
      </c>
      <c r="B370" t="s">
        <v>493</v>
      </c>
      <c r="C370" t="s">
        <v>494</v>
      </c>
      <c r="E370" t="s">
        <v>3653</v>
      </c>
      <c r="F370" t="s">
        <v>12</v>
      </c>
      <c r="G370">
        <v>0.95899999999999996</v>
      </c>
      <c r="H370" s="413">
        <f>G370*VLOOKUP(E370,GWPs!$B$3:$C$6,2,FALSE)</f>
        <v>0.95899999999999996</v>
      </c>
      <c r="I370">
        <v>8.4000000000000005E-2</v>
      </c>
      <c r="J370" s="413">
        <f>I370*VLOOKUP(E370,GWPs!$B$3:$C$6,2,FALSE)</f>
        <v>8.4000000000000005E-2</v>
      </c>
      <c r="K370">
        <v>1.0429999999999999</v>
      </c>
      <c r="L370" s="413">
        <f>K370*VLOOKUP(E370,GWPs!$B$3:$C$6,2,FALSE)</f>
        <v>1.0429999999999999</v>
      </c>
      <c r="N370">
        <v>3</v>
      </c>
      <c r="O370">
        <v>2</v>
      </c>
      <c r="P370">
        <v>1</v>
      </c>
      <c r="Q370">
        <v>3</v>
      </c>
      <c r="R370">
        <v>1</v>
      </c>
      <c r="W370" s="226" t="s">
        <v>1398</v>
      </c>
      <c r="X370" s="70" t="s">
        <v>389</v>
      </c>
      <c r="Y370" s="414">
        <v>1.33</v>
      </c>
      <c r="Z370" s="70">
        <v>1.2360000000000002</v>
      </c>
      <c r="AA370" s="70">
        <v>9.4E-2</v>
      </c>
      <c r="AB370" s="464" t="s">
        <v>4230</v>
      </c>
      <c r="AC370" s="415">
        <f t="shared" si="5"/>
        <v>7.067669172932331E-2</v>
      </c>
      <c r="AD370" s="226" t="e">
        <f ca="1">_xlfn.XLOOKUP(X370,'USEEIO metadata'!$C$2:$C$393,'USEEIO metadata'!$H$2:$H$393)</f>
        <v>#NAME?</v>
      </c>
      <c r="AE370" s="226" t="e">
        <f ca="1">_xlfn.XLOOKUP(X370,'USEEIO metadata'!$C$2:$C$393,'USEEIO metadata'!$F$2:$F$393)</f>
        <v>#NAME?</v>
      </c>
      <c r="AF370" s="226" t="e">
        <f ca="1">_xlfn.XLOOKUP(X370,'USEEIO metadata'!$C$2:$C$393,'USEEIO metadata'!$G$2:$G$393)</f>
        <v>#NAME?</v>
      </c>
    </row>
    <row r="371" spans="1:32">
      <c r="A371" t="str">
        <f>_xlfn.IFNA(IF(VLOOKUP(C371,'2016_Detail_Commodity_v1.0'!C:C,1,FALSE)=C371,"No change"),"Name changed")</f>
        <v>No change</v>
      </c>
      <c r="B371" t="s">
        <v>493</v>
      </c>
      <c r="C371" t="s">
        <v>494</v>
      </c>
      <c r="E371" t="s">
        <v>3654</v>
      </c>
      <c r="F371" t="s">
        <v>12</v>
      </c>
      <c r="G371">
        <v>3.0000000000000001E-3</v>
      </c>
      <c r="H371" s="413">
        <f>G371*VLOOKUP(E371,GWPs!$B$3:$C$6,2,FALSE)</f>
        <v>8.4000000000000005E-2</v>
      </c>
      <c r="I371">
        <v>1E-3</v>
      </c>
      <c r="J371" s="413">
        <f>I371*VLOOKUP(E371,GWPs!$B$3:$C$6,2,FALSE)</f>
        <v>2.8000000000000001E-2</v>
      </c>
      <c r="K371">
        <v>3.0000000000000001E-3</v>
      </c>
      <c r="L371" s="413">
        <f>K371*VLOOKUP(E371,GWPs!$B$3:$C$6,2,FALSE)</f>
        <v>8.4000000000000005E-2</v>
      </c>
      <c r="N371">
        <v>4</v>
      </c>
      <c r="O371">
        <v>2</v>
      </c>
      <c r="P371">
        <v>1</v>
      </c>
      <c r="Q371">
        <v>1</v>
      </c>
      <c r="R371">
        <v>1</v>
      </c>
      <c r="W371" s="226" t="s">
        <v>768</v>
      </c>
      <c r="X371" s="70" t="s">
        <v>767</v>
      </c>
      <c r="Y371" s="414">
        <v>0.27500000000000002</v>
      </c>
      <c r="Z371" s="70">
        <v>0.23499999999999999</v>
      </c>
      <c r="AA371" s="70">
        <v>0.04</v>
      </c>
      <c r="AB371" s="464" t="s">
        <v>4230</v>
      </c>
      <c r="AC371" s="415">
        <f t="shared" si="5"/>
        <v>0.14545454545454545</v>
      </c>
      <c r="AD371" s="226" t="e">
        <f ca="1">_xlfn.XLOOKUP(X371,'USEEIO metadata'!$C$2:$C$393,'USEEIO metadata'!$H$2:$H$393)</f>
        <v>#NAME?</v>
      </c>
      <c r="AE371" s="226" t="e">
        <f ca="1">_xlfn.XLOOKUP(X371,'USEEIO metadata'!$C$2:$C$393,'USEEIO metadata'!$F$2:$F$393)</f>
        <v>#NAME?</v>
      </c>
      <c r="AF371" s="226" t="e">
        <f ca="1">_xlfn.XLOOKUP(X371,'USEEIO metadata'!$C$2:$C$393,'USEEIO metadata'!$G$2:$G$393)</f>
        <v>#NAME?</v>
      </c>
    </row>
    <row r="372" spans="1:32" ht="28.5">
      <c r="A372" t="str">
        <f>_xlfn.IFNA(IF(VLOOKUP(C372,'2016_Detail_Commodity_v1.0'!C:C,1,FALSE)=C372,"No change"),"Name changed")</f>
        <v>No change</v>
      </c>
      <c r="B372" t="s">
        <v>493</v>
      </c>
      <c r="C372" t="s">
        <v>494</v>
      </c>
      <c r="E372" t="s">
        <v>3655</v>
      </c>
      <c r="F372" t="s">
        <v>12</v>
      </c>
      <c r="G372">
        <v>0</v>
      </c>
      <c r="H372" s="413">
        <f>G372*VLOOKUP(E372,GWPs!$B$3:$C$6,2,FALSE)</f>
        <v>0</v>
      </c>
      <c r="I372">
        <v>0</v>
      </c>
      <c r="J372" s="413">
        <f>I372*VLOOKUP(E372,GWPs!$B$3:$C$6,2,FALSE)</f>
        <v>0</v>
      </c>
      <c r="K372">
        <v>0</v>
      </c>
      <c r="L372" s="413">
        <f>K372*VLOOKUP(E372,GWPs!$B$3:$C$6,2,FALSE)</f>
        <v>0</v>
      </c>
      <c r="N372">
        <v>3</v>
      </c>
      <c r="O372">
        <v>2</v>
      </c>
      <c r="P372">
        <v>1</v>
      </c>
      <c r="Q372">
        <v>3</v>
      </c>
      <c r="R372">
        <v>1</v>
      </c>
      <c r="W372" s="226" t="s">
        <v>778</v>
      </c>
      <c r="X372" s="70" t="s">
        <v>777</v>
      </c>
      <c r="Y372" s="414">
        <v>0.31300000000000006</v>
      </c>
      <c r="Z372" s="70">
        <v>0.26900000000000002</v>
      </c>
      <c r="AA372" s="70">
        <v>4.3999999999999997E-2</v>
      </c>
      <c r="AB372" s="464" t="s">
        <v>4230</v>
      </c>
      <c r="AC372" s="415">
        <f t="shared" si="5"/>
        <v>0.14057507987220444</v>
      </c>
      <c r="AD372" s="226" t="e">
        <f ca="1">_xlfn.XLOOKUP(X372,'USEEIO metadata'!$C$2:$C$393,'USEEIO metadata'!$H$2:$H$393)</f>
        <v>#NAME?</v>
      </c>
      <c r="AE372" s="226" t="e">
        <f ca="1">_xlfn.XLOOKUP(X372,'USEEIO metadata'!$C$2:$C$393,'USEEIO metadata'!$F$2:$F$393)</f>
        <v>#NAME?</v>
      </c>
      <c r="AF372" s="226" t="e">
        <f ca="1">_xlfn.XLOOKUP(X372,'USEEIO metadata'!$C$2:$C$393,'USEEIO metadata'!$G$2:$G$393)</f>
        <v>#NAME?</v>
      </c>
    </row>
    <row r="373" spans="1:32">
      <c r="A373" t="str">
        <f>_xlfn.IFNA(IF(VLOOKUP(C373,'2016_Detail_Commodity_v1.0'!C:C,1,FALSE)=C373,"No change"),"Name changed")</f>
        <v>No change</v>
      </c>
      <c r="B373" t="s">
        <v>493</v>
      </c>
      <c r="C373" t="s">
        <v>494</v>
      </c>
      <c r="E373" t="s">
        <v>15</v>
      </c>
      <c r="F373" t="s">
        <v>16</v>
      </c>
      <c r="G373">
        <v>0.29899999999999999</v>
      </c>
      <c r="H373" s="413">
        <f>G373*VLOOKUP(E373,GWPs!$B$3:$C$6,2,FALSE)</f>
        <v>0.29899999999999999</v>
      </c>
      <c r="I373">
        <v>0</v>
      </c>
      <c r="J373" s="413">
        <f>I373*VLOOKUP(E373,GWPs!$B$3:$C$6,2,FALSE)</f>
        <v>0</v>
      </c>
      <c r="K373">
        <v>0.29899999999999999</v>
      </c>
      <c r="L373" s="413">
        <f>K373*VLOOKUP(E373,GWPs!$B$3:$C$6,2,FALSE)</f>
        <v>0.29899999999999999</v>
      </c>
      <c r="N373">
        <v>2</v>
      </c>
      <c r="O373">
        <v>2</v>
      </c>
      <c r="P373">
        <v>1</v>
      </c>
      <c r="Q373">
        <v>1</v>
      </c>
      <c r="R373">
        <v>1</v>
      </c>
      <c r="W373" s="226" t="s">
        <v>776</v>
      </c>
      <c r="X373" s="70" t="s">
        <v>775</v>
      </c>
      <c r="Y373" s="414">
        <v>0.35800000000000004</v>
      </c>
      <c r="Z373" s="70">
        <v>0.32200000000000001</v>
      </c>
      <c r="AA373" s="70">
        <v>3.6999999999999998E-2</v>
      </c>
      <c r="AB373" s="464" t="s">
        <v>4230</v>
      </c>
      <c r="AC373" s="415">
        <f t="shared" si="5"/>
        <v>0.10335195530726256</v>
      </c>
      <c r="AD373" s="226" t="e">
        <f ca="1">_xlfn.XLOOKUP(X373,'USEEIO metadata'!$C$2:$C$393,'USEEIO metadata'!$H$2:$H$393)</f>
        <v>#NAME?</v>
      </c>
      <c r="AE373" s="226" t="e">
        <f ca="1">_xlfn.XLOOKUP(X373,'USEEIO metadata'!$C$2:$C$393,'USEEIO metadata'!$F$2:$F$393)</f>
        <v>#NAME?</v>
      </c>
      <c r="AF373" s="226" t="e">
        <f ca="1">_xlfn.XLOOKUP(X373,'USEEIO metadata'!$C$2:$C$393,'USEEIO metadata'!$G$2:$G$393)</f>
        <v>#NAME?</v>
      </c>
    </row>
    <row r="374" spans="1:32">
      <c r="A374" t="str">
        <f>_xlfn.IFNA(IF(VLOOKUP(C374,'2016_Detail_Commodity_v1.0'!C:C,1,FALSE)=C374,"No change"),"Name changed")</f>
        <v>No change</v>
      </c>
      <c r="B374" t="s">
        <v>495</v>
      </c>
      <c r="C374" t="s">
        <v>496</v>
      </c>
      <c r="E374" t="s">
        <v>3653</v>
      </c>
      <c r="F374" t="s">
        <v>12</v>
      </c>
      <c r="G374">
        <v>1.6850000000000001</v>
      </c>
      <c r="H374" s="413">
        <f>G374*VLOOKUP(E374,GWPs!$B$3:$C$6,2,FALSE)</f>
        <v>1.6850000000000001</v>
      </c>
      <c r="I374">
        <v>5.7000000000000002E-2</v>
      </c>
      <c r="J374" s="413">
        <f>I374*VLOOKUP(E374,GWPs!$B$3:$C$6,2,FALSE)</f>
        <v>5.7000000000000002E-2</v>
      </c>
      <c r="K374">
        <v>1.742</v>
      </c>
      <c r="L374" s="413">
        <f>K374*VLOOKUP(E374,GWPs!$B$3:$C$6,2,FALSE)</f>
        <v>1.742</v>
      </c>
      <c r="N374">
        <v>4</v>
      </c>
      <c r="O374">
        <v>2</v>
      </c>
      <c r="P374">
        <v>1</v>
      </c>
      <c r="Q374">
        <v>4</v>
      </c>
      <c r="R374">
        <v>1</v>
      </c>
      <c r="W374" s="226" t="s">
        <v>784</v>
      </c>
      <c r="X374" s="70" t="s">
        <v>783</v>
      </c>
      <c r="Y374" s="414">
        <v>0.6080000000000001</v>
      </c>
      <c r="Z374" s="70">
        <v>0.58600000000000008</v>
      </c>
      <c r="AA374" s="70">
        <v>2.1999999999999999E-2</v>
      </c>
      <c r="AB374" s="464" t="s">
        <v>4230</v>
      </c>
      <c r="AC374" s="415">
        <f t="shared" si="5"/>
        <v>3.6184210526315784E-2</v>
      </c>
      <c r="AD374" s="226" t="e">
        <f ca="1">_xlfn.XLOOKUP(X374,'USEEIO metadata'!$C$2:$C$393,'USEEIO metadata'!$H$2:$H$393)</f>
        <v>#NAME?</v>
      </c>
      <c r="AE374" s="226" t="e">
        <f ca="1">_xlfn.XLOOKUP(X374,'USEEIO metadata'!$C$2:$C$393,'USEEIO metadata'!$F$2:$F$393)</f>
        <v>#NAME?</v>
      </c>
      <c r="AF374" s="226" t="e">
        <f ca="1">_xlfn.XLOOKUP(X374,'USEEIO metadata'!$C$2:$C$393,'USEEIO metadata'!$G$2:$G$393)</f>
        <v>#NAME?</v>
      </c>
    </row>
    <row r="375" spans="1:32">
      <c r="A375" t="str">
        <f>_xlfn.IFNA(IF(VLOOKUP(C375,'2016_Detail_Commodity_v1.0'!C:C,1,FALSE)=C375,"No change"),"Name changed")</f>
        <v>No change</v>
      </c>
      <c r="B375" t="s">
        <v>495</v>
      </c>
      <c r="C375" t="s">
        <v>496</v>
      </c>
      <c r="E375" t="s">
        <v>3654</v>
      </c>
      <c r="F375" t="s">
        <v>12</v>
      </c>
      <c r="G375">
        <v>3.0000000000000001E-3</v>
      </c>
      <c r="H375" s="413">
        <f>G375*VLOOKUP(E375,GWPs!$B$3:$C$6,2,FALSE)</f>
        <v>8.4000000000000005E-2</v>
      </c>
      <c r="I375">
        <v>1E-3</v>
      </c>
      <c r="J375" s="413">
        <f>I375*VLOOKUP(E375,GWPs!$B$3:$C$6,2,FALSE)</f>
        <v>2.8000000000000001E-2</v>
      </c>
      <c r="K375">
        <v>4.0000000000000001E-3</v>
      </c>
      <c r="L375" s="413">
        <f>K375*VLOOKUP(E375,GWPs!$B$3:$C$6,2,FALSE)</f>
        <v>0.112</v>
      </c>
      <c r="N375">
        <v>4</v>
      </c>
      <c r="O375">
        <v>2</v>
      </c>
      <c r="P375">
        <v>1</v>
      </c>
      <c r="Q375">
        <v>1</v>
      </c>
      <c r="R375">
        <v>1</v>
      </c>
      <c r="W375" s="226" t="s">
        <v>957</v>
      </c>
      <c r="X375" s="70" t="s">
        <v>956</v>
      </c>
      <c r="Y375" s="414">
        <v>0.17199999999999999</v>
      </c>
      <c r="Z375" s="70">
        <v>0.17199999999999999</v>
      </c>
      <c r="AA375" s="70">
        <v>0</v>
      </c>
      <c r="AB375" s="464" t="s">
        <v>4230</v>
      </c>
      <c r="AC375" s="415">
        <f t="shared" si="5"/>
        <v>0</v>
      </c>
      <c r="AD375" s="226" t="e">
        <f ca="1">_xlfn.XLOOKUP(X375,'USEEIO metadata'!$C$2:$C$393,'USEEIO metadata'!$H$2:$H$393)</f>
        <v>#NAME?</v>
      </c>
      <c r="AE375" s="226" t="e">
        <f ca="1">_xlfn.XLOOKUP(X375,'USEEIO metadata'!$C$2:$C$393,'USEEIO metadata'!$F$2:$F$393)</f>
        <v>#NAME?</v>
      </c>
      <c r="AF375" s="226" t="e">
        <f ca="1">_xlfn.XLOOKUP(X375,'USEEIO metadata'!$C$2:$C$393,'USEEIO metadata'!$G$2:$G$393)</f>
        <v>#NAME?</v>
      </c>
    </row>
    <row r="376" spans="1:32">
      <c r="A376" t="str">
        <f>_xlfn.IFNA(IF(VLOOKUP(C376,'2016_Detail_Commodity_v1.0'!C:C,1,FALSE)=C376,"No change"),"Name changed")</f>
        <v>No change</v>
      </c>
      <c r="B376" t="s">
        <v>495</v>
      </c>
      <c r="C376" t="s">
        <v>496</v>
      </c>
      <c r="E376" t="s">
        <v>3655</v>
      </c>
      <c r="F376" t="s">
        <v>12</v>
      </c>
      <c r="G376">
        <v>0</v>
      </c>
      <c r="H376" s="413">
        <f>G376*VLOOKUP(E376,GWPs!$B$3:$C$6,2,FALSE)</f>
        <v>0</v>
      </c>
      <c r="I376">
        <v>0</v>
      </c>
      <c r="J376" s="413">
        <f>I376*VLOOKUP(E376,GWPs!$B$3:$C$6,2,FALSE)</f>
        <v>0</v>
      </c>
      <c r="K376">
        <v>0</v>
      </c>
      <c r="L376" s="413">
        <f>K376*VLOOKUP(E376,GWPs!$B$3:$C$6,2,FALSE)</f>
        <v>0</v>
      </c>
      <c r="N376">
        <v>3</v>
      </c>
      <c r="O376">
        <v>2</v>
      </c>
      <c r="P376">
        <v>1</v>
      </c>
      <c r="Q376">
        <v>3</v>
      </c>
      <c r="R376">
        <v>1</v>
      </c>
      <c r="W376" s="226" t="s">
        <v>1067</v>
      </c>
      <c r="X376" s="70" t="s">
        <v>1066</v>
      </c>
      <c r="Y376" s="414">
        <v>0.17100000000000001</v>
      </c>
      <c r="Z376" s="70">
        <v>0.17100000000000001</v>
      </c>
      <c r="AA376" s="70">
        <v>0</v>
      </c>
      <c r="AB376" s="464" t="s">
        <v>4230</v>
      </c>
      <c r="AC376" s="415">
        <f t="shared" si="5"/>
        <v>0</v>
      </c>
      <c r="AD376" s="226" t="e">
        <f ca="1">_xlfn.XLOOKUP(X376,'USEEIO metadata'!$C$2:$C$393,'USEEIO metadata'!$H$2:$H$393)</f>
        <v>#NAME?</v>
      </c>
      <c r="AE376" s="226" t="e">
        <f ca="1">_xlfn.XLOOKUP(X376,'USEEIO metadata'!$C$2:$C$393,'USEEIO metadata'!$F$2:$F$393)</f>
        <v>#NAME?</v>
      </c>
      <c r="AF376" s="226" t="e">
        <f ca="1">_xlfn.XLOOKUP(X376,'USEEIO metadata'!$C$2:$C$393,'USEEIO metadata'!$G$2:$G$393)</f>
        <v>#NAME?</v>
      </c>
    </row>
    <row r="377" spans="1:32" ht="28.5">
      <c r="A377" t="str">
        <f>_xlfn.IFNA(IF(VLOOKUP(C377,'2016_Detail_Commodity_v1.0'!C:C,1,FALSE)=C377,"No change"),"Name changed")</f>
        <v>No change</v>
      </c>
      <c r="B377" t="s">
        <v>495</v>
      </c>
      <c r="C377" t="s">
        <v>496</v>
      </c>
      <c r="E377" t="s">
        <v>15</v>
      </c>
      <c r="F377" t="s">
        <v>16</v>
      </c>
      <c r="G377">
        <v>6.0000000000000001E-3</v>
      </c>
      <c r="H377" s="413">
        <f>G377*VLOOKUP(E377,GWPs!$B$3:$C$6,2,FALSE)</f>
        <v>6.0000000000000001E-3</v>
      </c>
      <c r="I377">
        <v>0</v>
      </c>
      <c r="J377" s="413">
        <f>I377*VLOOKUP(E377,GWPs!$B$3:$C$6,2,FALSE)</f>
        <v>0</v>
      </c>
      <c r="K377">
        <v>6.0000000000000001E-3</v>
      </c>
      <c r="L377" s="413">
        <f>K377*VLOOKUP(E377,GWPs!$B$3:$C$6,2,FALSE)</f>
        <v>6.0000000000000001E-3</v>
      </c>
      <c r="N377">
        <v>3</v>
      </c>
      <c r="O377">
        <v>2</v>
      </c>
      <c r="P377">
        <v>1</v>
      </c>
      <c r="Q377">
        <v>3</v>
      </c>
      <c r="R377">
        <v>1</v>
      </c>
      <c r="W377" s="226" t="s">
        <v>782</v>
      </c>
      <c r="X377" s="70" t="s">
        <v>781</v>
      </c>
      <c r="Y377" s="414">
        <v>0.41200000000000003</v>
      </c>
      <c r="Z377" s="70">
        <v>0.39200000000000002</v>
      </c>
      <c r="AA377" s="70">
        <v>1.9E-2</v>
      </c>
      <c r="AB377" s="464" t="s">
        <v>4230</v>
      </c>
      <c r="AC377" s="415">
        <f t="shared" si="5"/>
        <v>4.6116504854368925E-2</v>
      </c>
      <c r="AD377" s="226" t="e">
        <f ca="1">_xlfn.XLOOKUP(X377,'USEEIO metadata'!$C$2:$C$393,'USEEIO metadata'!$H$2:$H$393)</f>
        <v>#NAME?</v>
      </c>
      <c r="AE377" s="226" t="e">
        <f ca="1">_xlfn.XLOOKUP(X377,'USEEIO metadata'!$C$2:$C$393,'USEEIO metadata'!$F$2:$F$393)</f>
        <v>#NAME?</v>
      </c>
      <c r="AF377" s="226" t="e">
        <f ca="1">_xlfn.XLOOKUP(X377,'USEEIO metadata'!$C$2:$C$393,'USEEIO metadata'!$G$2:$G$393)</f>
        <v>#NAME?</v>
      </c>
    </row>
    <row r="378" spans="1:32">
      <c r="A378" t="str">
        <f>_xlfn.IFNA(IF(VLOOKUP(C378,'2016_Detail_Commodity_v1.0'!C:C,1,FALSE)=C378,"No change"),"Name changed")</f>
        <v>No change</v>
      </c>
      <c r="B378" t="s">
        <v>497</v>
      </c>
      <c r="C378" t="s">
        <v>498</v>
      </c>
      <c r="E378" t="s">
        <v>3653</v>
      </c>
      <c r="F378" t="s">
        <v>12</v>
      </c>
      <c r="G378">
        <v>0.61899999999999999</v>
      </c>
      <c r="H378" s="413">
        <f>G378*VLOOKUP(E378,GWPs!$B$3:$C$6,2,FALSE)</f>
        <v>0.61899999999999999</v>
      </c>
      <c r="I378">
        <v>5.7000000000000002E-2</v>
      </c>
      <c r="J378" s="413">
        <f>I378*VLOOKUP(E378,GWPs!$B$3:$C$6,2,FALSE)</f>
        <v>5.7000000000000002E-2</v>
      </c>
      <c r="K378">
        <v>0.67600000000000005</v>
      </c>
      <c r="L378" s="413">
        <f>K378*VLOOKUP(E378,GWPs!$B$3:$C$6,2,FALSE)</f>
        <v>0.67600000000000005</v>
      </c>
      <c r="N378">
        <v>3</v>
      </c>
      <c r="O378">
        <v>2</v>
      </c>
      <c r="P378">
        <v>1</v>
      </c>
      <c r="Q378">
        <v>3</v>
      </c>
      <c r="R378">
        <v>1</v>
      </c>
      <c r="W378" s="226" t="s">
        <v>870</v>
      </c>
      <c r="X378" s="70" t="s">
        <v>869</v>
      </c>
      <c r="Y378" s="414">
        <v>0.17099999999999999</v>
      </c>
      <c r="Z378" s="70">
        <v>0.17099999999999999</v>
      </c>
      <c r="AA378" s="70">
        <v>0</v>
      </c>
      <c r="AB378" s="464" t="s">
        <v>4230</v>
      </c>
      <c r="AC378" s="415">
        <f t="shared" si="5"/>
        <v>0</v>
      </c>
      <c r="AD378" s="226" t="e">
        <f ca="1">_xlfn.XLOOKUP(X378,'USEEIO metadata'!$C$2:$C$393,'USEEIO metadata'!$H$2:$H$393)</f>
        <v>#NAME?</v>
      </c>
      <c r="AE378" s="226" t="e">
        <f ca="1">_xlfn.XLOOKUP(X378,'USEEIO metadata'!$C$2:$C$393,'USEEIO metadata'!$F$2:$F$393)</f>
        <v>#NAME?</v>
      </c>
      <c r="AF378" s="226" t="e">
        <f ca="1">_xlfn.XLOOKUP(X378,'USEEIO metadata'!$C$2:$C$393,'USEEIO metadata'!$G$2:$G$393)</f>
        <v>#NAME?</v>
      </c>
    </row>
    <row r="379" spans="1:32" ht="28.5">
      <c r="A379" t="str">
        <f>_xlfn.IFNA(IF(VLOOKUP(C379,'2016_Detail_Commodity_v1.0'!C:C,1,FALSE)=C379,"No change"),"Name changed")</f>
        <v>No change</v>
      </c>
      <c r="B379" t="s">
        <v>497</v>
      </c>
      <c r="C379" t="s">
        <v>498</v>
      </c>
      <c r="E379" t="s">
        <v>3654</v>
      </c>
      <c r="F379" t="s">
        <v>12</v>
      </c>
      <c r="G379">
        <v>2E-3</v>
      </c>
      <c r="H379" s="413">
        <f>G379*VLOOKUP(E379,GWPs!$B$3:$C$6,2,FALSE)</f>
        <v>5.6000000000000001E-2</v>
      </c>
      <c r="I379">
        <v>1E-3</v>
      </c>
      <c r="J379" s="413">
        <f>I379*VLOOKUP(E379,GWPs!$B$3:$C$6,2,FALSE)</f>
        <v>2.8000000000000001E-2</v>
      </c>
      <c r="K379">
        <v>3.0000000000000001E-3</v>
      </c>
      <c r="L379" s="413">
        <f>K379*VLOOKUP(E379,GWPs!$B$3:$C$6,2,FALSE)</f>
        <v>8.4000000000000005E-2</v>
      </c>
      <c r="N379">
        <v>4</v>
      </c>
      <c r="O379">
        <v>2</v>
      </c>
      <c r="P379">
        <v>1</v>
      </c>
      <c r="Q379">
        <v>1</v>
      </c>
      <c r="R379">
        <v>1</v>
      </c>
      <c r="W379" s="226" t="s">
        <v>462</v>
      </c>
      <c r="X379" s="70" t="s">
        <v>461</v>
      </c>
      <c r="Y379" s="414">
        <v>0.30200000000000005</v>
      </c>
      <c r="Z379" s="70">
        <v>0.24299999999999999</v>
      </c>
      <c r="AA379" s="70">
        <v>5.8999999999999997E-2</v>
      </c>
      <c r="AB379" s="464" t="s">
        <v>4230</v>
      </c>
      <c r="AC379" s="415">
        <f t="shared" si="5"/>
        <v>0.195364238410596</v>
      </c>
      <c r="AD379" s="226" t="e">
        <f ca="1">_xlfn.XLOOKUP(X379,'USEEIO metadata'!$C$2:$C$393,'USEEIO metadata'!$H$2:$H$393)</f>
        <v>#NAME?</v>
      </c>
      <c r="AE379" s="226" t="e">
        <f ca="1">_xlfn.XLOOKUP(X379,'USEEIO metadata'!$C$2:$C$393,'USEEIO metadata'!$F$2:$F$393)</f>
        <v>#NAME?</v>
      </c>
      <c r="AF379" s="226" t="e">
        <f ca="1">_xlfn.XLOOKUP(X379,'USEEIO metadata'!$C$2:$C$393,'USEEIO metadata'!$G$2:$G$393)</f>
        <v>#NAME?</v>
      </c>
    </row>
    <row r="380" spans="1:32">
      <c r="A380" t="str">
        <f>_xlfn.IFNA(IF(VLOOKUP(C380,'2016_Detail_Commodity_v1.0'!C:C,1,FALSE)=C380,"No change"),"Name changed")</f>
        <v>No change</v>
      </c>
      <c r="B380" t="s">
        <v>497</v>
      </c>
      <c r="C380" t="s">
        <v>498</v>
      </c>
      <c r="E380" t="s">
        <v>3655</v>
      </c>
      <c r="F380" t="s">
        <v>12</v>
      </c>
      <c r="G380">
        <v>0</v>
      </c>
      <c r="H380" s="413">
        <f>G380*VLOOKUP(E380,GWPs!$B$3:$C$6,2,FALSE)</f>
        <v>0</v>
      </c>
      <c r="I380">
        <v>0</v>
      </c>
      <c r="J380" s="413">
        <f>I380*VLOOKUP(E380,GWPs!$B$3:$C$6,2,FALSE)</f>
        <v>0</v>
      </c>
      <c r="K380">
        <v>0</v>
      </c>
      <c r="L380" s="413">
        <f>K380*VLOOKUP(E380,GWPs!$B$3:$C$6,2,FALSE)</f>
        <v>0</v>
      </c>
      <c r="N380">
        <v>3</v>
      </c>
      <c r="O380">
        <v>2</v>
      </c>
      <c r="P380">
        <v>1</v>
      </c>
      <c r="Q380">
        <v>3</v>
      </c>
      <c r="R380">
        <v>1</v>
      </c>
      <c r="W380" s="226" t="s">
        <v>988</v>
      </c>
      <c r="X380" s="70" t="s">
        <v>987</v>
      </c>
      <c r="Y380" s="414">
        <v>0.12</v>
      </c>
      <c r="Z380" s="70">
        <v>0.12</v>
      </c>
      <c r="AA380" s="70">
        <v>0</v>
      </c>
      <c r="AB380" s="464" t="s">
        <v>4230</v>
      </c>
      <c r="AC380" s="415">
        <f t="shared" si="5"/>
        <v>0</v>
      </c>
      <c r="AD380" s="226" t="e">
        <f ca="1">_xlfn.XLOOKUP(X380,'USEEIO metadata'!$C$2:$C$393,'USEEIO metadata'!$H$2:$H$393)</f>
        <v>#NAME?</v>
      </c>
      <c r="AE380" s="226" t="e">
        <f ca="1">_xlfn.XLOOKUP(X380,'USEEIO metadata'!$C$2:$C$393,'USEEIO metadata'!$F$2:$F$393)</f>
        <v>#NAME?</v>
      </c>
      <c r="AF380" s="226" t="e">
        <f ca="1">_xlfn.XLOOKUP(X380,'USEEIO metadata'!$C$2:$C$393,'USEEIO metadata'!$G$2:$G$393)</f>
        <v>#NAME?</v>
      </c>
    </row>
    <row r="381" spans="1:32">
      <c r="A381" t="str">
        <f>_xlfn.IFNA(IF(VLOOKUP(C381,'2016_Detail_Commodity_v1.0'!C:C,1,FALSE)=C381,"No change"),"Name changed")</f>
        <v>No change</v>
      </c>
      <c r="B381" t="s">
        <v>497</v>
      </c>
      <c r="C381" t="s">
        <v>498</v>
      </c>
      <c r="E381" t="s">
        <v>15</v>
      </c>
      <c r="F381" t="s">
        <v>16</v>
      </c>
      <c r="G381">
        <v>7.0000000000000001E-3</v>
      </c>
      <c r="H381" s="413">
        <f>G381*VLOOKUP(E381,GWPs!$B$3:$C$6,2,FALSE)</f>
        <v>7.0000000000000001E-3</v>
      </c>
      <c r="I381">
        <v>0</v>
      </c>
      <c r="J381" s="413">
        <f>I381*VLOOKUP(E381,GWPs!$B$3:$C$6,2,FALSE)</f>
        <v>0</v>
      </c>
      <c r="K381">
        <v>7.0000000000000001E-3</v>
      </c>
      <c r="L381" s="413">
        <f>K381*VLOOKUP(E381,GWPs!$B$3:$C$6,2,FALSE)</f>
        <v>7.0000000000000001E-3</v>
      </c>
      <c r="N381">
        <v>3</v>
      </c>
      <c r="O381">
        <v>2</v>
      </c>
      <c r="P381">
        <v>1</v>
      </c>
      <c r="Q381">
        <v>3</v>
      </c>
      <c r="R381">
        <v>1</v>
      </c>
      <c r="W381" s="226" t="s">
        <v>902</v>
      </c>
      <c r="X381" s="70" t="s">
        <v>901</v>
      </c>
      <c r="Y381" s="414">
        <v>0.68600000000000005</v>
      </c>
      <c r="Z381" s="70">
        <v>0.68600000000000005</v>
      </c>
      <c r="AA381" s="70">
        <v>0</v>
      </c>
      <c r="AB381" s="464" t="s">
        <v>4230</v>
      </c>
      <c r="AC381" s="415">
        <f t="shared" si="5"/>
        <v>0</v>
      </c>
      <c r="AD381" s="226" t="e">
        <f ca="1">_xlfn.XLOOKUP(X381,'USEEIO metadata'!$C$2:$C$393,'USEEIO metadata'!$H$2:$H$393)</f>
        <v>#NAME?</v>
      </c>
      <c r="AE381" s="226" t="e">
        <f ca="1">_xlfn.XLOOKUP(X381,'USEEIO metadata'!$C$2:$C$393,'USEEIO metadata'!$F$2:$F$393)</f>
        <v>#NAME?</v>
      </c>
      <c r="AF381" s="226" t="e">
        <f ca="1">_xlfn.XLOOKUP(X381,'USEEIO metadata'!$C$2:$C$393,'USEEIO metadata'!$G$2:$G$393)</f>
        <v>#NAME?</v>
      </c>
    </row>
    <row r="382" spans="1:32" ht="28.5">
      <c r="A382" t="str">
        <f>_xlfn.IFNA(IF(VLOOKUP(C382,'2016_Detail_Commodity_v1.0'!C:C,1,FALSE)=C382,"No change"),"Name changed")</f>
        <v>No change</v>
      </c>
      <c r="B382" t="s">
        <v>499</v>
      </c>
      <c r="C382" t="s">
        <v>500</v>
      </c>
      <c r="E382" t="s">
        <v>3653</v>
      </c>
      <c r="F382" t="s">
        <v>12</v>
      </c>
      <c r="G382">
        <v>1.196</v>
      </c>
      <c r="H382" s="413">
        <f>G382*VLOOKUP(E382,GWPs!$B$3:$C$6,2,FALSE)</f>
        <v>1.196</v>
      </c>
      <c r="I382">
        <v>0.03</v>
      </c>
      <c r="J382" s="413">
        <f>I382*VLOOKUP(E382,GWPs!$B$3:$C$6,2,FALSE)</f>
        <v>0.03</v>
      </c>
      <c r="K382">
        <v>1.226</v>
      </c>
      <c r="L382" s="413">
        <f>K382*VLOOKUP(E382,GWPs!$B$3:$C$6,2,FALSE)</f>
        <v>1.226</v>
      </c>
      <c r="N382">
        <v>4</v>
      </c>
      <c r="O382">
        <v>2</v>
      </c>
      <c r="P382">
        <v>1</v>
      </c>
      <c r="Q382">
        <v>4</v>
      </c>
      <c r="R382">
        <v>1</v>
      </c>
      <c r="W382" s="226" t="s">
        <v>1010</v>
      </c>
      <c r="X382" s="70" t="s">
        <v>1009</v>
      </c>
      <c r="Y382" s="414">
        <v>1.4430000000000001</v>
      </c>
      <c r="Z382" s="70">
        <v>1.4430000000000001</v>
      </c>
      <c r="AA382" s="70">
        <v>0</v>
      </c>
      <c r="AB382" s="464" t="s">
        <v>4231</v>
      </c>
      <c r="AC382" s="415">
        <f t="shared" si="5"/>
        <v>0</v>
      </c>
      <c r="AD382" s="226" t="e">
        <f ca="1">_xlfn.XLOOKUP(X382,'USEEIO metadata'!$C$2:$C$393,'USEEIO metadata'!$H$2:$H$393)</f>
        <v>#NAME?</v>
      </c>
      <c r="AE382" s="226" t="e">
        <f ca="1">_xlfn.XLOOKUP(X382,'USEEIO metadata'!$C$2:$C$393,'USEEIO metadata'!$F$2:$F$393)</f>
        <v>#NAME?</v>
      </c>
      <c r="AF382" s="226" t="e">
        <f ca="1">_xlfn.XLOOKUP(X382,'USEEIO metadata'!$C$2:$C$393,'USEEIO metadata'!$G$2:$G$393)</f>
        <v>#NAME?</v>
      </c>
    </row>
    <row r="383" spans="1:32" ht="42.75">
      <c r="A383" t="str">
        <f>_xlfn.IFNA(IF(VLOOKUP(C383,'2016_Detail_Commodity_v1.0'!C:C,1,FALSE)=C383,"No change"),"Name changed")</f>
        <v>No change</v>
      </c>
      <c r="B383" t="s">
        <v>499</v>
      </c>
      <c r="C383" t="s">
        <v>500</v>
      </c>
      <c r="E383" t="s">
        <v>3654</v>
      </c>
      <c r="F383" t="s">
        <v>12</v>
      </c>
      <c r="G383">
        <v>6.0000000000000001E-3</v>
      </c>
      <c r="H383" s="413">
        <f>G383*VLOOKUP(E383,GWPs!$B$3:$C$6,2,FALSE)</f>
        <v>0.16800000000000001</v>
      </c>
      <c r="I383">
        <v>0</v>
      </c>
      <c r="J383" s="413">
        <f>I383*VLOOKUP(E383,GWPs!$B$3:$C$6,2,FALSE)</f>
        <v>0</v>
      </c>
      <c r="K383">
        <v>6.0000000000000001E-3</v>
      </c>
      <c r="L383" s="413">
        <f>K383*VLOOKUP(E383,GWPs!$B$3:$C$6,2,FALSE)</f>
        <v>0.16800000000000001</v>
      </c>
      <c r="N383">
        <v>3</v>
      </c>
      <c r="O383">
        <v>2</v>
      </c>
      <c r="P383">
        <v>1</v>
      </c>
      <c r="Q383">
        <v>1</v>
      </c>
      <c r="R383">
        <v>1</v>
      </c>
      <c r="W383" s="226" t="s">
        <v>724</v>
      </c>
      <c r="X383" s="70" t="s">
        <v>723</v>
      </c>
      <c r="Y383" s="414">
        <v>0.108</v>
      </c>
      <c r="Z383" s="70">
        <v>3.7000000000000005E-2</v>
      </c>
      <c r="AA383" s="70">
        <v>7.1999999999999995E-2</v>
      </c>
      <c r="AB383" s="464" t="s">
        <v>4230</v>
      </c>
      <c r="AC383" s="415">
        <f t="shared" si="5"/>
        <v>0.66666666666666663</v>
      </c>
      <c r="AD383" s="226" t="e">
        <f ca="1">_xlfn.XLOOKUP(X383,'USEEIO metadata'!$C$2:$C$393,'USEEIO metadata'!$H$2:$H$393)</f>
        <v>#NAME?</v>
      </c>
      <c r="AE383" s="226" t="e">
        <f ca="1">_xlfn.XLOOKUP(X383,'USEEIO metadata'!$C$2:$C$393,'USEEIO metadata'!$F$2:$F$393)</f>
        <v>#NAME?</v>
      </c>
      <c r="AF383" s="226" t="e">
        <f ca="1">_xlfn.XLOOKUP(X383,'USEEIO metadata'!$C$2:$C$393,'USEEIO metadata'!$G$2:$G$393)</f>
        <v>#NAME?</v>
      </c>
    </row>
    <row r="384" spans="1:32" ht="28.5">
      <c r="A384" t="str">
        <f>_xlfn.IFNA(IF(VLOOKUP(C384,'2016_Detail_Commodity_v1.0'!C:C,1,FALSE)=C384,"No change"),"Name changed")</f>
        <v>No change</v>
      </c>
      <c r="B384" t="s">
        <v>499</v>
      </c>
      <c r="C384" t="s">
        <v>500</v>
      </c>
      <c r="E384" t="s">
        <v>3655</v>
      </c>
      <c r="F384" t="s">
        <v>12</v>
      </c>
      <c r="G384">
        <v>1E-3</v>
      </c>
      <c r="H384" s="413">
        <f>G384*VLOOKUP(E384,GWPs!$B$3:$C$6,2,FALSE)</f>
        <v>0.26500000000000001</v>
      </c>
      <c r="I384">
        <v>0</v>
      </c>
      <c r="J384" s="413">
        <f>I384*VLOOKUP(E384,GWPs!$B$3:$C$6,2,FALSE)</f>
        <v>0</v>
      </c>
      <c r="K384">
        <v>1E-3</v>
      </c>
      <c r="L384" s="413">
        <f>K384*VLOOKUP(E384,GWPs!$B$3:$C$6,2,FALSE)</f>
        <v>0.26500000000000001</v>
      </c>
      <c r="N384">
        <v>3</v>
      </c>
      <c r="O384">
        <v>2</v>
      </c>
      <c r="P384">
        <v>1</v>
      </c>
      <c r="Q384">
        <v>3</v>
      </c>
      <c r="R384">
        <v>1</v>
      </c>
      <c r="W384" s="226" t="s">
        <v>888</v>
      </c>
      <c r="X384" s="70" t="s">
        <v>887</v>
      </c>
      <c r="Y384" s="414">
        <v>0.71499999999999986</v>
      </c>
      <c r="Z384" s="70">
        <v>0.71499999999999986</v>
      </c>
      <c r="AA384" s="70">
        <v>0</v>
      </c>
      <c r="AB384" s="464" t="s">
        <v>4230</v>
      </c>
      <c r="AC384" s="415">
        <f t="shared" si="5"/>
        <v>0</v>
      </c>
      <c r="AD384" s="226" t="e">
        <f ca="1">_xlfn.XLOOKUP(X384,'USEEIO metadata'!$C$2:$C$393,'USEEIO metadata'!$H$2:$H$393)</f>
        <v>#NAME?</v>
      </c>
      <c r="AE384" s="226" t="e">
        <f ca="1">_xlfn.XLOOKUP(X384,'USEEIO metadata'!$C$2:$C$393,'USEEIO metadata'!$F$2:$F$393)</f>
        <v>#NAME?</v>
      </c>
      <c r="AF384" s="226" t="e">
        <f ca="1">_xlfn.XLOOKUP(X384,'USEEIO metadata'!$C$2:$C$393,'USEEIO metadata'!$G$2:$G$393)</f>
        <v>#NAME?</v>
      </c>
    </row>
    <row r="385" spans="1:32" ht="57">
      <c r="A385" t="str">
        <f>_xlfn.IFNA(IF(VLOOKUP(C385,'2016_Detail_Commodity_v1.0'!C:C,1,FALSE)=C385,"No change"),"Name changed")</f>
        <v>No change</v>
      </c>
      <c r="B385" t="s">
        <v>499</v>
      </c>
      <c r="C385" t="s">
        <v>500</v>
      </c>
      <c r="E385" t="s">
        <v>15</v>
      </c>
      <c r="F385" t="s">
        <v>16</v>
      </c>
      <c r="G385">
        <v>6.0000000000000001E-3</v>
      </c>
      <c r="H385" s="413">
        <f>G385*VLOOKUP(E385,GWPs!$B$3:$C$6,2,FALSE)</f>
        <v>6.0000000000000001E-3</v>
      </c>
      <c r="I385">
        <v>0</v>
      </c>
      <c r="J385" s="413">
        <f>I385*VLOOKUP(E385,GWPs!$B$3:$C$6,2,FALSE)</f>
        <v>0</v>
      </c>
      <c r="K385">
        <v>6.0000000000000001E-3</v>
      </c>
      <c r="L385" s="413">
        <f>K385*VLOOKUP(E385,GWPs!$B$3:$C$6,2,FALSE)</f>
        <v>6.0000000000000001E-3</v>
      </c>
      <c r="N385">
        <v>3</v>
      </c>
      <c r="O385">
        <v>2</v>
      </c>
      <c r="P385">
        <v>1</v>
      </c>
      <c r="Q385">
        <v>3</v>
      </c>
      <c r="R385">
        <v>1</v>
      </c>
      <c r="W385" s="226" t="s">
        <v>684</v>
      </c>
      <c r="X385" s="70" t="s">
        <v>683</v>
      </c>
      <c r="Y385" s="414">
        <v>0.28500000000000003</v>
      </c>
      <c r="Z385" s="70">
        <v>0.254</v>
      </c>
      <c r="AA385" s="70">
        <v>3.1E-2</v>
      </c>
      <c r="AB385" s="464" t="s">
        <v>4230</v>
      </c>
      <c r="AC385" s="415">
        <f t="shared" si="5"/>
        <v>0.10877192982456139</v>
      </c>
      <c r="AD385" s="226" t="e">
        <f ca="1">_xlfn.XLOOKUP(X385,'USEEIO metadata'!$C$2:$C$393,'USEEIO metadata'!$H$2:$H$393)</f>
        <v>#NAME?</v>
      </c>
      <c r="AE385" s="226" t="e">
        <f ca="1">_xlfn.XLOOKUP(X385,'USEEIO metadata'!$C$2:$C$393,'USEEIO metadata'!$F$2:$F$393)</f>
        <v>#NAME?</v>
      </c>
      <c r="AF385" s="226" t="e">
        <f ca="1">_xlfn.XLOOKUP(X385,'USEEIO metadata'!$C$2:$C$393,'USEEIO metadata'!$G$2:$G$393)</f>
        <v>#NAME?</v>
      </c>
    </row>
    <row r="386" spans="1:32">
      <c r="A386" t="str">
        <f>_xlfn.IFNA(IF(VLOOKUP(C386,'2016_Detail_Commodity_v1.0'!C:C,1,FALSE)=C386,"No change"),"Name changed")</f>
        <v>No change</v>
      </c>
      <c r="B386" t="s">
        <v>501</v>
      </c>
      <c r="C386" t="s">
        <v>502</v>
      </c>
      <c r="E386" t="s">
        <v>3653</v>
      </c>
      <c r="F386" t="s">
        <v>12</v>
      </c>
      <c r="G386">
        <v>1.3779999999999999</v>
      </c>
      <c r="H386" s="413">
        <f>G386*VLOOKUP(E386,GWPs!$B$3:$C$6,2,FALSE)</f>
        <v>1.3779999999999999</v>
      </c>
      <c r="I386">
        <v>3.2000000000000001E-2</v>
      </c>
      <c r="J386" s="413">
        <f>I386*VLOOKUP(E386,GWPs!$B$3:$C$6,2,FALSE)</f>
        <v>3.2000000000000001E-2</v>
      </c>
      <c r="K386">
        <v>1.41</v>
      </c>
      <c r="L386" s="413">
        <f>K386*VLOOKUP(E386,GWPs!$B$3:$C$6,2,FALSE)</f>
        <v>1.41</v>
      </c>
      <c r="N386">
        <v>4</v>
      </c>
      <c r="O386">
        <v>2</v>
      </c>
      <c r="P386">
        <v>1</v>
      </c>
      <c r="Q386">
        <v>4</v>
      </c>
      <c r="R386">
        <v>1</v>
      </c>
      <c r="W386" s="226" t="s">
        <v>349</v>
      </c>
      <c r="X386" s="70" t="s">
        <v>348</v>
      </c>
      <c r="Y386" s="414">
        <v>0.57799999999999996</v>
      </c>
      <c r="Z386" s="70">
        <v>0.57799999999999996</v>
      </c>
      <c r="AA386" s="70">
        <v>0</v>
      </c>
      <c r="AB386" s="464" t="s">
        <v>4230</v>
      </c>
      <c r="AC386" s="415">
        <f t="shared" si="5"/>
        <v>0</v>
      </c>
      <c r="AD386" s="226" t="e">
        <f ca="1">_xlfn.XLOOKUP(X386,'USEEIO metadata'!$C$2:$C$393,'USEEIO metadata'!$H$2:$H$393)</f>
        <v>#NAME?</v>
      </c>
      <c r="AE386" s="226" t="e">
        <f ca="1">_xlfn.XLOOKUP(X386,'USEEIO metadata'!$C$2:$C$393,'USEEIO metadata'!$F$2:$F$393)</f>
        <v>#NAME?</v>
      </c>
      <c r="AF386" s="226" t="e">
        <f ca="1">_xlfn.XLOOKUP(X386,'USEEIO metadata'!$C$2:$C$393,'USEEIO metadata'!$G$2:$G$393)</f>
        <v>#NAME?</v>
      </c>
    </row>
    <row r="387" spans="1:32" ht="28.5">
      <c r="A387" t="str">
        <f>_xlfn.IFNA(IF(VLOOKUP(C387,'2016_Detail_Commodity_v1.0'!C:C,1,FALSE)=C387,"No change"),"Name changed")</f>
        <v>No change</v>
      </c>
      <c r="B387" t="s">
        <v>501</v>
      </c>
      <c r="C387" t="s">
        <v>502</v>
      </c>
      <c r="E387" t="s">
        <v>3654</v>
      </c>
      <c r="F387" t="s">
        <v>12</v>
      </c>
      <c r="G387">
        <v>4.0000000000000001E-3</v>
      </c>
      <c r="H387" s="413">
        <f>G387*VLOOKUP(E387,GWPs!$B$3:$C$6,2,FALSE)</f>
        <v>0.112</v>
      </c>
      <c r="I387">
        <v>0</v>
      </c>
      <c r="J387" s="413">
        <f>I387*VLOOKUP(E387,GWPs!$B$3:$C$6,2,FALSE)</f>
        <v>0</v>
      </c>
      <c r="K387">
        <v>4.0000000000000001E-3</v>
      </c>
      <c r="L387" s="413">
        <f>K387*VLOOKUP(E387,GWPs!$B$3:$C$6,2,FALSE)</f>
        <v>0.112</v>
      </c>
      <c r="N387">
        <v>4</v>
      </c>
      <c r="O387">
        <v>2</v>
      </c>
      <c r="P387">
        <v>1</v>
      </c>
      <c r="Q387">
        <v>1</v>
      </c>
      <c r="R387">
        <v>1</v>
      </c>
      <c r="W387" s="226" t="s">
        <v>868</v>
      </c>
      <c r="X387" s="70" t="s">
        <v>867</v>
      </c>
      <c r="Y387" s="414">
        <v>5.7000000000000002E-2</v>
      </c>
      <c r="Z387" s="70">
        <v>5.7000000000000002E-2</v>
      </c>
      <c r="AA387" s="70">
        <v>0</v>
      </c>
      <c r="AB387" s="464" t="s">
        <v>4230</v>
      </c>
      <c r="AC387" s="415">
        <f t="shared" ref="AC387:AC395" si="6">IFERROR(AA387/Y387,"")</f>
        <v>0</v>
      </c>
      <c r="AD387" s="226" t="e">
        <f ca="1">_xlfn.XLOOKUP(X387,'USEEIO metadata'!$C$2:$C$393,'USEEIO metadata'!$H$2:$H$393)</f>
        <v>#NAME?</v>
      </c>
      <c r="AE387" s="226" t="e">
        <f ca="1">_xlfn.XLOOKUP(X387,'USEEIO metadata'!$C$2:$C$393,'USEEIO metadata'!$F$2:$F$393)</f>
        <v>#NAME?</v>
      </c>
      <c r="AF387" s="226" t="e">
        <f ca="1">_xlfn.XLOOKUP(X387,'USEEIO metadata'!$C$2:$C$393,'USEEIO metadata'!$G$2:$G$393)</f>
        <v>#NAME?</v>
      </c>
    </row>
    <row r="388" spans="1:32">
      <c r="A388" t="str">
        <f>_xlfn.IFNA(IF(VLOOKUP(C388,'2016_Detail_Commodity_v1.0'!C:C,1,FALSE)=C388,"No change"),"Name changed")</f>
        <v>No change</v>
      </c>
      <c r="B388" t="s">
        <v>501</v>
      </c>
      <c r="C388" t="s">
        <v>502</v>
      </c>
      <c r="E388" t="s">
        <v>3655</v>
      </c>
      <c r="F388" t="s">
        <v>12</v>
      </c>
      <c r="G388">
        <v>0</v>
      </c>
      <c r="H388" s="413">
        <f>G388*VLOOKUP(E388,GWPs!$B$3:$C$6,2,FALSE)</f>
        <v>0</v>
      </c>
      <c r="I388">
        <v>0</v>
      </c>
      <c r="J388" s="413">
        <f>I388*VLOOKUP(E388,GWPs!$B$3:$C$6,2,FALSE)</f>
        <v>0</v>
      </c>
      <c r="K388">
        <v>0</v>
      </c>
      <c r="L388" s="413">
        <f>K388*VLOOKUP(E388,GWPs!$B$3:$C$6,2,FALSE)</f>
        <v>0</v>
      </c>
      <c r="N388">
        <v>3</v>
      </c>
      <c r="O388">
        <v>2</v>
      </c>
      <c r="P388">
        <v>1</v>
      </c>
      <c r="Q388">
        <v>3</v>
      </c>
      <c r="R388">
        <v>1</v>
      </c>
      <c r="W388" s="226" t="s">
        <v>333</v>
      </c>
      <c r="X388" s="70" t="s">
        <v>332</v>
      </c>
      <c r="Y388" s="414">
        <v>0.34300000000000003</v>
      </c>
      <c r="Z388" s="70">
        <v>0.29300000000000004</v>
      </c>
      <c r="AA388" s="70">
        <v>5.0999999999999997E-2</v>
      </c>
      <c r="AB388" s="464" t="s">
        <v>4230</v>
      </c>
      <c r="AC388" s="415">
        <f t="shared" si="6"/>
        <v>0.14868804664723029</v>
      </c>
      <c r="AD388" s="226" t="e">
        <f ca="1">_xlfn.XLOOKUP(X388,'USEEIO metadata'!$C$2:$C$393,'USEEIO metadata'!$H$2:$H$393)</f>
        <v>#NAME?</v>
      </c>
      <c r="AE388" s="226" t="e">
        <f ca="1">_xlfn.XLOOKUP(X388,'USEEIO metadata'!$C$2:$C$393,'USEEIO metadata'!$F$2:$F$393)</f>
        <v>#NAME?</v>
      </c>
      <c r="AF388" s="226" t="e">
        <f ca="1">_xlfn.XLOOKUP(X388,'USEEIO metadata'!$C$2:$C$393,'USEEIO metadata'!$G$2:$G$393)</f>
        <v>#NAME?</v>
      </c>
    </row>
    <row r="389" spans="1:32">
      <c r="A389" t="str">
        <f>_xlfn.IFNA(IF(VLOOKUP(C389,'2016_Detail_Commodity_v1.0'!C:C,1,FALSE)=C389,"No change"),"Name changed")</f>
        <v>No change</v>
      </c>
      <c r="B389" t="s">
        <v>501</v>
      </c>
      <c r="C389" t="s">
        <v>502</v>
      </c>
      <c r="E389" t="s">
        <v>15</v>
      </c>
      <c r="F389" t="s">
        <v>16</v>
      </c>
      <c r="G389">
        <v>6.0000000000000001E-3</v>
      </c>
      <c r="H389" s="413">
        <f>G389*VLOOKUP(E389,GWPs!$B$3:$C$6,2,FALSE)</f>
        <v>6.0000000000000001E-3</v>
      </c>
      <c r="I389">
        <v>0</v>
      </c>
      <c r="J389" s="413">
        <f>I389*VLOOKUP(E389,GWPs!$B$3:$C$6,2,FALSE)</f>
        <v>0</v>
      </c>
      <c r="K389">
        <v>6.0000000000000001E-3</v>
      </c>
      <c r="L389" s="413">
        <f>K389*VLOOKUP(E389,GWPs!$B$3:$C$6,2,FALSE)</f>
        <v>6.0000000000000001E-3</v>
      </c>
      <c r="N389">
        <v>3</v>
      </c>
      <c r="O389">
        <v>2</v>
      </c>
      <c r="P389">
        <v>1</v>
      </c>
      <c r="Q389">
        <v>3</v>
      </c>
      <c r="R389">
        <v>1</v>
      </c>
      <c r="W389" s="226" t="s">
        <v>434</v>
      </c>
      <c r="X389" s="70" t="s">
        <v>433</v>
      </c>
      <c r="Y389" s="414">
        <v>0.223</v>
      </c>
      <c r="Z389" s="70">
        <v>0.114</v>
      </c>
      <c r="AA389" s="70">
        <v>8.1000000000000003E-2</v>
      </c>
      <c r="AB389" s="464" t="s">
        <v>4230</v>
      </c>
      <c r="AC389" s="415">
        <f t="shared" si="6"/>
        <v>0.3632286995515695</v>
      </c>
      <c r="AD389" s="226" t="e">
        <f ca="1">_xlfn.XLOOKUP(X389,'USEEIO metadata'!$C$2:$C$393,'USEEIO metadata'!$H$2:$H$393)</f>
        <v>#NAME?</v>
      </c>
      <c r="AE389" s="226" t="e">
        <f ca="1">_xlfn.XLOOKUP(X389,'USEEIO metadata'!$C$2:$C$393,'USEEIO metadata'!$F$2:$F$393)</f>
        <v>#NAME?</v>
      </c>
      <c r="AF389" s="226" t="e">
        <f ca="1">_xlfn.XLOOKUP(X389,'USEEIO metadata'!$C$2:$C$393,'USEEIO metadata'!$G$2:$G$393)</f>
        <v>#NAME?</v>
      </c>
    </row>
    <row r="390" spans="1:32">
      <c r="A390" t="str">
        <f>_xlfn.IFNA(IF(VLOOKUP(C390,'2016_Detail_Commodity_v1.0'!C:C,1,FALSE)=C390,"No change"),"Name changed")</f>
        <v>No change</v>
      </c>
      <c r="B390" t="s">
        <v>503</v>
      </c>
      <c r="C390" t="s">
        <v>504</v>
      </c>
      <c r="E390" t="s">
        <v>3653</v>
      </c>
      <c r="F390" t="s">
        <v>12</v>
      </c>
      <c r="G390">
        <v>1.0109999999999999</v>
      </c>
      <c r="H390" s="413">
        <f>G390*VLOOKUP(E390,GWPs!$B$3:$C$6,2,FALSE)</f>
        <v>1.0109999999999999</v>
      </c>
      <c r="I390">
        <v>2.1000000000000001E-2</v>
      </c>
      <c r="J390" s="413">
        <f>I390*VLOOKUP(E390,GWPs!$B$3:$C$6,2,FALSE)</f>
        <v>2.1000000000000001E-2</v>
      </c>
      <c r="K390">
        <v>1.0329999999999999</v>
      </c>
      <c r="L390" s="413">
        <f>K390*VLOOKUP(E390,GWPs!$B$3:$C$6,2,FALSE)</f>
        <v>1.0329999999999999</v>
      </c>
      <c r="N390">
        <v>4</v>
      </c>
      <c r="O390">
        <v>2</v>
      </c>
      <c r="P390">
        <v>1</v>
      </c>
      <c r="Q390">
        <v>3</v>
      </c>
      <c r="R390">
        <v>1</v>
      </c>
      <c r="W390" s="226" t="s">
        <v>696</v>
      </c>
      <c r="X390" s="70" t="s">
        <v>695</v>
      </c>
      <c r="Y390" s="414">
        <v>0.19700000000000001</v>
      </c>
      <c r="Z390" s="70">
        <v>8.1000000000000003E-2</v>
      </c>
      <c r="AA390" s="70">
        <v>8.8999999999999996E-2</v>
      </c>
      <c r="AB390" s="464" t="s">
        <v>4230</v>
      </c>
      <c r="AC390" s="415">
        <f t="shared" si="6"/>
        <v>0.45177664974619286</v>
      </c>
      <c r="AD390" s="226" t="e">
        <f ca="1">_xlfn.XLOOKUP(X390,'USEEIO metadata'!$C$2:$C$393,'USEEIO metadata'!$H$2:$H$393)</f>
        <v>#NAME?</v>
      </c>
      <c r="AE390" s="226" t="e">
        <f ca="1">_xlfn.XLOOKUP(X390,'USEEIO metadata'!$C$2:$C$393,'USEEIO metadata'!$F$2:$F$393)</f>
        <v>#NAME?</v>
      </c>
      <c r="AF390" s="226" t="e">
        <f ca="1">_xlfn.XLOOKUP(X390,'USEEIO metadata'!$C$2:$C$393,'USEEIO metadata'!$G$2:$G$393)</f>
        <v>#NAME?</v>
      </c>
    </row>
    <row r="391" spans="1:32">
      <c r="A391" t="str">
        <f>_xlfn.IFNA(IF(VLOOKUP(C391,'2016_Detail_Commodity_v1.0'!C:C,1,FALSE)=C391,"No change"),"Name changed")</f>
        <v>No change</v>
      </c>
      <c r="B391" t="s">
        <v>503</v>
      </c>
      <c r="C391" t="s">
        <v>504</v>
      </c>
      <c r="E391" t="s">
        <v>3654</v>
      </c>
      <c r="F391" t="s">
        <v>12</v>
      </c>
      <c r="G391">
        <v>4.0000000000000001E-3</v>
      </c>
      <c r="H391" s="413">
        <f>G391*VLOOKUP(E391,GWPs!$B$3:$C$6,2,FALSE)</f>
        <v>0.112</v>
      </c>
      <c r="I391">
        <v>0</v>
      </c>
      <c r="J391" s="413">
        <f>I391*VLOOKUP(E391,GWPs!$B$3:$C$6,2,FALSE)</f>
        <v>0</v>
      </c>
      <c r="K391">
        <v>4.0000000000000001E-3</v>
      </c>
      <c r="L391" s="413">
        <f>K391*VLOOKUP(E391,GWPs!$B$3:$C$6,2,FALSE)</f>
        <v>0.112</v>
      </c>
      <c r="N391">
        <v>4</v>
      </c>
      <c r="O391">
        <v>2</v>
      </c>
      <c r="P391">
        <v>1</v>
      </c>
      <c r="Q391">
        <v>1</v>
      </c>
      <c r="R391">
        <v>1</v>
      </c>
      <c r="W391" s="226" t="s">
        <v>926</v>
      </c>
      <c r="X391" s="70" t="s">
        <v>925</v>
      </c>
      <c r="Y391" s="414">
        <v>0.188</v>
      </c>
      <c r="Z391" s="70">
        <v>0.188</v>
      </c>
      <c r="AA391" s="70">
        <v>0</v>
      </c>
      <c r="AB391" s="464" t="s">
        <v>4230</v>
      </c>
      <c r="AC391" s="415">
        <f t="shared" si="6"/>
        <v>0</v>
      </c>
      <c r="AD391" s="226" t="e">
        <f ca="1">_xlfn.XLOOKUP(X391,'USEEIO metadata'!$C$2:$C$393,'USEEIO metadata'!$H$2:$H$393)</f>
        <v>#NAME?</v>
      </c>
      <c r="AE391" s="226" t="e">
        <f ca="1">_xlfn.XLOOKUP(X391,'USEEIO metadata'!$C$2:$C$393,'USEEIO metadata'!$F$2:$F$393)</f>
        <v>#NAME?</v>
      </c>
      <c r="AF391" s="226" t="e">
        <f ca="1">_xlfn.XLOOKUP(X391,'USEEIO metadata'!$C$2:$C$393,'USEEIO metadata'!$G$2:$G$393)</f>
        <v>#NAME?</v>
      </c>
    </row>
    <row r="392" spans="1:32">
      <c r="A392" t="str">
        <f>_xlfn.IFNA(IF(VLOOKUP(C392,'2016_Detail_Commodity_v1.0'!C:C,1,FALSE)=C392,"No change"),"Name changed")</f>
        <v>No change</v>
      </c>
      <c r="B392" t="s">
        <v>503</v>
      </c>
      <c r="C392" t="s">
        <v>504</v>
      </c>
      <c r="E392" t="s">
        <v>3655</v>
      </c>
      <c r="F392" t="s">
        <v>12</v>
      </c>
      <c r="G392">
        <v>0</v>
      </c>
      <c r="H392" s="413">
        <f>G392*VLOOKUP(E392,GWPs!$B$3:$C$6,2,FALSE)</f>
        <v>0</v>
      </c>
      <c r="I392">
        <v>0</v>
      </c>
      <c r="J392" s="413">
        <f>I392*VLOOKUP(E392,GWPs!$B$3:$C$6,2,FALSE)</f>
        <v>0</v>
      </c>
      <c r="K392">
        <v>0</v>
      </c>
      <c r="L392" s="413">
        <f>K392*VLOOKUP(E392,GWPs!$B$3:$C$6,2,FALSE)</f>
        <v>0</v>
      </c>
      <c r="N392">
        <v>4</v>
      </c>
      <c r="O392">
        <v>2</v>
      </c>
      <c r="P392">
        <v>1</v>
      </c>
      <c r="Q392">
        <v>3</v>
      </c>
      <c r="R392">
        <v>1</v>
      </c>
      <c r="W392" s="226" t="s">
        <v>756</v>
      </c>
      <c r="X392" s="70" t="s">
        <v>755</v>
      </c>
      <c r="Y392" s="414">
        <v>0.31700000000000006</v>
      </c>
      <c r="Z392" s="70">
        <v>0.25900000000000001</v>
      </c>
      <c r="AA392" s="70">
        <v>5.8000000000000003E-2</v>
      </c>
      <c r="AB392" s="464" t="s">
        <v>4230</v>
      </c>
      <c r="AC392" s="415">
        <f t="shared" si="6"/>
        <v>0.18296529968454256</v>
      </c>
      <c r="AD392" s="226" t="e">
        <f ca="1">_xlfn.XLOOKUP(X392,'USEEIO metadata'!$C$2:$C$393,'USEEIO metadata'!$H$2:$H$393)</f>
        <v>#NAME?</v>
      </c>
      <c r="AE392" s="226" t="e">
        <f ca="1">_xlfn.XLOOKUP(X392,'USEEIO metadata'!$C$2:$C$393,'USEEIO metadata'!$F$2:$F$393)</f>
        <v>#NAME?</v>
      </c>
      <c r="AF392" s="226" t="e">
        <f ca="1">_xlfn.XLOOKUP(X392,'USEEIO metadata'!$C$2:$C$393,'USEEIO metadata'!$G$2:$G$393)</f>
        <v>#NAME?</v>
      </c>
    </row>
    <row r="393" spans="1:32" ht="28.5">
      <c r="A393" t="str">
        <f>_xlfn.IFNA(IF(VLOOKUP(C393,'2016_Detail_Commodity_v1.0'!C:C,1,FALSE)=C393,"No change"),"Name changed")</f>
        <v>No change</v>
      </c>
      <c r="B393" t="s">
        <v>503</v>
      </c>
      <c r="C393" t="s">
        <v>504</v>
      </c>
      <c r="E393" t="s">
        <v>15</v>
      </c>
      <c r="F393" t="s">
        <v>16</v>
      </c>
      <c r="G393">
        <v>5.0000000000000001E-3</v>
      </c>
      <c r="H393" s="413">
        <f>G393*VLOOKUP(E393,GWPs!$B$3:$C$6,2,FALSE)</f>
        <v>5.0000000000000001E-3</v>
      </c>
      <c r="I393">
        <v>0</v>
      </c>
      <c r="J393" s="413">
        <f>I393*VLOOKUP(E393,GWPs!$B$3:$C$6,2,FALSE)</f>
        <v>0</v>
      </c>
      <c r="K393">
        <v>5.0000000000000001E-3</v>
      </c>
      <c r="L393" s="413">
        <f>K393*VLOOKUP(E393,GWPs!$B$3:$C$6,2,FALSE)</f>
        <v>5.0000000000000001E-3</v>
      </c>
      <c r="N393">
        <v>3</v>
      </c>
      <c r="O393">
        <v>2</v>
      </c>
      <c r="P393">
        <v>1</v>
      </c>
      <c r="Q393">
        <v>3</v>
      </c>
      <c r="R393">
        <v>1</v>
      </c>
      <c r="W393" s="226" t="s">
        <v>810</v>
      </c>
      <c r="X393" s="70" t="s">
        <v>809</v>
      </c>
      <c r="Y393" s="414">
        <v>0.252</v>
      </c>
      <c r="Z393" s="70">
        <v>0.16700000000000001</v>
      </c>
      <c r="AA393" s="70">
        <v>8.5000000000000006E-2</v>
      </c>
      <c r="AB393" s="464" t="s">
        <v>4230</v>
      </c>
      <c r="AC393" s="415">
        <f t="shared" si="6"/>
        <v>0.33730158730158732</v>
      </c>
      <c r="AD393" s="226" t="e">
        <f ca="1">_xlfn.XLOOKUP(X393,'USEEIO metadata'!$C$2:$C$393,'USEEIO metadata'!$H$2:$H$393)</f>
        <v>#NAME?</v>
      </c>
      <c r="AE393" s="226" t="e">
        <f ca="1">_xlfn.XLOOKUP(X393,'USEEIO metadata'!$C$2:$C$393,'USEEIO metadata'!$F$2:$F$393)</f>
        <v>#NAME?</v>
      </c>
      <c r="AF393" s="226" t="e">
        <f ca="1">_xlfn.XLOOKUP(X393,'USEEIO metadata'!$C$2:$C$393,'USEEIO metadata'!$G$2:$G$393)</f>
        <v>#NAME?</v>
      </c>
    </row>
    <row r="394" spans="1:32">
      <c r="A394" t="str">
        <f>_xlfn.IFNA(IF(VLOOKUP(C394,'2016_Detail_Commodity_v1.0'!C:C,1,FALSE)=C394,"No change"),"Name changed")</f>
        <v>No change</v>
      </c>
      <c r="B394" t="s">
        <v>505</v>
      </c>
      <c r="C394" t="s">
        <v>506</v>
      </c>
      <c r="E394" t="s">
        <v>3653</v>
      </c>
      <c r="F394" t="s">
        <v>12</v>
      </c>
      <c r="G394">
        <v>1.6160000000000001</v>
      </c>
      <c r="H394" s="413">
        <f>G394*VLOOKUP(E394,GWPs!$B$3:$C$6,2,FALSE)</f>
        <v>1.6160000000000001</v>
      </c>
      <c r="I394">
        <v>8.8999999999999996E-2</v>
      </c>
      <c r="J394" s="413">
        <f>I394*VLOOKUP(E394,GWPs!$B$3:$C$6,2,FALSE)</f>
        <v>8.8999999999999996E-2</v>
      </c>
      <c r="K394">
        <v>1.7050000000000001</v>
      </c>
      <c r="L394" s="413">
        <f>K394*VLOOKUP(E394,GWPs!$B$3:$C$6,2,FALSE)</f>
        <v>1.7050000000000001</v>
      </c>
      <c r="N394">
        <v>3</v>
      </c>
      <c r="O394">
        <v>2</v>
      </c>
      <c r="P394">
        <v>1</v>
      </c>
      <c r="Q394">
        <v>3</v>
      </c>
      <c r="R394">
        <v>1</v>
      </c>
      <c r="W394" s="226" t="s">
        <v>464</v>
      </c>
      <c r="X394" s="70" t="s">
        <v>463</v>
      </c>
      <c r="Y394" s="414">
        <v>0.79499999999999993</v>
      </c>
      <c r="Z394" s="70">
        <v>0.753</v>
      </c>
      <c r="AA394" s="70">
        <v>4.2000000000000003E-2</v>
      </c>
      <c r="AB394" s="464" t="s">
        <v>4230</v>
      </c>
      <c r="AC394" s="415">
        <f t="shared" si="6"/>
        <v>5.2830188679245292E-2</v>
      </c>
      <c r="AD394" s="226" t="e">
        <f ca="1">_xlfn.XLOOKUP(X394,'USEEIO metadata'!$C$2:$C$393,'USEEIO metadata'!$H$2:$H$393)</f>
        <v>#NAME?</v>
      </c>
      <c r="AE394" s="226" t="e">
        <f ca="1">_xlfn.XLOOKUP(X394,'USEEIO metadata'!$C$2:$C$393,'USEEIO metadata'!$F$2:$F$393)</f>
        <v>#NAME?</v>
      </c>
      <c r="AF394" s="226" t="e">
        <f ca="1">_xlfn.XLOOKUP(X394,'USEEIO metadata'!$C$2:$C$393,'USEEIO metadata'!$G$2:$G$393)</f>
        <v>#NAME?</v>
      </c>
    </row>
    <row r="395" spans="1:32" ht="28.5">
      <c r="A395" t="str">
        <f>_xlfn.IFNA(IF(VLOOKUP(C395,'2016_Detail_Commodity_v1.0'!C:C,1,FALSE)=C395,"No change"),"Name changed")</f>
        <v>No change</v>
      </c>
      <c r="B395" t="s">
        <v>505</v>
      </c>
      <c r="C395" t="s">
        <v>506</v>
      </c>
      <c r="E395" t="s">
        <v>3654</v>
      </c>
      <c r="F395" t="s">
        <v>12</v>
      </c>
      <c r="G395">
        <v>2E-3</v>
      </c>
      <c r="H395" s="413">
        <f>G395*VLOOKUP(E395,GWPs!$B$3:$C$6,2,FALSE)</f>
        <v>5.6000000000000001E-2</v>
      </c>
      <c r="I395">
        <v>1E-3</v>
      </c>
      <c r="J395" s="413">
        <f>I395*VLOOKUP(E395,GWPs!$B$3:$C$6,2,FALSE)</f>
        <v>2.8000000000000001E-2</v>
      </c>
      <c r="K395">
        <v>3.0000000000000001E-3</v>
      </c>
      <c r="L395" s="413">
        <f>K395*VLOOKUP(E395,GWPs!$B$3:$C$6,2,FALSE)</f>
        <v>8.4000000000000005E-2</v>
      </c>
      <c r="N395">
        <v>4</v>
      </c>
      <c r="O395">
        <v>2</v>
      </c>
      <c r="P395">
        <v>1</v>
      </c>
      <c r="Q395">
        <v>1</v>
      </c>
      <c r="R395">
        <v>1</v>
      </c>
      <c r="W395" s="226" t="s">
        <v>460</v>
      </c>
      <c r="X395" s="70" t="s">
        <v>459</v>
      </c>
      <c r="Y395" s="414">
        <v>0.27800000000000002</v>
      </c>
      <c r="Z395" s="70">
        <v>0.22399999999999998</v>
      </c>
      <c r="AA395" s="70">
        <v>5.5E-2</v>
      </c>
      <c r="AB395" s="464" t="s">
        <v>4230</v>
      </c>
      <c r="AC395" s="415">
        <f t="shared" si="6"/>
        <v>0.19784172661870503</v>
      </c>
      <c r="AD395" s="226" t="e">
        <f ca="1">_xlfn.XLOOKUP(X395,'USEEIO metadata'!$C$2:$C$393,'USEEIO metadata'!$H$2:$H$393)</f>
        <v>#NAME?</v>
      </c>
      <c r="AE395" s="226" t="e">
        <f ca="1">_xlfn.XLOOKUP(X395,'USEEIO metadata'!$C$2:$C$393,'USEEIO metadata'!$F$2:$F$393)</f>
        <v>#NAME?</v>
      </c>
      <c r="AF395" s="226" t="e">
        <f ca="1">_xlfn.XLOOKUP(X395,'USEEIO metadata'!$C$2:$C$393,'USEEIO metadata'!$G$2:$G$393)</f>
        <v>#NAME?</v>
      </c>
    </row>
    <row r="396" spans="1:32">
      <c r="A396" t="str">
        <f>_xlfn.IFNA(IF(VLOOKUP(C396,'2016_Detail_Commodity_v1.0'!C:C,1,FALSE)=C396,"No change"),"Name changed")</f>
        <v>No change</v>
      </c>
      <c r="B396" t="s">
        <v>505</v>
      </c>
      <c r="C396" t="s">
        <v>506</v>
      </c>
      <c r="E396" t="s">
        <v>3655</v>
      </c>
      <c r="F396" t="s">
        <v>12</v>
      </c>
      <c r="G396">
        <v>2E-3</v>
      </c>
      <c r="H396" s="413">
        <f>G396*VLOOKUP(E396,GWPs!$B$3:$C$6,2,FALSE)</f>
        <v>0.53</v>
      </c>
      <c r="I396">
        <v>0</v>
      </c>
      <c r="J396" s="413">
        <f>I396*VLOOKUP(E396,GWPs!$B$3:$C$6,2,FALSE)</f>
        <v>0</v>
      </c>
      <c r="K396">
        <v>2E-3</v>
      </c>
      <c r="L396" s="413">
        <f>K396*VLOOKUP(E396,GWPs!$B$3:$C$6,2,FALSE)</f>
        <v>0.53</v>
      </c>
      <c r="N396">
        <v>2</v>
      </c>
      <c r="O396">
        <v>2</v>
      </c>
      <c r="P396">
        <v>1</v>
      </c>
      <c r="Q396">
        <v>1</v>
      </c>
      <c r="R396">
        <v>1</v>
      </c>
    </row>
    <row r="397" spans="1:32">
      <c r="A397" t="str">
        <f>_xlfn.IFNA(IF(VLOOKUP(C397,'2016_Detail_Commodity_v1.0'!C:C,1,FALSE)=C397,"No change"),"Name changed")</f>
        <v>No change</v>
      </c>
      <c r="B397" t="s">
        <v>505</v>
      </c>
      <c r="C397" t="s">
        <v>506</v>
      </c>
      <c r="E397" t="s">
        <v>15</v>
      </c>
      <c r="F397" t="s">
        <v>16</v>
      </c>
      <c r="G397">
        <v>4.0000000000000001E-3</v>
      </c>
      <c r="H397" s="413">
        <f>G397*VLOOKUP(E397,GWPs!$B$3:$C$6,2,FALSE)</f>
        <v>4.0000000000000001E-3</v>
      </c>
      <c r="I397">
        <v>0</v>
      </c>
      <c r="J397" s="413">
        <f>I397*VLOOKUP(E397,GWPs!$B$3:$C$6,2,FALSE)</f>
        <v>0</v>
      </c>
      <c r="K397">
        <v>4.0000000000000001E-3</v>
      </c>
      <c r="L397" s="413">
        <f>K397*VLOOKUP(E397,GWPs!$B$3:$C$6,2,FALSE)</f>
        <v>4.0000000000000001E-3</v>
      </c>
      <c r="N397">
        <v>3</v>
      </c>
      <c r="O397">
        <v>2</v>
      </c>
      <c r="P397">
        <v>1</v>
      </c>
      <c r="Q397">
        <v>4</v>
      </c>
      <c r="R397">
        <v>1</v>
      </c>
    </row>
    <row r="398" spans="1:32">
      <c r="A398" t="str">
        <f>_xlfn.IFNA(IF(VLOOKUP(C398,'2016_Detail_Commodity_v1.0'!C:C,1,FALSE)=C398,"No change"),"Name changed")</f>
        <v>No change</v>
      </c>
      <c r="B398" t="s">
        <v>507</v>
      </c>
      <c r="C398" t="s">
        <v>508</v>
      </c>
      <c r="E398" t="s">
        <v>3653</v>
      </c>
      <c r="F398" t="s">
        <v>12</v>
      </c>
      <c r="G398">
        <v>0.438</v>
      </c>
      <c r="H398" s="413">
        <f>G398*VLOOKUP(E398,GWPs!$B$3:$C$6,2,FALSE)</f>
        <v>0.438</v>
      </c>
      <c r="I398">
        <v>5.0999999999999997E-2</v>
      </c>
      <c r="J398" s="413">
        <f>I398*VLOOKUP(E398,GWPs!$B$3:$C$6,2,FALSE)</f>
        <v>5.0999999999999997E-2</v>
      </c>
      <c r="K398">
        <v>0.48899999999999999</v>
      </c>
      <c r="L398" s="413">
        <f>K398*VLOOKUP(E398,GWPs!$B$3:$C$6,2,FALSE)</f>
        <v>0.48899999999999999</v>
      </c>
      <c r="N398">
        <v>4</v>
      </c>
      <c r="O398">
        <v>2</v>
      </c>
      <c r="P398">
        <v>1</v>
      </c>
      <c r="Q398">
        <v>4</v>
      </c>
      <c r="R398">
        <v>1</v>
      </c>
    </row>
    <row r="399" spans="1:32">
      <c r="A399" t="str">
        <f>_xlfn.IFNA(IF(VLOOKUP(C399,'2016_Detail_Commodity_v1.0'!C:C,1,FALSE)=C399,"No change"),"Name changed")</f>
        <v>No change</v>
      </c>
      <c r="B399" t="s">
        <v>507</v>
      </c>
      <c r="C399" t="s">
        <v>508</v>
      </c>
      <c r="E399" t="s">
        <v>3654</v>
      </c>
      <c r="F399" t="s">
        <v>12</v>
      </c>
      <c r="G399">
        <v>2E-3</v>
      </c>
      <c r="H399" s="413">
        <f>G399*VLOOKUP(E399,GWPs!$B$3:$C$6,2,FALSE)</f>
        <v>5.6000000000000001E-2</v>
      </c>
      <c r="I399">
        <v>0</v>
      </c>
      <c r="J399" s="413">
        <f>I399*VLOOKUP(E399,GWPs!$B$3:$C$6,2,FALSE)</f>
        <v>0</v>
      </c>
      <c r="K399">
        <v>2E-3</v>
      </c>
      <c r="L399" s="413">
        <f>K399*VLOOKUP(E399,GWPs!$B$3:$C$6,2,FALSE)</f>
        <v>5.6000000000000001E-2</v>
      </c>
      <c r="N399">
        <v>3</v>
      </c>
      <c r="O399">
        <v>2</v>
      </c>
      <c r="P399">
        <v>1</v>
      </c>
      <c r="Q399">
        <v>1</v>
      </c>
      <c r="R399">
        <v>1</v>
      </c>
    </row>
    <row r="400" spans="1:32">
      <c r="A400" t="str">
        <f>_xlfn.IFNA(IF(VLOOKUP(C400,'2016_Detail_Commodity_v1.0'!C:C,1,FALSE)=C400,"No change"),"Name changed")</f>
        <v>No change</v>
      </c>
      <c r="B400" t="s">
        <v>507</v>
      </c>
      <c r="C400" t="s">
        <v>508</v>
      </c>
      <c r="E400" t="s">
        <v>3655</v>
      </c>
      <c r="F400" t="s">
        <v>12</v>
      </c>
      <c r="G400">
        <v>0</v>
      </c>
      <c r="H400" s="413">
        <f>G400*VLOOKUP(E400,GWPs!$B$3:$C$6,2,FALSE)</f>
        <v>0</v>
      </c>
      <c r="I400">
        <v>0</v>
      </c>
      <c r="J400" s="413">
        <f>I400*VLOOKUP(E400,GWPs!$B$3:$C$6,2,FALSE)</f>
        <v>0</v>
      </c>
      <c r="K400">
        <v>0</v>
      </c>
      <c r="L400" s="413">
        <f>K400*VLOOKUP(E400,GWPs!$B$3:$C$6,2,FALSE)</f>
        <v>0</v>
      </c>
      <c r="N400">
        <v>3</v>
      </c>
      <c r="O400">
        <v>2</v>
      </c>
      <c r="P400">
        <v>1</v>
      </c>
      <c r="Q400">
        <v>3</v>
      </c>
      <c r="R400">
        <v>1</v>
      </c>
    </row>
    <row r="401" spans="1:18">
      <c r="A401" t="str">
        <f>_xlfn.IFNA(IF(VLOOKUP(C401,'2016_Detail_Commodity_v1.0'!C:C,1,FALSE)=C401,"No change"),"Name changed")</f>
        <v>No change</v>
      </c>
      <c r="B401" t="s">
        <v>507</v>
      </c>
      <c r="C401" t="s">
        <v>508</v>
      </c>
      <c r="E401" t="s">
        <v>15</v>
      </c>
      <c r="F401" t="s">
        <v>16</v>
      </c>
      <c r="G401">
        <v>7.0000000000000001E-3</v>
      </c>
      <c r="H401" s="413">
        <f>G401*VLOOKUP(E401,GWPs!$B$3:$C$6,2,FALSE)</f>
        <v>7.0000000000000001E-3</v>
      </c>
      <c r="I401">
        <v>0</v>
      </c>
      <c r="J401" s="413">
        <f>I401*VLOOKUP(E401,GWPs!$B$3:$C$6,2,FALSE)</f>
        <v>0</v>
      </c>
      <c r="K401">
        <v>7.0000000000000001E-3</v>
      </c>
      <c r="L401" s="413">
        <f>K401*VLOOKUP(E401,GWPs!$B$3:$C$6,2,FALSE)</f>
        <v>7.0000000000000001E-3</v>
      </c>
      <c r="N401">
        <v>3</v>
      </c>
      <c r="O401">
        <v>2</v>
      </c>
      <c r="P401">
        <v>1</v>
      </c>
      <c r="Q401">
        <v>3</v>
      </c>
      <c r="R401">
        <v>1</v>
      </c>
    </row>
    <row r="402" spans="1:18">
      <c r="A402" t="str">
        <f>_xlfn.IFNA(IF(VLOOKUP(C402,'2016_Detail_Commodity_v1.0'!C:C,1,FALSE)=C402,"No change"),"Name changed")</f>
        <v>No change</v>
      </c>
      <c r="B402" t="s">
        <v>509</v>
      </c>
      <c r="C402" t="s">
        <v>510</v>
      </c>
      <c r="E402" t="s">
        <v>3653</v>
      </c>
      <c r="F402" t="s">
        <v>12</v>
      </c>
      <c r="G402">
        <v>0.41499999999999998</v>
      </c>
      <c r="H402" s="413">
        <f>G402*VLOOKUP(E402,GWPs!$B$3:$C$6,2,FALSE)</f>
        <v>0.41499999999999998</v>
      </c>
      <c r="I402">
        <v>4.1000000000000002E-2</v>
      </c>
      <c r="J402" s="413">
        <f>I402*VLOOKUP(E402,GWPs!$B$3:$C$6,2,FALSE)</f>
        <v>4.1000000000000002E-2</v>
      </c>
      <c r="K402">
        <v>0.45600000000000002</v>
      </c>
      <c r="L402" s="413">
        <f>K402*VLOOKUP(E402,GWPs!$B$3:$C$6,2,FALSE)</f>
        <v>0.45600000000000002</v>
      </c>
      <c r="N402">
        <v>4</v>
      </c>
      <c r="O402">
        <v>2</v>
      </c>
      <c r="P402">
        <v>1</v>
      </c>
      <c r="Q402">
        <v>2</v>
      </c>
      <c r="R402">
        <v>1</v>
      </c>
    </row>
    <row r="403" spans="1:18">
      <c r="A403" t="str">
        <f>_xlfn.IFNA(IF(VLOOKUP(C403,'2016_Detail_Commodity_v1.0'!C:C,1,FALSE)=C403,"No change"),"Name changed")</f>
        <v>No change</v>
      </c>
      <c r="B403" t="s">
        <v>509</v>
      </c>
      <c r="C403" t="s">
        <v>510</v>
      </c>
      <c r="E403" t="s">
        <v>3654</v>
      </c>
      <c r="F403" t="s">
        <v>12</v>
      </c>
      <c r="G403">
        <v>1E-3</v>
      </c>
      <c r="H403" s="413">
        <f>G403*VLOOKUP(E403,GWPs!$B$3:$C$6,2,FALSE)</f>
        <v>2.8000000000000001E-2</v>
      </c>
      <c r="I403">
        <v>0</v>
      </c>
      <c r="J403" s="413">
        <f>I403*VLOOKUP(E403,GWPs!$B$3:$C$6,2,FALSE)</f>
        <v>0</v>
      </c>
      <c r="K403">
        <v>1E-3</v>
      </c>
      <c r="L403" s="413">
        <f>K403*VLOOKUP(E403,GWPs!$B$3:$C$6,2,FALSE)</f>
        <v>2.8000000000000001E-2</v>
      </c>
      <c r="N403">
        <v>3</v>
      </c>
      <c r="O403">
        <v>2</v>
      </c>
      <c r="P403">
        <v>1</v>
      </c>
      <c r="Q403">
        <v>1</v>
      </c>
      <c r="R403">
        <v>1</v>
      </c>
    </row>
    <row r="404" spans="1:18">
      <c r="A404" t="str">
        <f>_xlfn.IFNA(IF(VLOOKUP(C404,'2016_Detail_Commodity_v1.0'!C:C,1,FALSE)=C404,"No change"),"Name changed")</f>
        <v>No change</v>
      </c>
      <c r="B404" t="s">
        <v>509</v>
      </c>
      <c r="C404" t="s">
        <v>510</v>
      </c>
      <c r="E404" t="s">
        <v>3655</v>
      </c>
      <c r="F404" t="s">
        <v>12</v>
      </c>
      <c r="G404">
        <v>0</v>
      </c>
      <c r="H404" s="413">
        <f>G404*VLOOKUP(E404,GWPs!$B$3:$C$6,2,FALSE)</f>
        <v>0</v>
      </c>
      <c r="I404">
        <v>0</v>
      </c>
      <c r="J404" s="413">
        <f>I404*VLOOKUP(E404,GWPs!$B$3:$C$6,2,FALSE)</f>
        <v>0</v>
      </c>
      <c r="K404">
        <v>0</v>
      </c>
      <c r="L404" s="413">
        <f>K404*VLOOKUP(E404,GWPs!$B$3:$C$6,2,FALSE)</f>
        <v>0</v>
      </c>
      <c r="N404">
        <v>4</v>
      </c>
      <c r="O404">
        <v>2</v>
      </c>
      <c r="P404">
        <v>1</v>
      </c>
      <c r="Q404">
        <v>3</v>
      </c>
      <c r="R404">
        <v>1</v>
      </c>
    </row>
    <row r="405" spans="1:18">
      <c r="A405" t="str">
        <f>_xlfn.IFNA(IF(VLOOKUP(C405,'2016_Detail_Commodity_v1.0'!C:C,1,FALSE)=C405,"No change"),"Name changed")</f>
        <v>No change</v>
      </c>
      <c r="B405" t="s">
        <v>509</v>
      </c>
      <c r="C405" t="s">
        <v>510</v>
      </c>
      <c r="E405" t="s">
        <v>15</v>
      </c>
      <c r="F405" t="s">
        <v>16</v>
      </c>
      <c r="G405">
        <v>3.0000000000000001E-3</v>
      </c>
      <c r="H405" s="413">
        <f>G405*VLOOKUP(E405,GWPs!$B$3:$C$6,2,FALSE)</f>
        <v>3.0000000000000001E-3</v>
      </c>
      <c r="I405">
        <v>0</v>
      </c>
      <c r="J405" s="413">
        <f>I405*VLOOKUP(E405,GWPs!$B$3:$C$6,2,FALSE)</f>
        <v>0</v>
      </c>
      <c r="K405">
        <v>3.0000000000000001E-3</v>
      </c>
      <c r="L405" s="413">
        <f>K405*VLOOKUP(E405,GWPs!$B$3:$C$6,2,FALSE)</f>
        <v>3.0000000000000001E-3</v>
      </c>
      <c r="N405">
        <v>4</v>
      </c>
      <c r="O405">
        <v>2</v>
      </c>
      <c r="P405">
        <v>1</v>
      </c>
      <c r="Q405">
        <v>4</v>
      </c>
      <c r="R405">
        <v>1</v>
      </c>
    </row>
    <row r="406" spans="1:18">
      <c r="A406" t="str">
        <f>_xlfn.IFNA(IF(VLOOKUP(C406,'2016_Detail_Commodity_v1.0'!C:C,1,FALSE)=C406,"No change"),"Name changed")</f>
        <v>No change</v>
      </c>
      <c r="B406" t="s">
        <v>511</v>
      </c>
      <c r="C406" t="s">
        <v>512</v>
      </c>
      <c r="E406" t="s">
        <v>3653</v>
      </c>
      <c r="F406" t="s">
        <v>12</v>
      </c>
      <c r="G406">
        <v>5.3999999999999999E-2</v>
      </c>
      <c r="H406" s="413">
        <f>G406*VLOOKUP(E406,GWPs!$B$3:$C$6,2,FALSE)</f>
        <v>5.3999999999999999E-2</v>
      </c>
      <c r="I406">
        <v>5.5E-2</v>
      </c>
      <c r="J406" s="413">
        <f>I406*VLOOKUP(E406,GWPs!$B$3:$C$6,2,FALSE)</f>
        <v>5.5E-2</v>
      </c>
      <c r="K406">
        <v>0.109</v>
      </c>
      <c r="L406" s="413">
        <f>K406*VLOOKUP(E406,GWPs!$B$3:$C$6,2,FALSE)</f>
        <v>0.109</v>
      </c>
      <c r="N406">
        <v>3</v>
      </c>
      <c r="O406">
        <v>2</v>
      </c>
      <c r="P406">
        <v>1</v>
      </c>
      <c r="Q406">
        <v>3</v>
      </c>
      <c r="R406">
        <v>1</v>
      </c>
    </row>
    <row r="407" spans="1:18">
      <c r="A407" t="str">
        <f>_xlfn.IFNA(IF(VLOOKUP(C407,'2016_Detail_Commodity_v1.0'!C:C,1,FALSE)=C407,"No change"),"Name changed")</f>
        <v>No change</v>
      </c>
      <c r="B407" t="s">
        <v>511</v>
      </c>
      <c r="C407" t="s">
        <v>512</v>
      </c>
      <c r="E407" t="s">
        <v>3654</v>
      </c>
      <c r="F407" t="s">
        <v>12</v>
      </c>
      <c r="G407">
        <v>0</v>
      </c>
      <c r="H407" s="413">
        <f>G407*VLOOKUP(E407,GWPs!$B$3:$C$6,2,FALSE)</f>
        <v>0</v>
      </c>
      <c r="I407">
        <v>0</v>
      </c>
      <c r="J407" s="413">
        <f>I407*VLOOKUP(E407,GWPs!$B$3:$C$6,2,FALSE)</f>
        <v>0</v>
      </c>
      <c r="K407">
        <v>1E-3</v>
      </c>
      <c r="L407" s="413">
        <f>K407*VLOOKUP(E407,GWPs!$B$3:$C$6,2,FALSE)</f>
        <v>2.8000000000000001E-2</v>
      </c>
      <c r="N407">
        <v>3</v>
      </c>
      <c r="O407">
        <v>2</v>
      </c>
      <c r="P407">
        <v>1</v>
      </c>
      <c r="Q407">
        <v>1</v>
      </c>
      <c r="R407">
        <v>1</v>
      </c>
    </row>
    <row r="408" spans="1:18">
      <c r="A408" t="str">
        <f>_xlfn.IFNA(IF(VLOOKUP(C408,'2016_Detail_Commodity_v1.0'!C:C,1,FALSE)=C408,"No change"),"Name changed")</f>
        <v>No change</v>
      </c>
      <c r="B408" t="s">
        <v>511</v>
      </c>
      <c r="C408" t="s">
        <v>512</v>
      </c>
      <c r="E408" t="s">
        <v>3655</v>
      </c>
      <c r="F408" t="s">
        <v>12</v>
      </c>
      <c r="G408">
        <v>0</v>
      </c>
      <c r="H408" s="413">
        <f>G408*VLOOKUP(E408,GWPs!$B$3:$C$6,2,FALSE)</f>
        <v>0</v>
      </c>
      <c r="I408">
        <v>0</v>
      </c>
      <c r="J408" s="413">
        <f>I408*VLOOKUP(E408,GWPs!$B$3:$C$6,2,FALSE)</f>
        <v>0</v>
      </c>
      <c r="K408">
        <v>0</v>
      </c>
      <c r="L408" s="413">
        <f>K408*VLOOKUP(E408,GWPs!$B$3:$C$6,2,FALSE)</f>
        <v>0</v>
      </c>
      <c r="N408">
        <v>3</v>
      </c>
      <c r="O408">
        <v>2</v>
      </c>
      <c r="P408">
        <v>1</v>
      </c>
      <c r="Q408">
        <v>3</v>
      </c>
      <c r="R408">
        <v>1</v>
      </c>
    </row>
    <row r="409" spans="1:18">
      <c r="A409" t="str">
        <f>_xlfn.IFNA(IF(VLOOKUP(C409,'2016_Detail_Commodity_v1.0'!C:C,1,FALSE)=C409,"No change"),"Name changed")</f>
        <v>No change</v>
      </c>
      <c r="B409" t="s">
        <v>511</v>
      </c>
      <c r="C409" t="s">
        <v>512</v>
      </c>
      <c r="E409" t="s">
        <v>15</v>
      </c>
      <c r="F409" t="s">
        <v>16</v>
      </c>
      <c r="G409">
        <v>3.0000000000000001E-3</v>
      </c>
      <c r="H409" s="413">
        <f>G409*VLOOKUP(E409,GWPs!$B$3:$C$6,2,FALSE)</f>
        <v>3.0000000000000001E-3</v>
      </c>
      <c r="I409">
        <v>0</v>
      </c>
      <c r="J409" s="413">
        <f>I409*VLOOKUP(E409,GWPs!$B$3:$C$6,2,FALSE)</f>
        <v>0</v>
      </c>
      <c r="K409">
        <v>3.0000000000000001E-3</v>
      </c>
      <c r="L409" s="413">
        <f>K409*VLOOKUP(E409,GWPs!$B$3:$C$6,2,FALSE)</f>
        <v>3.0000000000000001E-3</v>
      </c>
      <c r="N409">
        <v>4</v>
      </c>
      <c r="O409">
        <v>2</v>
      </c>
      <c r="P409">
        <v>1</v>
      </c>
      <c r="Q409">
        <v>4</v>
      </c>
      <c r="R409">
        <v>1</v>
      </c>
    </row>
    <row r="410" spans="1:18">
      <c r="A410" t="str">
        <f>_xlfn.IFNA(IF(VLOOKUP(C410,'2016_Detail_Commodity_v1.0'!C:C,1,FALSE)=C410,"No change"),"Name changed")</f>
        <v>No change</v>
      </c>
      <c r="B410" t="s">
        <v>513</v>
      </c>
      <c r="C410" t="s">
        <v>514</v>
      </c>
      <c r="E410" t="s">
        <v>3653</v>
      </c>
      <c r="F410" t="s">
        <v>12</v>
      </c>
      <c r="G410">
        <v>8.3000000000000004E-2</v>
      </c>
      <c r="H410" s="413">
        <f>G410*VLOOKUP(E410,GWPs!$B$3:$C$6,2,FALSE)</f>
        <v>8.3000000000000004E-2</v>
      </c>
      <c r="I410">
        <v>3.5999999999999997E-2</v>
      </c>
      <c r="J410" s="413">
        <f>I410*VLOOKUP(E410,GWPs!$B$3:$C$6,2,FALSE)</f>
        <v>3.5999999999999997E-2</v>
      </c>
      <c r="K410">
        <v>0.11899999999999999</v>
      </c>
      <c r="L410" s="413">
        <f>K410*VLOOKUP(E410,GWPs!$B$3:$C$6,2,FALSE)</f>
        <v>0.11899999999999999</v>
      </c>
      <c r="N410">
        <v>3</v>
      </c>
      <c r="O410">
        <v>2</v>
      </c>
      <c r="P410">
        <v>1</v>
      </c>
      <c r="Q410">
        <v>3</v>
      </c>
      <c r="R410">
        <v>1</v>
      </c>
    </row>
    <row r="411" spans="1:18">
      <c r="A411" t="str">
        <f>_xlfn.IFNA(IF(VLOOKUP(C411,'2016_Detail_Commodity_v1.0'!C:C,1,FALSE)=C411,"No change"),"Name changed")</f>
        <v>No change</v>
      </c>
      <c r="B411" t="s">
        <v>513</v>
      </c>
      <c r="C411" t="s">
        <v>514</v>
      </c>
      <c r="E411" t="s">
        <v>3654</v>
      </c>
      <c r="F411" t="s">
        <v>12</v>
      </c>
      <c r="G411">
        <v>0</v>
      </c>
      <c r="H411" s="413">
        <f>G411*VLOOKUP(E411,GWPs!$B$3:$C$6,2,FALSE)</f>
        <v>0</v>
      </c>
      <c r="I411">
        <v>0</v>
      </c>
      <c r="J411" s="413">
        <f>I411*VLOOKUP(E411,GWPs!$B$3:$C$6,2,FALSE)</f>
        <v>0</v>
      </c>
      <c r="K411">
        <v>1E-3</v>
      </c>
      <c r="L411" s="413">
        <f>K411*VLOOKUP(E411,GWPs!$B$3:$C$6,2,FALSE)</f>
        <v>2.8000000000000001E-2</v>
      </c>
      <c r="N411">
        <v>3</v>
      </c>
      <c r="O411">
        <v>2</v>
      </c>
      <c r="P411">
        <v>1</v>
      </c>
      <c r="Q411">
        <v>1</v>
      </c>
      <c r="R411">
        <v>1</v>
      </c>
    </row>
    <row r="412" spans="1:18">
      <c r="A412" t="str">
        <f>_xlfn.IFNA(IF(VLOOKUP(C412,'2016_Detail_Commodity_v1.0'!C:C,1,FALSE)=C412,"No change"),"Name changed")</f>
        <v>No change</v>
      </c>
      <c r="B412" t="s">
        <v>513</v>
      </c>
      <c r="C412" t="s">
        <v>514</v>
      </c>
      <c r="E412" t="s">
        <v>3655</v>
      </c>
      <c r="F412" t="s">
        <v>12</v>
      </c>
      <c r="G412">
        <v>0</v>
      </c>
      <c r="H412" s="413">
        <f>G412*VLOOKUP(E412,GWPs!$B$3:$C$6,2,FALSE)</f>
        <v>0</v>
      </c>
      <c r="I412">
        <v>0</v>
      </c>
      <c r="J412" s="413">
        <f>I412*VLOOKUP(E412,GWPs!$B$3:$C$6,2,FALSE)</f>
        <v>0</v>
      </c>
      <c r="K412">
        <v>0</v>
      </c>
      <c r="L412" s="413">
        <f>K412*VLOOKUP(E412,GWPs!$B$3:$C$6,2,FALSE)</f>
        <v>0</v>
      </c>
      <c r="N412">
        <v>3</v>
      </c>
      <c r="O412">
        <v>2</v>
      </c>
      <c r="P412">
        <v>1</v>
      </c>
      <c r="Q412">
        <v>3</v>
      </c>
      <c r="R412">
        <v>1</v>
      </c>
    </row>
    <row r="413" spans="1:18">
      <c r="A413" t="str">
        <f>_xlfn.IFNA(IF(VLOOKUP(C413,'2016_Detail_Commodity_v1.0'!C:C,1,FALSE)=C413,"No change"),"Name changed")</f>
        <v>No change</v>
      </c>
      <c r="B413" t="s">
        <v>513</v>
      </c>
      <c r="C413" t="s">
        <v>514</v>
      </c>
      <c r="E413" t="s">
        <v>15</v>
      </c>
      <c r="F413" t="s">
        <v>16</v>
      </c>
      <c r="G413">
        <v>5.0000000000000001E-3</v>
      </c>
      <c r="H413" s="413">
        <f>G413*VLOOKUP(E413,GWPs!$B$3:$C$6,2,FALSE)</f>
        <v>5.0000000000000001E-3</v>
      </c>
      <c r="I413">
        <v>0</v>
      </c>
      <c r="J413" s="413">
        <f>I413*VLOOKUP(E413,GWPs!$B$3:$C$6,2,FALSE)</f>
        <v>0</v>
      </c>
      <c r="K413">
        <v>5.0000000000000001E-3</v>
      </c>
      <c r="L413" s="413">
        <f>K413*VLOOKUP(E413,GWPs!$B$3:$C$6,2,FALSE)</f>
        <v>5.0000000000000001E-3</v>
      </c>
      <c r="N413">
        <v>3</v>
      </c>
      <c r="O413">
        <v>2</v>
      </c>
      <c r="P413">
        <v>1</v>
      </c>
      <c r="Q413">
        <v>3</v>
      </c>
      <c r="R413">
        <v>1</v>
      </c>
    </row>
    <row r="414" spans="1:18">
      <c r="A414" t="str">
        <f>_xlfn.IFNA(IF(VLOOKUP(C414,'2016_Detail_Commodity_v1.0'!C:C,1,FALSE)=C414,"No change"),"Name changed")</f>
        <v>No change</v>
      </c>
      <c r="B414" t="s">
        <v>515</v>
      </c>
      <c r="C414" t="s">
        <v>516</v>
      </c>
      <c r="E414" t="s">
        <v>3653</v>
      </c>
      <c r="F414" t="s">
        <v>12</v>
      </c>
      <c r="G414">
        <v>4.9000000000000002E-2</v>
      </c>
      <c r="H414" s="413">
        <f>G414*VLOOKUP(E414,GWPs!$B$3:$C$6,2,FALSE)</f>
        <v>4.9000000000000002E-2</v>
      </c>
      <c r="I414">
        <v>3.5999999999999997E-2</v>
      </c>
      <c r="J414" s="413">
        <f>I414*VLOOKUP(E414,GWPs!$B$3:$C$6,2,FALSE)</f>
        <v>3.5999999999999997E-2</v>
      </c>
      <c r="K414">
        <v>8.5000000000000006E-2</v>
      </c>
      <c r="L414" s="413">
        <f>K414*VLOOKUP(E414,GWPs!$B$3:$C$6,2,FALSE)</f>
        <v>8.5000000000000006E-2</v>
      </c>
      <c r="N414">
        <v>3</v>
      </c>
      <c r="O414">
        <v>2</v>
      </c>
      <c r="P414">
        <v>1</v>
      </c>
      <c r="Q414">
        <v>4</v>
      </c>
      <c r="R414">
        <v>1</v>
      </c>
    </row>
    <row r="415" spans="1:18">
      <c r="A415" t="str">
        <f>_xlfn.IFNA(IF(VLOOKUP(C415,'2016_Detail_Commodity_v1.0'!C:C,1,FALSE)=C415,"No change"),"Name changed")</f>
        <v>No change</v>
      </c>
      <c r="B415" t="s">
        <v>515</v>
      </c>
      <c r="C415" t="s">
        <v>516</v>
      </c>
      <c r="E415" t="s">
        <v>3654</v>
      </c>
      <c r="F415" t="s">
        <v>12</v>
      </c>
      <c r="G415">
        <v>0</v>
      </c>
      <c r="H415" s="413">
        <f>G415*VLOOKUP(E415,GWPs!$B$3:$C$6,2,FALSE)</f>
        <v>0</v>
      </c>
      <c r="I415">
        <v>0</v>
      </c>
      <c r="J415" s="413">
        <f>I415*VLOOKUP(E415,GWPs!$B$3:$C$6,2,FALSE)</f>
        <v>0</v>
      </c>
      <c r="K415">
        <v>0</v>
      </c>
      <c r="L415" s="413">
        <f>K415*VLOOKUP(E415,GWPs!$B$3:$C$6,2,FALSE)</f>
        <v>0</v>
      </c>
      <c r="N415">
        <v>3</v>
      </c>
      <c r="O415">
        <v>2</v>
      </c>
      <c r="P415">
        <v>1</v>
      </c>
      <c r="Q415">
        <v>1</v>
      </c>
      <c r="R415">
        <v>1</v>
      </c>
    </row>
    <row r="416" spans="1:18">
      <c r="A416" t="str">
        <f>_xlfn.IFNA(IF(VLOOKUP(C416,'2016_Detail_Commodity_v1.0'!C:C,1,FALSE)=C416,"No change"),"Name changed")</f>
        <v>No change</v>
      </c>
      <c r="B416" t="s">
        <v>515</v>
      </c>
      <c r="C416" t="s">
        <v>516</v>
      </c>
      <c r="E416" t="s">
        <v>3655</v>
      </c>
      <c r="F416" t="s">
        <v>12</v>
      </c>
      <c r="G416">
        <v>0</v>
      </c>
      <c r="H416" s="413">
        <f>G416*VLOOKUP(E416,GWPs!$B$3:$C$6,2,FALSE)</f>
        <v>0</v>
      </c>
      <c r="I416">
        <v>0</v>
      </c>
      <c r="J416" s="413">
        <f>I416*VLOOKUP(E416,GWPs!$B$3:$C$6,2,FALSE)</f>
        <v>0</v>
      </c>
      <c r="K416">
        <v>0</v>
      </c>
      <c r="L416" s="413">
        <f>K416*VLOOKUP(E416,GWPs!$B$3:$C$6,2,FALSE)</f>
        <v>0</v>
      </c>
      <c r="N416">
        <v>3</v>
      </c>
      <c r="O416">
        <v>2</v>
      </c>
      <c r="P416">
        <v>1</v>
      </c>
      <c r="Q416">
        <v>3</v>
      </c>
      <c r="R416">
        <v>1</v>
      </c>
    </row>
    <row r="417" spans="1:18">
      <c r="A417" t="str">
        <f>_xlfn.IFNA(IF(VLOOKUP(C417,'2016_Detail_Commodity_v1.0'!C:C,1,FALSE)=C417,"No change"),"Name changed")</f>
        <v>No change</v>
      </c>
      <c r="B417" t="s">
        <v>515</v>
      </c>
      <c r="C417" t="s">
        <v>516</v>
      </c>
      <c r="E417" t="s">
        <v>15</v>
      </c>
      <c r="F417" t="s">
        <v>16</v>
      </c>
      <c r="G417">
        <v>1E-3</v>
      </c>
      <c r="H417" s="413">
        <f>G417*VLOOKUP(E417,GWPs!$B$3:$C$6,2,FALSE)</f>
        <v>1E-3</v>
      </c>
      <c r="I417">
        <v>0</v>
      </c>
      <c r="J417" s="413">
        <f>I417*VLOOKUP(E417,GWPs!$B$3:$C$6,2,FALSE)</f>
        <v>0</v>
      </c>
      <c r="K417">
        <v>1E-3</v>
      </c>
      <c r="L417" s="413">
        <f>K417*VLOOKUP(E417,GWPs!$B$3:$C$6,2,FALSE)</f>
        <v>1E-3</v>
      </c>
      <c r="N417">
        <v>3</v>
      </c>
      <c r="O417">
        <v>2</v>
      </c>
      <c r="P417">
        <v>1</v>
      </c>
      <c r="Q417">
        <v>4</v>
      </c>
      <c r="R417">
        <v>1</v>
      </c>
    </row>
    <row r="418" spans="1:18">
      <c r="A418" t="str">
        <f>_xlfn.IFNA(IF(VLOOKUP(C418,'2016_Detail_Commodity_v1.0'!C:C,1,FALSE)=C418,"No change"),"Name changed")</f>
        <v>No change</v>
      </c>
      <c r="B418" t="s">
        <v>517</v>
      </c>
      <c r="C418" t="s">
        <v>518</v>
      </c>
      <c r="E418" t="s">
        <v>3653</v>
      </c>
      <c r="F418" t="s">
        <v>12</v>
      </c>
      <c r="G418">
        <v>0.497</v>
      </c>
      <c r="H418" s="413">
        <f>G418*VLOOKUP(E418,GWPs!$B$3:$C$6,2,FALSE)</f>
        <v>0.497</v>
      </c>
      <c r="I418">
        <v>4.5999999999999999E-2</v>
      </c>
      <c r="J418" s="413">
        <f>I418*VLOOKUP(E418,GWPs!$B$3:$C$6,2,FALSE)</f>
        <v>4.5999999999999999E-2</v>
      </c>
      <c r="K418">
        <v>0.54300000000000004</v>
      </c>
      <c r="L418" s="413">
        <f>K418*VLOOKUP(E418,GWPs!$B$3:$C$6,2,FALSE)</f>
        <v>0.54300000000000004</v>
      </c>
      <c r="N418">
        <v>4</v>
      </c>
      <c r="O418">
        <v>2</v>
      </c>
      <c r="P418">
        <v>1</v>
      </c>
      <c r="Q418">
        <v>4</v>
      </c>
      <c r="R418">
        <v>1</v>
      </c>
    </row>
    <row r="419" spans="1:18">
      <c r="A419" t="str">
        <f>_xlfn.IFNA(IF(VLOOKUP(C419,'2016_Detail_Commodity_v1.0'!C:C,1,FALSE)=C419,"No change"),"Name changed")</f>
        <v>No change</v>
      </c>
      <c r="B419" t="s">
        <v>517</v>
      </c>
      <c r="C419" t="s">
        <v>518</v>
      </c>
      <c r="E419" t="s">
        <v>3654</v>
      </c>
      <c r="F419" t="s">
        <v>12</v>
      </c>
      <c r="G419">
        <v>2E-3</v>
      </c>
      <c r="H419" s="413">
        <f>G419*VLOOKUP(E419,GWPs!$B$3:$C$6,2,FALSE)</f>
        <v>5.6000000000000001E-2</v>
      </c>
      <c r="I419">
        <v>0</v>
      </c>
      <c r="J419" s="413">
        <f>I419*VLOOKUP(E419,GWPs!$B$3:$C$6,2,FALSE)</f>
        <v>0</v>
      </c>
      <c r="K419">
        <v>2E-3</v>
      </c>
      <c r="L419" s="413">
        <f>K419*VLOOKUP(E419,GWPs!$B$3:$C$6,2,FALSE)</f>
        <v>5.6000000000000001E-2</v>
      </c>
      <c r="N419">
        <v>4</v>
      </c>
      <c r="O419">
        <v>2</v>
      </c>
      <c r="P419">
        <v>1</v>
      </c>
      <c r="Q419">
        <v>1</v>
      </c>
      <c r="R419">
        <v>1</v>
      </c>
    </row>
    <row r="420" spans="1:18">
      <c r="A420" t="str">
        <f>_xlfn.IFNA(IF(VLOOKUP(C420,'2016_Detail_Commodity_v1.0'!C:C,1,FALSE)=C420,"No change"),"Name changed")</f>
        <v>No change</v>
      </c>
      <c r="B420" t="s">
        <v>517</v>
      </c>
      <c r="C420" t="s">
        <v>518</v>
      </c>
      <c r="E420" t="s">
        <v>3655</v>
      </c>
      <c r="F420" t="s">
        <v>12</v>
      </c>
      <c r="G420">
        <v>0</v>
      </c>
      <c r="H420" s="413">
        <f>G420*VLOOKUP(E420,GWPs!$B$3:$C$6,2,FALSE)</f>
        <v>0</v>
      </c>
      <c r="I420">
        <v>0</v>
      </c>
      <c r="J420" s="413">
        <f>I420*VLOOKUP(E420,GWPs!$B$3:$C$6,2,FALSE)</f>
        <v>0</v>
      </c>
      <c r="K420">
        <v>0</v>
      </c>
      <c r="L420" s="413">
        <f>K420*VLOOKUP(E420,GWPs!$B$3:$C$6,2,FALSE)</f>
        <v>0</v>
      </c>
      <c r="N420">
        <v>3</v>
      </c>
      <c r="O420">
        <v>2</v>
      </c>
      <c r="P420">
        <v>1</v>
      </c>
      <c r="Q420">
        <v>3</v>
      </c>
      <c r="R420">
        <v>1</v>
      </c>
    </row>
    <row r="421" spans="1:18">
      <c r="A421" t="str">
        <f>_xlfn.IFNA(IF(VLOOKUP(C421,'2016_Detail_Commodity_v1.0'!C:C,1,FALSE)=C421,"No change"),"Name changed")</f>
        <v>No change</v>
      </c>
      <c r="B421" t="s">
        <v>517</v>
      </c>
      <c r="C421" t="s">
        <v>518</v>
      </c>
      <c r="E421" t="s">
        <v>15</v>
      </c>
      <c r="F421" t="s">
        <v>16</v>
      </c>
      <c r="G421">
        <v>6.0000000000000001E-3</v>
      </c>
      <c r="H421" s="413">
        <f>G421*VLOOKUP(E421,GWPs!$B$3:$C$6,2,FALSE)</f>
        <v>6.0000000000000001E-3</v>
      </c>
      <c r="I421">
        <v>0</v>
      </c>
      <c r="J421" s="413">
        <f>I421*VLOOKUP(E421,GWPs!$B$3:$C$6,2,FALSE)</f>
        <v>0</v>
      </c>
      <c r="K421">
        <v>6.0000000000000001E-3</v>
      </c>
      <c r="L421" s="413">
        <f>K421*VLOOKUP(E421,GWPs!$B$3:$C$6,2,FALSE)</f>
        <v>6.0000000000000001E-3</v>
      </c>
      <c r="N421">
        <v>3</v>
      </c>
      <c r="O421">
        <v>2</v>
      </c>
      <c r="P421">
        <v>1</v>
      </c>
      <c r="Q421">
        <v>3</v>
      </c>
      <c r="R421">
        <v>1</v>
      </c>
    </row>
    <row r="422" spans="1:18">
      <c r="A422" t="str">
        <f>_xlfn.IFNA(IF(VLOOKUP(C422,'2016_Detail_Commodity_v1.0'!C:C,1,FALSE)=C422,"No change"),"Name changed")</f>
        <v>No change</v>
      </c>
      <c r="B422" t="s">
        <v>519</v>
      </c>
      <c r="C422" t="s">
        <v>520</v>
      </c>
      <c r="E422" t="s">
        <v>3653</v>
      </c>
      <c r="F422" t="s">
        <v>12</v>
      </c>
      <c r="G422">
        <v>0.66600000000000004</v>
      </c>
      <c r="H422" s="413">
        <f>G422*VLOOKUP(E422,GWPs!$B$3:$C$6,2,FALSE)</f>
        <v>0.66600000000000004</v>
      </c>
      <c r="I422">
        <v>3.2000000000000001E-2</v>
      </c>
      <c r="J422" s="413">
        <f>I422*VLOOKUP(E422,GWPs!$B$3:$C$6,2,FALSE)</f>
        <v>3.2000000000000001E-2</v>
      </c>
      <c r="K422">
        <v>0.69799999999999995</v>
      </c>
      <c r="L422" s="413">
        <f>K422*VLOOKUP(E422,GWPs!$B$3:$C$6,2,FALSE)</f>
        <v>0.69799999999999995</v>
      </c>
      <c r="N422">
        <v>4</v>
      </c>
      <c r="O422">
        <v>2</v>
      </c>
      <c r="P422">
        <v>1</v>
      </c>
      <c r="Q422">
        <v>4</v>
      </c>
      <c r="R422">
        <v>1</v>
      </c>
    </row>
    <row r="423" spans="1:18">
      <c r="A423" t="str">
        <f>_xlfn.IFNA(IF(VLOOKUP(C423,'2016_Detail_Commodity_v1.0'!C:C,1,FALSE)=C423,"No change"),"Name changed")</f>
        <v>No change</v>
      </c>
      <c r="B423" t="s">
        <v>519</v>
      </c>
      <c r="C423" t="s">
        <v>520</v>
      </c>
      <c r="E423" t="s">
        <v>3654</v>
      </c>
      <c r="F423" t="s">
        <v>12</v>
      </c>
      <c r="G423">
        <v>2E-3</v>
      </c>
      <c r="H423" s="413">
        <f>G423*VLOOKUP(E423,GWPs!$B$3:$C$6,2,FALSE)</f>
        <v>5.6000000000000001E-2</v>
      </c>
      <c r="I423">
        <v>0</v>
      </c>
      <c r="J423" s="413">
        <f>I423*VLOOKUP(E423,GWPs!$B$3:$C$6,2,FALSE)</f>
        <v>0</v>
      </c>
      <c r="K423">
        <v>2E-3</v>
      </c>
      <c r="L423" s="413">
        <f>K423*VLOOKUP(E423,GWPs!$B$3:$C$6,2,FALSE)</f>
        <v>5.6000000000000001E-2</v>
      </c>
      <c r="N423">
        <v>4</v>
      </c>
      <c r="O423">
        <v>2</v>
      </c>
      <c r="P423">
        <v>1</v>
      </c>
      <c r="Q423">
        <v>1</v>
      </c>
      <c r="R423">
        <v>1</v>
      </c>
    </row>
    <row r="424" spans="1:18">
      <c r="A424" t="str">
        <f>_xlfn.IFNA(IF(VLOOKUP(C424,'2016_Detail_Commodity_v1.0'!C:C,1,FALSE)=C424,"No change"),"Name changed")</f>
        <v>No change</v>
      </c>
      <c r="B424" t="s">
        <v>519</v>
      </c>
      <c r="C424" t="s">
        <v>520</v>
      </c>
      <c r="E424" t="s">
        <v>3655</v>
      </c>
      <c r="F424" t="s">
        <v>12</v>
      </c>
      <c r="G424">
        <v>0</v>
      </c>
      <c r="H424" s="413">
        <f>G424*VLOOKUP(E424,GWPs!$B$3:$C$6,2,FALSE)</f>
        <v>0</v>
      </c>
      <c r="I424">
        <v>0</v>
      </c>
      <c r="J424" s="413">
        <f>I424*VLOOKUP(E424,GWPs!$B$3:$C$6,2,FALSE)</f>
        <v>0</v>
      </c>
      <c r="K424">
        <v>0</v>
      </c>
      <c r="L424" s="413">
        <f>K424*VLOOKUP(E424,GWPs!$B$3:$C$6,2,FALSE)</f>
        <v>0</v>
      </c>
      <c r="N424">
        <v>3</v>
      </c>
      <c r="O424">
        <v>2</v>
      </c>
      <c r="P424">
        <v>1</v>
      </c>
      <c r="Q424">
        <v>3</v>
      </c>
      <c r="R424">
        <v>1</v>
      </c>
    </row>
    <row r="425" spans="1:18">
      <c r="A425" t="str">
        <f>_xlfn.IFNA(IF(VLOOKUP(C425,'2016_Detail_Commodity_v1.0'!C:C,1,FALSE)=C425,"No change"),"Name changed")</f>
        <v>No change</v>
      </c>
      <c r="B425" t="s">
        <v>519</v>
      </c>
      <c r="C425" t="s">
        <v>520</v>
      </c>
      <c r="E425" t="s">
        <v>15</v>
      </c>
      <c r="F425" t="s">
        <v>16</v>
      </c>
      <c r="G425">
        <v>1.0999999999999999E-2</v>
      </c>
      <c r="H425" s="413">
        <f>G425*VLOOKUP(E425,GWPs!$B$3:$C$6,2,FALSE)</f>
        <v>1.0999999999999999E-2</v>
      </c>
      <c r="I425">
        <v>0</v>
      </c>
      <c r="J425" s="413">
        <f>I425*VLOOKUP(E425,GWPs!$B$3:$C$6,2,FALSE)</f>
        <v>0</v>
      </c>
      <c r="K425">
        <v>1.0999999999999999E-2</v>
      </c>
      <c r="L425" s="413">
        <f>K425*VLOOKUP(E425,GWPs!$B$3:$C$6,2,FALSE)</f>
        <v>1.0999999999999999E-2</v>
      </c>
      <c r="N425">
        <v>3</v>
      </c>
      <c r="O425">
        <v>2</v>
      </c>
      <c r="P425">
        <v>1</v>
      </c>
      <c r="Q425">
        <v>3</v>
      </c>
      <c r="R425">
        <v>1</v>
      </c>
    </row>
    <row r="426" spans="1:18">
      <c r="A426" t="str">
        <f>_xlfn.IFNA(IF(VLOOKUP(C426,'2016_Detail_Commodity_v1.0'!C:C,1,FALSE)=C426,"No change"),"Name changed")</f>
        <v>No change</v>
      </c>
      <c r="B426" t="s">
        <v>521</v>
      </c>
      <c r="C426" t="s">
        <v>522</v>
      </c>
      <c r="E426" t="s">
        <v>3653</v>
      </c>
      <c r="F426" t="s">
        <v>12</v>
      </c>
      <c r="G426">
        <v>0.39200000000000002</v>
      </c>
      <c r="H426" s="413">
        <f>G426*VLOOKUP(E426,GWPs!$B$3:$C$6,2,FALSE)</f>
        <v>0.39200000000000002</v>
      </c>
      <c r="I426">
        <v>5.7000000000000002E-2</v>
      </c>
      <c r="J426" s="413">
        <f>I426*VLOOKUP(E426,GWPs!$B$3:$C$6,2,FALSE)</f>
        <v>5.7000000000000002E-2</v>
      </c>
      <c r="K426">
        <v>0.44900000000000001</v>
      </c>
      <c r="L426" s="413">
        <f>K426*VLOOKUP(E426,GWPs!$B$3:$C$6,2,FALSE)</f>
        <v>0.44900000000000001</v>
      </c>
      <c r="N426">
        <v>4</v>
      </c>
      <c r="O426">
        <v>2</v>
      </c>
      <c r="P426">
        <v>1</v>
      </c>
      <c r="Q426">
        <v>4</v>
      </c>
      <c r="R426">
        <v>1</v>
      </c>
    </row>
    <row r="427" spans="1:18">
      <c r="A427" t="str">
        <f>_xlfn.IFNA(IF(VLOOKUP(C427,'2016_Detail_Commodity_v1.0'!C:C,1,FALSE)=C427,"No change"),"Name changed")</f>
        <v>No change</v>
      </c>
      <c r="B427" t="s">
        <v>521</v>
      </c>
      <c r="C427" t="s">
        <v>522</v>
      </c>
      <c r="E427" t="s">
        <v>3654</v>
      </c>
      <c r="F427" t="s">
        <v>12</v>
      </c>
      <c r="G427">
        <v>1E-3</v>
      </c>
      <c r="H427" s="413">
        <f>G427*VLOOKUP(E427,GWPs!$B$3:$C$6,2,FALSE)</f>
        <v>2.8000000000000001E-2</v>
      </c>
      <c r="I427">
        <v>0</v>
      </c>
      <c r="J427" s="413">
        <f>I427*VLOOKUP(E427,GWPs!$B$3:$C$6,2,FALSE)</f>
        <v>0</v>
      </c>
      <c r="K427">
        <v>1E-3</v>
      </c>
      <c r="L427" s="413">
        <f>K427*VLOOKUP(E427,GWPs!$B$3:$C$6,2,FALSE)</f>
        <v>2.8000000000000001E-2</v>
      </c>
      <c r="N427">
        <v>4</v>
      </c>
      <c r="O427">
        <v>2</v>
      </c>
      <c r="P427">
        <v>1</v>
      </c>
      <c r="Q427">
        <v>1</v>
      </c>
      <c r="R427">
        <v>1</v>
      </c>
    </row>
    <row r="428" spans="1:18">
      <c r="A428" t="str">
        <f>_xlfn.IFNA(IF(VLOOKUP(C428,'2016_Detail_Commodity_v1.0'!C:C,1,FALSE)=C428,"No change"),"Name changed")</f>
        <v>No change</v>
      </c>
      <c r="B428" t="s">
        <v>521</v>
      </c>
      <c r="C428" t="s">
        <v>522</v>
      </c>
      <c r="E428" t="s">
        <v>3655</v>
      </c>
      <c r="F428" t="s">
        <v>12</v>
      </c>
      <c r="G428">
        <v>0</v>
      </c>
      <c r="H428" s="413">
        <f>G428*VLOOKUP(E428,GWPs!$B$3:$C$6,2,FALSE)</f>
        <v>0</v>
      </c>
      <c r="I428">
        <v>0</v>
      </c>
      <c r="J428" s="413">
        <f>I428*VLOOKUP(E428,GWPs!$B$3:$C$6,2,FALSE)</f>
        <v>0</v>
      </c>
      <c r="K428">
        <v>0</v>
      </c>
      <c r="L428" s="413">
        <f>K428*VLOOKUP(E428,GWPs!$B$3:$C$6,2,FALSE)</f>
        <v>0</v>
      </c>
      <c r="N428">
        <v>3</v>
      </c>
      <c r="O428">
        <v>2</v>
      </c>
      <c r="P428">
        <v>1</v>
      </c>
      <c r="Q428">
        <v>3</v>
      </c>
      <c r="R428">
        <v>1</v>
      </c>
    </row>
    <row r="429" spans="1:18">
      <c r="A429" t="str">
        <f>_xlfn.IFNA(IF(VLOOKUP(C429,'2016_Detail_Commodity_v1.0'!C:C,1,FALSE)=C429,"No change"),"Name changed")</f>
        <v>No change</v>
      </c>
      <c r="B429" t="s">
        <v>521</v>
      </c>
      <c r="C429" t="s">
        <v>522</v>
      </c>
      <c r="E429" t="s">
        <v>15</v>
      </c>
      <c r="F429" t="s">
        <v>16</v>
      </c>
      <c r="G429">
        <v>1.4E-2</v>
      </c>
      <c r="H429" s="413">
        <f>G429*VLOOKUP(E429,GWPs!$B$3:$C$6,2,FALSE)</f>
        <v>1.4E-2</v>
      </c>
      <c r="I429">
        <v>0</v>
      </c>
      <c r="J429" s="413">
        <f>I429*VLOOKUP(E429,GWPs!$B$3:$C$6,2,FALSE)</f>
        <v>0</v>
      </c>
      <c r="K429">
        <v>1.4E-2</v>
      </c>
      <c r="L429" s="413">
        <f>K429*VLOOKUP(E429,GWPs!$B$3:$C$6,2,FALSE)</f>
        <v>1.4E-2</v>
      </c>
      <c r="N429">
        <v>4</v>
      </c>
      <c r="O429">
        <v>2</v>
      </c>
      <c r="P429">
        <v>1</v>
      </c>
      <c r="Q429">
        <v>4</v>
      </c>
      <c r="R429">
        <v>1</v>
      </c>
    </row>
    <row r="430" spans="1:18">
      <c r="A430" t="str">
        <f>_xlfn.IFNA(IF(VLOOKUP(C430,'2016_Detail_Commodity_v1.0'!C:C,1,FALSE)=C430,"No change"),"Name changed")</f>
        <v>No change</v>
      </c>
      <c r="B430" t="s">
        <v>523</v>
      </c>
      <c r="C430" t="s">
        <v>524</v>
      </c>
      <c r="E430" t="s">
        <v>3653</v>
      </c>
      <c r="F430" t="s">
        <v>12</v>
      </c>
      <c r="G430">
        <v>0.11799999999999999</v>
      </c>
      <c r="H430" s="413">
        <f>G430*VLOOKUP(E430,GWPs!$B$3:$C$6,2,FALSE)</f>
        <v>0.11799999999999999</v>
      </c>
      <c r="I430">
        <v>9.0999999999999998E-2</v>
      </c>
      <c r="J430" s="413">
        <f>I430*VLOOKUP(E430,GWPs!$B$3:$C$6,2,FALSE)</f>
        <v>9.0999999999999998E-2</v>
      </c>
      <c r="K430">
        <v>0.20899999999999999</v>
      </c>
      <c r="L430" s="413">
        <f>K430*VLOOKUP(E430,GWPs!$B$3:$C$6,2,FALSE)</f>
        <v>0.20899999999999999</v>
      </c>
      <c r="N430">
        <v>3</v>
      </c>
      <c r="O430">
        <v>2</v>
      </c>
      <c r="P430">
        <v>1</v>
      </c>
      <c r="Q430">
        <v>4</v>
      </c>
      <c r="R430">
        <v>1</v>
      </c>
    </row>
    <row r="431" spans="1:18">
      <c r="A431" t="str">
        <f>_xlfn.IFNA(IF(VLOOKUP(C431,'2016_Detail_Commodity_v1.0'!C:C,1,FALSE)=C431,"No change"),"Name changed")</f>
        <v>No change</v>
      </c>
      <c r="B431" t="s">
        <v>523</v>
      </c>
      <c r="C431" t="s">
        <v>524</v>
      </c>
      <c r="E431" t="s">
        <v>3654</v>
      </c>
      <c r="F431" t="s">
        <v>12</v>
      </c>
      <c r="G431">
        <v>0</v>
      </c>
      <c r="H431" s="413">
        <f>G431*VLOOKUP(E431,GWPs!$B$3:$C$6,2,FALSE)</f>
        <v>0</v>
      </c>
      <c r="I431">
        <v>0</v>
      </c>
      <c r="J431" s="413">
        <f>I431*VLOOKUP(E431,GWPs!$B$3:$C$6,2,FALSE)</f>
        <v>0</v>
      </c>
      <c r="K431">
        <v>1E-3</v>
      </c>
      <c r="L431" s="413">
        <f>K431*VLOOKUP(E431,GWPs!$B$3:$C$6,2,FALSE)</f>
        <v>2.8000000000000001E-2</v>
      </c>
      <c r="N431">
        <v>4</v>
      </c>
      <c r="O431">
        <v>2</v>
      </c>
      <c r="P431">
        <v>1</v>
      </c>
      <c r="Q431">
        <v>1</v>
      </c>
      <c r="R431">
        <v>1</v>
      </c>
    </row>
    <row r="432" spans="1:18">
      <c r="A432" t="str">
        <f>_xlfn.IFNA(IF(VLOOKUP(C432,'2016_Detail_Commodity_v1.0'!C:C,1,FALSE)=C432,"No change"),"Name changed")</f>
        <v>No change</v>
      </c>
      <c r="B432" t="s">
        <v>523</v>
      </c>
      <c r="C432" t="s">
        <v>524</v>
      </c>
      <c r="E432" t="s">
        <v>3655</v>
      </c>
      <c r="F432" t="s">
        <v>12</v>
      </c>
      <c r="G432">
        <v>0</v>
      </c>
      <c r="H432" s="413">
        <f>G432*VLOOKUP(E432,GWPs!$B$3:$C$6,2,FALSE)</f>
        <v>0</v>
      </c>
      <c r="I432">
        <v>0</v>
      </c>
      <c r="J432" s="413">
        <f>I432*VLOOKUP(E432,GWPs!$B$3:$C$6,2,FALSE)</f>
        <v>0</v>
      </c>
      <c r="K432">
        <v>0</v>
      </c>
      <c r="L432" s="413">
        <f>K432*VLOOKUP(E432,GWPs!$B$3:$C$6,2,FALSE)</f>
        <v>0</v>
      </c>
      <c r="N432">
        <v>3</v>
      </c>
      <c r="O432">
        <v>2</v>
      </c>
      <c r="P432">
        <v>1</v>
      </c>
      <c r="Q432">
        <v>3</v>
      </c>
      <c r="R432">
        <v>1</v>
      </c>
    </row>
    <row r="433" spans="1:18">
      <c r="A433" t="str">
        <f>_xlfn.IFNA(IF(VLOOKUP(C433,'2016_Detail_Commodity_v1.0'!C:C,1,FALSE)=C433,"No change"),"Name changed")</f>
        <v>No change</v>
      </c>
      <c r="B433" t="s">
        <v>523</v>
      </c>
      <c r="C433" t="s">
        <v>524</v>
      </c>
      <c r="E433" t="s">
        <v>15</v>
      </c>
      <c r="F433" t="s">
        <v>16</v>
      </c>
      <c r="G433">
        <v>7.0000000000000001E-3</v>
      </c>
      <c r="H433" s="413">
        <f>G433*VLOOKUP(E433,GWPs!$B$3:$C$6,2,FALSE)</f>
        <v>7.0000000000000001E-3</v>
      </c>
      <c r="I433">
        <v>0</v>
      </c>
      <c r="J433" s="413">
        <f>I433*VLOOKUP(E433,GWPs!$B$3:$C$6,2,FALSE)</f>
        <v>0</v>
      </c>
      <c r="K433">
        <v>7.0000000000000001E-3</v>
      </c>
      <c r="L433" s="413">
        <f>K433*VLOOKUP(E433,GWPs!$B$3:$C$6,2,FALSE)</f>
        <v>7.0000000000000001E-3</v>
      </c>
      <c r="N433">
        <v>3</v>
      </c>
      <c r="O433">
        <v>2</v>
      </c>
      <c r="P433">
        <v>1</v>
      </c>
      <c r="Q433">
        <v>4</v>
      </c>
      <c r="R433">
        <v>1</v>
      </c>
    </row>
    <row r="434" spans="1:18">
      <c r="A434" t="str">
        <f>_xlfn.IFNA(IF(VLOOKUP(C434,'2016_Detail_Commodity_v1.0'!C:C,1,FALSE)=C434,"No change"),"Name changed")</f>
        <v>No change</v>
      </c>
      <c r="B434" t="s">
        <v>525</v>
      </c>
      <c r="C434" t="s">
        <v>526</v>
      </c>
      <c r="E434" t="s">
        <v>3653</v>
      </c>
      <c r="F434" t="s">
        <v>12</v>
      </c>
      <c r="G434">
        <v>0.63400000000000001</v>
      </c>
      <c r="H434" s="413">
        <f>G434*VLOOKUP(E434,GWPs!$B$3:$C$6,2,FALSE)</f>
        <v>0.63400000000000001</v>
      </c>
      <c r="I434">
        <v>0.03</v>
      </c>
      <c r="J434" s="413">
        <f>I434*VLOOKUP(E434,GWPs!$B$3:$C$6,2,FALSE)</f>
        <v>0.03</v>
      </c>
      <c r="K434">
        <v>0.66400000000000003</v>
      </c>
      <c r="L434" s="413">
        <f>K434*VLOOKUP(E434,GWPs!$B$3:$C$6,2,FALSE)</f>
        <v>0.66400000000000003</v>
      </c>
      <c r="N434">
        <v>4</v>
      </c>
      <c r="O434">
        <v>2</v>
      </c>
      <c r="P434">
        <v>1</v>
      </c>
      <c r="Q434">
        <v>4</v>
      </c>
      <c r="R434">
        <v>1</v>
      </c>
    </row>
    <row r="435" spans="1:18">
      <c r="A435" t="str">
        <f>_xlfn.IFNA(IF(VLOOKUP(C435,'2016_Detail_Commodity_v1.0'!C:C,1,FALSE)=C435,"No change"),"Name changed")</f>
        <v>No change</v>
      </c>
      <c r="B435" t="s">
        <v>525</v>
      </c>
      <c r="C435" t="s">
        <v>526</v>
      </c>
      <c r="E435" t="s">
        <v>3654</v>
      </c>
      <c r="F435" t="s">
        <v>12</v>
      </c>
      <c r="G435">
        <v>2E-3</v>
      </c>
      <c r="H435" s="413">
        <f>G435*VLOOKUP(E435,GWPs!$B$3:$C$6,2,FALSE)</f>
        <v>5.6000000000000001E-2</v>
      </c>
      <c r="I435">
        <v>0</v>
      </c>
      <c r="J435" s="413">
        <f>I435*VLOOKUP(E435,GWPs!$B$3:$C$6,2,FALSE)</f>
        <v>0</v>
      </c>
      <c r="K435">
        <v>2E-3</v>
      </c>
      <c r="L435" s="413">
        <f>K435*VLOOKUP(E435,GWPs!$B$3:$C$6,2,FALSE)</f>
        <v>5.6000000000000001E-2</v>
      </c>
      <c r="N435">
        <v>4</v>
      </c>
      <c r="O435">
        <v>2</v>
      </c>
      <c r="P435">
        <v>1</v>
      </c>
      <c r="Q435">
        <v>1</v>
      </c>
      <c r="R435">
        <v>1</v>
      </c>
    </row>
    <row r="436" spans="1:18">
      <c r="A436" t="str">
        <f>_xlfn.IFNA(IF(VLOOKUP(C436,'2016_Detail_Commodity_v1.0'!C:C,1,FALSE)=C436,"No change"),"Name changed")</f>
        <v>No change</v>
      </c>
      <c r="B436" t="s">
        <v>525</v>
      </c>
      <c r="C436" t="s">
        <v>526</v>
      </c>
      <c r="E436" t="s">
        <v>3655</v>
      </c>
      <c r="F436" t="s">
        <v>12</v>
      </c>
      <c r="G436">
        <v>0</v>
      </c>
      <c r="H436" s="413">
        <f>G436*VLOOKUP(E436,GWPs!$B$3:$C$6,2,FALSE)</f>
        <v>0</v>
      </c>
      <c r="I436">
        <v>0</v>
      </c>
      <c r="J436" s="413">
        <f>I436*VLOOKUP(E436,GWPs!$B$3:$C$6,2,FALSE)</f>
        <v>0</v>
      </c>
      <c r="K436">
        <v>0</v>
      </c>
      <c r="L436" s="413">
        <f>K436*VLOOKUP(E436,GWPs!$B$3:$C$6,2,FALSE)</f>
        <v>0</v>
      </c>
      <c r="N436">
        <v>3</v>
      </c>
      <c r="O436">
        <v>2</v>
      </c>
      <c r="P436">
        <v>1</v>
      </c>
      <c r="Q436">
        <v>3</v>
      </c>
      <c r="R436">
        <v>1</v>
      </c>
    </row>
    <row r="437" spans="1:18">
      <c r="A437" t="str">
        <f>_xlfn.IFNA(IF(VLOOKUP(C437,'2016_Detail_Commodity_v1.0'!C:C,1,FALSE)=C437,"No change"),"Name changed")</f>
        <v>No change</v>
      </c>
      <c r="B437" t="s">
        <v>525</v>
      </c>
      <c r="C437" t="s">
        <v>526</v>
      </c>
      <c r="E437" t="s">
        <v>15</v>
      </c>
      <c r="F437" t="s">
        <v>16</v>
      </c>
      <c r="G437">
        <v>7.0000000000000001E-3</v>
      </c>
      <c r="H437" s="413">
        <f>G437*VLOOKUP(E437,GWPs!$B$3:$C$6,2,FALSE)</f>
        <v>7.0000000000000001E-3</v>
      </c>
      <c r="I437">
        <v>0</v>
      </c>
      <c r="J437" s="413">
        <f>I437*VLOOKUP(E437,GWPs!$B$3:$C$6,2,FALSE)</f>
        <v>0</v>
      </c>
      <c r="K437">
        <v>7.0000000000000001E-3</v>
      </c>
      <c r="L437" s="413">
        <f>K437*VLOOKUP(E437,GWPs!$B$3:$C$6,2,FALSE)</f>
        <v>7.0000000000000001E-3</v>
      </c>
      <c r="N437">
        <v>3</v>
      </c>
      <c r="O437">
        <v>2</v>
      </c>
      <c r="P437">
        <v>1</v>
      </c>
      <c r="Q437">
        <v>3</v>
      </c>
      <c r="R437">
        <v>1</v>
      </c>
    </row>
    <row r="438" spans="1:18">
      <c r="A438" t="str">
        <f>_xlfn.IFNA(IF(VLOOKUP(C438,'2016_Detail_Commodity_v1.0'!C:C,1,FALSE)=C438,"No change"),"Name changed")</f>
        <v>Name changed</v>
      </c>
      <c r="B438" t="s">
        <v>527</v>
      </c>
      <c r="C438" t="s">
        <v>528</v>
      </c>
      <c r="D438" t="s">
        <v>528</v>
      </c>
      <c r="E438" t="s">
        <v>3653</v>
      </c>
      <c r="F438" t="s">
        <v>12</v>
      </c>
      <c r="G438">
        <v>0.438</v>
      </c>
      <c r="H438" s="413">
        <f>G438*VLOOKUP(E438,GWPs!$B$3:$C$6,2,FALSE)</f>
        <v>0.438</v>
      </c>
      <c r="I438">
        <v>4.5999999999999999E-2</v>
      </c>
      <c r="J438" s="413">
        <f>I438*VLOOKUP(E438,GWPs!$B$3:$C$6,2,FALSE)</f>
        <v>4.5999999999999999E-2</v>
      </c>
      <c r="K438">
        <v>0.48499999999999999</v>
      </c>
      <c r="L438" s="413">
        <f>K438*VLOOKUP(E438,GWPs!$B$3:$C$6,2,FALSE)</f>
        <v>0.48499999999999999</v>
      </c>
      <c r="N438">
        <v>3</v>
      </c>
      <c r="O438">
        <v>2</v>
      </c>
      <c r="P438">
        <v>1</v>
      </c>
      <c r="Q438">
        <v>4</v>
      </c>
      <c r="R438">
        <v>1</v>
      </c>
    </row>
    <row r="439" spans="1:18">
      <c r="A439" t="str">
        <f>_xlfn.IFNA(IF(VLOOKUP(C439,'2016_Detail_Commodity_v1.0'!C:C,1,FALSE)=C439,"No change"),"Name changed")</f>
        <v>Name changed</v>
      </c>
      <c r="B439" t="s">
        <v>527</v>
      </c>
      <c r="C439" t="s">
        <v>528</v>
      </c>
      <c r="D439" t="s">
        <v>528</v>
      </c>
      <c r="E439" t="s">
        <v>3654</v>
      </c>
      <c r="F439" t="s">
        <v>12</v>
      </c>
      <c r="G439">
        <v>2E-3</v>
      </c>
      <c r="H439" s="413">
        <f>G439*VLOOKUP(E439,GWPs!$B$3:$C$6,2,FALSE)</f>
        <v>5.6000000000000001E-2</v>
      </c>
      <c r="I439">
        <v>0</v>
      </c>
      <c r="J439" s="413">
        <f>I439*VLOOKUP(E439,GWPs!$B$3:$C$6,2,FALSE)</f>
        <v>0</v>
      </c>
      <c r="K439">
        <v>2E-3</v>
      </c>
      <c r="L439" s="413">
        <f>K439*VLOOKUP(E439,GWPs!$B$3:$C$6,2,FALSE)</f>
        <v>5.6000000000000001E-2</v>
      </c>
      <c r="N439">
        <v>4</v>
      </c>
      <c r="O439">
        <v>2</v>
      </c>
      <c r="P439">
        <v>1</v>
      </c>
      <c r="Q439">
        <v>1</v>
      </c>
      <c r="R439">
        <v>1</v>
      </c>
    </row>
    <row r="440" spans="1:18">
      <c r="A440" t="str">
        <f>_xlfn.IFNA(IF(VLOOKUP(C440,'2016_Detail_Commodity_v1.0'!C:C,1,FALSE)=C440,"No change"),"Name changed")</f>
        <v>Name changed</v>
      </c>
      <c r="B440" t="s">
        <v>527</v>
      </c>
      <c r="C440" t="s">
        <v>528</v>
      </c>
      <c r="D440" t="s">
        <v>528</v>
      </c>
      <c r="E440" t="s">
        <v>3655</v>
      </c>
      <c r="F440" t="s">
        <v>12</v>
      </c>
      <c r="G440">
        <v>0</v>
      </c>
      <c r="H440" s="413">
        <f>G440*VLOOKUP(E440,GWPs!$B$3:$C$6,2,FALSE)</f>
        <v>0</v>
      </c>
      <c r="I440">
        <v>0</v>
      </c>
      <c r="J440" s="413">
        <f>I440*VLOOKUP(E440,GWPs!$B$3:$C$6,2,FALSE)</f>
        <v>0</v>
      </c>
      <c r="K440">
        <v>0</v>
      </c>
      <c r="L440" s="413">
        <f>K440*VLOOKUP(E440,GWPs!$B$3:$C$6,2,FALSE)</f>
        <v>0</v>
      </c>
      <c r="N440">
        <v>3</v>
      </c>
      <c r="O440">
        <v>2</v>
      </c>
      <c r="P440">
        <v>1</v>
      </c>
      <c r="Q440">
        <v>3</v>
      </c>
      <c r="R440">
        <v>1</v>
      </c>
    </row>
    <row r="441" spans="1:18">
      <c r="A441" t="str">
        <f>_xlfn.IFNA(IF(VLOOKUP(C441,'2016_Detail_Commodity_v1.0'!C:C,1,FALSE)=C441,"No change"),"Name changed")</f>
        <v>Name changed</v>
      </c>
      <c r="B441" t="s">
        <v>527</v>
      </c>
      <c r="C441" t="s">
        <v>528</v>
      </c>
      <c r="D441" t="s">
        <v>528</v>
      </c>
      <c r="E441" t="s">
        <v>15</v>
      </c>
      <c r="F441" t="s">
        <v>16</v>
      </c>
      <c r="G441">
        <v>2.7E-2</v>
      </c>
      <c r="H441" s="413">
        <f>G441*VLOOKUP(E441,GWPs!$B$3:$C$6,2,FALSE)</f>
        <v>2.7E-2</v>
      </c>
      <c r="I441">
        <v>0</v>
      </c>
      <c r="J441" s="413">
        <f>I441*VLOOKUP(E441,GWPs!$B$3:$C$6,2,FALSE)</f>
        <v>0</v>
      </c>
      <c r="K441">
        <v>2.7E-2</v>
      </c>
      <c r="L441" s="413">
        <f>K441*VLOOKUP(E441,GWPs!$B$3:$C$6,2,FALSE)</f>
        <v>2.7E-2</v>
      </c>
      <c r="N441">
        <v>4</v>
      </c>
      <c r="O441">
        <v>2</v>
      </c>
      <c r="P441">
        <v>1</v>
      </c>
      <c r="Q441">
        <v>5</v>
      </c>
      <c r="R441">
        <v>1</v>
      </c>
    </row>
    <row r="442" spans="1:18">
      <c r="A442" t="str">
        <f>_xlfn.IFNA(IF(VLOOKUP(C442,'2016_Detail_Commodity_v1.0'!C:C,1,FALSE)=C442,"No change"),"Name changed")</f>
        <v>No change</v>
      </c>
      <c r="B442" t="s">
        <v>529</v>
      </c>
      <c r="C442" t="s">
        <v>530</v>
      </c>
      <c r="E442" t="s">
        <v>3653</v>
      </c>
      <c r="F442" t="s">
        <v>12</v>
      </c>
      <c r="G442">
        <v>0.69099999999999995</v>
      </c>
      <c r="H442" s="413">
        <f>G442*VLOOKUP(E442,GWPs!$B$3:$C$6,2,FALSE)</f>
        <v>0.69099999999999995</v>
      </c>
      <c r="I442">
        <v>3.1E-2</v>
      </c>
      <c r="J442" s="413">
        <f>I442*VLOOKUP(E442,GWPs!$B$3:$C$6,2,FALSE)</f>
        <v>3.1E-2</v>
      </c>
      <c r="K442">
        <v>0.72099999999999997</v>
      </c>
      <c r="L442" s="413">
        <f>K442*VLOOKUP(E442,GWPs!$B$3:$C$6,2,FALSE)</f>
        <v>0.72099999999999997</v>
      </c>
      <c r="N442">
        <v>4</v>
      </c>
      <c r="O442">
        <v>2</v>
      </c>
      <c r="P442">
        <v>1</v>
      </c>
      <c r="Q442">
        <v>4</v>
      </c>
      <c r="R442">
        <v>1</v>
      </c>
    </row>
    <row r="443" spans="1:18">
      <c r="A443" t="str">
        <f>_xlfn.IFNA(IF(VLOOKUP(C443,'2016_Detail_Commodity_v1.0'!C:C,1,FALSE)=C443,"No change"),"Name changed")</f>
        <v>No change</v>
      </c>
      <c r="B443" t="s">
        <v>529</v>
      </c>
      <c r="C443" t="s">
        <v>530</v>
      </c>
      <c r="E443" t="s">
        <v>3654</v>
      </c>
      <c r="F443" t="s">
        <v>12</v>
      </c>
      <c r="G443">
        <v>2E-3</v>
      </c>
      <c r="H443" s="413">
        <f>G443*VLOOKUP(E443,GWPs!$B$3:$C$6,2,FALSE)</f>
        <v>5.6000000000000001E-2</v>
      </c>
      <c r="I443">
        <v>0</v>
      </c>
      <c r="J443" s="413">
        <f>I443*VLOOKUP(E443,GWPs!$B$3:$C$6,2,FALSE)</f>
        <v>0</v>
      </c>
      <c r="K443">
        <v>2E-3</v>
      </c>
      <c r="L443" s="413">
        <f>K443*VLOOKUP(E443,GWPs!$B$3:$C$6,2,FALSE)</f>
        <v>5.6000000000000001E-2</v>
      </c>
      <c r="N443">
        <v>4</v>
      </c>
      <c r="O443">
        <v>2</v>
      </c>
      <c r="P443">
        <v>1</v>
      </c>
      <c r="Q443">
        <v>1</v>
      </c>
      <c r="R443">
        <v>1</v>
      </c>
    </row>
    <row r="444" spans="1:18">
      <c r="A444" t="str">
        <f>_xlfn.IFNA(IF(VLOOKUP(C444,'2016_Detail_Commodity_v1.0'!C:C,1,FALSE)=C444,"No change"),"Name changed")</f>
        <v>No change</v>
      </c>
      <c r="B444" t="s">
        <v>529</v>
      </c>
      <c r="C444" t="s">
        <v>530</v>
      </c>
      <c r="E444" t="s">
        <v>3655</v>
      </c>
      <c r="F444" t="s">
        <v>12</v>
      </c>
      <c r="G444">
        <v>0</v>
      </c>
      <c r="H444" s="413">
        <f>G444*VLOOKUP(E444,GWPs!$B$3:$C$6,2,FALSE)</f>
        <v>0</v>
      </c>
      <c r="I444">
        <v>0</v>
      </c>
      <c r="J444" s="413">
        <f>I444*VLOOKUP(E444,GWPs!$B$3:$C$6,2,FALSE)</f>
        <v>0</v>
      </c>
      <c r="K444">
        <v>0</v>
      </c>
      <c r="L444" s="413">
        <f>K444*VLOOKUP(E444,GWPs!$B$3:$C$6,2,FALSE)</f>
        <v>0</v>
      </c>
      <c r="N444">
        <v>3</v>
      </c>
      <c r="O444">
        <v>2</v>
      </c>
      <c r="P444">
        <v>1</v>
      </c>
      <c r="Q444">
        <v>3</v>
      </c>
      <c r="R444">
        <v>1</v>
      </c>
    </row>
    <row r="445" spans="1:18">
      <c r="A445" t="str">
        <f>_xlfn.IFNA(IF(VLOOKUP(C445,'2016_Detail_Commodity_v1.0'!C:C,1,FALSE)=C445,"No change"),"Name changed")</f>
        <v>No change</v>
      </c>
      <c r="B445" t="s">
        <v>529</v>
      </c>
      <c r="C445" t="s">
        <v>530</v>
      </c>
      <c r="E445" t="s">
        <v>15</v>
      </c>
      <c r="F445" t="s">
        <v>16</v>
      </c>
      <c r="G445">
        <v>7.0000000000000001E-3</v>
      </c>
      <c r="H445" s="413">
        <f>G445*VLOOKUP(E445,GWPs!$B$3:$C$6,2,FALSE)</f>
        <v>7.0000000000000001E-3</v>
      </c>
      <c r="I445">
        <v>0</v>
      </c>
      <c r="J445" s="413">
        <f>I445*VLOOKUP(E445,GWPs!$B$3:$C$6,2,FALSE)</f>
        <v>0</v>
      </c>
      <c r="K445">
        <v>7.0000000000000001E-3</v>
      </c>
      <c r="L445" s="413">
        <f>K445*VLOOKUP(E445,GWPs!$B$3:$C$6,2,FALSE)</f>
        <v>7.0000000000000001E-3</v>
      </c>
      <c r="N445">
        <v>3</v>
      </c>
      <c r="O445">
        <v>2</v>
      </c>
      <c r="P445">
        <v>1</v>
      </c>
      <c r="Q445">
        <v>3</v>
      </c>
      <c r="R445">
        <v>1</v>
      </c>
    </row>
    <row r="446" spans="1:18">
      <c r="A446" t="str">
        <f>_xlfn.IFNA(IF(VLOOKUP(C446,'2016_Detail_Commodity_v1.0'!C:C,1,FALSE)=C446,"No change"),"Name changed")</f>
        <v>No change</v>
      </c>
      <c r="B446" t="s">
        <v>531</v>
      </c>
      <c r="C446" t="s">
        <v>532</v>
      </c>
      <c r="E446" t="s">
        <v>3653</v>
      </c>
      <c r="F446" t="s">
        <v>12</v>
      </c>
      <c r="G446">
        <v>0.57199999999999995</v>
      </c>
      <c r="H446" s="413">
        <f>G446*VLOOKUP(E446,GWPs!$B$3:$C$6,2,FALSE)</f>
        <v>0.57199999999999995</v>
      </c>
      <c r="I446">
        <v>4.4999999999999998E-2</v>
      </c>
      <c r="J446" s="413">
        <f>I446*VLOOKUP(E446,GWPs!$B$3:$C$6,2,FALSE)</f>
        <v>4.4999999999999998E-2</v>
      </c>
      <c r="K446">
        <v>0.61699999999999999</v>
      </c>
      <c r="L446" s="413">
        <f>K446*VLOOKUP(E446,GWPs!$B$3:$C$6,2,FALSE)</f>
        <v>0.61699999999999999</v>
      </c>
      <c r="N446">
        <v>4</v>
      </c>
      <c r="O446">
        <v>2</v>
      </c>
      <c r="P446">
        <v>1</v>
      </c>
      <c r="Q446">
        <v>4</v>
      </c>
      <c r="R446">
        <v>1</v>
      </c>
    </row>
    <row r="447" spans="1:18">
      <c r="A447" t="str">
        <f>_xlfn.IFNA(IF(VLOOKUP(C447,'2016_Detail_Commodity_v1.0'!C:C,1,FALSE)=C447,"No change"),"Name changed")</f>
        <v>No change</v>
      </c>
      <c r="B447" t="s">
        <v>531</v>
      </c>
      <c r="C447" t="s">
        <v>532</v>
      </c>
      <c r="E447" t="s">
        <v>3654</v>
      </c>
      <c r="F447" t="s">
        <v>12</v>
      </c>
      <c r="G447">
        <v>2E-3</v>
      </c>
      <c r="H447" s="413">
        <f>G447*VLOOKUP(E447,GWPs!$B$3:$C$6,2,FALSE)</f>
        <v>5.6000000000000001E-2</v>
      </c>
      <c r="I447">
        <v>0</v>
      </c>
      <c r="J447" s="413">
        <f>I447*VLOOKUP(E447,GWPs!$B$3:$C$6,2,FALSE)</f>
        <v>0</v>
      </c>
      <c r="K447">
        <v>2E-3</v>
      </c>
      <c r="L447" s="413">
        <f>K447*VLOOKUP(E447,GWPs!$B$3:$C$6,2,FALSE)</f>
        <v>5.6000000000000001E-2</v>
      </c>
      <c r="N447">
        <v>4</v>
      </c>
      <c r="O447">
        <v>2</v>
      </c>
      <c r="P447">
        <v>1</v>
      </c>
      <c r="Q447">
        <v>1</v>
      </c>
      <c r="R447">
        <v>1</v>
      </c>
    </row>
    <row r="448" spans="1:18">
      <c r="A448" t="str">
        <f>_xlfn.IFNA(IF(VLOOKUP(C448,'2016_Detail_Commodity_v1.0'!C:C,1,FALSE)=C448,"No change"),"Name changed")</f>
        <v>No change</v>
      </c>
      <c r="B448" t="s">
        <v>531</v>
      </c>
      <c r="C448" t="s">
        <v>532</v>
      </c>
      <c r="E448" t="s">
        <v>3655</v>
      </c>
      <c r="F448" t="s">
        <v>12</v>
      </c>
      <c r="G448">
        <v>0</v>
      </c>
      <c r="H448" s="413">
        <f>G448*VLOOKUP(E448,GWPs!$B$3:$C$6,2,FALSE)</f>
        <v>0</v>
      </c>
      <c r="I448">
        <v>0</v>
      </c>
      <c r="J448" s="413">
        <f>I448*VLOOKUP(E448,GWPs!$B$3:$C$6,2,FALSE)</f>
        <v>0</v>
      </c>
      <c r="K448">
        <v>0</v>
      </c>
      <c r="L448" s="413">
        <f>K448*VLOOKUP(E448,GWPs!$B$3:$C$6,2,FALSE)</f>
        <v>0</v>
      </c>
      <c r="N448">
        <v>3</v>
      </c>
      <c r="O448">
        <v>2</v>
      </c>
      <c r="P448">
        <v>1</v>
      </c>
      <c r="Q448">
        <v>3</v>
      </c>
      <c r="R448">
        <v>1</v>
      </c>
    </row>
    <row r="449" spans="1:18">
      <c r="A449" t="str">
        <f>_xlfn.IFNA(IF(VLOOKUP(C449,'2016_Detail_Commodity_v1.0'!C:C,1,FALSE)=C449,"No change"),"Name changed")</f>
        <v>No change</v>
      </c>
      <c r="B449" t="s">
        <v>531</v>
      </c>
      <c r="C449" t="s">
        <v>532</v>
      </c>
      <c r="E449" t="s">
        <v>15</v>
      </c>
      <c r="F449" t="s">
        <v>16</v>
      </c>
      <c r="G449">
        <v>5.0000000000000001E-3</v>
      </c>
      <c r="H449" s="413">
        <f>G449*VLOOKUP(E449,GWPs!$B$3:$C$6,2,FALSE)</f>
        <v>5.0000000000000001E-3</v>
      </c>
      <c r="I449">
        <v>0</v>
      </c>
      <c r="J449" s="413">
        <f>I449*VLOOKUP(E449,GWPs!$B$3:$C$6,2,FALSE)</f>
        <v>0</v>
      </c>
      <c r="K449">
        <v>5.0000000000000001E-3</v>
      </c>
      <c r="L449" s="413">
        <f>K449*VLOOKUP(E449,GWPs!$B$3:$C$6,2,FALSE)</f>
        <v>5.0000000000000001E-3</v>
      </c>
      <c r="N449">
        <v>3</v>
      </c>
      <c r="O449">
        <v>2</v>
      </c>
      <c r="P449">
        <v>1</v>
      </c>
      <c r="Q449">
        <v>3</v>
      </c>
      <c r="R449">
        <v>1</v>
      </c>
    </row>
    <row r="450" spans="1:18">
      <c r="A450" t="str">
        <f>_xlfn.IFNA(IF(VLOOKUP(C450,'2016_Detail_Commodity_v1.0'!C:C,1,FALSE)=C450,"No change"),"Name changed")</f>
        <v>No change</v>
      </c>
      <c r="B450" t="s">
        <v>533</v>
      </c>
      <c r="C450" t="s">
        <v>534</v>
      </c>
      <c r="E450" t="s">
        <v>3653</v>
      </c>
      <c r="F450" t="s">
        <v>12</v>
      </c>
      <c r="G450">
        <v>0.505</v>
      </c>
      <c r="H450" s="413">
        <f>G450*VLOOKUP(E450,GWPs!$B$3:$C$6,2,FALSE)</f>
        <v>0.505</v>
      </c>
      <c r="I450">
        <v>2.1000000000000001E-2</v>
      </c>
      <c r="J450" s="413">
        <f>I450*VLOOKUP(E450,GWPs!$B$3:$C$6,2,FALSE)</f>
        <v>2.1000000000000001E-2</v>
      </c>
      <c r="K450">
        <v>0.52600000000000002</v>
      </c>
      <c r="L450" s="413">
        <f>K450*VLOOKUP(E450,GWPs!$B$3:$C$6,2,FALSE)</f>
        <v>0.52600000000000002</v>
      </c>
      <c r="N450">
        <v>3</v>
      </c>
      <c r="O450">
        <v>2</v>
      </c>
      <c r="P450">
        <v>1</v>
      </c>
      <c r="Q450">
        <v>4</v>
      </c>
      <c r="R450">
        <v>1</v>
      </c>
    </row>
    <row r="451" spans="1:18">
      <c r="A451" t="str">
        <f>_xlfn.IFNA(IF(VLOOKUP(C451,'2016_Detail_Commodity_v1.0'!C:C,1,FALSE)=C451,"No change"),"Name changed")</f>
        <v>No change</v>
      </c>
      <c r="B451" t="s">
        <v>533</v>
      </c>
      <c r="C451" t="s">
        <v>534</v>
      </c>
      <c r="E451" t="s">
        <v>3654</v>
      </c>
      <c r="F451" t="s">
        <v>12</v>
      </c>
      <c r="G451">
        <v>1E-3</v>
      </c>
      <c r="H451" s="413">
        <f>G451*VLOOKUP(E451,GWPs!$B$3:$C$6,2,FALSE)</f>
        <v>2.8000000000000001E-2</v>
      </c>
      <c r="I451">
        <v>0</v>
      </c>
      <c r="J451" s="413">
        <f>I451*VLOOKUP(E451,GWPs!$B$3:$C$6,2,FALSE)</f>
        <v>0</v>
      </c>
      <c r="K451">
        <v>2E-3</v>
      </c>
      <c r="L451" s="413">
        <f>K451*VLOOKUP(E451,GWPs!$B$3:$C$6,2,FALSE)</f>
        <v>5.6000000000000001E-2</v>
      </c>
      <c r="N451">
        <v>4</v>
      </c>
      <c r="O451">
        <v>2</v>
      </c>
      <c r="P451">
        <v>1</v>
      </c>
      <c r="Q451">
        <v>1</v>
      </c>
      <c r="R451">
        <v>1</v>
      </c>
    </row>
    <row r="452" spans="1:18">
      <c r="A452" t="str">
        <f>_xlfn.IFNA(IF(VLOOKUP(C452,'2016_Detail_Commodity_v1.0'!C:C,1,FALSE)=C452,"No change"),"Name changed")</f>
        <v>No change</v>
      </c>
      <c r="B452" t="s">
        <v>533</v>
      </c>
      <c r="C452" t="s">
        <v>534</v>
      </c>
      <c r="E452" t="s">
        <v>3655</v>
      </c>
      <c r="F452" t="s">
        <v>12</v>
      </c>
      <c r="G452">
        <v>0</v>
      </c>
      <c r="H452" s="413">
        <f>G452*VLOOKUP(E452,GWPs!$B$3:$C$6,2,FALSE)</f>
        <v>0</v>
      </c>
      <c r="I452">
        <v>0</v>
      </c>
      <c r="J452" s="413">
        <f>I452*VLOOKUP(E452,GWPs!$B$3:$C$6,2,FALSE)</f>
        <v>0</v>
      </c>
      <c r="K452">
        <v>0</v>
      </c>
      <c r="L452" s="413">
        <f>K452*VLOOKUP(E452,GWPs!$B$3:$C$6,2,FALSE)</f>
        <v>0</v>
      </c>
      <c r="N452">
        <v>3</v>
      </c>
      <c r="O452">
        <v>2</v>
      </c>
      <c r="P452">
        <v>1</v>
      </c>
      <c r="Q452">
        <v>3</v>
      </c>
      <c r="R452">
        <v>1</v>
      </c>
    </row>
    <row r="453" spans="1:18">
      <c r="A453" t="str">
        <f>_xlfn.IFNA(IF(VLOOKUP(C453,'2016_Detail_Commodity_v1.0'!C:C,1,FALSE)=C453,"No change"),"Name changed")</f>
        <v>No change</v>
      </c>
      <c r="B453" t="s">
        <v>533</v>
      </c>
      <c r="C453" t="s">
        <v>534</v>
      </c>
      <c r="E453" t="s">
        <v>15</v>
      </c>
      <c r="F453" t="s">
        <v>16</v>
      </c>
      <c r="G453">
        <v>6.0000000000000001E-3</v>
      </c>
      <c r="H453" s="413">
        <f>G453*VLOOKUP(E453,GWPs!$B$3:$C$6,2,FALSE)</f>
        <v>6.0000000000000001E-3</v>
      </c>
      <c r="I453">
        <v>0</v>
      </c>
      <c r="J453" s="413">
        <f>I453*VLOOKUP(E453,GWPs!$B$3:$C$6,2,FALSE)</f>
        <v>0</v>
      </c>
      <c r="K453">
        <v>6.0000000000000001E-3</v>
      </c>
      <c r="L453" s="413">
        <f>K453*VLOOKUP(E453,GWPs!$B$3:$C$6,2,FALSE)</f>
        <v>6.0000000000000001E-3</v>
      </c>
      <c r="N453">
        <v>3</v>
      </c>
      <c r="O453">
        <v>2</v>
      </c>
      <c r="P453">
        <v>1</v>
      </c>
      <c r="Q453">
        <v>3</v>
      </c>
      <c r="R453">
        <v>1</v>
      </c>
    </row>
    <row r="454" spans="1:18">
      <c r="A454" t="str">
        <f>_xlfn.IFNA(IF(VLOOKUP(C454,'2016_Detail_Commodity_v1.0'!C:C,1,FALSE)=C454,"No change"),"Name changed")</f>
        <v>No change</v>
      </c>
      <c r="B454" t="s">
        <v>535</v>
      </c>
      <c r="C454" t="s">
        <v>536</v>
      </c>
      <c r="E454" t="s">
        <v>3653</v>
      </c>
      <c r="F454" t="s">
        <v>12</v>
      </c>
      <c r="G454">
        <v>0.42499999999999999</v>
      </c>
      <c r="H454" s="413">
        <f>G454*VLOOKUP(E454,GWPs!$B$3:$C$6,2,FALSE)</f>
        <v>0.42499999999999999</v>
      </c>
      <c r="I454">
        <v>4.4999999999999998E-2</v>
      </c>
      <c r="J454" s="413">
        <f>I454*VLOOKUP(E454,GWPs!$B$3:$C$6,2,FALSE)</f>
        <v>4.4999999999999998E-2</v>
      </c>
      <c r="K454">
        <v>0.47</v>
      </c>
      <c r="L454" s="413">
        <f>K454*VLOOKUP(E454,GWPs!$B$3:$C$6,2,FALSE)</f>
        <v>0.47</v>
      </c>
      <c r="N454">
        <v>3</v>
      </c>
      <c r="O454">
        <v>2</v>
      </c>
      <c r="P454">
        <v>1</v>
      </c>
      <c r="Q454">
        <v>4</v>
      </c>
      <c r="R454">
        <v>1</v>
      </c>
    </row>
    <row r="455" spans="1:18">
      <c r="A455" t="str">
        <f>_xlfn.IFNA(IF(VLOOKUP(C455,'2016_Detail_Commodity_v1.0'!C:C,1,FALSE)=C455,"No change"),"Name changed")</f>
        <v>No change</v>
      </c>
      <c r="B455" t="s">
        <v>535</v>
      </c>
      <c r="C455" t="s">
        <v>536</v>
      </c>
      <c r="E455" t="s">
        <v>3654</v>
      </c>
      <c r="F455" t="s">
        <v>12</v>
      </c>
      <c r="G455">
        <v>1E-3</v>
      </c>
      <c r="H455" s="413">
        <f>G455*VLOOKUP(E455,GWPs!$B$3:$C$6,2,FALSE)</f>
        <v>2.8000000000000001E-2</v>
      </c>
      <c r="I455">
        <v>0</v>
      </c>
      <c r="J455" s="413">
        <f>I455*VLOOKUP(E455,GWPs!$B$3:$C$6,2,FALSE)</f>
        <v>0</v>
      </c>
      <c r="K455">
        <v>2E-3</v>
      </c>
      <c r="L455" s="413">
        <f>K455*VLOOKUP(E455,GWPs!$B$3:$C$6,2,FALSE)</f>
        <v>5.6000000000000001E-2</v>
      </c>
      <c r="N455">
        <v>4</v>
      </c>
      <c r="O455">
        <v>2</v>
      </c>
      <c r="P455">
        <v>1</v>
      </c>
      <c r="Q455">
        <v>1</v>
      </c>
      <c r="R455">
        <v>1</v>
      </c>
    </row>
    <row r="456" spans="1:18">
      <c r="A456" t="str">
        <f>_xlfn.IFNA(IF(VLOOKUP(C456,'2016_Detail_Commodity_v1.0'!C:C,1,FALSE)=C456,"No change"),"Name changed")</f>
        <v>No change</v>
      </c>
      <c r="B456" t="s">
        <v>535</v>
      </c>
      <c r="C456" t="s">
        <v>536</v>
      </c>
      <c r="E456" t="s">
        <v>3655</v>
      </c>
      <c r="F456" t="s">
        <v>12</v>
      </c>
      <c r="G456">
        <v>0</v>
      </c>
      <c r="H456" s="413">
        <f>G456*VLOOKUP(E456,GWPs!$B$3:$C$6,2,FALSE)</f>
        <v>0</v>
      </c>
      <c r="I456">
        <v>0</v>
      </c>
      <c r="J456" s="413">
        <f>I456*VLOOKUP(E456,GWPs!$B$3:$C$6,2,FALSE)</f>
        <v>0</v>
      </c>
      <c r="K456">
        <v>0</v>
      </c>
      <c r="L456" s="413">
        <f>K456*VLOOKUP(E456,GWPs!$B$3:$C$6,2,FALSE)</f>
        <v>0</v>
      </c>
      <c r="N456">
        <v>3</v>
      </c>
      <c r="O456">
        <v>2</v>
      </c>
      <c r="P456">
        <v>1</v>
      </c>
      <c r="Q456">
        <v>3</v>
      </c>
      <c r="R456">
        <v>1</v>
      </c>
    </row>
    <row r="457" spans="1:18">
      <c r="A457" t="str">
        <f>_xlfn.IFNA(IF(VLOOKUP(C457,'2016_Detail_Commodity_v1.0'!C:C,1,FALSE)=C457,"No change"),"Name changed")</f>
        <v>No change</v>
      </c>
      <c r="B457" t="s">
        <v>535</v>
      </c>
      <c r="C457" t="s">
        <v>536</v>
      </c>
      <c r="E457" t="s">
        <v>15</v>
      </c>
      <c r="F457" t="s">
        <v>16</v>
      </c>
      <c r="G457">
        <v>8.9999999999999993E-3</v>
      </c>
      <c r="H457" s="413">
        <f>G457*VLOOKUP(E457,GWPs!$B$3:$C$6,2,FALSE)</f>
        <v>8.9999999999999993E-3</v>
      </c>
      <c r="I457">
        <v>0</v>
      </c>
      <c r="J457" s="413">
        <f>I457*VLOOKUP(E457,GWPs!$B$3:$C$6,2,FALSE)</f>
        <v>0</v>
      </c>
      <c r="K457">
        <v>8.9999999999999993E-3</v>
      </c>
      <c r="L457" s="413">
        <f>K457*VLOOKUP(E457,GWPs!$B$3:$C$6,2,FALSE)</f>
        <v>8.9999999999999993E-3</v>
      </c>
      <c r="N457">
        <v>3</v>
      </c>
      <c r="O457">
        <v>2</v>
      </c>
      <c r="P457">
        <v>1</v>
      </c>
      <c r="Q457">
        <v>4</v>
      </c>
      <c r="R457">
        <v>1</v>
      </c>
    </row>
    <row r="458" spans="1:18">
      <c r="A458" t="str">
        <f>_xlfn.IFNA(IF(VLOOKUP(C458,'2016_Detail_Commodity_v1.0'!C:C,1,FALSE)=C458,"No change"),"Name changed")</f>
        <v>No change</v>
      </c>
      <c r="B458" t="s">
        <v>537</v>
      </c>
      <c r="C458" t="s">
        <v>538</v>
      </c>
      <c r="E458" t="s">
        <v>3653</v>
      </c>
      <c r="F458" t="s">
        <v>12</v>
      </c>
      <c r="G458">
        <v>0.32900000000000001</v>
      </c>
      <c r="H458" s="413">
        <f>G458*VLOOKUP(E458,GWPs!$B$3:$C$6,2,FALSE)</f>
        <v>0.32900000000000001</v>
      </c>
      <c r="I458">
        <v>5.3999999999999999E-2</v>
      </c>
      <c r="J458" s="413">
        <f>I458*VLOOKUP(E458,GWPs!$B$3:$C$6,2,FALSE)</f>
        <v>5.3999999999999999E-2</v>
      </c>
      <c r="K458">
        <v>0.38400000000000001</v>
      </c>
      <c r="L458" s="413">
        <f>K458*VLOOKUP(E458,GWPs!$B$3:$C$6,2,FALSE)</f>
        <v>0.38400000000000001</v>
      </c>
      <c r="N458">
        <v>4</v>
      </c>
      <c r="O458">
        <v>2</v>
      </c>
      <c r="P458">
        <v>1</v>
      </c>
      <c r="Q458">
        <v>4</v>
      </c>
      <c r="R458">
        <v>1</v>
      </c>
    </row>
    <row r="459" spans="1:18">
      <c r="A459" t="str">
        <f>_xlfn.IFNA(IF(VLOOKUP(C459,'2016_Detail_Commodity_v1.0'!C:C,1,FALSE)=C459,"No change"),"Name changed")</f>
        <v>No change</v>
      </c>
      <c r="B459" t="s">
        <v>537</v>
      </c>
      <c r="C459" t="s">
        <v>538</v>
      </c>
      <c r="E459" t="s">
        <v>3654</v>
      </c>
      <c r="F459" t="s">
        <v>12</v>
      </c>
      <c r="G459">
        <v>1E-3</v>
      </c>
      <c r="H459" s="413">
        <f>G459*VLOOKUP(E459,GWPs!$B$3:$C$6,2,FALSE)</f>
        <v>2.8000000000000001E-2</v>
      </c>
      <c r="I459">
        <v>0</v>
      </c>
      <c r="J459" s="413">
        <f>I459*VLOOKUP(E459,GWPs!$B$3:$C$6,2,FALSE)</f>
        <v>0</v>
      </c>
      <c r="K459">
        <v>1E-3</v>
      </c>
      <c r="L459" s="413">
        <f>K459*VLOOKUP(E459,GWPs!$B$3:$C$6,2,FALSE)</f>
        <v>2.8000000000000001E-2</v>
      </c>
      <c r="N459">
        <v>4</v>
      </c>
      <c r="O459">
        <v>2</v>
      </c>
      <c r="P459">
        <v>1</v>
      </c>
      <c r="Q459">
        <v>1</v>
      </c>
      <c r="R459">
        <v>1</v>
      </c>
    </row>
    <row r="460" spans="1:18">
      <c r="A460" t="str">
        <f>_xlfn.IFNA(IF(VLOOKUP(C460,'2016_Detail_Commodity_v1.0'!C:C,1,FALSE)=C460,"No change"),"Name changed")</f>
        <v>No change</v>
      </c>
      <c r="B460" t="s">
        <v>537</v>
      </c>
      <c r="C460" t="s">
        <v>538</v>
      </c>
      <c r="E460" t="s">
        <v>3655</v>
      </c>
      <c r="F460" t="s">
        <v>12</v>
      </c>
      <c r="G460">
        <v>0</v>
      </c>
      <c r="H460" s="413">
        <f>G460*VLOOKUP(E460,GWPs!$B$3:$C$6,2,FALSE)</f>
        <v>0</v>
      </c>
      <c r="I460">
        <v>0</v>
      </c>
      <c r="J460" s="413">
        <f>I460*VLOOKUP(E460,GWPs!$B$3:$C$6,2,FALSE)</f>
        <v>0</v>
      </c>
      <c r="K460">
        <v>0</v>
      </c>
      <c r="L460" s="413">
        <f>K460*VLOOKUP(E460,GWPs!$B$3:$C$6,2,FALSE)</f>
        <v>0</v>
      </c>
      <c r="N460">
        <v>3</v>
      </c>
      <c r="O460">
        <v>2</v>
      </c>
      <c r="P460">
        <v>1</v>
      </c>
      <c r="Q460">
        <v>3</v>
      </c>
      <c r="R460">
        <v>1</v>
      </c>
    </row>
    <row r="461" spans="1:18">
      <c r="A461" t="str">
        <f>_xlfn.IFNA(IF(VLOOKUP(C461,'2016_Detail_Commodity_v1.0'!C:C,1,FALSE)=C461,"No change"),"Name changed")</f>
        <v>No change</v>
      </c>
      <c r="B461" t="s">
        <v>537</v>
      </c>
      <c r="C461" t="s">
        <v>538</v>
      </c>
      <c r="E461" t="s">
        <v>15</v>
      </c>
      <c r="F461" t="s">
        <v>16</v>
      </c>
      <c r="G461">
        <v>9.0999999999999998E-2</v>
      </c>
      <c r="H461" s="413">
        <f>G461*VLOOKUP(E461,GWPs!$B$3:$C$6,2,FALSE)</f>
        <v>9.0999999999999998E-2</v>
      </c>
      <c r="I461">
        <v>0</v>
      </c>
      <c r="J461" s="413">
        <f>I461*VLOOKUP(E461,GWPs!$B$3:$C$6,2,FALSE)</f>
        <v>0</v>
      </c>
      <c r="K461">
        <v>9.0999999999999998E-2</v>
      </c>
      <c r="L461" s="413">
        <f>K461*VLOOKUP(E461,GWPs!$B$3:$C$6,2,FALSE)</f>
        <v>9.0999999999999998E-2</v>
      </c>
      <c r="N461">
        <v>4</v>
      </c>
      <c r="O461">
        <v>2</v>
      </c>
      <c r="P461">
        <v>1</v>
      </c>
      <c r="Q461">
        <v>5</v>
      </c>
      <c r="R461">
        <v>1</v>
      </c>
    </row>
    <row r="462" spans="1:18">
      <c r="A462" t="str">
        <f>_xlfn.IFNA(IF(VLOOKUP(C462,'2016_Detail_Commodity_v1.0'!C:C,1,FALSE)=C462,"No change"),"Name changed")</f>
        <v>No change</v>
      </c>
      <c r="B462" t="s">
        <v>539</v>
      </c>
      <c r="C462" t="s">
        <v>540</v>
      </c>
      <c r="E462" t="s">
        <v>3653</v>
      </c>
      <c r="F462" t="s">
        <v>12</v>
      </c>
      <c r="G462">
        <v>0.77500000000000002</v>
      </c>
      <c r="H462" s="413">
        <f>G462*VLOOKUP(E462,GWPs!$B$3:$C$6,2,FALSE)</f>
        <v>0.77500000000000002</v>
      </c>
      <c r="I462">
        <v>3.1E-2</v>
      </c>
      <c r="J462" s="413">
        <f>I462*VLOOKUP(E462,GWPs!$B$3:$C$6,2,FALSE)</f>
        <v>3.1E-2</v>
      </c>
      <c r="K462">
        <v>0.80600000000000005</v>
      </c>
      <c r="L462" s="413">
        <f>K462*VLOOKUP(E462,GWPs!$B$3:$C$6,2,FALSE)</f>
        <v>0.80600000000000005</v>
      </c>
      <c r="N462">
        <v>3</v>
      </c>
      <c r="O462">
        <v>2</v>
      </c>
      <c r="P462">
        <v>1</v>
      </c>
      <c r="Q462">
        <v>3</v>
      </c>
      <c r="R462">
        <v>1</v>
      </c>
    </row>
    <row r="463" spans="1:18">
      <c r="A463" t="str">
        <f>_xlfn.IFNA(IF(VLOOKUP(C463,'2016_Detail_Commodity_v1.0'!C:C,1,FALSE)=C463,"No change"),"Name changed")</f>
        <v>No change</v>
      </c>
      <c r="B463" t="s">
        <v>539</v>
      </c>
      <c r="C463" t="s">
        <v>540</v>
      </c>
      <c r="E463" t="s">
        <v>3654</v>
      </c>
      <c r="F463" t="s">
        <v>12</v>
      </c>
      <c r="G463">
        <v>2E-3</v>
      </c>
      <c r="H463" s="413">
        <f>G463*VLOOKUP(E463,GWPs!$B$3:$C$6,2,FALSE)</f>
        <v>5.6000000000000001E-2</v>
      </c>
      <c r="I463">
        <v>0</v>
      </c>
      <c r="J463" s="413">
        <f>I463*VLOOKUP(E463,GWPs!$B$3:$C$6,2,FALSE)</f>
        <v>0</v>
      </c>
      <c r="K463">
        <v>2E-3</v>
      </c>
      <c r="L463" s="413">
        <f>K463*VLOOKUP(E463,GWPs!$B$3:$C$6,2,FALSE)</f>
        <v>5.6000000000000001E-2</v>
      </c>
      <c r="N463">
        <v>4</v>
      </c>
      <c r="O463">
        <v>2</v>
      </c>
      <c r="P463">
        <v>1</v>
      </c>
      <c r="Q463">
        <v>1</v>
      </c>
      <c r="R463">
        <v>1</v>
      </c>
    </row>
    <row r="464" spans="1:18">
      <c r="A464" t="str">
        <f>_xlfn.IFNA(IF(VLOOKUP(C464,'2016_Detail_Commodity_v1.0'!C:C,1,FALSE)=C464,"No change"),"Name changed")</f>
        <v>No change</v>
      </c>
      <c r="B464" t="s">
        <v>539</v>
      </c>
      <c r="C464" t="s">
        <v>540</v>
      </c>
      <c r="E464" t="s">
        <v>3655</v>
      </c>
      <c r="F464" t="s">
        <v>12</v>
      </c>
      <c r="G464">
        <v>0</v>
      </c>
      <c r="H464" s="413">
        <f>G464*VLOOKUP(E464,GWPs!$B$3:$C$6,2,FALSE)</f>
        <v>0</v>
      </c>
      <c r="I464">
        <v>0</v>
      </c>
      <c r="J464" s="413">
        <f>I464*VLOOKUP(E464,GWPs!$B$3:$C$6,2,FALSE)</f>
        <v>0</v>
      </c>
      <c r="K464">
        <v>0</v>
      </c>
      <c r="L464" s="413">
        <f>K464*VLOOKUP(E464,GWPs!$B$3:$C$6,2,FALSE)</f>
        <v>0</v>
      </c>
      <c r="N464">
        <v>3</v>
      </c>
      <c r="O464">
        <v>2</v>
      </c>
      <c r="P464">
        <v>1</v>
      </c>
      <c r="Q464">
        <v>3</v>
      </c>
      <c r="R464">
        <v>1</v>
      </c>
    </row>
    <row r="465" spans="1:18">
      <c r="A465" t="str">
        <f>_xlfn.IFNA(IF(VLOOKUP(C465,'2016_Detail_Commodity_v1.0'!C:C,1,FALSE)=C465,"No change"),"Name changed")</f>
        <v>No change</v>
      </c>
      <c r="B465" t="s">
        <v>539</v>
      </c>
      <c r="C465" t="s">
        <v>540</v>
      </c>
      <c r="E465" t="s">
        <v>15</v>
      </c>
      <c r="F465" t="s">
        <v>16</v>
      </c>
      <c r="G465">
        <v>7.0000000000000001E-3</v>
      </c>
      <c r="H465" s="413">
        <f>G465*VLOOKUP(E465,GWPs!$B$3:$C$6,2,FALSE)</f>
        <v>7.0000000000000001E-3</v>
      </c>
      <c r="I465">
        <v>0</v>
      </c>
      <c r="J465" s="413">
        <f>I465*VLOOKUP(E465,GWPs!$B$3:$C$6,2,FALSE)</f>
        <v>0</v>
      </c>
      <c r="K465">
        <v>7.0000000000000001E-3</v>
      </c>
      <c r="L465" s="413">
        <f>K465*VLOOKUP(E465,GWPs!$B$3:$C$6,2,FALSE)</f>
        <v>7.0000000000000001E-3</v>
      </c>
      <c r="N465">
        <v>3</v>
      </c>
      <c r="O465">
        <v>2</v>
      </c>
      <c r="P465">
        <v>1</v>
      </c>
      <c r="Q465">
        <v>4</v>
      </c>
      <c r="R465">
        <v>1</v>
      </c>
    </row>
    <row r="466" spans="1:18">
      <c r="A466" t="str">
        <f>_xlfn.IFNA(IF(VLOOKUP(C466,'2016_Detail_Commodity_v1.0'!C:C,1,FALSE)=C466,"No change"),"Name changed")</f>
        <v>No change</v>
      </c>
      <c r="B466" t="s">
        <v>541</v>
      </c>
      <c r="C466" t="s">
        <v>542</v>
      </c>
      <c r="E466" t="s">
        <v>3653</v>
      </c>
      <c r="F466" t="s">
        <v>12</v>
      </c>
      <c r="G466">
        <v>0.43</v>
      </c>
      <c r="H466" s="413">
        <f>G466*VLOOKUP(E466,GWPs!$B$3:$C$6,2,FALSE)</f>
        <v>0.43</v>
      </c>
      <c r="I466">
        <v>4.8000000000000001E-2</v>
      </c>
      <c r="J466" s="413">
        <f>I466*VLOOKUP(E466,GWPs!$B$3:$C$6,2,FALSE)</f>
        <v>4.8000000000000001E-2</v>
      </c>
      <c r="K466">
        <v>0.47799999999999998</v>
      </c>
      <c r="L466" s="413">
        <f>K466*VLOOKUP(E466,GWPs!$B$3:$C$6,2,FALSE)</f>
        <v>0.47799999999999998</v>
      </c>
      <c r="N466">
        <v>3</v>
      </c>
      <c r="O466">
        <v>2</v>
      </c>
      <c r="P466">
        <v>1</v>
      </c>
      <c r="Q466">
        <v>3</v>
      </c>
      <c r="R466">
        <v>1</v>
      </c>
    </row>
    <row r="467" spans="1:18">
      <c r="A467" t="str">
        <f>_xlfn.IFNA(IF(VLOOKUP(C467,'2016_Detail_Commodity_v1.0'!C:C,1,FALSE)=C467,"No change"),"Name changed")</f>
        <v>No change</v>
      </c>
      <c r="B467" t="s">
        <v>541</v>
      </c>
      <c r="C467" t="s">
        <v>542</v>
      </c>
      <c r="E467" t="s">
        <v>3654</v>
      </c>
      <c r="F467" t="s">
        <v>12</v>
      </c>
      <c r="G467">
        <v>1E-3</v>
      </c>
      <c r="H467" s="413">
        <f>G467*VLOOKUP(E467,GWPs!$B$3:$C$6,2,FALSE)</f>
        <v>2.8000000000000001E-2</v>
      </c>
      <c r="I467">
        <v>0</v>
      </c>
      <c r="J467" s="413">
        <f>I467*VLOOKUP(E467,GWPs!$B$3:$C$6,2,FALSE)</f>
        <v>0</v>
      </c>
      <c r="K467">
        <v>2E-3</v>
      </c>
      <c r="L467" s="413">
        <f>K467*VLOOKUP(E467,GWPs!$B$3:$C$6,2,FALSE)</f>
        <v>5.6000000000000001E-2</v>
      </c>
      <c r="N467">
        <v>4</v>
      </c>
      <c r="O467">
        <v>2</v>
      </c>
      <c r="P467">
        <v>1</v>
      </c>
      <c r="Q467">
        <v>1</v>
      </c>
      <c r="R467">
        <v>1</v>
      </c>
    </row>
    <row r="468" spans="1:18">
      <c r="A468" t="str">
        <f>_xlfn.IFNA(IF(VLOOKUP(C468,'2016_Detail_Commodity_v1.0'!C:C,1,FALSE)=C468,"No change"),"Name changed")</f>
        <v>No change</v>
      </c>
      <c r="B468" t="s">
        <v>541</v>
      </c>
      <c r="C468" t="s">
        <v>542</v>
      </c>
      <c r="E468" t="s">
        <v>3655</v>
      </c>
      <c r="F468" t="s">
        <v>12</v>
      </c>
      <c r="G468">
        <v>0</v>
      </c>
      <c r="H468" s="413">
        <f>G468*VLOOKUP(E468,GWPs!$B$3:$C$6,2,FALSE)</f>
        <v>0</v>
      </c>
      <c r="I468">
        <v>0</v>
      </c>
      <c r="J468" s="413">
        <f>I468*VLOOKUP(E468,GWPs!$B$3:$C$6,2,FALSE)</f>
        <v>0</v>
      </c>
      <c r="K468">
        <v>0</v>
      </c>
      <c r="L468" s="413">
        <f>K468*VLOOKUP(E468,GWPs!$B$3:$C$6,2,FALSE)</f>
        <v>0</v>
      </c>
      <c r="N468">
        <v>3</v>
      </c>
      <c r="O468">
        <v>2</v>
      </c>
      <c r="P468">
        <v>1</v>
      </c>
      <c r="Q468">
        <v>3</v>
      </c>
      <c r="R468">
        <v>1</v>
      </c>
    </row>
    <row r="469" spans="1:18">
      <c r="A469" t="str">
        <f>_xlfn.IFNA(IF(VLOOKUP(C469,'2016_Detail_Commodity_v1.0'!C:C,1,FALSE)=C469,"No change"),"Name changed")</f>
        <v>No change</v>
      </c>
      <c r="B469" t="s">
        <v>541</v>
      </c>
      <c r="C469" t="s">
        <v>542</v>
      </c>
      <c r="E469" t="s">
        <v>15</v>
      </c>
      <c r="F469" t="s">
        <v>16</v>
      </c>
      <c r="G469">
        <v>8.0000000000000002E-3</v>
      </c>
      <c r="H469" s="413">
        <f>G469*VLOOKUP(E469,GWPs!$B$3:$C$6,2,FALSE)</f>
        <v>8.0000000000000002E-3</v>
      </c>
      <c r="I469">
        <v>0</v>
      </c>
      <c r="J469" s="413">
        <f>I469*VLOOKUP(E469,GWPs!$B$3:$C$6,2,FALSE)</f>
        <v>0</v>
      </c>
      <c r="K469">
        <v>8.0000000000000002E-3</v>
      </c>
      <c r="L469" s="413">
        <f>K469*VLOOKUP(E469,GWPs!$B$3:$C$6,2,FALSE)</f>
        <v>8.0000000000000002E-3</v>
      </c>
      <c r="N469">
        <v>4</v>
      </c>
      <c r="O469">
        <v>2</v>
      </c>
      <c r="P469">
        <v>1</v>
      </c>
      <c r="Q469">
        <v>4</v>
      </c>
      <c r="R469">
        <v>1</v>
      </c>
    </row>
    <row r="470" spans="1:18">
      <c r="A470" t="str">
        <f>_xlfn.IFNA(IF(VLOOKUP(C470,'2016_Detail_Commodity_v1.0'!C:C,1,FALSE)=C470,"No change"),"Name changed")</f>
        <v>No change</v>
      </c>
      <c r="B470" t="s">
        <v>543</v>
      </c>
      <c r="C470" t="s">
        <v>544</v>
      </c>
      <c r="E470" t="s">
        <v>3653</v>
      </c>
      <c r="F470" t="s">
        <v>12</v>
      </c>
      <c r="G470">
        <v>0.32700000000000001</v>
      </c>
      <c r="H470" s="413">
        <f>G470*VLOOKUP(E470,GWPs!$B$3:$C$6,2,FALSE)</f>
        <v>0.32700000000000001</v>
      </c>
      <c r="I470">
        <v>8.3000000000000004E-2</v>
      </c>
      <c r="J470" s="413">
        <f>I470*VLOOKUP(E470,GWPs!$B$3:$C$6,2,FALSE)</f>
        <v>8.3000000000000004E-2</v>
      </c>
      <c r="K470">
        <v>0.41</v>
      </c>
      <c r="L470" s="413">
        <f>K470*VLOOKUP(E470,GWPs!$B$3:$C$6,2,FALSE)</f>
        <v>0.41</v>
      </c>
      <c r="N470">
        <v>3</v>
      </c>
      <c r="O470">
        <v>2</v>
      </c>
      <c r="P470">
        <v>1</v>
      </c>
      <c r="Q470">
        <v>4</v>
      </c>
      <c r="R470">
        <v>1</v>
      </c>
    </row>
    <row r="471" spans="1:18">
      <c r="A471" t="str">
        <f>_xlfn.IFNA(IF(VLOOKUP(C471,'2016_Detail_Commodity_v1.0'!C:C,1,FALSE)=C471,"No change"),"Name changed")</f>
        <v>No change</v>
      </c>
      <c r="B471" t="s">
        <v>543</v>
      </c>
      <c r="C471" t="s">
        <v>544</v>
      </c>
      <c r="E471" t="s">
        <v>3654</v>
      </c>
      <c r="F471" t="s">
        <v>12</v>
      </c>
      <c r="G471">
        <v>1E-3</v>
      </c>
      <c r="H471" s="413">
        <f>G471*VLOOKUP(E471,GWPs!$B$3:$C$6,2,FALSE)</f>
        <v>2.8000000000000001E-2</v>
      </c>
      <c r="I471">
        <v>0</v>
      </c>
      <c r="J471" s="413">
        <f>I471*VLOOKUP(E471,GWPs!$B$3:$C$6,2,FALSE)</f>
        <v>0</v>
      </c>
      <c r="K471">
        <v>2E-3</v>
      </c>
      <c r="L471" s="413">
        <f>K471*VLOOKUP(E471,GWPs!$B$3:$C$6,2,FALSE)</f>
        <v>5.6000000000000001E-2</v>
      </c>
      <c r="N471">
        <v>4</v>
      </c>
      <c r="O471">
        <v>2</v>
      </c>
      <c r="P471">
        <v>1</v>
      </c>
      <c r="Q471">
        <v>1</v>
      </c>
      <c r="R471">
        <v>1</v>
      </c>
    </row>
    <row r="472" spans="1:18">
      <c r="A472" t="str">
        <f>_xlfn.IFNA(IF(VLOOKUP(C472,'2016_Detail_Commodity_v1.0'!C:C,1,FALSE)=C472,"No change"),"Name changed")</f>
        <v>No change</v>
      </c>
      <c r="B472" t="s">
        <v>543</v>
      </c>
      <c r="C472" t="s">
        <v>544</v>
      </c>
      <c r="E472" t="s">
        <v>3655</v>
      </c>
      <c r="F472" t="s">
        <v>12</v>
      </c>
      <c r="G472">
        <v>0</v>
      </c>
      <c r="H472" s="413">
        <f>G472*VLOOKUP(E472,GWPs!$B$3:$C$6,2,FALSE)</f>
        <v>0</v>
      </c>
      <c r="I472">
        <v>0</v>
      </c>
      <c r="J472" s="413">
        <f>I472*VLOOKUP(E472,GWPs!$B$3:$C$6,2,FALSE)</f>
        <v>0</v>
      </c>
      <c r="K472">
        <v>0</v>
      </c>
      <c r="L472" s="413">
        <f>K472*VLOOKUP(E472,GWPs!$B$3:$C$6,2,FALSE)</f>
        <v>0</v>
      </c>
      <c r="N472">
        <v>3</v>
      </c>
      <c r="O472">
        <v>2</v>
      </c>
      <c r="P472">
        <v>1</v>
      </c>
      <c r="Q472">
        <v>3</v>
      </c>
      <c r="R472">
        <v>1</v>
      </c>
    </row>
    <row r="473" spans="1:18">
      <c r="A473" t="str">
        <f>_xlfn.IFNA(IF(VLOOKUP(C473,'2016_Detail_Commodity_v1.0'!C:C,1,FALSE)=C473,"No change"),"Name changed")</f>
        <v>No change</v>
      </c>
      <c r="B473" t="s">
        <v>543</v>
      </c>
      <c r="C473" t="s">
        <v>544</v>
      </c>
      <c r="E473" t="s">
        <v>15</v>
      </c>
      <c r="F473" t="s">
        <v>16</v>
      </c>
      <c r="G473">
        <v>6.0000000000000001E-3</v>
      </c>
      <c r="H473" s="413">
        <f>G473*VLOOKUP(E473,GWPs!$B$3:$C$6,2,FALSE)</f>
        <v>6.0000000000000001E-3</v>
      </c>
      <c r="I473">
        <v>0</v>
      </c>
      <c r="J473" s="413">
        <f>I473*VLOOKUP(E473,GWPs!$B$3:$C$6,2,FALSE)</f>
        <v>0</v>
      </c>
      <c r="K473">
        <v>6.0000000000000001E-3</v>
      </c>
      <c r="L473" s="413">
        <f>K473*VLOOKUP(E473,GWPs!$B$3:$C$6,2,FALSE)</f>
        <v>6.0000000000000001E-3</v>
      </c>
      <c r="N473">
        <v>3</v>
      </c>
      <c r="O473">
        <v>2</v>
      </c>
      <c r="P473">
        <v>1</v>
      </c>
      <c r="Q473">
        <v>3</v>
      </c>
      <c r="R473">
        <v>1</v>
      </c>
    </row>
    <row r="474" spans="1:18">
      <c r="A474" t="str">
        <f>_xlfn.IFNA(IF(VLOOKUP(C474,'2016_Detail_Commodity_v1.0'!C:C,1,FALSE)=C474,"No change"),"Name changed")</f>
        <v>No change</v>
      </c>
      <c r="B474" t="s">
        <v>545</v>
      </c>
      <c r="C474" t="s">
        <v>546</v>
      </c>
      <c r="E474" t="s">
        <v>3653</v>
      </c>
      <c r="F474" t="s">
        <v>12</v>
      </c>
      <c r="G474">
        <v>0.28999999999999998</v>
      </c>
      <c r="H474" s="413">
        <f>G474*VLOOKUP(E474,GWPs!$B$3:$C$6,2,FALSE)</f>
        <v>0.28999999999999998</v>
      </c>
      <c r="I474">
        <v>4.3999999999999997E-2</v>
      </c>
      <c r="J474" s="413">
        <f>I474*VLOOKUP(E474,GWPs!$B$3:$C$6,2,FALSE)</f>
        <v>4.3999999999999997E-2</v>
      </c>
      <c r="K474">
        <v>0.33400000000000002</v>
      </c>
      <c r="L474" s="413">
        <f>K474*VLOOKUP(E474,GWPs!$B$3:$C$6,2,FALSE)</f>
        <v>0.33400000000000002</v>
      </c>
      <c r="N474">
        <v>3</v>
      </c>
      <c r="O474">
        <v>2</v>
      </c>
      <c r="P474">
        <v>1</v>
      </c>
      <c r="Q474">
        <v>3</v>
      </c>
      <c r="R474">
        <v>1</v>
      </c>
    </row>
    <row r="475" spans="1:18">
      <c r="A475" t="str">
        <f>_xlfn.IFNA(IF(VLOOKUP(C475,'2016_Detail_Commodity_v1.0'!C:C,1,FALSE)=C475,"No change"),"Name changed")</f>
        <v>No change</v>
      </c>
      <c r="B475" t="s">
        <v>545</v>
      </c>
      <c r="C475" t="s">
        <v>546</v>
      </c>
      <c r="E475" t="s">
        <v>3654</v>
      </c>
      <c r="F475" t="s">
        <v>12</v>
      </c>
      <c r="G475">
        <v>1E-3</v>
      </c>
      <c r="H475" s="413">
        <f>G475*VLOOKUP(E475,GWPs!$B$3:$C$6,2,FALSE)</f>
        <v>2.8000000000000001E-2</v>
      </c>
      <c r="I475">
        <v>0</v>
      </c>
      <c r="J475" s="413">
        <f>I475*VLOOKUP(E475,GWPs!$B$3:$C$6,2,FALSE)</f>
        <v>0</v>
      </c>
      <c r="K475">
        <v>1E-3</v>
      </c>
      <c r="L475" s="413">
        <f>K475*VLOOKUP(E475,GWPs!$B$3:$C$6,2,FALSE)</f>
        <v>2.8000000000000001E-2</v>
      </c>
      <c r="N475">
        <v>4</v>
      </c>
      <c r="O475">
        <v>2</v>
      </c>
      <c r="P475">
        <v>1</v>
      </c>
      <c r="Q475">
        <v>1</v>
      </c>
      <c r="R475">
        <v>1</v>
      </c>
    </row>
    <row r="476" spans="1:18">
      <c r="A476" t="str">
        <f>_xlfn.IFNA(IF(VLOOKUP(C476,'2016_Detail_Commodity_v1.0'!C:C,1,FALSE)=C476,"No change"),"Name changed")</f>
        <v>No change</v>
      </c>
      <c r="B476" t="s">
        <v>545</v>
      </c>
      <c r="C476" t="s">
        <v>546</v>
      </c>
      <c r="E476" t="s">
        <v>3655</v>
      </c>
      <c r="F476" t="s">
        <v>12</v>
      </c>
      <c r="G476">
        <v>0</v>
      </c>
      <c r="H476" s="413">
        <f>G476*VLOOKUP(E476,GWPs!$B$3:$C$6,2,FALSE)</f>
        <v>0</v>
      </c>
      <c r="I476">
        <v>0</v>
      </c>
      <c r="J476" s="413">
        <f>I476*VLOOKUP(E476,GWPs!$B$3:$C$6,2,FALSE)</f>
        <v>0</v>
      </c>
      <c r="K476">
        <v>0</v>
      </c>
      <c r="L476" s="413">
        <f>K476*VLOOKUP(E476,GWPs!$B$3:$C$6,2,FALSE)</f>
        <v>0</v>
      </c>
      <c r="N476">
        <v>3</v>
      </c>
      <c r="O476">
        <v>2</v>
      </c>
      <c r="P476">
        <v>1</v>
      </c>
      <c r="Q476">
        <v>3</v>
      </c>
      <c r="R476">
        <v>1</v>
      </c>
    </row>
    <row r="477" spans="1:18">
      <c r="A477" t="str">
        <f>_xlfn.IFNA(IF(VLOOKUP(C477,'2016_Detail_Commodity_v1.0'!C:C,1,FALSE)=C477,"No change"),"Name changed")</f>
        <v>No change</v>
      </c>
      <c r="B477" t="s">
        <v>545</v>
      </c>
      <c r="C477" t="s">
        <v>546</v>
      </c>
      <c r="E477" t="s">
        <v>15</v>
      </c>
      <c r="F477" t="s">
        <v>16</v>
      </c>
      <c r="G477">
        <v>6.0000000000000001E-3</v>
      </c>
      <c r="H477" s="413">
        <f>G477*VLOOKUP(E477,GWPs!$B$3:$C$6,2,FALSE)</f>
        <v>6.0000000000000001E-3</v>
      </c>
      <c r="I477">
        <v>0</v>
      </c>
      <c r="J477" s="413">
        <f>I477*VLOOKUP(E477,GWPs!$B$3:$C$6,2,FALSE)</f>
        <v>0</v>
      </c>
      <c r="K477">
        <v>6.0000000000000001E-3</v>
      </c>
      <c r="L477" s="413">
        <f>K477*VLOOKUP(E477,GWPs!$B$3:$C$6,2,FALSE)</f>
        <v>6.0000000000000001E-3</v>
      </c>
      <c r="N477">
        <v>3</v>
      </c>
      <c r="O477">
        <v>2</v>
      </c>
      <c r="P477">
        <v>1</v>
      </c>
      <c r="Q477">
        <v>3</v>
      </c>
      <c r="R477">
        <v>1</v>
      </c>
    </row>
    <row r="478" spans="1:18">
      <c r="A478" t="str">
        <f>_xlfn.IFNA(IF(VLOOKUP(C478,'2016_Detail_Commodity_v1.0'!C:C,1,FALSE)=C478,"No change"),"Name changed")</f>
        <v>No change</v>
      </c>
      <c r="B478" t="s">
        <v>547</v>
      </c>
      <c r="C478" t="s">
        <v>548</v>
      </c>
      <c r="E478" t="s">
        <v>3653</v>
      </c>
      <c r="F478" t="s">
        <v>12</v>
      </c>
      <c r="G478">
        <v>0.39</v>
      </c>
      <c r="H478" s="413">
        <f>G478*VLOOKUP(E478,GWPs!$B$3:$C$6,2,FALSE)</f>
        <v>0.39</v>
      </c>
      <c r="I478">
        <v>0.04</v>
      </c>
      <c r="J478" s="413">
        <f>I478*VLOOKUP(E478,GWPs!$B$3:$C$6,2,FALSE)</f>
        <v>0.04</v>
      </c>
      <c r="K478">
        <v>0.43</v>
      </c>
      <c r="L478" s="413">
        <f>K478*VLOOKUP(E478,GWPs!$B$3:$C$6,2,FALSE)</f>
        <v>0.43</v>
      </c>
      <c r="N478">
        <v>3</v>
      </c>
      <c r="O478">
        <v>2</v>
      </c>
      <c r="P478">
        <v>1</v>
      </c>
      <c r="Q478">
        <v>3</v>
      </c>
      <c r="R478">
        <v>1</v>
      </c>
    </row>
    <row r="479" spans="1:18">
      <c r="A479" t="str">
        <f>_xlfn.IFNA(IF(VLOOKUP(C479,'2016_Detail_Commodity_v1.0'!C:C,1,FALSE)=C479,"No change"),"Name changed")</f>
        <v>No change</v>
      </c>
      <c r="B479" t="s">
        <v>547</v>
      </c>
      <c r="C479" t="s">
        <v>548</v>
      </c>
      <c r="E479" t="s">
        <v>3654</v>
      </c>
      <c r="F479" t="s">
        <v>12</v>
      </c>
      <c r="G479">
        <v>1E-3</v>
      </c>
      <c r="H479" s="413">
        <f>G479*VLOOKUP(E479,GWPs!$B$3:$C$6,2,FALSE)</f>
        <v>2.8000000000000001E-2</v>
      </c>
      <c r="I479">
        <v>0</v>
      </c>
      <c r="J479" s="413">
        <f>I479*VLOOKUP(E479,GWPs!$B$3:$C$6,2,FALSE)</f>
        <v>0</v>
      </c>
      <c r="K479">
        <v>2E-3</v>
      </c>
      <c r="L479" s="413">
        <f>K479*VLOOKUP(E479,GWPs!$B$3:$C$6,2,FALSE)</f>
        <v>5.6000000000000001E-2</v>
      </c>
      <c r="N479">
        <v>4</v>
      </c>
      <c r="O479">
        <v>2</v>
      </c>
      <c r="P479">
        <v>1</v>
      </c>
      <c r="Q479">
        <v>1</v>
      </c>
      <c r="R479">
        <v>1</v>
      </c>
    </row>
    <row r="480" spans="1:18">
      <c r="A480" t="str">
        <f>_xlfn.IFNA(IF(VLOOKUP(C480,'2016_Detail_Commodity_v1.0'!C:C,1,FALSE)=C480,"No change"),"Name changed")</f>
        <v>No change</v>
      </c>
      <c r="B480" t="s">
        <v>547</v>
      </c>
      <c r="C480" t="s">
        <v>548</v>
      </c>
      <c r="E480" t="s">
        <v>3655</v>
      </c>
      <c r="F480" t="s">
        <v>12</v>
      </c>
      <c r="G480">
        <v>0</v>
      </c>
      <c r="H480" s="413">
        <f>G480*VLOOKUP(E480,GWPs!$B$3:$C$6,2,FALSE)</f>
        <v>0</v>
      </c>
      <c r="I480">
        <v>0</v>
      </c>
      <c r="J480" s="413">
        <f>I480*VLOOKUP(E480,GWPs!$B$3:$C$6,2,FALSE)</f>
        <v>0</v>
      </c>
      <c r="K480">
        <v>0</v>
      </c>
      <c r="L480" s="413">
        <f>K480*VLOOKUP(E480,GWPs!$B$3:$C$6,2,FALSE)</f>
        <v>0</v>
      </c>
      <c r="N480">
        <v>3</v>
      </c>
      <c r="O480">
        <v>2</v>
      </c>
      <c r="P480">
        <v>1</v>
      </c>
      <c r="Q480">
        <v>3</v>
      </c>
      <c r="R480">
        <v>1</v>
      </c>
    </row>
    <row r="481" spans="1:18">
      <c r="A481" t="str">
        <f>_xlfn.IFNA(IF(VLOOKUP(C481,'2016_Detail_Commodity_v1.0'!C:C,1,FALSE)=C481,"No change"),"Name changed")</f>
        <v>No change</v>
      </c>
      <c r="B481" t="s">
        <v>547</v>
      </c>
      <c r="C481" t="s">
        <v>548</v>
      </c>
      <c r="E481" t="s">
        <v>15</v>
      </c>
      <c r="F481" t="s">
        <v>16</v>
      </c>
      <c r="G481">
        <v>6.0000000000000001E-3</v>
      </c>
      <c r="H481" s="413">
        <f>G481*VLOOKUP(E481,GWPs!$B$3:$C$6,2,FALSE)</f>
        <v>6.0000000000000001E-3</v>
      </c>
      <c r="I481">
        <v>0</v>
      </c>
      <c r="J481" s="413">
        <f>I481*VLOOKUP(E481,GWPs!$B$3:$C$6,2,FALSE)</f>
        <v>0</v>
      </c>
      <c r="K481">
        <v>6.0000000000000001E-3</v>
      </c>
      <c r="L481" s="413">
        <f>K481*VLOOKUP(E481,GWPs!$B$3:$C$6,2,FALSE)</f>
        <v>6.0000000000000001E-3</v>
      </c>
      <c r="N481">
        <v>3</v>
      </c>
      <c r="O481">
        <v>2</v>
      </c>
      <c r="P481">
        <v>1</v>
      </c>
      <c r="Q481">
        <v>3</v>
      </c>
      <c r="R481">
        <v>1</v>
      </c>
    </row>
    <row r="482" spans="1:18">
      <c r="A482" t="str">
        <f>_xlfn.IFNA(IF(VLOOKUP(C482,'2016_Detail_Commodity_v1.0'!C:C,1,FALSE)=C482,"No change"),"Name changed")</f>
        <v>No change</v>
      </c>
      <c r="B482" t="s">
        <v>549</v>
      </c>
      <c r="C482" t="s">
        <v>550</v>
      </c>
      <c r="E482" t="s">
        <v>3653</v>
      </c>
      <c r="F482" t="s">
        <v>12</v>
      </c>
      <c r="G482">
        <v>0.32400000000000001</v>
      </c>
      <c r="H482" s="413">
        <f>G482*VLOOKUP(E482,GWPs!$B$3:$C$6,2,FALSE)</f>
        <v>0.32400000000000001</v>
      </c>
      <c r="I482">
        <v>8.6999999999999994E-2</v>
      </c>
      <c r="J482" s="413">
        <f>I482*VLOOKUP(E482,GWPs!$B$3:$C$6,2,FALSE)</f>
        <v>8.6999999999999994E-2</v>
      </c>
      <c r="K482">
        <v>0.41</v>
      </c>
      <c r="L482" s="413">
        <f>K482*VLOOKUP(E482,GWPs!$B$3:$C$6,2,FALSE)</f>
        <v>0.41</v>
      </c>
      <c r="N482">
        <v>3</v>
      </c>
      <c r="O482">
        <v>2</v>
      </c>
      <c r="P482">
        <v>1</v>
      </c>
      <c r="Q482">
        <v>4</v>
      </c>
      <c r="R482">
        <v>1</v>
      </c>
    </row>
    <row r="483" spans="1:18">
      <c r="A483" t="str">
        <f>_xlfn.IFNA(IF(VLOOKUP(C483,'2016_Detail_Commodity_v1.0'!C:C,1,FALSE)=C483,"No change"),"Name changed")</f>
        <v>No change</v>
      </c>
      <c r="B483" t="s">
        <v>549</v>
      </c>
      <c r="C483" t="s">
        <v>550</v>
      </c>
      <c r="E483" t="s">
        <v>3654</v>
      </c>
      <c r="F483" t="s">
        <v>12</v>
      </c>
      <c r="G483">
        <v>1E-3</v>
      </c>
      <c r="H483" s="413">
        <f>G483*VLOOKUP(E483,GWPs!$B$3:$C$6,2,FALSE)</f>
        <v>2.8000000000000001E-2</v>
      </c>
      <c r="I483">
        <v>1E-3</v>
      </c>
      <c r="J483" s="413">
        <f>I483*VLOOKUP(E483,GWPs!$B$3:$C$6,2,FALSE)</f>
        <v>2.8000000000000001E-2</v>
      </c>
      <c r="K483">
        <v>2E-3</v>
      </c>
      <c r="L483" s="413">
        <f>K483*VLOOKUP(E483,GWPs!$B$3:$C$6,2,FALSE)</f>
        <v>5.6000000000000001E-2</v>
      </c>
      <c r="N483">
        <v>4</v>
      </c>
      <c r="O483">
        <v>2</v>
      </c>
      <c r="P483">
        <v>1</v>
      </c>
      <c r="Q483">
        <v>1</v>
      </c>
      <c r="R483">
        <v>1</v>
      </c>
    </row>
    <row r="484" spans="1:18">
      <c r="A484" t="str">
        <f>_xlfn.IFNA(IF(VLOOKUP(C484,'2016_Detail_Commodity_v1.0'!C:C,1,FALSE)=C484,"No change"),"Name changed")</f>
        <v>No change</v>
      </c>
      <c r="B484" t="s">
        <v>549</v>
      </c>
      <c r="C484" t="s">
        <v>550</v>
      </c>
      <c r="E484" t="s">
        <v>3655</v>
      </c>
      <c r="F484" t="s">
        <v>12</v>
      </c>
      <c r="G484">
        <v>0</v>
      </c>
      <c r="H484" s="413">
        <f>G484*VLOOKUP(E484,GWPs!$B$3:$C$6,2,FALSE)</f>
        <v>0</v>
      </c>
      <c r="I484">
        <v>0</v>
      </c>
      <c r="J484" s="413">
        <f>I484*VLOOKUP(E484,GWPs!$B$3:$C$6,2,FALSE)</f>
        <v>0</v>
      </c>
      <c r="K484">
        <v>0</v>
      </c>
      <c r="L484" s="413">
        <f>K484*VLOOKUP(E484,GWPs!$B$3:$C$6,2,FALSE)</f>
        <v>0</v>
      </c>
      <c r="N484">
        <v>3</v>
      </c>
      <c r="O484">
        <v>2</v>
      </c>
      <c r="P484">
        <v>1</v>
      </c>
      <c r="Q484">
        <v>3</v>
      </c>
      <c r="R484">
        <v>1</v>
      </c>
    </row>
    <row r="485" spans="1:18">
      <c r="A485" t="str">
        <f>_xlfn.IFNA(IF(VLOOKUP(C485,'2016_Detail_Commodity_v1.0'!C:C,1,FALSE)=C485,"No change"),"Name changed")</f>
        <v>No change</v>
      </c>
      <c r="B485" t="s">
        <v>549</v>
      </c>
      <c r="C485" t="s">
        <v>550</v>
      </c>
      <c r="E485" t="s">
        <v>15</v>
      </c>
      <c r="F485" t="s">
        <v>16</v>
      </c>
      <c r="G485">
        <v>4.0000000000000001E-3</v>
      </c>
      <c r="H485" s="413">
        <f>G485*VLOOKUP(E485,GWPs!$B$3:$C$6,2,FALSE)</f>
        <v>4.0000000000000001E-3</v>
      </c>
      <c r="I485">
        <v>0</v>
      </c>
      <c r="J485" s="413">
        <f>I485*VLOOKUP(E485,GWPs!$B$3:$C$6,2,FALSE)</f>
        <v>0</v>
      </c>
      <c r="K485">
        <v>4.0000000000000001E-3</v>
      </c>
      <c r="L485" s="413">
        <f>K485*VLOOKUP(E485,GWPs!$B$3:$C$6,2,FALSE)</f>
        <v>4.0000000000000001E-3</v>
      </c>
      <c r="N485">
        <v>3</v>
      </c>
      <c r="O485">
        <v>2</v>
      </c>
      <c r="P485">
        <v>1</v>
      </c>
      <c r="Q485">
        <v>3</v>
      </c>
      <c r="R485">
        <v>1</v>
      </c>
    </row>
    <row r="486" spans="1:18">
      <c r="A486" t="str">
        <f>_xlfn.IFNA(IF(VLOOKUP(C486,'2016_Detail_Commodity_v1.0'!C:C,1,FALSE)=C486,"No change"),"Name changed")</f>
        <v>No change</v>
      </c>
      <c r="B486" t="s">
        <v>551</v>
      </c>
      <c r="C486" t="s">
        <v>552</v>
      </c>
      <c r="E486" t="s">
        <v>3653</v>
      </c>
      <c r="F486" t="s">
        <v>12</v>
      </c>
      <c r="G486">
        <v>0.44500000000000001</v>
      </c>
      <c r="H486" s="413">
        <f>G486*VLOOKUP(E486,GWPs!$B$3:$C$6,2,FALSE)</f>
        <v>0.44500000000000001</v>
      </c>
      <c r="I486">
        <v>7.3999999999999996E-2</v>
      </c>
      <c r="J486" s="413">
        <f>I486*VLOOKUP(E486,GWPs!$B$3:$C$6,2,FALSE)</f>
        <v>7.3999999999999996E-2</v>
      </c>
      <c r="K486">
        <v>0.51900000000000002</v>
      </c>
      <c r="L486" s="413">
        <f>K486*VLOOKUP(E486,GWPs!$B$3:$C$6,2,FALSE)</f>
        <v>0.51900000000000002</v>
      </c>
      <c r="N486">
        <v>3</v>
      </c>
      <c r="O486">
        <v>2</v>
      </c>
      <c r="P486">
        <v>1</v>
      </c>
      <c r="Q486">
        <v>3</v>
      </c>
      <c r="R486">
        <v>1</v>
      </c>
    </row>
    <row r="487" spans="1:18">
      <c r="A487" t="str">
        <f>_xlfn.IFNA(IF(VLOOKUP(C487,'2016_Detail_Commodity_v1.0'!C:C,1,FALSE)=C487,"No change"),"Name changed")</f>
        <v>No change</v>
      </c>
      <c r="B487" t="s">
        <v>551</v>
      </c>
      <c r="C487" t="s">
        <v>552</v>
      </c>
      <c r="E487" t="s">
        <v>3654</v>
      </c>
      <c r="F487" t="s">
        <v>12</v>
      </c>
      <c r="G487">
        <v>1E-3</v>
      </c>
      <c r="H487" s="413">
        <f>G487*VLOOKUP(E487,GWPs!$B$3:$C$6,2,FALSE)</f>
        <v>2.8000000000000001E-2</v>
      </c>
      <c r="I487">
        <v>1E-3</v>
      </c>
      <c r="J487" s="413">
        <f>I487*VLOOKUP(E487,GWPs!$B$3:$C$6,2,FALSE)</f>
        <v>2.8000000000000001E-2</v>
      </c>
      <c r="K487">
        <v>2E-3</v>
      </c>
      <c r="L487" s="413">
        <f>K487*VLOOKUP(E487,GWPs!$B$3:$C$6,2,FALSE)</f>
        <v>5.6000000000000001E-2</v>
      </c>
      <c r="N487">
        <v>4</v>
      </c>
      <c r="O487">
        <v>2</v>
      </c>
      <c r="P487">
        <v>1</v>
      </c>
      <c r="Q487">
        <v>1</v>
      </c>
      <c r="R487">
        <v>1</v>
      </c>
    </row>
    <row r="488" spans="1:18">
      <c r="A488" t="str">
        <f>_xlfn.IFNA(IF(VLOOKUP(C488,'2016_Detail_Commodity_v1.0'!C:C,1,FALSE)=C488,"No change"),"Name changed")</f>
        <v>No change</v>
      </c>
      <c r="B488" t="s">
        <v>551</v>
      </c>
      <c r="C488" t="s">
        <v>552</v>
      </c>
      <c r="E488" t="s">
        <v>3655</v>
      </c>
      <c r="F488" t="s">
        <v>12</v>
      </c>
      <c r="G488">
        <v>0</v>
      </c>
      <c r="H488" s="413">
        <f>G488*VLOOKUP(E488,GWPs!$B$3:$C$6,2,FALSE)</f>
        <v>0</v>
      </c>
      <c r="I488">
        <v>0</v>
      </c>
      <c r="J488" s="413">
        <f>I488*VLOOKUP(E488,GWPs!$B$3:$C$6,2,FALSE)</f>
        <v>0</v>
      </c>
      <c r="K488">
        <v>0</v>
      </c>
      <c r="L488" s="413">
        <f>K488*VLOOKUP(E488,GWPs!$B$3:$C$6,2,FALSE)</f>
        <v>0</v>
      </c>
      <c r="N488">
        <v>3</v>
      </c>
      <c r="O488">
        <v>2</v>
      </c>
      <c r="P488">
        <v>1</v>
      </c>
      <c r="Q488">
        <v>3</v>
      </c>
      <c r="R488">
        <v>1</v>
      </c>
    </row>
    <row r="489" spans="1:18">
      <c r="A489" t="str">
        <f>_xlfn.IFNA(IF(VLOOKUP(C489,'2016_Detail_Commodity_v1.0'!C:C,1,FALSE)=C489,"No change"),"Name changed")</f>
        <v>No change</v>
      </c>
      <c r="B489" t="s">
        <v>551</v>
      </c>
      <c r="C489" t="s">
        <v>552</v>
      </c>
      <c r="E489" t="s">
        <v>15</v>
      </c>
      <c r="F489" t="s">
        <v>16</v>
      </c>
      <c r="G489">
        <v>6.0000000000000001E-3</v>
      </c>
      <c r="H489" s="413">
        <f>G489*VLOOKUP(E489,GWPs!$B$3:$C$6,2,FALSE)</f>
        <v>6.0000000000000001E-3</v>
      </c>
      <c r="I489">
        <v>0</v>
      </c>
      <c r="J489" s="413">
        <f>I489*VLOOKUP(E489,GWPs!$B$3:$C$6,2,FALSE)</f>
        <v>0</v>
      </c>
      <c r="K489">
        <v>6.0000000000000001E-3</v>
      </c>
      <c r="L489" s="413">
        <f>K489*VLOOKUP(E489,GWPs!$B$3:$C$6,2,FALSE)</f>
        <v>6.0000000000000001E-3</v>
      </c>
      <c r="N489">
        <v>3</v>
      </c>
      <c r="O489">
        <v>2</v>
      </c>
      <c r="P489">
        <v>1</v>
      </c>
      <c r="Q489">
        <v>4</v>
      </c>
      <c r="R489">
        <v>1</v>
      </c>
    </row>
    <row r="490" spans="1:18">
      <c r="A490" t="str">
        <f>_xlfn.IFNA(IF(VLOOKUP(C490,'2016_Detail_Commodity_v1.0'!C:C,1,FALSE)=C490,"No change"),"Name changed")</f>
        <v>No change</v>
      </c>
      <c r="B490" t="s">
        <v>553</v>
      </c>
      <c r="C490" t="s">
        <v>554</v>
      </c>
      <c r="E490" t="s">
        <v>3653</v>
      </c>
      <c r="F490" t="s">
        <v>12</v>
      </c>
      <c r="G490">
        <v>4.3879999999999999</v>
      </c>
      <c r="H490" s="413">
        <f>G490*VLOOKUP(E490,GWPs!$B$3:$C$6,2,FALSE)</f>
        <v>4.3879999999999999</v>
      </c>
      <c r="I490">
        <v>7.9000000000000001E-2</v>
      </c>
      <c r="J490" s="413">
        <f>I490*VLOOKUP(E490,GWPs!$B$3:$C$6,2,FALSE)</f>
        <v>7.9000000000000001E-2</v>
      </c>
      <c r="K490">
        <v>4.4669999999999996</v>
      </c>
      <c r="L490" s="413">
        <f>K490*VLOOKUP(E490,GWPs!$B$3:$C$6,2,FALSE)</f>
        <v>4.4669999999999996</v>
      </c>
      <c r="N490">
        <v>3</v>
      </c>
      <c r="O490">
        <v>2</v>
      </c>
      <c r="P490">
        <v>1</v>
      </c>
      <c r="Q490">
        <v>2</v>
      </c>
      <c r="R490">
        <v>1</v>
      </c>
    </row>
    <row r="491" spans="1:18">
      <c r="A491" t="str">
        <f>_xlfn.IFNA(IF(VLOOKUP(C491,'2016_Detail_Commodity_v1.0'!C:C,1,FALSE)=C491,"No change"),"Name changed")</f>
        <v>No change</v>
      </c>
      <c r="B491" t="s">
        <v>553</v>
      </c>
      <c r="C491" t="s">
        <v>554</v>
      </c>
      <c r="E491" t="s">
        <v>3654</v>
      </c>
      <c r="F491" t="s">
        <v>12</v>
      </c>
      <c r="G491">
        <v>3.0000000000000001E-3</v>
      </c>
      <c r="H491" s="413">
        <f>G491*VLOOKUP(E491,GWPs!$B$3:$C$6,2,FALSE)</f>
        <v>8.4000000000000005E-2</v>
      </c>
      <c r="I491">
        <v>1E-3</v>
      </c>
      <c r="J491" s="413">
        <f>I491*VLOOKUP(E491,GWPs!$B$3:$C$6,2,FALSE)</f>
        <v>2.8000000000000001E-2</v>
      </c>
      <c r="K491">
        <v>4.0000000000000001E-3</v>
      </c>
      <c r="L491" s="413">
        <f>K491*VLOOKUP(E491,GWPs!$B$3:$C$6,2,FALSE)</f>
        <v>0.112</v>
      </c>
      <c r="N491">
        <v>4</v>
      </c>
      <c r="O491">
        <v>2</v>
      </c>
      <c r="P491">
        <v>1</v>
      </c>
      <c r="Q491">
        <v>1</v>
      </c>
      <c r="R491">
        <v>1</v>
      </c>
    </row>
    <row r="492" spans="1:18">
      <c r="A492" t="str">
        <f>_xlfn.IFNA(IF(VLOOKUP(C492,'2016_Detail_Commodity_v1.0'!C:C,1,FALSE)=C492,"No change"),"Name changed")</f>
        <v>No change</v>
      </c>
      <c r="B492" t="s">
        <v>553</v>
      </c>
      <c r="C492" t="s">
        <v>554</v>
      </c>
      <c r="E492" t="s">
        <v>3655</v>
      </c>
      <c r="F492" t="s">
        <v>12</v>
      </c>
      <c r="G492">
        <v>0</v>
      </c>
      <c r="H492" s="413">
        <f>G492*VLOOKUP(E492,GWPs!$B$3:$C$6,2,FALSE)</f>
        <v>0</v>
      </c>
      <c r="I492">
        <v>0</v>
      </c>
      <c r="J492" s="413">
        <f>I492*VLOOKUP(E492,GWPs!$B$3:$C$6,2,FALSE)</f>
        <v>0</v>
      </c>
      <c r="K492">
        <v>0</v>
      </c>
      <c r="L492" s="413">
        <f>K492*VLOOKUP(E492,GWPs!$B$3:$C$6,2,FALSE)</f>
        <v>0</v>
      </c>
      <c r="N492">
        <v>3</v>
      </c>
      <c r="O492">
        <v>2</v>
      </c>
      <c r="P492">
        <v>1</v>
      </c>
      <c r="Q492">
        <v>4</v>
      </c>
      <c r="R492">
        <v>1</v>
      </c>
    </row>
    <row r="493" spans="1:18">
      <c r="A493" t="str">
        <f>_xlfn.IFNA(IF(VLOOKUP(C493,'2016_Detail_Commodity_v1.0'!C:C,1,FALSE)=C493,"No change"),"Name changed")</f>
        <v>No change</v>
      </c>
      <c r="B493" t="s">
        <v>553</v>
      </c>
      <c r="C493" t="s">
        <v>554</v>
      </c>
      <c r="E493" t="s">
        <v>15</v>
      </c>
      <c r="F493" t="s">
        <v>16</v>
      </c>
      <c r="G493">
        <v>5.0000000000000001E-3</v>
      </c>
      <c r="H493" s="413">
        <f>G493*VLOOKUP(E493,GWPs!$B$3:$C$6,2,FALSE)</f>
        <v>5.0000000000000001E-3</v>
      </c>
      <c r="I493">
        <v>0</v>
      </c>
      <c r="J493" s="413">
        <f>I493*VLOOKUP(E493,GWPs!$B$3:$C$6,2,FALSE)</f>
        <v>0</v>
      </c>
      <c r="K493">
        <v>5.0000000000000001E-3</v>
      </c>
      <c r="L493" s="413">
        <f>K493*VLOOKUP(E493,GWPs!$B$3:$C$6,2,FALSE)</f>
        <v>5.0000000000000001E-3</v>
      </c>
      <c r="N493">
        <v>3</v>
      </c>
      <c r="O493">
        <v>2</v>
      </c>
      <c r="P493">
        <v>1</v>
      </c>
      <c r="Q493">
        <v>3</v>
      </c>
      <c r="R493">
        <v>1</v>
      </c>
    </row>
    <row r="494" spans="1:18">
      <c r="A494" t="str">
        <f>_xlfn.IFNA(IF(VLOOKUP(C494,'2016_Detail_Commodity_v1.0'!C:C,1,FALSE)=C494,"No change"),"Name changed")</f>
        <v>No change</v>
      </c>
      <c r="B494" t="s">
        <v>555</v>
      </c>
      <c r="C494" t="s">
        <v>556</v>
      </c>
      <c r="E494" t="s">
        <v>3653</v>
      </c>
      <c r="F494" t="s">
        <v>12</v>
      </c>
      <c r="G494">
        <v>0.75600000000000001</v>
      </c>
      <c r="H494" s="413">
        <f>G494*VLOOKUP(E494,GWPs!$B$3:$C$6,2,FALSE)</f>
        <v>0.75600000000000001</v>
      </c>
      <c r="I494">
        <v>7.4999999999999997E-2</v>
      </c>
      <c r="J494" s="413">
        <f>I494*VLOOKUP(E494,GWPs!$B$3:$C$6,2,FALSE)</f>
        <v>7.4999999999999997E-2</v>
      </c>
      <c r="K494">
        <v>0.83099999999999996</v>
      </c>
      <c r="L494" s="413">
        <f>K494*VLOOKUP(E494,GWPs!$B$3:$C$6,2,FALSE)</f>
        <v>0.83099999999999996</v>
      </c>
      <c r="N494">
        <v>3</v>
      </c>
      <c r="O494">
        <v>2</v>
      </c>
      <c r="P494">
        <v>1</v>
      </c>
      <c r="Q494">
        <v>3</v>
      </c>
      <c r="R494">
        <v>1</v>
      </c>
    </row>
    <row r="495" spans="1:18">
      <c r="A495" t="str">
        <f>_xlfn.IFNA(IF(VLOOKUP(C495,'2016_Detail_Commodity_v1.0'!C:C,1,FALSE)=C495,"No change"),"Name changed")</f>
        <v>No change</v>
      </c>
      <c r="B495" t="s">
        <v>555</v>
      </c>
      <c r="C495" t="s">
        <v>556</v>
      </c>
      <c r="E495" t="s">
        <v>3654</v>
      </c>
      <c r="F495" t="s">
        <v>12</v>
      </c>
      <c r="G495">
        <v>1E-3</v>
      </c>
      <c r="H495" s="413">
        <f>G495*VLOOKUP(E495,GWPs!$B$3:$C$6,2,FALSE)</f>
        <v>2.8000000000000001E-2</v>
      </c>
      <c r="I495">
        <v>1E-3</v>
      </c>
      <c r="J495" s="413">
        <f>I495*VLOOKUP(E495,GWPs!$B$3:$C$6,2,FALSE)</f>
        <v>2.8000000000000001E-2</v>
      </c>
      <c r="K495">
        <v>2E-3</v>
      </c>
      <c r="L495" s="413">
        <f>K495*VLOOKUP(E495,GWPs!$B$3:$C$6,2,FALSE)</f>
        <v>5.6000000000000001E-2</v>
      </c>
      <c r="N495">
        <v>4</v>
      </c>
      <c r="O495">
        <v>2</v>
      </c>
      <c r="P495">
        <v>1</v>
      </c>
      <c r="Q495">
        <v>1</v>
      </c>
      <c r="R495">
        <v>1</v>
      </c>
    </row>
    <row r="496" spans="1:18">
      <c r="A496" t="str">
        <f>_xlfn.IFNA(IF(VLOOKUP(C496,'2016_Detail_Commodity_v1.0'!C:C,1,FALSE)=C496,"No change"),"Name changed")</f>
        <v>No change</v>
      </c>
      <c r="B496" t="s">
        <v>555</v>
      </c>
      <c r="C496" t="s">
        <v>556</v>
      </c>
      <c r="E496" t="s">
        <v>3655</v>
      </c>
      <c r="F496" t="s">
        <v>12</v>
      </c>
      <c r="G496">
        <v>0</v>
      </c>
      <c r="H496" s="413">
        <f>G496*VLOOKUP(E496,GWPs!$B$3:$C$6,2,FALSE)</f>
        <v>0</v>
      </c>
      <c r="I496">
        <v>0</v>
      </c>
      <c r="J496" s="413">
        <f>I496*VLOOKUP(E496,GWPs!$B$3:$C$6,2,FALSE)</f>
        <v>0</v>
      </c>
      <c r="K496">
        <v>0</v>
      </c>
      <c r="L496" s="413">
        <f>K496*VLOOKUP(E496,GWPs!$B$3:$C$6,2,FALSE)</f>
        <v>0</v>
      </c>
      <c r="N496">
        <v>3</v>
      </c>
      <c r="O496">
        <v>2</v>
      </c>
      <c r="P496">
        <v>1</v>
      </c>
      <c r="Q496">
        <v>3</v>
      </c>
      <c r="R496">
        <v>1</v>
      </c>
    </row>
    <row r="497" spans="1:18">
      <c r="A497" t="str">
        <f>_xlfn.IFNA(IF(VLOOKUP(C497,'2016_Detail_Commodity_v1.0'!C:C,1,FALSE)=C497,"No change"),"Name changed")</f>
        <v>No change</v>
      </c>
      <c r="B497" t="s">
        <v>555</v>
      </c>
      <c r="C497" t="s">
        <v>556</v>
      </c>
      <c r="E497" t="s">
        <v>15</v>
      </c>
      <c r="F497" t="s">
        <v>16</v>
      </c>
      <c r="G497">
        <v>5.0000000000000001E-3</v>
      </c>
      <c r="H497" s="413">
        <f>G497*VLOOKUP(E497,GWPs!$B$3:$C$6,2,FALSE)</f>
        <v>5.0000000000000001E-3</v>
      </c>
      <c r="I497">
        <v>0</v>
      </c>
      <c r="J497" s="413">
        <f>I497*VLOOKUP(E497,GWPs!$B$3:$C$6,2,FALSE)</f>
        <v>0</v>
      </c>
      <c r="K497">
        <v>5.0000000000000001E-3</v>
      </c>
      <c r="L497" s="413">
        <f>K497*VLOOKUP(E497,GWPs!$B$3:$C$6,2,FALSE)</f>
        <v>5.0000000000000001E-3</v>
      </c>
      <c r="N497">
        <v>3</v>
      </c>
      <c r="O497">
        <v>2</v>
      </c>
      <c r="P497">
        <v>1</v>
      </c>
      <c r="Q497">
        <v>4</v>
      </c>
      <c r="R497">
        <v>1</v>
      </c>
    </row>
    <row r="498" spans="1:18">
      <c r="A498" t="str">
        <f>_xlfn.IFNA(IF(VLOOKUP(C498,'2016_Detail_Commodity_v1.0'!C:C,1,FALSE)=C498,"No change"),"Name changed")</f>
        <v>No change</v>
      </c>
      <c r="B498" t="s">
        <v>557</v>
      </c>
      <c r="C498" t="s">
        <v>558</v>
      </c>
      <c r="E498" t="s">
        <v>3653</v>
      </c>
      <c r="F498" t="s">
        <v>12</v>
      </c>
      <c r="G498">
        <v>0.375</v>
      </c>
      <c r="H498" s="413">
        <f>G498*VLOOKUP(E498,GWPs!$B$3:$C$6,2,FALSE)</f>
        <v>0.375</v>
      </c>
      <c r="I498">
        <v>8.5999999999999993E-2</v>
      </c>
      <c r="J498" s="413">
        <f>I498*VLOOKUP(E498,GWPs!$B$3:$C$6,2,FALSE)</f>
        <v>8.5999999999999993E-2</v>
      </c>
      <c r="K498">
        <v>0.46100000000000002</v>
      </c>
      <c r="L498" s="413">
        <f>K498*VLOOKUP(E498,GWPs!$B$3:$C$6,2,FALSE)</f>
        <v>0.46100000000000002</v>
      </c>
      <c r="N498">
        <v>3</v>
      </c>
      <c r="O498">
        <v>2</v>
      </c>
      <c r="P498">
        <v>1</v>
      </c>
      <c r="Q498">
        <v>3</v>
      </c>
      <c r="R498">
        <v>1</v>
      </c>
    </row>
    <row r="499" spans="1:18">
      <c r="A499" t="str">
        <f>_xlfn.IFNA(IF(VLOOKUP(C499,'2016_Detail_Commodity_v1.0'!C:C,1,FALSE)=C499,"No change"),"Name changed")</f>
        <v>No change</v>
      </c>
      <c r="B499" t="s">
        <v>557</v>
      </c>
      <c r="C499" t="s">
        <v>558</v>
      </c>
      <c r="E499" t="s">
        <v>3654</v>
      </c>
      <c r="F499" t="s">
        <v>12</v>
      </c>
      <c r="G499">
        <v>1E-3</v>
      </c>
      <c r="H499" s="413">
        <f>G499*VLOOKUP(E499,GWPs!$B$3:$C$6,2,FALSE)</f>
        <v>2.8000000000000001E-2</v>
      </c>
      <c r="I499">
        <v>1E-3</v>
      </c>
      <c r="J499" s="413">
        <f>I499*VLOOKUP(E499,GWPs!$B$3:$C$6,2,FALSE)</f>
        <v>2.8000000000000001E-2</v>
      </c>
      <c r="K499">
        <v>2E-3</v>
      </c>
      <c r="L499" s="413">
        <f>K499*VLOOKUP(E499,GWPs!$B$3:$C$6,2,FALSE)</f>
        <v>5.6000000000000001E-2</v>
      </c>
      <c r="N499">
        <v>4</v>
      </c>
      <c r="O499">
        <v>2</v>
      </c>
      <c r="P499">
        <v>1</v>
      </c>
      <c r="Q499">
        <v>1</v>
      </c>
      <c r="R499">
        <v>1</v>
      </c>
    </row>
    <row r="500" spans="1:18">
      <c r="A500" t="str">
        <f>_xlfn.IFNA(IF(VLOOKUP(C500,'2016_Detail_Commodity_v1.0'!C:C,1,FALSE)=C500,"No change"),"Name changed")</f>
        <v>No change</v>
      </c>
      <c r="B500" t="s">
        <v>557</v>
      </c>
      <c r="C500" t="s">
        <v>558</v>
      </c>
      <c r="E500" t="s">
        <v>3655</v>
      </c>
      <c r="F500" t="s">
        <v>12</v>
      </c>
      <c r="G500">
        <v>0</v>
      </c>
      <c r="H500" s="413">
        <f>G500*VLOOKUP(E500,GWPs!$B$3:$C$6,2,FALSE)</f>
        <v>0</v>
      </c>
      <c r="I500">
        <v>0</v>
      </c>
      <c r="J500" s="413">
        <f>I500*VLOOKUP(E500,GWPs!$B$3:$C$6,2,FALSE)</f>
        <v>0</v>
      </c>
      <c r="K500">
        <v>0</v>
      </c>
      <c r="L500" s="413">
        <f>K500*VLOOKUP(E500,GWPs!$B$3:$C$6,2,FALSE)</f>
        <v>0</v>
      </c>
      <c r="N500">
        <v>3</v>
      </c>
      <c r="O500">
        <v>2</v>
      </c>
      <c r="P500">
        <v>1</v>
      </c>
      <c r="Q500">
        <v>3</v>
      </c>
      <c r="R500">
        <v>1</v>
      </c>
    </row>
    <row r="501" spans="1:18">
      <c r="A501" t="str">
        <f>_xlfn.IFNA(IF(VLOOKUP(C501,'2016_Detail_Commodity_v1.0'!C:C,1,FALSE)=C501,"No change"),"Name changed")</f>
        <v>No change</v>
      </c>
      <c r="B501" t="s">
        <v>557</v>
      </c>
      <c r="C501" t="s">
        <v>558</v>
      </c>
      <c r="E501" t="s">
        <v>15</v>
      </c>
      <c r="F501" t="s">
        <v>16</v>
      </c>
      <c r="G501">
        <v>4.0000000000000001E-3</v>
      </c>
      <c r="H501" s="413">
        <f>G501*VLOOKUP(E501,GWPs!$B$3:$C$6,2,FALSE)</f>
        <v>4.0000000000000001E-3</v>
      </c>
      <c r="I501">
        <v>0</v>
      </c>
      <c r="J501" s="413">
        <f>I501*VLOOKUP(E501,GWPs!$B$3:$C$6,2,FALSE)</f>
        <v>0</v>
      </c>
      <c r="K501">
        <v>4.0000000000000001E-3</v>
      </c>
      <c r="L501" s="413">
        <f>K501*VLOOKUP(E501,GWPs!$B$3:$C$6,2,FALSE)</f>
        <v>4.0000000000000001E-3</v>
      </c>
      <c r="N501">
        <v>3</v>
      </c>
      <c r="O501">
        <v>2</v>
      </c>
      <c r="P501">
        <v>1</v>
      </c>
      <c r="Q501">
        <v>4</v>
      </c>
      <c r="R501">
        <v>1</v>
      </c>
    </row>
    <row r="502" spans="1:18">
      <c r="A502" t="str">
        <f>_xlfn.IFNA(IF(VLOOKUP(C502,'2016_Detail_Commodity_v1.0'!C:C,1,FALSE)=C502,"No change"),"Name changed")</f>
        <v>No change</v>
      </c>
      <c r="B502" t="s">
        <v>559</v>
      </c>
      <c r="C502" t="s">
        <v>560</v>
      </c>
      <c r="E502" t="s">
        <v>3653</v>
      </c>
      <c r="F502" t="s">
        <v>12</v>
      </c>
      <c r="G502">
        <v>0.38</v>
      </c>
      <c r="H502" s="413">
        <f>G502*VLOOKUP(E502,GWPs!$B$3:$C$6,2,FALSE)</f>
        <v>0.38</v>
      </c>
      <c r="I502">
        <v>6.4000000000000001E-2</v>
      </c>
      <c r="J502" s="413">
        <f>I502*VLOOKUP(E502,GWPs!$B$3:$C$6,2,FALSE)</f>
        <v>6.4000000000000001E-2</v>
      </c>
      <c r="K502">
        <v>0.44500000000000001</v>
      </c>
      <c r="L502" s="413">
        <f>K502*VLOOKUP(E502,GWPs!$B$3:$C$6,2,FALSE)</f>
        <v>0.44500000000000001</v>
      </c>
      <c r="N502">
        <v>3</v>
      </c>
      <c r="O502">
        <v>2</v>
      </c>
      <c r="P502">
        <v>1</v>
      </c>
      <c r="Q502">
        <v>3</v>
      </c>
      <c r="R502">
        <v>1</v>
      </c>
    </row>
    <row r="503" spans="1:18">
      <c r="A503" t="str">
        <f>_xlfn.IFNA(IF(VLOOKUP(C503,'2016_Detail_Commodity_v1.0'!C:C,1,FALSE)=C503,"No change"),"Name changed")</f>
        <v>No change</v>
      </c>
      <c r="B503" t="s">
        <v>559</v>
      </c>
      <c r="C503" t="s">
        <v>560</v>
      </c>
      <c r="E503" t="s">
        <v>3654</v>
      </c>
      <c r="F503" t="s">
        <v>12</v>
      </c>
      <c r="G503">
        <v>1E-3</v>
      </c>
      <c r="H503" s="413">
        <f>G503*VLOOKUP(E503,GWPs!$B$3:$C$6,2,FALSE)</f>
        <v>2.8000000000000001E-2</v>
      </c>
      <c r="I503">
        <v>1E-3</v>
      </c>
      <c r="J503" s="413">
        <f>I503*VLOOKUP(E503,GWPs!$B$3:$C$6,2,FALSE)</f>
        <v>2.8000000000000001E-2</v>
      </c>
      <c r="K503">
        <v>2E-3</v>
      </c>
      <c r="L503" s="413">
        <f>K503*VLOOKUP(E503,GWPs!$B$3:$C$6,2,FALSE)</f>
        <v>5.6000000000000001E-2</v>
      </c>
      <c r="N503">
        <v>4</v>
      </c>
      <c r="O503">
        <v>2</v>
      </c>
      <c r="P503">
        <v>1</v>
      </c>
      <c r="Q503">
        <v>1</v>
      </c>
      <c r="R503">
        <v>1</v>
      </c>
    </row>
    <row r="504" spans="1:18">
      <c r="A504" t="str">
        <f>_xlfn.IFNA(IF(VLOOKUP(C504,'2016_Detail_Commodity_v1.0'!C:C,1,FALSE)=C504,"No change"),"Name changed")</f>
        <v>No change</v>
      </c>
      <c r="B504" t="s">
        <v>559</v>
      </c>
      <c r="C504" t="s">
        <v>560</v>
      </c>
      <c r="E504" t="s">
        <v>3655</v>
      </c>
      <c r="F504" t="s">
        <v>12</v>
      </c>
      <c r="G504">
        <v>0</v>
      </c>
      <c r="H504" s="413">
        <f>G504*VLOOKUP(E504,GWPs!$B$3:$C$6,2,FALSE)</f>
        <v>0</v>
      </c>
      <c r="I504">
        <v>0</v>
      </c>
      <c r="J504" s="413">
        <f>I504*VLOOKUP(E504,GWPs!$B$3:$C$6,2,FALSE)</f>
        <v>0</v>
      </c>
      <c r="K504">
        <v>0</v>
      </c>
      <c r="L504" s="413">
        <f>K504*VLOOKUP(E504,GWPs!$B$3:$C$6,2,FALSE)</f>
        <v>0</v>
      </c>
      <c r="N504">
        <v>3</v>
      </c>
      <c r="O504">
        <v>2</v>
      </c>
      <c r="P504">
        <v>1</v>
      </c>
      <c r="Q504">
        <v>3</v>
      </c>
      <c r="R504">
        <v>1</v>
      </c>
    </row>
    <row r="505" spans="1:18">
      <c r="A505" t="str">
        <f>_xlfn.IFNA(IF(VLOOKUP(C505,'2016_Detail_Commodity_v1.0'!C:C,1,FALSE)=C505,"No change"),"Name changed")</f>
        <v>No change</v>
      </c>
      <c r="B505" t="s">
        <v>559</v>
      </c>
      <c r="C505" t="s">
        <v>560</v>
      </c>
      <c r="E505" t="s">
        <v>15</v>
      </c>
      <c r="F505" t="s">
        <v>16</v>
      </c>
      <c r="G505">
        <v>4.0000000000000001E-3</v>
      </c>
      <c r="H505" s="413">
        <f>G505*VLOOKUP(E505,GWPs!$B$3:$C$6,2,FALSE)</f>
        <v>4.0000000000000001E-3</v>
      </c>
      <c r="I505">
        <v>0</v>
      </c>
      <c r="J505" s="413">
        <f>I505*VLOOKUP(E505,GWPs!$B$3:$C$6,2,FALSE)</f>
        <v>0</v>
      </c>
      <c r="K505">
        <v>4.0000000000000001E-3</v>
      </c>
      <c r="L505" s="413">
        <f>K505*VLOOKUP(E505,GWPs!$B$3:$C$6,2,FALSE)</f>
        <v>4.0000000000000001E-3</v>
      </c>
      <c r="N505">
        <v>3</v>
      </c>
      <c r="O505">
        <v>2</v>
      </c>
      <c r="P505">
        <v>1</v>
      </c>
      <c r="Q505">
        <v>3</v>
      </c>
      <c r="R505">
        <v>1</v>
      </c>
    </row>
    <row r="506" spans="1:18">
      <c r="A506" t="str">
        <f>_xlfn.IFNA(IF(VLOOKUP(C506,'2016_Detail_Commodity_v1.0'!C:C,1,FALSE)=C506,"No change"),"Name changed")</f>
        <v>No change</v>
      </c>
      <c r="B506" t="s">
        <v>561</v>
      </c>
      <c r="C506" t="s">
        <v>562</v>
      </c>
      <c r="E506" t="s">
        <v>3653</v>
      </c>
      <c r="F506" t="s">
        <v>12</v>
      </c>
      <c r="G506">
        <v>1.9370000000000001</v>
      </c>
      <c r="H506" s="413">
        <f>G506*VLOOKUP(E506,GWPs!$B$3:$C$6,2,FALSE)</f>
        <v>1.9370000000000001</v>
      </c>
      <c r="I506">
        <v>7.2999999999999995E-2</v>
      </c>
      <c r="J506" s="413">
        <f>I506*VLOOKUP(E506,GWPs!$B$3:$C$6,2,FALSE)</f>
        <v>7.2999999999999995E-2</v>
      </c>
      <c r="K506">
        <v>2.0110000000000001</v>
      </c>
      <c r="L506" s="413">
        <f>K506*VLOOKUP(E506,GWPs!$B$3:$C$6,2,FALSE)</f>
        <v>2.0110000000000001</v>
      </c>
      <c r="N506">
        <v>3</v>
      </c>
      <c r="O506">
        <v>2</v>
      </c>
      <c r="P506">
        <v>1</v>
      </c>
      <c r="Q506">
        <v>3</v>
      </c>
      <c r="R506">
        <v>1</v>
      </c>
    </row>
    <row r="507" spans="1:18">
      <c r="A507" t="str">
        <f>_xlfn.IFNA(IF(VLOOKUP(C507,'2016_Detail_Commodity_v1.0'!C:C,1,FALSE)=C507,"No change"),"Name changed")</f>
        <v>No change</v>
      </c>
      <c r="B507" t="s">
        <v>561</v>
      </c>
      <c r="C507" t="s">
        <v>562</v>
      </c>
      <c r="E507" t="s">
        <v>3654</v>
      </c>
      <c r="F507" t="s">
        <v>12</v>
      </c>
      <c r="G507">
        <v>3.0000000000000001E-3</v>
      </c>
      <c r="H507" s="413">
        <f>G507*VLOOKUP(E507,GWPs!$B$3:$C$6,2,FALSE)</f>
        <v>8.4000000000000005E-2</v>
      </c>
      <c r="I507">
        <v>1E-3</v>
      </c>
      <c r="J507" s="413">
        <f>I507*VLOOKUP(E507,GWPs!$B$3:$C$6,2,FALSE)</f>
        <v>2.8000000000000001E-2</v>
      </c>
      <c r="K507">
        <v>4.0000000000000001E-3</v>
      </c>
      <c r="L507" s="413">
        <f>K507*VLOOKUP(E507,GWPs!$B$3:$C$6,2,FALSE)</f>
        <v>0.112</v>
      </c>
      <c r="N507">
        <v>4</v>
      </c>
      <c r="O507">
        <v>2</v>
      </c>
      <c r="P507">
        <v>1</v>
      </c>
      <c r="Q507">
        <v>1</v>
      </c>
      <c r="R507">
        <v>1</v>
      </c>
    </row>
    <row r="508" spans="1:18">
      <c r="A508" t="str">
        <f>_xlfn.IFNA(IF(VLOOKUP(C508,'2016_Detail_Commodity_v1.0'!C:C,1,FALSE)=C508,"No change"),"Name changed")</f>
        <v>No change</v>
      </c>
      <c r="B508" t="s">
        <v>561</v>
      </c>
      <c r="C508" t="s">
        <v>562</v>
      </c>
      <c r="E508" t="s">
        <v>3655</v>
      </c>
      <c r="F508" t="s">
        <v>12</v>
      </c>
      <c r="G508">
        <v>0</v>
      </c>
      <c r="H508" s="413">
        <f>G508*VLOOKUP(E508,GWPs!$B$3:$C$6,2,FALSE)</f>
        <v>0</v>
      </c>
      <c r="I508">
        <v>0</v>
      </c>
      <c r="J508" s="413">
        <f>I508*VLOOKUP(E508,GWPs!$B$3:$C$6,2,FALSE)</f>
        <v>0</v>
      </c>
      <c r="K508">
        <v>0</v>
      </c>
      <c r="L508" s="413">
        <f>K508*VLOOKUP(E508,GWPs!$B$3:$C$6,2,FALSE)</f>
        <v>0</v>
      </c>
      <c r="N508">
        <v>4</v>
      </c>
      <c r="O508">
        <v>2</v>
      </c>
      <c r="P508">
        <v>1</v>
      </c>
      <c r="Q508">
        <v>4</v>
      </c>
      <c r="R508">
        <v>1</v>
      </c>
    </row>
    <row r="509" spans="1:18">
      <c r="A509" t="str">
        <f>_xlfn.IFNA(IF(VLOOKUP(C509,'2016_Detail_Commodity_v1.0'!C:C,1,FALSE)=C509,"No change"),"Name changed")</f>
        <v>No change</v>
      </c>
      <c r="B509" t="s">
        <v>561</v>
      </c>
      <c r="C509" t="s">
        <v>562</v>
      </c>
      <c r="E509" t="s">
        <v>15</v>
      </c>
      <c r="F509" t="s">
        <v>16</v>
      </c>
      <c r="G509">
        <v>4.0000000000000001E-3</v>
      </c>
      <c r="H509" s="413">
        <f>G509*VLOOKUP(E509,GWPs!$B$3:$C$6,2,FALSE)</f>
        <v>4.0000000000000001E-3</v>
      </c>
      <c r="I509">
        <v>0</v>
      </c>
      <c r="J509" s="413">
        <f>I509*VLOOKUP(E509,GWPs!$B$3:$C$6,2,FALSE)</f>
        <v>0</v>
      </c>
      <c r="K509">
        <v>4.0000000000000001E-3</v>
      </c>
      <c r="L509" s="413">
        <f>K509*VLOOKUP(E509,GWPs!$B$3:$C$6,2,FALSE)</f>
        <v>4.0000000000000001E-3</v>
      </c>
      <c r="N509">
        <v>3</v>
      </c>
      <c r="O509">
        <v>2</v>
      </c>
      <c r="P509">
        <v>1</v>
      </c>
      <c r="Q509">
        <v>3</v>
      </c>
      <c r="R509">
        <v>1</v>
      </c>
    </row>
    <row r="510" spans="1:18">
      <c r="A510" t="str">
        <f>_xlfn.IFNA(IF(VLOOKUP(C510,'2016_Detail_Commodity_v1.0'!C:C,1,FALSE)=C510,"No change"),"Name changed")</f>
        <v>No change</v>
      </c>
      <c r="B510" t="s">
        <v>563</v>
      </c>
      <c r="C510" t="s">
        <v>564</v>
      </c>
      <c r="E510" t="s">
        <v>3653</v>
      </c>
      <c r="F510" t="s">
        <v>12</v>
      </c>
      <c r="G510">
        <v>0.19500000000000001</v>
      </c>
      <c r="H510" s="413">
        <f>G510*VLOOKUP(E510,GWPs!$B$3:$C$6,2,FALSE)</f>
        <v>0.19500000000000001</v>
      </c>
      <c r="I510">
        <v>7.4999999999999997E-2</v>
      </c>
      <c r="J510" s="413">
        <f>I510*VLOOKUP(E510,GWPs!$B$3:$C$6,2,FALSE)</f>
        <v>7.4999999999999997E-2</v>
      </c>
      <c r="K510">
        <v>0.27</v>
      </c>
      <c r="L510" s="413">
        <f>K510*VLOOKUP(E510,GWPs!$B$3:$C$6,2,FALSE)</f>
        <v>0.27</v>
      </c>
      <c r="N510">
        <v>3</v>
      </c>
      <c r="O510">
        <v>2</v>
      </c>
      <c r="P510">
        <v>1</v>
      </c>
      <c r="Q510">
        <v>4</v>
      </c>
      <c r="R510">
        <v>1</v>
      </c>
    </row>
    <row r="511" spans="1:18">
      <c r="A511" t="str">
        <f>_xlfn.IFNA(IF(VLOOKUP(C511,'2016_Detail_Commodity_v1.0'!C:C,1,FALSE)=C511,"No change"),"Name changed")</f>
        <v>No change</v>
      </c>
      <c r="B511" t="s">
        <v>563</v>
      </c>
      <c r="C511" t="s">
        <v>564</v>
      </c>
      <c r="E511" t="s">
        <v>3654</v>
      </c>
      <c r="F511" t="s">
        <v>12</v>
      </c>
      <c r="G511">
        <v>1E-3</v>
      </c>
      <c r="H511" s="413">
        <f>G511*VLOOKUP(E511,GWPs!$B$3:$C$6,2,FALSE)</f>
        <v>2.8000000000000001E-2</v>
      </c>
      <c r="I511">
        <v>1E-3</v>
      </c>
      <c r="J511" s="413">
        <f>I511*VLOOKUP(E511,GWPs!$B$3:$C$6,2,FALSE)</f>
        <v>2.8000000000000001E-2</v>
      </c>
      <c r="K511">
        <v>1E-3</v>
      </c>
      <c r="L511" s="413">
        <f>K511*VLOOKUP(E511,GWPs!$B$3:$C$6,2,FALSE)</f>
        <v>2.8000000000000001E-2</v>
      </c>
      <c r="N511">
        <v>4</v>
      </c>
      <c r="O511">
        <v>2</v>
      </c>
      <c r="P511">
        <v>1</v>
      </c>
      <c r="Q511">
        <v>1</v>
      </c>
      <c r="R511">
        <v>1</v>
      </c>
    </row>
    <row r="512" spans="1:18">
      <c r="A512" t="str">
        <f>_xlfn.IFNA(IF(VLOOKUP(C512,'2016_Detail_Commodity_v1.0'!C:C,1,FALSE)=C512,"No change"),"Name changed")</f>
        <v>No change</v>
      </c>
      <c r="B512" t="s">
        <v>563</v>
      </c>
      <c r="C512" t="s">
        <v>564</v>
      </c>
      <c r="E512" t="s">
        <v>3655</v>
      </c>
      <c r="F512" t="s">
        <v>12</v>
      </c>
      <c r="G512">
        <v>0</v>
      </c>
      <c r="H512" s="413">
        <f>G512*VLOOKUP(E512,GWPs!$B$3:$C$6,2,FALSE)</f>
        <v>0</v>
      </c>
      <c r="I512">
        <v>0</v>
      </c>
      <c r="J512" s="413">
        <f>I512*VLOOKUP(E512,GWPs!$B$3:$C$6,2,FALSE)</f>
        <v>0</v>
      </c>
      <c r="K512">
        <v>0</v>
      </c>
      <c r="L512" s="413">
        <f>K512*VLOOKUP(E512,GWPs!$B$3:$C$6,2,FALSE)</f>
        <v>0</v>
      </c>
      <c r="N512">
        <v>3</v>
      </c>
      <c r="O512">
        <v>2</v>
      </c>
      <c r="P512">
        <v>1</v>
      </c>
      <c r="Q512">
        <v>3</v>
      </c>
      <c r="R512">
        <v>1</v>
      </c>
    </row>
    <row r="513" spans="1:18">
      <c r="A513" t="str">
        <f>_xlfn.IFNA(IF(VLOOKUP(C513,'2016_Detail_Commodity_v1.0'!C:C,1,FALSE)=C513,"No change"),"Name changed")</f>
        <v>No change</v>
      </c>
      <c r="B513" t="s">
        <v>563</v>
      </c>
      <c r="C513" t="s">
        <v>564</v>
      </c>
      <c r="E513" t="s">
        <v>15</v>
      </c>
      <c r="F513" t="s">
        <v>16</v>
      </c>
      <c r="G513">
        <v>3.0000000000000001E-3</v>
      </c>
      <c r="H513" s="413">
        <f>G513*VLOOKUP(E513,GWPs!$B$3:$C$6,2,FALSE)</f>
        <v>3.0000000000000001E-3</v>
      </c>
      <c r="I513">
        <v>0</v>
      </c>
      <c r="J513" s="413">
        <f>I513*VLOOKUP(E513,GWPs!$B$3:$C$6,2,FALSE)</f>
        <v>0</v>
      </c>
      <c r="K513">
        <v>3.0000000000000001E-3</v>
      </c>
      <c r="L513" s="413">
        <f>K513*VLOOKUP(E513,GWPs!$B$3:$C$6,2,FALSE)</f>
        <v>3.0000000000000001E-3</v>
      </c>
      <c r="N513">
        <v>3</v>
      </c>
      <c r="O513">
        <v>2</v>
      </c>
      <c r="P513">
        <v>1</v>
      </c>
      <c r="Q513">
        <v>3</v>
      </c>
      <c r="R513">
        <v>1</v>
      </c>
    </row>
    <row r="514" spans="1:18">
      <c r="A514" t="str">
        <f>_xlfn.IFNA(IF(VLOOKUP(C514,'2016_Detail_Commodity_v1.0'!C:C,1,FALSE)=C514,"No change"),"Name changed")</f>
        <v>No change</v>
      </c>
      <c r="B514" t="s">
        <v>565</v>
      </c>
      <c r="C514" t="s">
        <v>566</v>
      </c>
      <c r="E514" t="s">
        <v>3653</v>
      </c>
      <c r="F514" t="s">
        <v>12</v>
      </c>
      <c r="G514">
        <v>0.21199999999999999</v>
      </c>
      <c r="H514" s="413">
        <f>G514*VLOOKUP(E514,GWPs!$B$3:$C$6,2,FALSE)</f>
        <v>0.21199999999999999</v>
      </c>
      <c r="I514">
        <v>7.8E-2</v>
      </c>
      <c r="J514" s="413">
        <f>I514*VLOOKUP(E514,GWPs!$B$3:$C$6,2,FALSE)</f>
        <v>7.8E-2</v>
      </c>
      <c r="K514">
        <v>0.28899999999999998</v>
      </c>
      <c r="L514" s="413">
        <f>K514*VLOOKUP(E514,GWPs!$B$3:$C$6,2,FALSE)</f>
        <v>0.28899999999999998</v>
      </c>
      <c r="N514">
        <v>3</v>
      </c>
      <c r="O514">
        <v>2</v>
      </c>
      <c r="P514">
        <v>1</v>
      </c>
      <c r="Q514">
        <v>4</v>
      </c>
      <c r="R514">
        <v>1</v>
      </c>
    </row>
    <row r="515" spans="1:18">
      <c r="A515" t="str">
        <f>_xlfn.IFNA(IF(VLOOKUP(C515,'2016_Detail_Commodity_v1.0'!C:C,1,FALSE)=C515,"No change"),"Name changed")</f>
        <v>No change</v>
      </c>
      <c r="B515" t="s">
        <v>565</v>
      </c>
      <c r="C515" t="s">
        <v>566</v>
      </c>
      <c r="E515" t="s">
        <v>3654</v>
      </c>
      <c r="F515" t="s">
        <v>12</v>
      </c>
      <c r="G515">
        <v>1E-3</v>
      </c>
      <c r="H515" s="413">
        <f>G515*VLOOKUP(E515,GWPs!$B$3:$C$6,2,FALSE)</f>
        <v>2.8000000000000001E-2</v>
      </c>
      <c r="I515">
        <v>1E-3</v>
      </c>
      <c r="J515" s="413">
        <f>I515*VLOOKUP(E515,GWPs!$B$3:$C$6,2,FALSE)</f>
        <v>2.8000000000000001E-2</v>
      </c>
      <c r="K515">
        <v>1E-3</v>
      </c>
      <c r="L515" s="413">
        <f>K515*VLOOKUP(E515,GWPs!$B$3:$C$6,2,FALSE)</f>
        <v>2.8000000000000001E-2</v>
      </c>
      <c r="N515">
        <v>4</v>
      </c>
      <c r="O515">
        <v>2</v>
      </c>
      <c r="P515">
        <v>1</v>
      </c>
      <c r="Q515">
        <v>1</v>
      </c>
      <c r="R515">
        <v>1</v>
      </c>
    </row>
    <row r="516" spans="1:18">
      <c r="A516" t="str">
        <f>_xlfn.IFNA(IF(VLOOKUP(C516,'2016_Detail_Commodity_v1.0'!C:C,1,FALSE)=C516,"No change"),"Name changed")</f>
        <v>No change</v>
      </c>
      <c r="B516" t="s">
        <v>565</v>
      </c>
      <c r="C516" t="s">
        <v>566</v>
      </c>
      <c r="E516" t="s">
        <v>3655</v>
      </c>
      <c r="F516" t="s">
        <v>12</v>
      </c>
      <c r="G516">
        <v>0</v>
      </c>
      <c r="H516" s="413">
        <f>G516*VLOOKUP(E516,GWPs!$B$3:$C$6,2,FALSE)</f>
        <v>0</v>
      </c>
      <c r="I516">
        <v>0</v>
      </c>
      <c r="J516" s="413">
        <f>I516*VLOOKUP(E516,GWPs!$B$3:$C$6,2,FALSE)</f>
        <v>0</v>
      </c>
      <c r="K516">
        <v>0</v>
      </c>
      <c r="L516" s="413">
        <f>K516*VLOOKUP(E516,GWPs!$B$3:$C$6,2,FALSE)</f>
        <v>0</v>
      </c>
      <c r="N516">
        <v>3</v>
      </c>
      <c r="O516">
        <v>2</v>
      </c>
      <c r="P516">
        <v>1</v>
      </c>
      <c r="Q516">
        <v>3</v>
      </c>
      <c r="R516">
        <v>1</v>
      </c>
    </row>
    <row r="517" spans="1:18">
      <c r="A517" t="str">
        <f>_xlfn.IFNA(IF(VLOOKUP(C517,'2016_Detail_Commodity_v1.0'!C:C,1,FALSE)=C517,"No change"),"Name changed")</f>
        <v>No change</v>
      </c>
      <c r="B517" t="s">
        <v>565</v>
      </c>
      <c r="C517" t="s">
        <v>566</v>
      </c>
      <c r="E517" t="s">
        <v>15</v>
      </c>
      <c r="F517" t="s">
        <v>16</v>
      </c>
      <c r="G517">
        <v>4.0000000000000001E-3</v>
      </c>
      <c r="H517" s="413">
        <f>G517*VLOOKUP(E517,GWPs!$B$3:$C$6,2,FALSE)</f>
        <v>4.0000000000000001E-3</v>
      </c>
      <c r="I517">
        <v>0</v>
      </c>
      <c r="J517" s="413">
        <f>I517*VLOOKUP(E517,GWPs!$B$3:$C$6,2,FALSE)</f>
        <v>0</v>
      </c>
      <c r="K517">
        <v>4.0000000000000001E-3</v>
      </c>
      <c r="L517" s="413">
        <f>K517*VLOOKUP(E517,GWPs!$B$3:$C$6,2,FALSE)</f>
        <v>4.0000000000000001E-3</v>
      </c>
      <c r="N517">
        <v>3</v>
      </c>
      <c r="O517">
        <v>2</v>
      </c>
      <c r="P517">
        <v>1</v>
      </c>
      <c r="Q517">
        <v>4</v>
      </c>
      <c r="R517">
        <v>1</v>
      </c>
    </row>
    <row r="518" spans="1:18">
      <c r="A518" t="str">
        <f>_xlfn.IFNA(IF(VLOOKUP(C518,'2016_Detail_Commodity_v1.0'!C:C,1,FALSE)=C518,"No change"),"Name changed")</f>
        <v>No change</v>
      </c>
      <c r="B518" t="s">
        <v>567</v>
      </c>
      <c r="C518" t="s">
        <v>568</v>
      </c>
      <c r="E518" t="s">
        <v>3653</v>
      </c>
      <c r="F518" t="s">
        <v>12</v>
      </c>
      <c r="G518">
        <v>0.39500000000000002</v>
      </c>
      <c r="H518" s="413">
        <f>G518*VLOOKUP(E518,GWPs!$B$3:$C$6,2,FALSE)</f>
        <v>0.39500000000000002</v>
      </c>
      <c r="I518">
        <v>0.157</v>
      </c>
      <c r="J518" s="413">
        <f>I518*VLOOKUP(E518,GWPs!$B$3:$C$6,2,FALSE)</f>
        <v>0.157</v>
      </c>
      <c r="K518">
        <v>0.55200000000000005</v>
      </c>
      <c r="L518" s="413">
        <f>K518*VLOOKUP(E518,GWPs!$B$3:$C$6,2,FALSE)</f>
        <v>0.55200000000000005</v>
      </c>
      <c r="N518">
        <v>3</v>
      </c>
      <c r="O518">
        <v>2</v>
      </c>
      <c r="P518">
        <v>1</v>
      </c>
      <c r="Q518">
        <v>4</v>
      </c>
      <c r="R518">
        <v>1</v>
      </c>
    </row>
    <row r="519" spans="1:18">
      <c r="A519" t="str">
        <f>_xlfn.IFNA(IF(VLOOKUP(C519,'2016_Detail_Commodity_v1.0'!C:C,1,FALSE)=C519,"No change"),"Name changed")</f>
        <v>No change</v>
      </c>
      <c r="B519" t="s">
        <v>567</v>
      </c>
      <c r="C519" t="s">
        <v>568</v>
      </c>
      <c r="E519" t="s">
        <v>3654</v>
      </c>
      <c r="F519" t="s">
        <v>12</v>
      </c>
      <c r="G519">
        <v>1E-3</v>
      </c>
      <c r="H519" s="413">
        <f>G519*VLOOKUP(E519,GWPs!$B$3:$C$6,2,FALSE)</f>
        <v>2.8000000000000001E-2</v>
      </c>
      <c r="I519">
        <v>2E-3</v>
      </c>
      <c r="J519" s="413">
        <f>I519*VLOOKUP(E519,GWPs!$B$3:$C$6,2,FALSE)</f>
        <v>5.6000000000000001E-2</v>
      </c>
      <c r="K519">
        <v>3.0000000000000001E-3</v>
      </c>
      <c r="L519" s="413">
        <f>K519*VLOOKUP(E519,GWPs!$B$3:$C$6,2,FALSE)</f>
        <v>8.4000000000000005E-2</v>
      </c>
      <c r="N519">
        <v>4</v>
      </c>
      <c r="O519">
        <v>2</v>
      </c>
      <c r="P519">
        <v>1</v>
      </c>
      <c r="Q519">
        <v>1</v>
      </c>
      <c r="R519">
        <v>1</v>
      </c>
    </row>
    <row r="520" spans="1:18">
      <c r="A520" t="str">
        <f>_xlfn.IFNA(IF(VLOOKUP(C520,'2016_Detail_Commodity_v1.0'!C:C,1,FALSE)=C520,"No change"),"Name changed")</f>
        <v>No change</v>
      </c>
      <c r="B520" t="s">
        <v>567</v>
      </c>
      <c r="C520" t="s">
        <v>568</v>
      </c>
      <c r="E520" t="s">
        <v>3655</v>
      </c>
      <c r="F520" t="s">
        <v>12</v>
      </c>
      <c r="G520">
        <v>0</v>
      </c>
      <c r="H520" s="413">
        <f>G520*VLOOKUP(E520,GWPs!$B$3:$C$6,2,FALSE)</f>
        <v>0</v>
      </c>
      <c r="I520">
        <v>0</v>
      </c>
      <c r="J520" s="413">
        <f>I520*VLOOKUP(E520,GWPs!$B$3:$C$6,2,FALSE)</f>
        <v>0</v>
      </c>
      <c r="K520">
        <v>0</v>
      </c>
      <c r="L520" s="413">
        <f>K520*VLOOKUP(E520,GWPs!$B$3:$C$6,2,FALSE)</f>
        <v>0</v>
      </c>
      <c r="N520">
        <v>3</v>
      </c>
      <c r="O520">
        <v>2</v>
      </c>
      <c r="P520">
        <v>1</v>
      </c>
      <c r="Q520">
        <v>3</v>
      </c>
      <c r="R520">
        <v>1</v>
      </c>
    </row>
    <row r="521" spans="1:18">
      <c r="A521" t="str">
        <f>_xlfn.IFNA(IF(VLOOKUP(C521,'2016_Detail_Commodity_v1.0'!C:C,1,FALSE)=C521,"No change"),"Name changed")</f>
        <v>No change</v>
      </c>
      <c r="B521" t="s">
        <v>567</v>
      </c>
      <c r="C521" t="s">
        <v>568</v>
      </c>
      <c r="E521" t="s">
        <v>15</v>
      </c>
      <c r="F521" t="s">
        <v>16</v>
      </c>
      <c r="G521">
        <v>5.0000000000000001E-3</v>
      </c>
      <c r="H521" s="413">
        <f>G521*VLOOKUP(E521,GWPs!$B$3:$C$6,2,FALSE)</f>
        <v>5.0000000000000001E-3</v>
      </c>
      <c r="I521">
        <v>0</v>
      </c>
      <c r="J521" s="413">
        <f>I521*VLOOKUP(E521,GWPs!$B$3:$C$6,2,FALSE)</f>
        <v>0</v>
      </c>
      <c r="K521">
        <v>5.0000000000000001E-3</v>
      </c>
      <c r="L521" s="413">
        <f>K521*VLOOKUP(E521,GWPs!$B$3:$C$6,2,FALSE)</f>
        <v>5.0000000000000001E-3</v>
      </c>
      <c r="N521">
        <v>3</v>
      </c>
      <c r="O521">
        <v>2</v>
      </c>
      <c r="P521">
        <v>1</v>
      </c>
      <c r="Q521">
        <v>3</v>
      </c>
      <c r="R521">
        <v>1</v>
      </c>
    </row>
    <row r="522" spans="1:18">
      <c r="A522" t="str">
        <f>_xlfn.IFNA(IF(VLOOKUP(C522,'2016_Detail_Commodity_v1.0'!C:C,1,FALSE)=C522,"No change"),"Name changed")</f>
        <v>No change</v>
      </c>
      <c r="B522" t="s">
        <v>569</v>
      </c>
      <c r="C522" t="s">
        <v>570</v>
      </c>
      <c r="E522" t="s">
        <v>3653</v>
      </c>
      <c r="F522" t="s">
        <v>12</v>
      </c>
      <c r="G522">
        <v>0.45200000000000001</v>
      </c>
      <c r="H522" s="413">
        <f>G522*VLOOKUP(E522,GWPs!$B$3:$C$6,2,FALSE)</f>
        <v>0.45200000000000001</v>
      </c>
      <c r="I522">
        <v>6.6000000000000003E-2</v>
      </c>
      <c r="J522" s="413">
        <f>I522*VLOOKUP(E522,GWPs!$B$3:$C$6,2,FALSE)</f>
        <v>6.6000000000000003E-2</v>
      </c>
      <c r="K522">
        <v>0.51800000000000002</v>
      </c>
      <c r="L522" s="413">
        <f>K522*VLOOKUP(E522,GWPs!$B$3:$C$6,2,FALSE)</f>
        <v>0.51800000000000002</v>
      </c>
      <c r="N522">
        <v>3</v>
      </c>
      <c r="O522">
        <v>2</v>
      </c>
      <c r="P522">
        <v>1</v>
      </c>
      <c r="Q522">
        <v>4</v>
      </c>
      <c r="R522">
        <v>1</v>
      </c>
    </row>
    <row r="523" spans="1:18">
      <c r="A523" t="str">
        <f>_xlfn.IFNA(IF(VLOOKUP(C523,'2016_Detail_Commodity_v1.0'!C:C,1,FALSE)=C523,"No change"),"Name changed")</f>
        <v>No change</v>
      </c>
      <c r="B523" t="s">
        <v>569</v>
      </c>
      <c r="C523" t="s">
        <v>570</v>
      </c>
      <c r="E523" t="s">
        <v>3654</v>
      </c>
      <c r="F523" t="s">
        <v>12</v>
      </c>
      <c r="G523">
        <v>2E-3</v>
      </c>
      <c r="H523" s="413">
        <f>G523*VLOOKUP(E523,GWPs!$B$3:$C$6,2,FALSE)</f>
        <v>5.6000000000000001E-2</v>
      </c>
      <c r="I523">
        <v>1E-3</v>
      </c>
      <c r="J523" s="413">
        <f>I523*VLOOKUP(E523,GWPs!$B$3:$C$6,2,FALSE)</f>
        <v>2.8000000000000001E-2</v>
      </c>
      <c r="K523">
        <v>2E-3</v>
      </c>
      <c r="L523" s="413">
        <f>K523*VLOOKUP(E523,GWPs!$B$3:$C$6,2,FALSE)</f>
        <v>5.6000000000000001E-2</v>
      </c>
      <c r="N523">
        <v>4</v>
      </c>
      <c r="O523">
        <v>2</v>
      </c>
      <c r="P523">
        <v>1</v>
      </c>
      <c r="Q523">
        <v>1</v>
      </c>
      <c r="R523">
        <v>1</v>
      </c>
    </row>
    <row r="524" spans="1:18">
      <c r="A524" t="str">
        <f>_xlfn.IFNA(IF(VLOOKUP(C524,'2016_Detail_Commodity_v1.0'!C:C,1,FALSE)=C524,"No change"),"Name changed")</f>
        <v>No change</v>
      </c>
      <c r="B524" t="s">
        <v>569</v>
      </c>
      <c r="C524" t="s">
        <v>570</v>
      </c>
      <c r="E524" t="s">
        <v>3655</v>
      </c>
      <c r="F524" t="s">
        <v>12</v>
      </c>
      <c r="G524">
        <v>0</v>
      </c>
      <c r="H524" s="413">
        <f>G524*VLOOKUP(E524,GWPs!$B$3:$C$6,2,FALSE)</f>
        <v>0</v>
      </c>
      <c r="I524">
        <v>0</v>
      </c>
      <c r="J524" s="413">
        <f>I524*VLOOKUP(E524,GWPs!$B$3:$C$6,2,FALSE)</f>
        <v>0</v>
      </c>
      <c r="K524">
        <v>0</v>
      </c>
      <c r="L524" s="413">
        <f>K524*VLOOKUP(E524,GWPs!$B$3:$C$6,2,FALSE)</f>
        <v>0</v>
      </c>
      <c r="N524">
        <v>3</v>
      </c>
      <c r="O524">
        <v>2</v>
      </c>
      <c r="P524">
        <v>1</v>
      </c>
      <c r="Q524">
        <v>3</v>
      </c>
      <c r="R524">
        <v>1</v>
      </c>
    </row>
    <row r="525" spans="1:18">
      <c r="A525" t="str">
        <f>_xlfn.IFNA(IF(VLOOKUP(C525,'2016_Detail_Commodity_v1.0'!C:C,1,FALSE)=C525,"No change"),"Name changed")</f>
        <v>No change</v>
      </c>
      <c r="B525" t="s">
        <v>569</v>
      </c>
      <c r="C525" t="s">
        <v>570</v>
      </c>
      <c r="E525" t="s">
        <v>15</v>
      </c>
      <c r="F525" t="s">
        <v>16</v>
      </c>
      <c r="G525">
        <v>5.0000000000000001E-3</v>
      </c>
      <c r="H525" s="413">
        <f>G525*VLOOKUP(E525,GWPs!$B$3:$C$6,2,FALSE)</f>
        <v>5.0000000000000001E-3</v>
      </c>
      <c r="I525">
        <v>0</v>
      </c>
      <c r="J525" s="413">
        <f>I525*VLOOKUP(E525,GWPs!$B$3:$C$6,2,FALSE)</f>
        <v>0</v>
      </c>
      <c r="K525">
        <v>5.0000000000000001E-3</v>
      </c>
      <c r="L525" s="413">
        <f>K525*VLOOKUP(E525,GWPs!$B$3:$C$6,2,FALSE)</f>
        <v>5.0000000000000001E-3</v>
      </c>
      <c r="N525">
        <v>3</v>
      </c>
      <c r="O525">
        <v>2</v>
      </c>
      <c r="P525">
        <v>1</v>
      </c>
      <c r="Q525">
        <v>3</v>
      </c>
      <c r="R525">
        <v>1</v>
      </c>
    </row>
    <row r="526" spans="1:18">
      <c r="A526" t="str">
        <f>_xlfn.IFNA(IF(VLOOKUP(C526,'2016_Detail_Commodity_v1.0'!C:C,1,FALSE)=C526,"No change"),"Name changed")</f>
        <v>No change</v>
      </c>
      <c r="B526" t="s">
        <v>571</v>
      </c>
      <c r="C526" t="s">
        <v>572</v>
      </c>
      <c r="E526" t="s">
        <v>3653</v>
      </c>
      <c r="F526" t="s">
        <v>12</v>
      </c>
      <c r="G526">
        <v>0.65500000000000003</v>
      </c>
      <c r="H526" s="413">
        <f>G526*VLOOKUP(E526,GWPs!$B$3:$C$6,2,FALSE)</f>
        <v>0.65500000000000003</v>
      </c>
      <c r="I526">
        <v>7.0000000000000007E-2</v>
      </c>
      <c r="J526" s="413">
        <f>I526*VLOOKUP(E526,GWPs!$B$3:$C$6,2,FALSE)</f>
        <v>7.0000000000000007E-2</v>
      </c>
      <c r="K526">
        <v>0.72599999999999998</v>
      </c>
      <c r="L526" s="413">
        <f>K526*VLOOKUP(E526,GWPs!$B$3:$C$6,2,FALSE)</f>
        <v>0.72599999999999998</v>
      </c>
      <c r="N526">
        <v>3</v>
      </c>
      <c r="O526">
        <v>2</v>
      </c>
      <c r="P526">
        <v>1</v>
      </c>
      <c r="Q526">
        <v>3</v>
      </c>
      <c r="R526">
        <v>1</v>
      </c>
    </row>
    <row r="527" spans="1:18">
      <c r="A527" t="str">
        <f>_xlfn.IFNA(IF(VLOOKUP(C527,'2016_Detail_Commodity_v1.0'!C:C,1,FALSE)=C527,"No change"),"Name changed")</f>
        <v>No change</v>
      </c>
      <c r="B527" t="s">
        <v>571</v>
      </c>
      <c r="C527" t="s">
        <v>572</v>
      </c>
      <c r="E527" t="s">
        <v>3654</v>
      </c>
      <c r="F527" t="s">
        <v>12</v>
      </c>
      <c r="G527">
        <v>1E-3</v>
      </c>
      <c r="H527" s="413">
        <f>G527*VLOOKUP(E527,GWPs!$B$3:$C$6,2,FALSE)</f>
        <v>2.8000000000000001E-2</v>
      </c>
      <c r="I527">
        <v>1E-3</v>
      </c>
      <c r="J527" s="413">
        <f>I527*VLOOKUP(E527,GWPs!$B$3:$C$6,2,FALSE)</f>
        <v>2.8000000000000001E-2</v>
      </c>
      <c r="K527">
        <v>2E-3</v>
      </c>
      <c r="L527" s="413">
        <f>K527*VLOOKUP(E527,GWPs!$B$3:$C$6,2,FALSE)</f>
        <v>5.6000000000000001E-2</v>
      </c>
      <c r="N527">
        <v>4</v>
      </c>
      <c r="O527">
        <v>2</v>
      </c>
      <c r="P527">
        <v>1</v>
      </c>
      <c r="Q527">
        <v>1</v>
      </c>
      <c r="R527">
        <v>1</v>
      </c>
    </row>
    <row r="528" spans="1:18">
      <c r="A528" t="str">
        <f>_xlfn.IFNA(IF(VLOOKUP(C528,'2016_Detail_Commodity_v1.0'!C:C,1,FALSE)=C528,"No change"),"Name changed")</f>
        <v>No change</v>
      </c>
      <c r="B528" t="s">
        <v>571</v>
      </c>
      <c r="C528" t="s">
        <v>572</v>
      </c>
      <c r="E528" t="s">
        <v>3655</v>
      </c>
      <c r="F528" t="s">
        <v>12</v>
      </c>
      <c r="G528">
        <v>0</v>
      </c>
      <c r="H528" s="413">
        <f>G528*VLOOKUP(E528,GWPs!$B$3:$C$6,2,FALSE)</f>
        <v>0</v>
      </c>
      <c r="I528">
        <v>0</v>
      </c>
      <c r="J528" s="413">
        <f>I528*VLOOKUP(E528,GWPs!$B$3:$C$6,2,FALSE)</f>
        <v>0</v>
      </c>
      <c r="K528">
        <v>0</v>
      </c>
      <c r="L528" s="413">
        <f>K528*VLOOKUP(E528,GWPs!$B$3:$C$6,2,FALSE)</f>
        <v>0</v>
      </c>
      <c r="N528">
        <v>3</v>
      </c>
      <c r="O528">
        <v>2</v>
      </c>
      <c r="P528">
        <v>1</v>
      </c>
      <c r="Q528">
        <v>3</v>
      </c>
      <c r="R528">
        <v>1</v>
      </c>
    </row>
    <row r="529" spans="1:18">
      <c r="A529" t="str">
        <f>_xlfn.IFNA(IF(VLOOKUP(C529,'2016_Detail_Commodity_v1.0'!C:C,1,FALSE)=C529,"No change"),"Name changed")</f>
        <v>No change</v>
      </c>
      <c r="B529" t="s">
        <v>571</v>
      </c>
      <c r="C529" t="s">
        <v>572</v>
      </c>
      <c r="E529" t="s">
        <v>15</v>
      </c>
      <c r="F529" t="s">
        <v>16</v>
      </c>
      <c r="G529">
        <v>4.0000000000000001E-3</v>
      </c>
      <c r="H529" s="413">
        <f>G529*VLOOKUP(E529,GWPs!$B$3:$C$6,2,FALSE)</f>
        <v>4.0000000000000001E-3</v>
      </c>
      <c r="I529">
        <v>0</v>
      </c>
      <c r="J529" s="413">
        <f>I529*VLOOKUP(E529,GWPs!$B$3:$C$6,2,FALSE)</f>
        <v>0</v>
      </c>
      <c r="K529">
        <v>4.0000000000000001E-3</v>
      </c>
      <c r="L529" s="413">
        <f>K529*VLOOKUP(E529,GWPs!$B$3:$C$6,2,FALSE)</f>
        <v>4.0000000000000001E-3</v>
      </c>
      <c r="N529">
        <v>3</v>
      </c>
      <c r="O529">
        <v>2</v>
      </c>
      <c r="P529">
        <v>1</v>
      </c>
      <c r="Q529">
        <v>4</v>
      </c>
      <c r="R529">
        <v>1</v>
      </c>
    </row>
    <row r="530" spans="1:18">
      <c r="A530" t="str">
        <f>_xlfn.IFNA(IF(VLOOKUP(C530,'2016_Detail_Commodity_v1.0'!C:C,1,FALSE)=C530,"No change"),"Name changed")</f>
        <v>No change</v>
      </c>
      <c r="B530" t="s">
        <v>573</v>
      </c>
      <c r="C530" t="s">
        <v>574</v>
      </c>
      <c r="E530" t="s">
        <v>3653</v>
      </c>
      <c r="F530" t="s">
        <v>12</v>
      </c>
      <c r="G530">
        <v>0.90100000000000002</v>
      </c>
      <c r="H530" s="413">
        <f>G530*VLOOKUP(E530,GWPs!$B$3:$C$6,2,FALSE)</f>
        <v>0.90100000000000002</v>
      </c>
      <c r="I530">
        <v>3.6999999999999998E-2</v>
      </c>
      <c r="J530" s="413">
        <f>I530*VLOOKUP(E530,GWPs!$B$3:$C$6,2,FALSE)</f>
        <v>3.6999999999999998E-2</v>
      </c>
      <c r="K530">
        <v>0.93799999999999994</v>
      </c>
      <c r="L530" s="413">
        <f>K530*VLOOKUP(E530,GWPs!$B$3:$C$6,2,FALSE)</f>
        <v>0.93799999999999994</v>
      </c>
      <c r="N530">
        <v>3</v>
      </c>
      <c r="O530">
        <v>2</v>
      </c>
      <c r="P530">
        <v>1</v>
      </c>
      <c r="Q530">
        <v>2</v>
      </c>
      <c r="R530">
        <v>1</v>
      </c>
    </row>
    <row r="531" spans="1:18">
      <c r="A531" t="str">
        <f>_xlfn.IFNA(IF(VLOOKUP(C531,'2016_Detail_Commodity_v1.0'!C:C,1,FALSE)=C531,"No change"),"Name changed")</f>
        <v>No change</v>
      </c>
      <c r="B531" t="s">
        <v>573</v>
      </c>
      <c r="C531" t="s">
        <v>574</v>
      </c>
      <c r="E531" t="s">
        <v>3654</v>
      </c>
      <c r="F531" t="s">
        <v>12</v>
      </c>
      <c r="G531">
        <v>5.0000000000000001E-3</v>
      </c>
      <c r="H531" s="413">
        <f>G531*VLOOKUP(E531,GWPs!$B$3:$C$6,2,FALSE)</f>
        <v>0.14000000000000001</v>
      </c>
      <c r="I531">
        <v>0</v>
      </c>
      <c r="J531" s="413">
        <f>I531*VLOOKUP(E531,GWPs!$B$3:$C$6,2,FALSE)</f>
        <v>0</v>
      </c>
      <c r="K531">
        <v>5.0000000000000001E-3</v>
      </c>
      <c r="L531" s="413">
        <f>K531*VLOOKUP(E531,GWPs!$B$3:$C$6,2,FALSE)</f>
        <v>0.14000000000000001</v>
      </c>
      <c r="N531">
        <v>4</v>
      </c>
      <c r="O531">
        <v>2</v>
      </c>
      <c r="P531">
        <v>1</v>
      </c>
      <c r="Q531">
        <v>1</v>
      </c>
      <c r="R531">
        <v>1</v>
      </c>
    </row>
    <row r="532" spans="1:18">
      <c r="A532" t="str">
        <f>_xlfn.IFNA(IF(VLOOKUP(C532,'2016_Detail_Commodity_v1.0'!C:C,1,FALSE)=C532,"No change"),"Name changed")</f>
        <v>No change</v>
      </c>
      <c r="B532" t="s">
        <v>573</v>
      </c>
      <c r="C532" t="s">
        <v>574</v>
      </c>
      <c r="E532" t="s">
        <v>3655</v>
      </c>
      <c r="F532" t="s">
        <v>12</v>
      </c>
      <c r="G532">
        <v>0</v>
      </c>
      <c r="H532" s="413">
        <f>G532*VLOOKUP(E532,GWPs!$B$3:$C$6,2,FALSE)</f>
        <v>0</v>
      </c>
      <c r="I532">
        <v>0</v>
      </c>
      <c r="J532" s="413">
        <f>I532*VLOOKUP(E532,GWPs!$B$3:$C$6,2,FALSE)</f>
        <v>0</v>
      </c>
      <c r="K532">
        <v>0</v>
      </c>
      <c r="L532" s="413">
        <f>K532*VLOOKUP(E532,GWPs!$B$3:$C$6,2,FALSE)</f>
        <v>0</v>
      </c>
      <c r="N532">
        <v>3</v>
      </c>
      <c r="O532">
        <v>2</v>
      </c>
      <c r="P532">
        <v>1</v>
      </c>
      <c r="Q532">
        <v>3</v>
      </c>
      <c r="R532">
        <v>1</v>
      </c>
    </row>
    <row r="533" spans="1:18">
      <c r="A533" t="str">
        <f>_xlfn.IFNA(IF(VLOOKUP(C533,'2016_Detail_Commodity_v1.0'!C:C,1,FALSE)=C533,"No change"),"Name changed")</f>
        <v>No change</v>
      </c>
      <c r="B533" t="s">
        <v>573</v>
      </c>
      <c r="C533" t="s">
        <v>574</v>
      </c>
      <c r="E533" t="s">
        <v>15</v>
      </c>
      <c r="F533" t="s">
        <v>16</v>
      </c>
      <c r="G533">
        <v>1.0999999999999999E-2</v>
      </c>
      <c r="H533" s="413">
        <f>G533*VLOOKUP(E533,GWPs!$B$3:$C$6,2,FALSE)</f>
        <v>1.0999999999999999E-2</v>
      </c>
      <c r="I533">
        <v>0</v>
      </c>
      <c r="J533" s="413">
        <f>I533*VLOOKUP(E533,GWPs!$B$3:$C$6,2,FALSE)</f>
        <v>0</v>
      </c>
      <c r="K533">
        <v>1.0999999999999999E-2</v>
      </c>
      <c r="L533" s="413">
        <f>K533*VLOOKUP(E533,GWPs!$B$3:$C$6,2,FALSE)</f>
        <v>1.0999999999999999E-2</v>
      </c>
      <c r="N533">
        <v>3</v>
      </c>
      <c r="O533">
        <v>2</v>
      </c>
      <c r="P533">
        <v>1</v>
      </c>
      <c r="Q533">
        <v>2</v>
      </c>
      <c r="R533">
        <v>1</v>
      </c>
    </row>
    <row r="534" spans="1:18">
      <c r="A534" t="str">
        <f>_xlfn.IFNA(IF(VLOOKUP(C534,'2016_Detail_Commodity_v1.0'!C:C,1,FALSE)=C534,"No change"),"Name changed")</f>
        <v>No change</v>
      </c>
      <c r="B534" t="s">
        <v>575</v>
      </c>
      <c r="C534" t="s">
        <v>576</v>
      </c>
      <c r="E534" t="s">
        <v>3653</v>
      </c>
      <c r="F534" t="s">
        <v>12</v>
      </c>
      <c r="G534">
        <v>0.55600000000000005</v>
      </c>
      <c r="H534" s="413">
        <f>G534*VLOOKUP(E534,GWPs!$B$3:$C$6,2,FALSE)</f>
        <v>0.55600000000000005</v>
      </c>
      <c r="I534">
        <v>0.04</v>
      </c>
      <c r="J534" s="413">
        <f>I534*VLOOKUP(E534,GWPs!$B$3:$C$6,2,FALSE)</f>
        <v>0.04</v>
      </c>
      <c r="K534">
        <v>0.59499999999999997</v>
      </c>
      <c r="L534" s="413">
        <f>K534*VLOOKUP(E534,GWPs!$B$3:$C$6,2,FALSE)</f>
        <v>0.59499999999999997</v>
      </c>
      <c r="N534">
        <v>3</v>
      </c>
      <c r="O534">
        <v>2</v>
      </c>
      <c r="P534">
        <v>1</v>
      </c>
      <c r="Q534">
        <v>3</v>
      </c>
      <c r="R534">
        <v>1</v>
      </c>
    </row>
    <row r="535" spans="1:18">
      <c r="A535" t="str">
        <f>_xlfn.IFNA(IF(VLOOKUP(C535,'2016_Detail_Commodity_v1.0'!C:C,1,FALSE)=C535,"No change"),"Name changed")</f>
        <v>No change</v>
      </c>
      <c r="B535" t="s">
        <v>575</v>
      </c>
      <c r="C535" t="s">
        <v>576</v>
      </c>
      <c r="E535" t="s">
        <v>3654</v>
      </c>
      <c r="F535" t="s">
        <v>12</v>
      </c>
      <c r="G535">
        <v>2E-3</v>
      </c>
      <c r="H535" s="413">
        <f>G535*VLOOKUP(E535,GWPs!$B$3:$C$6,2,FALSE)</f>
        <v>5.6000000000000001E-2</v>
      </c>
      <c r="I535">
        <v>0</v>
      </c>
      <c r="J535" s="413">
        <f>I535*VLOOKUP(E535,GWPs!$B$3:$C$6,2,FALSE)</f>
        <v>0</v>
      </c>
      <c r="K535">
        <v>3.0000000000000001E-3</v>
      </c>
      <c r="L535" s="413">
        <f>K535*VLOOKUP(E535,GWPs!$B$3:$C$6,2,FALSE)</f>
        <v>8.4000000000000005E-2</v>
      </c>
      <c r="N535">
        <v>4</v>
      </c>
      <c r="O535">
        <v>2</v>
      </c>
      <c r="P535">
        <v>1</v>
      </c>
      <c r="Q535">
        <v>1</v>
      </c>
      <c r="R535">
        <v>1</v>
      </c>
    </row>
    <row r="536" spans="1:18">
      <c r="A536" t="str">
        <f>_xlfn.IFNA(IF(VLOOKUP(C536,'2016_Detail_Commodity_v1.0'!C:C,1,FALSE)=C536,"No change"),"Name changed")</f>
        <v>No change</v>
      </c>
      <c r="B536" t="s">
        <v>575</v>
      </c>
      <c r="C536" t="s">
        <v>576</v>
      </c>
      <c r="E536" t="s">
        <v>3655</v>
      </c>
      <c r="F536" t="s">
        <v>12</v>
      </c>
      <c r="G536">
        <v>0</v>
      </c>
      <c r="H536" s="413">
        <f>G536*VLOOKUP(E536,GWPs!$B$3:$C$6,2,FALSE)</f>
        <v>0</v>
      </c>
      <c r="I536">
        <v>0</v>
      </c>
      <c r="J536" s="413">
        <f>I536*VLOOKUP(E536,GWPs!$B$3:$C$6,2,FALSE)</f>
        <v>0</v>
      </c>
      <c r="K536">
        <v>0</v>
      </c>
      <c r="L536" s="413">
        <f>K536*VLOOKUP(E536,GWPs!$B$3:$C$6,2,FALSE)</f>
        <v>0</v>
      </c>
      <c r="N536">
        <v>3</v>
      </c>
      <c r="O536">
        <v>2</v>
      </c>
      <c r="P536">
        <v>1</v>
      </c>
      <c r="Q536">
        <v>3</v>
      </c>
      <c r="R536">
        <v>1</v>
      </c>
    </row>
    <row r="537" spans="1:18">
      <c r="A537" t="str">
        <f>_xlfn.IFNA(IF(VLOOKUP(C537,'2016_Detail_Commodity_v1.0'!C:C,1,FALSE)=C537,"No change"),"Name changed")</f>
        <v>No change</v>
      </c>
      <c r="B537" t="s">
        <v>575</v>
      </c>
      <c r="C537" t="s">
        <v>576</v>
      </c>
      <c r="E537" t="s">
        <v>15</v>
      </c>
      <c r="F537" t="s">
        <v>16</v>
      </c>
      <c r="G537">
        <v>8.9999999999999993E-3</v>
      </c>
      <c r="H537" s="413">
        <f>G537*VLOOKUP(E537,GWPs!$B$3:$C$6,2,FALSE)</f>
        <v>8.9999999999999993E-3</v>
      </c>
      <c r="I537">
        <v>0</v>
      </c>
      <c r="J537" s="413">
        <f>I537*VLOOKUP(E537,GWPs!$B$3:$C$6,2,FALSE)</f>
        <v>0</v>
      </c>
      <c r="K537">
        <v>8.9999999999999993E-3</v>
      </c>
      <c r="L537" s="413">
        <f>K537*VLOOKUP(E537,GWPs!$B$3:$C$6,2,FALSE)</f>
        <v>8.9999999999999993E-3</v>
      </c>
      <c r="N537">
        <v>3</v>
      </c>
      <c r="O537">
        <v>2</v>
      </c>
      <c r="P537">
        <v>1</v>
      </c>
      <c r="Q537">
        <v>2</v>
      </c>
      <c r="R537">
        <v>1</v>
      </c>
    </row>
    <row r="538" spans="1:18">
      <c r="A538" t="str">
        <f>_xlfn.IFNA(IF(VLOOKUP(C538,'2016_Detail_Commodity_v1.0'!C:C,1,FALSE)=C538,"No change"),"Name changed")</f>
        <v>Name changed</v>
      </c>
      <c r="B538" t="s">
        <v>577</v>
      </c>
      <c r="C538" t="s">
        <v>1616</v>
      </c>
      <c r="D538" t="s">
        <v>578</v>
      </c>
      <c r="E538" t="s">
        <v>3653</v>
      </c>
      <c r="F538" t="s">
        <v>12</v>
      </c>
      <c r="G538">
        <v>1.19</v>
      </c>
      <c r="H538" s="413">
        <f>G538*VLOOKUP(E538,GWPs!$B$3:$C$6,2,FALSE)</f>
        <v>1.19</v>
      </c>
      <c r="I538">
        <v>2.8000000000000001E-2</v>
      </c>
      <c r="J538" s="413">
        <f>I538*VLOOKUP(E538,GWPs!$B$3:$C$6,2,FALSE)</f>
        <v>2.8000000000000001E-2</v>
      </c>
      <c r="K538">
        <v>1.218</v>
      </c>
      <c r="L538" s="413">
        <f>K538*VLOOKUP(E538,GWPs!$B$3:$C$6,2,FALSE)</f>
        <v>1.218</v>
      </c>
      <c r="N538">
        <v>3</v>
      </c>
      <c r="O538">
        <v>2</v>
      </c>
      <c r="P538">
        <v>1</v>
      </c>
      <c r="Q538">
        <v>3</v>
      </c>
      <c r="R538">
        <v>1</v>
      </c>
    </row>
    <row r="539" spans="1:18">
      <c r="A539" t="str">
        <f>_xlfn.IFNA(IF(VLOOKUP(C539,'2016_Detail_Commodity_v1.0'!C:C,1,FALSE)=C539,"No change"),"Name changed")</f>
        <v>Name changed</v>
      </c>
      <c r="B539" t="s">
        <v>577</v>
      </c>
      <c r="C539" t="s">
        <v>1616</v>
      </c>
      <c r="D539" t="s">
        <v>578</v>
      </c>
      <c r="E539" t="s">
        <v>3654</v>
      </c>
      <c r="F539" t="s">
        <v>12</v>
      </c>
      <c r="G539">
        <v>3.0000000000000001E-3</v>
      </c>
      <c r="H539" s="413">
        <f>G539*VLOOKUP(E539,GWPs!$B$3:$C$6,2,FALSE)</f>
        <v>8.4000000000000005E-2</v>
      </c>
      <c r="I539">
        <v>0</v>
      </c>
      <c r="J539" s="413">
        <f>I539*VLOOKUP(E539,GWPs!$B$3:$C$6,2,FALSE)</f>
        <v>0</v>
      </c>
      <c r="K539">
        <v>3.0000000000000001E-3</v>
      </c>
      <c r="L539" s="413">
        <f>K539*VLOOKUP(E539,GWPs!$B$3:$C$6,2,FALSE)</f>
        <v>8.4000000000000005E-2</v>
      </c>
      <c r="N539">
        <v>4</v>
      </c>
      <c r="O539">
        <v>2</v>
      </c>
      <c r="P539">
        <v>1</v>
      </c>
      <c r="Q539">
        <v>1</v>
      </c>
      <c r="R539">
        <v>1</v>
      </c>
    </row>
    <row r="540" spans="1:18">
      <c r="A540" t="str">
        <f>_xlfn.IFNA(IF(VLOOKUP(C540,'2016_Detail_Commodity_v1.0'!C:C,1,FALSE)=C540,"No change"),"Name changed")</f>
        <v>Name changed</v>
      </c>
      <c r="B540" t="s">
        <v>577</v>
      </c>
      <c r="C540" t="s">
        <v>1616</v>
      </c>
      <c r="D540" t="s">
        <v>578</v>
      </c>
      <c r="E540" t="s">
        <v>3655</v>
      </c>
      <c r="F540" t="s">
        <v>12</v>
      </c>
      <c r="G540">
        <v>0</v>
      </c>
      <c r="H540" s="413">
        <f>G540*VLOOKUP(E540,GWPs!$B$3:$C$6,2,FALSE)</f>
        <v>0</v>
      </c>
      <c r="I540">
        <v>0</v>
      </c>
      <c r="J540" s="413">
        <f>I540*VLOOKUP(E540,GWPs!$B$3:$C$6,2,FALSE)</f>
        <v>0</v>
      </c>
      <c r="K540">
        <v>0</v>
      </c>
      <c r="L540" s="413">
        <f>K540*VLOOKUP(E540,GWPs!$B$3:$C$6,2,FALSE)</f>
        <v>0</v>
      </c>
      <c r="N540">
        <v>3</v>
      </c>
      <c r="O540">
        <v>2</v>
      </c>
      <c r="P540">
        <v>1</v>
      </c>
      <c r="Q540">
        <v>2</v>
      </c>
      <c r="R540">
        <v>1</v>
      </c>
    </row>
    <row r="541" spans="1:18">
      <c r="A541" t="str">
        <f>_xlfn.IFNA(IF(VLOOKUP(C541,'2016_Detail_Commodity_v1.0'!C:C,1,FALSE)=C541,"No change"),"Name changed")</f>
        <v>Name changed</v>
      </c>
      <c r="B541" t="s">
        <v>577</v>
      </c>
      <c r="C541" t="s">
        <v>1616</v>
      </c>
      <c r="D541" t="s">
        <v>578</v>
      </c>
      <c r="E541" t="s">
        <v>15</v>
      </c>
      <c r="F541" t="s">
        <v>16</v>
      </c>
      <c r="G541">
        <v>0.14499999999999999</v>
      </c>
      <c r="H541" s="413">
        <f>G541*VLOOKUP(E541,GWPs!$B$3:$C$6,2,FALSE)</f>
        <v>0.14499999999999999</v>
      </c>
      <c r="I541">
        <v>0</v>
      </c>
      <c r="J541" s="413">
        <f>I541*VLOOKUP(E541,GWPs!$B$3:$C$6,2,FALSE)</f>
        <v>0</v>
      </c>
      <c r="K541">
        <v>0.14499999999999999</v>
      </c>
      <c r="L541" s="413">
        <f>K541*VLOOKUP(E541,GWPs!$B$3:$C$6,2,FALSE)</f>
        <v>0.14499999999999999</v>
      </c>
      <c r="N541">
        <v>2</v>
      </c>
      <c r="O541">
        <v>2</v>
      </c>
      <c r="P541">
        <v>1</v>
      </c>
      <c r="Q541">
        <v>1</v>
      </c>
      <c r="R541">
        <v>1</v>
      </c>
    </row>
    <row r="542" spans="1:18">
      <c r="A542" t="str">
        <f>_xlfn.IFNA(IF(VLOOKUP(C542,'2016_Detail_Commodity_v1.0'!C:C,1,FALSE)=C542,"No change"),"Name changed")</f>
        <v>Name changed</v>
      </c>
      <c r="B542" t="s">
        <v>579</v>
      </c>
      <c r="C542" t="s">
        <v>1619</v>
      </c>
      <c r="D542" t="s">
        <v>580</v>
      </c>
      <c r="E542" t="s">
        <v>3653</v>
      </c>
      <c r="F542" t="s">
        <v>12</v>
      </c>
      <c r="G542">
        <v>0.627</v>
      </c>
      <c r="H542" s="413">
        <f>G542*VLOOKUP(E542,GWPs!$B$3:$C$6,2,FALSE)</f>
        <v>0.627</v>
      </c>
      <c r="I542">
        <v>2.5000000000000001E-2</v>
      </c>
      <c r="J542" s="413">
        <f>I542*VLOOKUP(E542,GWPs!$B$3:$C$6,2,FALSE)</f>
        <v>2.5000000000000001E-2</v>
      </c>
      <c r="K542">
        <v>0.65100000000000002</v>
      </c>
      <c r="L542" s="413">
        <f>K542*VLOOKUP(E542,GWPs!$B$3:$C$6,2,FALSE)</f>
        <v>0.65100000000000002</v>
      </c>
      <c r="N542">
        <v>3</v>
      </c>
      <c r="O542">
        <v>2</v>
      </c>
      <c r="P542">
        <v>1</v>
      </c>
      <c r="Q542">
        <v>3</v>
      </c>
      <c r="R542">
        <v>1</v>
      </c>
    </row>
    <row r="543" spans="1:18">
      <c r="A543" t="str">
        <f>_xlfn.IFNA(IF(VLOOKUP(C543,'2016_Detail_Commodity_v1.0'!C:C,1,FALSE)=C543,"No change"),"Name changed")</f>
        <v>Name changed</v>
      </c>
      <c r="B543" t="s">
        <v>579</v>
      </c>
      <c r="C543" t="s">
        <v>1619</v>
      </c>
      <c r="D543" t="s">
        <v>580</v>
      </c>
      <c r="E543" t="s">
        <v>3654</v>
      </c>
      <c r="F543" t="s">
        <v>12</v>
      </c>
      <c r="G543">
        <v>2E-3</v>
      </c>
      <c r="H543" s="413">
        <f>G543*VLOOKUP(E543,GWPs!$B$3:$C$6,2,FALSE)</f>
        <v>5.6000000000000001E-2</v>
      </c>
      <c r="I543">
        <v>0</v>
      </c>
      <c r="J543" s="413">
        <f>I543*VLOOKUP(E543,GWPs!$B$3:$C$6,2,FALSE)</f>
        <v>0</v>
      </c>
      <c r="K543">
        <v>2E-3</v>
      </c>
      <c r="L543" s="413">
        <f>K543*VLOOKUP(E543,GWPs!$B$3:$C$6,2,FALSE)</f>
        <v>5.6000000000000001E-2</v>
      </c>
      <c r="N543">
        <v>4</v>
      </c>
      <c r="O543">
        <v>2</v>
      </c>
      <c r="P543">
        <v>1</v>
      </c>
      <c r="Q543">
        <v>1</v>
      </c>
      <c r="R543">
        <v>1</v>
      </c>
    </row>
    <row r="544" spans="1:18">
      <c r="A544" t="str">
        <f>_xlfn.IFNA(IF(VLOOKUP(C544,'2016_Detail_Commodity_v1.0'!C:C,1,FALSE)=C544,"No change"),"Name changed")</f>
        <v>Name changed</v>
      </c>
      <c r="B544" t="s">
        <v>579</v>
      </c>
      <c r="C544" t="s">
        <v>1619</v>
      </c>
      <c r="D544" t="s">
        <v>580</v>
      </c>
      <c r="E544" t="s">
        <v>3655</v>
      </c>
      <c r="F544" t="s">
        <v>12</v>
      </c>
      <c r="G544">
        <v>0</v>
      </c>
      <c r="H544" s="413">
        <f>G544*VLOOKUP(E544,GWPs!$B$3:$C$6,2,FALSE)</f>
        <v>0</v>
      </c>
      <c r="I544">
        <v>0</v>
      </c>
      <c r="J544" s="413">
        <f>I544*VLOOKUP(E544,GWPs!$B$3:$C$6,2,FALSE)</f>
        <v>0</v>
      </c>
      <c r="K544">
        <v>0</v>
      </c>
      <c r="L544" s="413">
        <f>K544*VLOOKUP(E544,GWPs!$B$3:$C$6,2,FALSE)</f>
        <v>0</v>
      </c>
      <c r="N544">
        <v>3</v>
      </c>
      <c r="O544">
        <v>2</v>
      </c>
      <c r="P544">
        <v>1</v>
      </c>
      <c r="Q544">
        <v>2</v>
      </c>
      <c r="R544">
        <v>1</v>
      </c>
    </row>
    <row r="545" spans="1:18">
      <c r="A545" t="str">
        <f>_xlfn.IFNA(IF(VLOOKUP(C545,'2016_Detail_Commodity_v1.0'!C:C,1,FALSE)=C545,"No change"),"Name changed")</f>
        <v>Name changed</v>
      </c>
      <c r="B545" t="s">
        <v>579</v>
      </c>
      <c r="C545" t="s">
        <v>1619</v>
      </c>
      <c r="D545" t="s">
        <v>580</v>
      </c>
      <c r="E545" t="s">
        <v>15</v>
      </c>
      <c r="F545" t="s">
        <v>16</v>
      </c>
      <c r="G545">
        <v>5.8000000000000003E-2</v>
      </c>
      <c r="H545" s="413">
        <f>G545*VLOOKUP(E545,GWPs!$B$3:$C$6,2,FALSE)</f>
        <v>5.8000000000000003E-2</v>
      </c>
      <c r="I545">
        <v>0</v>
      </c>
      <c r="J545" s="413">
        <f>I545*VLOOKUP(E545,GWPs!$B$3:$C$6,2,FALSE)</f>
        <v>0</v>
      </c>
      <c r="K545">
        <v>5.8000000000000003E-2</v>
      </c>
      <c r="L545" s="413">
        <f>K545*VLOOKUP(E545,GWPs!$B$3:$C$6,2,FALSE)</f>
        <v>5.8000000000000003E-2</v>
      </c>
      <c r="N545">
        <v>2</v>
      </c>
      <c r="O545">
        <v>2</v>
      </c>
      <c r="P545">
        <v>1</v>
      </c>
      <c r="Q545">
        <v>1</v>
      </c>
      <c r="R545">
        <v>1</v>
      </c>
    </row>
    <row r="546" spans="1:18">
      <c r="A546" t="str">
        <f>_xlfn.IFNA(IF(VLOOKUP(C546,'2016_Detail_Commodity_v1.0'!C:C,1,FALSE)=C546,"No change"),"Name changed")</f>
        <v>Name changed</v>
      </c>
      <c r="B546" t="s">
        <v>581</v>
      </c>
      <c r="C546" t="s">
        <v>1621</v>
      </c>
      <c r="D546" t="s">
        <v>582</v>
      </c>
      <c r="E546" t="s">
        <v>3653</v>
      </c>
      <c r="F546" t="s">
        <v>12</v>
      </c>
      <c r="G546">
        <v>0.70899999999999996</v>
      </c>
      <c r="H546" s="413">
        <f>G546*VLOOKUP(E546,GWPs!$B$3:$C$6,2,FALSE)</f>
        <v>0.70899999999999996</v>
      </c>
      <c r="I546">
        <v>3.2000000000000001E-2</v>
      </c>
      <c r="J546" s="413">
        <f>I546*VLOOKUP(E546,GWPs!$B$3:$C$6,2,FALSE)</f>
        <v>3.2000000000000001E-2</v>
      </c>
      <c r="K546">
        <v>0.74199999999999999</v>
      </c>
      <c r="L546" s="413">
        <f>K546*VLOOKUP(E546,GWPs!$B$3:$C$6,2,FALSE)</f>
        <v>0.74199999999999999</v>
      </c>
      <c r="N546">
        <v>3</v>
      </c>
      <c r="O546">
        <v>2</v>
      </c>
      <c r="P546">
        <v>1</v>
      </c>
      <c r="Q546">
        <v>4</v>
      </c>
      <c r="R546">
        <v>1</v>
      </c>
    </row>
    <row r="547" spans="1:18">
      <c r="A547" t="str">
        <f>_xlfn.IFNA(IF(VLOOKUP(C547,'2016_Detail_Commodity_v1.0'!C:C,1,FALSE)=C547,"No change"),"Name changed")</f>
        <v>Name changed</v>
      </c>
      <c r="B547" t="s">
        <v>581</v>
      </c>
      <c r="C547" t="s">
        <v>1621</v>
      </c>
      <c r="D547" t="s">
        <v>582</v>
      </c>
      <c r="E547" t="s">
        <v>3654</v>
      </c>
      <c r="F547" t="s">
        <v>12</v>
      </c>
      <c r="G547">
        <v>2E-3</v>
      </c>
      <c r="H547" s="413">
        <f>G547*VLOOKUP(E547,GWPs!$B$3:$C$6,2,FALSE)</f>
        <v>5.6000000000000001E-2</v>
      </c>
      <c r="I547">
        <v>0</v>
      </c>
      <c r="J547" s="413">
        <f>I547*VLOOKUP(E547,GWPs!$B$3:$C$6,2,FALSE)</f>
        <v>0</v>
      </c>
      <c r="K547">
        <v>2E-3</v>
      </c>
      <c r="L547" s="413">
        <f>K547*VLOOKUP(E547,GWPs!$B$3:$C$6,2,FALSE)</f>
        <v>5.6000000000000001E-2</v>
      </c>
      <c r="N547">
        <v>4</v>
      </c>
      <c r="O547">
        <v>2</v>
      </c>
      <c r="P547">
        <v>1</v>
      </c>
      <c r="Q547">
        <v>1</v>
      </c>
      <c r="R547">
        <v>1</v>
      </c>
    </row>
    <row r="548" spans="1:18">
      <c r="A548" t="str">
        <f>_xlfn.IFNA(IF(VLOOKUP(C548,'2016_Detail_Commodity_v1.0'!C:C,1,FALSE)=C548,"No change"),"Name changed")</f>
        <v>Name changed</v>
      </c>
      <c r="B548" t="s">
        <v>581</v>
      </c>
      <c r="C548" t="s">
        <v>1621</v>
      </c>
      <c r="D548" t="s">
        <v>582</v>
      </c>
      <c r="E548" t="s">
        <v>3655</v>
      </c>
      <c r="F548" t="s">
        <v>12</v>
      </c>
      <c r="G548">
        <v>0</v>
      </c>
      <c r="H548" s="413">
        <f>G548*VLOOKUP(E548,GWPs!$B$3:$C$6,2,FALSE)</f>
        <v>0</v>
      </c>
      <c r="I548">
        <v>0</v>
      </c>
      <c r="J548" s="413">
        <f>I548*VLOOKUP(E548,GWPs!$B$3:$C$6,2,FALSE)</f>
        <v>0</v>
      </c>
      <c r="K548">
        <v>0</v>
      </c>
      <c r="L548" s="413">
        <f>K548*VLOOKUP(E548,GWPs!$B$3:$C$6,2,FALSE)</f>
        <v>0</v>
      </c>
      <c r="N548">
        <v>3</v>
      </c>
      <c r="O548">
        <v>2</v>
      </c>
      <c r="P548">
        <v>1</v>
      </c>
      <c r="Q548">
        <v>3</v>
      </c>
      <c r="R548">
        <v>1</v>
      </c>
    </row>
    <row r="549" spans="1:18">
      <c r="A549" t="str">
        <f>_xlfn.IFNA(IF(VLOOKUP(C549,'2016_Detail_Commodity_v1.0'!C:C,1,FALSE)=C549,"No change"),"Name changed")</f>
        <v>Name changed</v>
      </c>
      <c r="B549" t="s">
        <v>581</v>
      </c>
      <c r="C549" t="s">
        <v>1621</v>
      </c>
      <c r="D549" t="s">
        <v>582</v>
      </c>
      <c r="E549" t="s">
        <v>15</v>
      </c>
      <c r="F549" t="s">
        <v>16</v>
      </c>
      <c r="G549">
        <v>0.04</v>
      </c>
      <c r="H549" s="413">
        <f>G549*VLOOKUP(E549,GWPs!$B$3:$C$6,2,FALSE)</f>
        <v>0.04</v>
      </c>
      <c r="I549">
        <v>0</v>
      </c>
      <c r="J549" s="413">
        <f>I549*VLOOKUP(E549,GWPs!$B$3:$C$6,2,FALSE)</f>
        <v>0</v>
      </c>
      <c r="K549">
        <v>0.04</v>
      </c>
      <c r="L549" s="413">
        <f>K549*VLOOKUP(E549,GWPs!$B$3:$C$6,2,FALSE)</f>
        <v>0.04</v>
      </c>
      <c r="N549">
        <v>4</v>
      </c>
      <c r="O549">
        <v>2</v>
      </c>
      <c r="P549">
        <v>1</v>
      </c>
      <c r="Q549">
        <v>1</v>
      </c>
      <c r="R549">
        <v>1</v>
      </c>
    </row>
    <row r="550" spans="1:18">
      <c r="A550" t="str">
        <f>_xlfn.IFNA(IF(VLOOKUP(C550,'2016_Detail_Commodity_v1.0'!C:C,1,FALSE)=C550,"No change"),"Name changed")</f>
        <v>No change</v>
      </c>
      <c r="B550" t="s">
        <v>583</v>
      </c>
      <c r="C550" t="s">
        <v>584</v>
      </c>
      <c r="E550" t="s">
        <v>3653</v>
      </c>
      <c r="F550" t="s">
        <v>12</v>
      </c>
      <c r="G550">
        <v>0.6</v>
      </c>
      <c r="H550" s="413">
        <f>G550*VLOOKUP(E550,GWPs!$B$3:$C$6,2,FALSE)</f>
        <v>0.6</v>
      </c>
      <c r="I550">
        <v>2.9000000000000001E-2</v>
      </c>
      <c r="J550" s="413">
        <f>I550*VLOOKUP(E550,GWPs!$B$3:$C$6,2,FALSE)</f>
        <v>2.9000000000000001E-2</v>
      </c>
      <c r="K550">
        <v>0.63</v>
      </c>
      <c r="L550" s="413">
        <f>K550*VLOOKUP(E550,GWPs!$B$3:$C$6,2,FALSE)</f>
        <v>0.63</v>
      </c>
      <c r="N550">
        <v>3</v>
      </c>
      <c r="O550">
        <v>2</v>
      </c>
      <c r="P550">
        <v>1</v>
      </c>
      <c r="Q550">
        <v>3</v>
      </c>
      <c r="R550">
        <v>1</v>
      </c>
    </row>
    <row r="551" spans="1:18">
      <c r="A551" t="str">
        <f>_xlfn.IFNA(IF(VLOOKUP(C551,'2016_Detail_Commodity_v1.0'!C:C,1,FALSE)=C551,"No change"),"Name changed")</f>
        <v>No change</v>
      </c>
      <c r="B551" t="s">
        <v>583</v>
      </c>
      <c r="C551" t="s">
        <v>584</v>
      </c>
      <c r="E551" t="s">
        <v>3654</v>
      </c>
      <c r="F551" t="s">
        <v>12</v>
      </c>
      <c r="G551">
        <v>2E-3</v>
      </c>
      <c r="H551" s="413">
        <f>G551*VLOOKUP(E551,GWPs!$B$3:$C$6,2,FALSE)</f>
        <v>5.6000000000000001E-2</v>
      </c>
      <c r="I551">
        <v>0</v>
      </c>
      <c r="J551" s="413">
        <f>I551*VLOOKUP(E551,GWPs!$B$3:$C$6,2,FALSE)</f>
        <v>0</v>
      </c>
      <c r="K551">
        <v>2E-3</v>
      </c>
      <c r="L551" s="413">
        <f>K551*VLOOKUP(E551,GWPs!$B$3:$C$6,2,FALSE)</f>
        <v>5.6000000000000001E-2</v>
      </c>
      <c r="N551">
        <v>4</v>
      </c>
      <c r="O551">
        <v>2</v>
      </c>
      <c r="P551">
        <v>1</v>
      </c>
      <c r="Q551">
        <v>1</v>
      </c>
      <c r="R551">
        <v>1</v>
      </c>
    </row>
    <row r="552" spans="1:18">
      <c r="A552" t="str">
        <f>_xlfn.IFNA(IF(VLOOKUP(C552,'2016_Detail_Commodity_v1.0'!C:C,1,FALSE)=C552,"No change"),"Name changed")</f>
        <v>No change</v>
      </c>
      <c r="B552" t="s">
        <v>583</v>
      </c>
      <c r="C552" t="s">
        <v>584</v>
      </c>
      <c r="E552" t="s">
        <v>3655</v>
      </c>
      <c r="F552" t="s">
        <v>12</v>
      </c>
      <c r="G552">
        <v>0</v>
      </c>
      <c r="H552" s="413">
        <f>G552*VLOOKUP(E552,GWPs!$B$3:$C$6,2,FALSE)</f>
        <v>0</v>
      </c>
      <c r="I552">
        <v>0</v>
      </c>
      <c r="J552" s="413">
        <f>I552*VLOOKUP(E552,GWPs!$B$3:$C$6,2,FALSE)</f>
        <v>0</v>
      </c>
      <c r="K552">
        <v>0</v>
      </c>
      <c r="L552" s="413">
        <f>K552*VLOOKUP(E552,GWPs!$B$3:$C$6,2,FALSE)</f>
        <v>0</v>
      </c>
      <c r="N552">
        <v>3</v>
      </c>
      <c r="O552">
        <v>2</v>
      </c>
      <c r="P552">
        <v>1</v>
      </c>
      <c r="Q552">
        <v>3</v>
      </c>
      <c r="R552">
        <v>1</v>
      </c>
    </row>
    <row r="553" spans="1:18">
      <c r="A553" t="str">
        <f>_xlfn.IFNA(IF(VLOOKUP(C553,'2016_Detail_Commodity_v1.0'!C:C,1,FALSE)=C553,"No change"),"Name changed")</f>
        <v>No change</v>
      </c>
      <c r="B553" t="s">
        <v>583</v>
      </c>
      <c r="C553" t="s">
        <v>584</v>
      </c>
      <c r="E553" t="s">
        <v>15</v>
      </c>
      <c r="F553" t="s">
        <v>16</v>
      </c>
      <c r="G553">
        <v>2.3E-2</v>
      </c>
      <c r="H553" s="413">
        <f>G553*VLOOKUP(E553,GWPs!$B$3:$C$6,2,FALSE)</f>
        <v>2.3E-2</v>
      </c>
      <c r="I553">
        <v>0</v>
      </c>
      <c r="J553" s="413">
        <f>I553*VLOOKUP(E553,GWPs!$B$3:$C$6,2,FALSE)</f>
        <v>0</v>
      </c>
      <c r="K553">
        <v>2.3E-2</v>
      </c>
      <c r="L553" s="413">
        <f>K553*VLOOKUP(E553,GWPs!$B$3:$C$6,2,FALSE)</f>
        <v>2.3E-2</v>
      </c>
      <c r="N553">
        <v>4</v>
      </c>
      <c r="O553">
        <v>2</v>
      </c>
      <c r="P553">
        <v>1</v>
      </c>
      <c r="Q553">
        <v>1</v>
      </c>
      <c r="R553">
        <v>1</v>
      </c>
    </row>
    <row r="554" spans="1:18">
      <c r="A554" t="str">
        <f>_xlfn.IFNA(IF(VLOOKUP(C554,'2016_Detail_Commodity_v1.0'!C:C,1,FALSE)=C554,"No change"),"Name changed")</f>
        <v>No change</v>
      </c>
      <c r="B554" t="s">
        <v>585</v>
      </c>
      <c r="C554" t="s">
        <v>586</v>
      </c>
      <c r="E554" t="s">
        <v>3653</v>
      </c>
      <c r="F554" t="s">
        <v>12</v>
      </c>
      <c r="G554">
        <v>0.58299999999999996</v>
      </c>
      <c r="H554" s="413">
        <f>G554*VLOOKUP(E554,GWPs!$B$3:$C$6,2,FALSE)</f>
        <v>0.58299999999999996</v>
      </c>
      <c r="I554">
        <v>2.9000000000000001E-2</v>
      </c>
      <c r="J554" s="413">
        <f>I554*VLOOKUP(E554,GWPs!$B$3:$C$6,2,FALSE)</f>
        <v>2.9000000000000001E-2</v>
      </c>
      <c r="K554">
        <v>0.61199999999999999</v>
      </c>
      <c r="L554" s="413">
        <f>K554*VLOOKUP(E554,GWPs!$B$3:$C$6,2,FALSE)</f>
        <v>0.61199999999999999</v>
      </c>
      <c r="N554">
        <v>3</v>
      </c>
      <c r="O554">
        <v>2</v>
      </c>
      <c r="P554">
        <v>1</v>
      </c>
      <c r="Q554">
        <v>3</v>
      </c>
      <c r="R554">
        <v>1</v>
      </c>
    </row>
    <row r="555" spans="1:18">
      <c r="A555" t="str">
        <f>_xlfn.IFNA(IF(VLOOKUP(C555,'2016_Detail_Commodity_v1.0'!C:C,1,FALSE)=C555,"No change"),"Name changed")</f>
        <v>No change</v>
      </c>
      <c r="B555" t="s">
        <v>585</v>
      </c>
      <c r="C555" t="s">
        <v>586</v>
      </c>
      <c r="E555" t="s">
        <v>3654</v>
      </c>
      <c r="F555" t="s">
        <v>12</v>
      </c>
      <c r="G555">
        <v>2E-3</v>
      </c>
      <c r="H555" s="413">
        <f>G555*VLOOKUP(E555,GWPs!$B$3:$C$6,2,FALSE)</f>
        <v>5.6000000000000001E-2</v>
      </c>
      <c r="I555">
        <v>0</v>
      </c>
      <c r="J555" s="413">
        <f>I555*VLOOKUP(E555,GWPs!$B$3:$C$6,2,FALSE)</f>
        <v>0</v>
      </c>
      <c r="K555">
        <v>2E-3</v>
      </c>
      <c r="L555" s="413">
        <f>K555*VLOOKUP(E555,GWPs!$B$3:$C$6,2,FALSE)</f>
        <v>5.6000000000000001E-2</v>
      </c>
      <c r="N555">
        <v>4</v>
      </c>
      <c r="O555">
        <v>2</v>
      </c>
      <c r="P555">
        <v>1</v>
      </c>
      <c r="Q555">
        <v>1</v>
      </c>
      <c r="R555">
        <v>1</v>
      </c>
    </row>
    <row r="556" spans="1:18">
      <c r="A556" t="str">
        <f>_xlfn.IFNA(IF(VLOOKUP(C556,'2016_Detail_Commodity_v1.0'!C:C,1,FALSE)=C556,"No change"),"Name changed")</f>
        <v>No change</v>
      </c>
      <c r="B556" t="s">
        <v>585</v>
      </c>
      <c r="C556" t="s">
        <v>586</v>
      </c>
      <c r="E556" t="s">
        <v>3655</v>
      </c>
      <c r="F556" t="s">
        <v>12</v>
      </c>
      <c r="G556">
        <v>0</v>
      </c>
      <c r="H556" s="413">
        <f>G556*VLOOKUP(E556,GWPs!$B$3:$C$6,2,FALSE)</f>
        <v>0</v>
      </c>
      <c r="I556">
        <v>0</v>
      </c>
      <c r="J556" s="413">
        <f>I556*VLOOKUP(E556,GWPs!$B$3:$C$6,2,FALSE)</f>
        <v>0</v>
      </c>
      <c r="K556">
        <v>0</v>
      </c>
      <c r="L556" s="413">
        <f>K556*VLOOKUP(E556,GWPs!$B$3:$C$6,2,FALSE)</f>
        <v>0</v>
      </c>
      <c r="N556">
        <v>3</v>
      </c>
      <c r="O556">
        <v>2</v>
      </c>
      <c r="P556">
        <v>1</v>
      </c>
      <c r="Q556">
        <v>3</v>
      </c>
      <c r="R556">
        <v>1</v>
      </c>
    </row>
    <row r="557" spans="1:18">
      <c r="A557" t="str">
        <f>_xlfn.IFNA(IF(VLOOKUP(C557,'2016_Detail_Commodity_v1.0'!C:C,1,FALSE)=C557,"No change"),"Name changed")</f>
        <v>No change</v>
      </c>
      <c r="B557" t="s">
        <v>585</v>
      </c>
      <c r="C557" t="s">
        <v>586</v>
      </c>
      <c r="E557" t="s">
        <v>15</v>
      </c>
      <c r="F557" t="s">
        <v>16</v>
      </c>
      <c r="G557">
        <v>0.04</v>
      </c>
      <c r="H557" s="413">
        <f>G557*VLOOKUP(E557,GWPs!$B$3:$C$6,2,FALSE)</f>
        <v>0.04</v>
      </c>
      <c r="I557">
        <v>0</v>
      </c>
      <c r="J557" s="413">
        <f>I557*VLOOKUP(E557,GWPs!$B$3:$C$6,2,FALSE)</f>
        <v>0</v>
      </c>
      <c r="K557">
        <v>0.04</v>
      </c>
      <c r="L557" s="413">
        <f>K557*VLOOKUP(E557,GWPs!$B$3:$C$6,2,FALSE)</f>
        <v>0.04</v>
      </c>
      <c r="N557">
        <v>4</v>
      </c>
      <c r="O557">
        <v>2</v>
      </c>
      <c r="P557">
        <v>1</v>
      </c>
      <c r="Q557">
        <v>1</v>
      </c>
      <c r="R557">
        <v>1</v>
      </c>
    </row>
    <row r="558" spans="1:18">
      <c r="A558" t="str">
        <f>_xlfn.IFNA(IF(VLOOKUP(C558,'2016_Detail_Commodity_v1.0'!C:C,1,FALSE)=C558,"No change"),"Name changed")</f>
        <v>No change</v>
      </c>
      <c r="B558" t="s">
        <v>587</v>
      </c>
      <c r="C558" t="s">
        <v>588</v>
      </c>
      <c r="E558" t="s">
        <v>3653</v>
      </c>
      <c r="F558" t="s">
        <v>12</v>
      </c>
      <c r="G558">
        <v>0.38700000000000001</v>
      </c>
      <c r="H558" s="413">
        <f>G558*VLOOKUP(E558,GWPs!$B$3:$C$6,2,FALSE)</f>
        <v>0.38700000000000001</v>
      </c>
      <c r="I558">
        <v>2.5000000000000001E-2</v>
      </c>
      <c r="J558" s="413">
        <f>I558*VLOOKUP(E558,GWPs!$B$3:$C$6,2,FALSE)</f>
        <v>2.5000000000000001E-2</v>
      </c>
      <c r="K558">
        <v>0.41299999999999998</v>
      </c>
      <c r="L558" s="413">
        <f>K558*VLOOKUP(E558,GWPs!$B$3:$C$6,2,FALSE)</f>
        <v>0.41299999999999998</v>
      </c>
      <c r="N558">
        <v>3</v>
      </c>
      <c r="O558">
        <v>2</v>
      </c>
      <c r="P558">
        <v>1</v>
      </c>
      <c r="Q558">
        <v>3</v>
      </c>
      <c r="R558">
        <v>1</v>
      </c>
    </row>
    <row r="559" spans="1:18">
      <c r="A559" t="str">
        <f>_xlfn.IFNA(IF(VLOOKUP(C559,'2016_Detail_Commodity_v1.0'!C:C,1,FALSE)=C559,"No change"),"Name changed")</f>
        <v>No change</v>
      </c>
      <c r="B559" t="s">
        <v>587</v>
      </c>
      <c r="C559" t="s">
        <v>588</v>
      </c>
      <c r="E559" t="s">
        <v>3654</v>
      </c>
      <c r="F559" t="s">
        <v>12</v>
      </c>
      <c r="G559">
        <v>2E-3</v>
      </c>
      <c r="H559" s="413">
        <f>G559*VLOOKUP(E559,GWPs!$B$3:$C$6,2,FALSE)</f>
        <v>5.6000000000000001E-2</v>
      </c>
      <c r="I559">
        <v>0</v>
      </c>
      <c r="J559" s="413">
        <f>I559*VLOOKUP(E559,GWPs!$B$3:$C$6,2,FALSE)</f>
        <v>0</v>
      </c>
      <c r="K559">
        <v>2E-3</v>
      </c>
      <c r="L559" s="413">
        <f>K559*VLOOKUP(E559,GWPs!$B$3:$C$6,2,FALSE)</f>
        <v>5.6000000000000001E-2</v>
      </c>
      <c r="N559">
        <v>4</v>
      </c>
      <c r="O559">
        <v>2</v>
      </c>
      <c r="P559">
        <v>1</v>
      </c>
      <c r="Q559">
        <v>1</v>
      </c>
      <c r="R559">
        <v>1</v>
      </c>
    </row>
    <row r="560" spans="1:18">
      <c r="A560" t="str">
        <f>_xlfn.IFNA(IF(VLOOKUP(C560,'2016_Detail_Commodity_v1.0'!C:C,1,FALSE)=C560,"No change"),"Name changed")</f>
        <v>No change</v>
      </c>
      <c r="B560" t="s">
        <v>587</v>
      </c>
      <c r="C560" t="s">
        <v>588</v>
      </c>
      <c r="E560" t="s">
        <v>3655</v>
      </c>
      <c r="F560" t="s">
        <v>12</v>
      </c>
      <c r="G560">
        <v>0</v>
      </c>
      <c r="H560" s="413">
        <f>G560*VLOOKUP(E560,GWPs!$B$3:$C$6,2,FALSE)</f>
        <v>0</v>
      </c>
      <c r="I560">
        <v>0</v>
      </c>
      <c r="J560" s="413">
        <f>I560*VLOOKUP(E560,GWPs!$B$3:$C$6,2,FALSE)</f>
        <v>0</v>
      </c>
      <c r="K560">
        <v>0</v>
      </c>
      <c r="L560" s="413">
        <f>K560*VLOOKUP(E560,GWPs!$B$3:$C$6,2,FALSE)</f>
        <v>0</v>
      </c>
      <c r="N560">
        <v>3</v>
      </c>
      <c r="O560">
        <v>2</v>
      </c>
      <c r="P560">
        <v>1</v>
      </c>
      <c r="Q560">
        <v>3</v>
      </c>
      <c r="R560">
        <v>1</v>
      </c>
    </row>
    <row r="561" spans="1:18">
      <c r="A561" t="str">
        <f>_xlfn.IFNA(IF(VLOOKUP(C561,'2016_Detail_Commodity_v1.0'!C:C,1,FALSE)=C561,"No change"),"Name changed")</f>
        <v>No change</v>
      </c>
      <c r="B561" t="s">
        <v>587</v>
      </c>
      <c r="C561" t="s">
        <v>588</v>
      </c>
      <c r="E561" t="s">
        <v>15</v>
      </c>
      <c r="F561" t="s">
        <v>16</v>
      </c>
      <c r="G561">
        <v>7.0000000000000001E-3</v>
      </c>
      <c r="H561" s="413">
        <f>G561*VLOOKUP(E561,GWPs!$B$3:$C$6,2,FALSE)</f>
        <v>7.0000000000000001E-3</v>
      </c>
      <c r="I561">
        <v>0</v>
      </c>
      <c r="J561" s="413">
        <f>I561*VLOOKUP(E561,GWPs!$B$3:$C$6,2,FALSE)</f>
        <v>0</v>
      </c>
      <c r="K561">
        <v>7.0000000000000001E-3</v>
      </c>
      <c r="L561" s="413">
        <f>K561*VLOOKUP(E561,GWPs!$B$3:$C$6,2,FALSE)</f>
        <v>7.0000000000000001E-3</v>
      </c>
      <c r="N561">
        <v>3</v>
      </c>
      <c r="O561">
        <v>2</v>
      </c>
      <c r="P561">
        <v>1</v>
      </c>
      <c r="Q561">
        <v>2</v>
      </c>
      <c r="R561">
        <v>1</v>
      </c>
    </row>
    <row r="562" spans="1:18">
      <c r="A562" t="str">
        <f>_xlfn.IFNA(IF(VLOOKUP(C562,'2016_Detail_Commodity_v1.0'!C:C,1,FALSE)=C562,"No change"),"Name changed")</f>
        <v>No change</v>
      </c>
      <c r="B562" t="s">
        <v>589</v>
      </c>
      <c r="C562" t="s">
        <v>590</v>
      </c>
      <c r="E562" t="s">
        <v>3653</v>
      </c>
      <c r="F562" t="s">
        <v>12</v>
      </c>
      <c r="G562">
        <v>0.41899999999999998</v>
      </c>
      <c r="H562" s="413">
        <f>G562*VLOOKUP(E562,GWPs!$B$3:$C$6,2,FALSE)</f>
        <v>0.41899999999999998</v>
      </c>
      <c r="I562">
        <v>2.5999999999999999E-2</v>
      </c>
      <c r="J562" s="413">
        <f>I562*VLOOKUP(E562,GWPs!$B$3:$C$6,2,FALSE)</f>
        <v>2.5999999999999999E-2</v>
      </c>
      <c r="K562">
        <v>0.44500000000000001</v>
      </c>
      <c r="L562" s="413">
        <f>K562*VLOOKUP(E562,GWPs!$B$3:$C$6,2,FALSE)</f>
        <v>0.44500000000000001</v>
      </c>
      <c r="N562">
        <v>3</v>
      </c>
      <c r="O562">
        <v>2</v>
      </c>
      <c r="P562">
        <v>1</v>
      </c>
      <c r="Q562">
        <v>3</v>
      </c>
      <c r="R562">
        <v>1</v>
      </c>
    </row>
    <row r="563" spans="1:18">
      <c r="A563" t="str">
        <f>_xlfn.IFNA(IF(VLOOKUP(C563,'2016_Detail_Commodity_v1.0'!C:C,1,FALSE)=C563,"No change"),"Name changed")</f>
        <v>No change</v>
      </c>
      <c r="B563" t="s">
        <v>589</v>
      </c>
      <c r="C563" t="s">
        <v>590</v>
      </c>
      <c r="E563" t="s">
        <v>3654</v>
      </c>
      <c r="F563" t="s">
        <v>12</v>
      </c>
      <c r="G563">
        <v>2E-3</v>
      </c>
      <c r="H563" s="413">
        <f>G563*VLOOKUP(E563,GWPs!$B$3:$C$6,2,FALSE)</f>
        <v>5.6000000000000001E-2</v>
      </c>
      <c r="I563">
        <v>0</v>
      </c>
      <c r="J563" s="413">
        <f>I563*VLOOKUP(E563,GWPs!$B$3:$C$6,2,FALSE)</f>
        <v>0</v>
      </c>
      <c r="K563">
        <v>2E-3</v>
      </c>
      <c r="L563" s="413">
        <f>K563*VLOOKUP(E563,GWPs!$B$3:$C$6,2,FALSE)</f>
        <v>5.6000000000000001E-2</v>
      </c>
      <c r="N563">
        <v>4</v>
      </c>
      <c r="O563">
        <v>2</v>
      </c>
      <c r="P563">
        <v>1</v>
      </c>
      <c r="Q563">
        <v>1</v>
      </c>
      <c r="R563">
        <v>1</v>
      </c>
    </row>
    <row r="564" spans="1:18">
      <c r="A564" t="str">
        <f>_xlfn.IFNA(IF(VLOOKUP(C564,'2016_Detail_Commodity_v1.0'!C:C,1,FALSE)=C564,"No change"),"Name changed")</f>
        <v>No change</v>
      </c>
      <c r="B564" t="s">
        <v>589</v>
      </c>
      <c r="C564" t="s">
        <v>590</v>
      </c>
      <c r="E564" t="s">
        <v>3655</v>
      </c>
      <c r="F564" t="s">
        <v>12</v>
      </c>
      <c r="G564">
        <v>0</v>
      </c>
      <c r="H564" s="413">
        <f>G564*VLOOKUP(E564,GWPs!$B$3:$C$6,2,FALSE)</f>
        <v>0</v>
      </c>
      <c r="I564">
        <v>0</v>
      </c>
      <c r="J564" s="413">
        <f>I564*VLOOKUP(E564,GWPs!$B$3:$C$6,2,FALSE)</f>
        <v>0</v>
      </c>
      <c r="K564">
        <v>0</v>
      </c>
      <c r="L564" s="413">
        <f>K564*VLOOKUP(E564,GWPs!$B$3:$C$6,2,FALSE)</f>
        <v>0</v>
      </c>
      <c r="N564">
        <v>3</v>
      </c>
      <c r="O564">
        <v>2</v>
      </c>
      <c r="P564">
        <v>1</v>
      </c>
      <c r="Q564">
        <v>2</v>
      </c>
      <c r="R564">
        <v>1</v>
      </c>
    </row>
    <row r="565" spans="1:18">
      <c r="A565" t="str">
        <f>_xlfn.IFNA(IF(VLOOKUP(C565,'2016_Detail_Commodity_v1.0'!C:C,1,FALSE)=C565,"No change"),"Name changed")</f>
        <v>No change</v>
      </c>
      <c r="B565" t="s">
        <v>589</v>
      </c>
      <c r="C565" t="s">
        <v>590</v>
      </c>
      <c r="E565" t="s">
        <v>15</v>
      </c>
      <c r="F565" t="s">
        <v>16</v>
      </c>
      <c r="G565">
        <v>4.3999999999999997E-2</v>
      </c>
      <c r="H565" s="413">
        <f>G565*VLOOKUP(E565,GWPs!$B$3:$C$6,2,FALSE)</f>
        <v>4.3999999999999997E-2</v>
      </c>
      <c r="I565">
        <v>0</v>
      </c>
      <c r="J565" s="413">
        <f>I565*VLOOKUP(E565,GWPs!$B$3:$C$6,2,FALSE)</f>
        <v>0</v>
      </c>
      <c r="K565">
        <v>4.3999999999999997E-2</v>
      </c>
      <c r="L565" s="413">
        <f>K565*VLOOKUP(E565,GWPs!$B$3:$C$6,2,FALSE)</f>
        <v>4.3999999999999997E-2</v>
      </c>
      <c r="N565">
        <v>3</v>
      </c>
      <c r="O565">
        <v>2</v>
      </c>
      <c r="P565">
        <v>1</v>
      </c>
      <c r="Q565">
        <v>1</v>
      </c>
      <c r="R565">
        <v>1</v>
      </c>
    </row>
    <row r="566" spans="1:18">
      <c r="A566" t="str">
        <f>_xlfn.IFNA(IF(VLOOKUP(C566,'2016_Detail_Commodity_v1.0'!C:C,1,FALSE)=C566,"No change"),"Name changed")</f>
        <v>No change</v>
      </c>
      <c r="B566" t="s">
        <v>591</v>
      </c>
      <c r="C566" t="s">
        <v>592</v>
      </c>
      <c r="E566" t="s">
        <v>3653</v>
      </c>
      <c r="F566" t="s">
        <v>12</v>
      </c>
      <c r="G566">
        <v>0.68300000000000005</v>
      </c>
      <c r="H566" s="413">
        <f>G566*VLOOKUP(E566,GWPs!$B$3:$C$6,2,FALSE)</f>
        <v>0.68300000000000005</v>
      </c>
      <c r="I566">
        <v>0.03</v>
      </c>
      <c r="J566" s="413">
        <f>I566*VLOOKUP(E566,GWPs!$B$3:$C$6,2,FALSE)</f>
        <v>0.03</v>
      </c>
      <c r="K566">
        <v>0.71299999999999997</v>
      </c>
      <c r="L566" s="413">
        <f>K566*VLOOKUP(E566,GWPs!$B$3:$C$6,2,FALSE)</f>
        <v>0.71299999999999997</v>
      </c>
      <c r="N566">
        <v>3</v>
      </c>
      <c r="O566">
        <v>2</v>
      </c>
      <c r="P566">
        <v>1</v>
      </c>
      <c r="Q566">
        <v>2</v>
      </c>
      <c r="R566">
        <v>1</v>
      </c>
    </row>
    <row r="567" spans="1:18">
      <c r="A567" t="str">
        <f>_xlfn.IFNA(IF(VLOOKUP(C567,'2016_Detail_Commodity_v1.0'!C:C,1,FALSE)=C567,"No change"),"Name changed")</f>
        <v>No change</v>
      </c>
      <c r="B567" t="s">
        <v>591</v>
      </c>
      <c r="C567" t="s">
        <v>592</v>
      </c>
      <c r="E567" t="s">
        <v>3654</v>
      </c>
      <c r="F567" t="s">
        <v>12</v>
      </c>
      <c r="G567">
        <v>3.0000000000000001E-3</v>
      </c>
      <c r="H567" s="413">
        <f>G567*VLOOKUP(E567,GWPs!$B$3:$C$6,2,FALSE)</f>
        <v>8.4000000000000005E-2</v>
      </c>
      <c r="I567">
        <v>0</v>
      </c>
      <c r="J567" s="413">
        <f>I567*VLOOKUP(E567,GWPs!$B$3:$C$6,2,FALSE)</f>
        <v>0</v>
      </c>
      <c r="K567">
        <v>3.0000000000000001E-3</v>
      </c>
      <c r="L567" s="413">
        <f>K567*VLOOKUP(E567,GWPs!$B$3:$C$6,2,FALSE)</f>
        <v>8.4000000000000005E-2</v>
      </c>
      <c r="N567">
        <v>4</v>
      </c>
      <c r="O567">
        <v>2</v>
      </c>
      <c r="P567">
        <v>1</v>
      </c>
      <c r="Q567">
        <v>1</v>
      </c>
      <c r="R567">
        <v>1</v>
      </c>
    </row>
    <row r="568" spans="1:18">
      <c r="A568" t="str">
        <f>_xlfn.IFNA(IF(VLOOKUP(C568,'2016_Detail_Commodity_v1.0'!C:C,1,FALSE)=C568,"No change"),"Name changed")</f>
        <v>No change</v>
      </c>
      <c r="B568" t="s">
        <v>591</v>
      </c>
      <c r="C568" t="s">
        <v>592</v>
      </c>
      <c r="E568" t="s">
        <v>3655</v>
      </c>
      <c r="F568" t="s">
        <v>12</v>
      </c>
      <c r="G568">
        <v>0</v>
      </c>
      <c r="H568" s="413">
        <f>G568*VLOOKUP(E568,GWPs!$B$3:$C$6,2,FALSE)</f>
        <v>0</v>
      </c>
      <c r="I568">
        <v>0</v>
      </c>
      <c r="J568" s="413">
        <f>I568*VLOOKUP(E568,GWPs!$B$3:$C$6,2,FALSE)</f>
        <v>0</v>
      </c>
      <c r="K568">
        <v>0</v>
      </c>
      <c r="L568" s="413">
        <f>K568*VLOOKUP(E568,GWPs!$B$3:$C$6,2,FALSE)</f>
        <v>0</v>
      </c>
      <c r="N568">
        <v>3</v>
      </c>
      <c r="O568">
        <v>2</v>
      </c>
      <c r="P568">
        <v>1</v>
      </c>
      <c r="Q568">
        <v>3</v>
      </c>
      <c r="R568">
        <v>1</v>
      </c>
    </row>
    <row r="569" spans="1:18">
      <c r="A569" t="str">
        <f>_xlfn.IFNA(IF(VLOOKUP(C569,'2016_Detail_Commodity_v1.0'!C:C,1,FALSE)=C569,"No change"),"Name changed")</f>
        <v>No change</v>
      </c>
      <c r="B569" t="s">
        <v>591</v>
      </c>
      <c r="C569" t="s">
        <v>592</v>
      </c>
      <c r="E569" t="s">
        <v>15</v>
      </c>
      <c r="F569" t="s">
        <v>16</v>
      </c>
      <c r="G569">
        <v>1.0999999999999999E-2</v>
      </c>
      <c r="H569" s="413">
        <f>G569*VLOOKUP(E569,GWPs!$B$3:$C$6,2,FALSE)</f>
        <v>1.0999999999999999E-2</v>
      </c>
      <c r="I569">
        <v>0</v>
      </c>
      <c r="J569" s="413">
        <f>I569*VLOOKUP(E569,GWPs!$B$3:$C$6,2,FALSE)</f>
        <v>0</v>
      </c>
      <c r="K569">
        <v>1.0999999999999999E-2</v>
      </c>
      <c r="L569" s="413">
        <f>K569*VLOOKUP(E569,GWPs!$B$3:$C$6,2,FALSE)</f>
        <v>1.0999999999999999E-2</v>
      </c>
      <c r="N569">
        <v>3</v>
      </c>
      <c r="O569">
        <v>2</v>
      </c>
      <c r="P569">
        <v>1</v>
      </c>
      <c r="Q569">
        <v>2</v>
      </c>
      <c r="R569">
        <v>1</v>
      </c>
    </row>
    <row r="570" spans="1:18">
      <c r="A570" t="str">
        <f>_xlfn.IFNA(IF(VLOOKUP(C570,'2016_Detail_Commodity_v1.0'!C:C,1,FALSE)=C570,"No change"),"Name changed")</f>
        <v>Name changed</v>
      </c>
      <c r="B570" t="s">
        <v>593</v>
      </c>
      <c r="C570" t="s">
        <v>1399</v>
      </c>
      <c r="D570" t="s">
        <v>594</v>
      </c>
      <c r="E570" t="s">
        <v>3653</v>
      </c>
      <c r="F570" t="s">
        <v>12</v>
      </c>
      <c r="G570">
        <v>0.35799999999999998</v>
      </c>
      <c r="H570" s="413">
        <f>G570*VLOOKUP(E570,GWPs!$B$3:$C$6,2,FALSE)</f>
        <v>0.35799999999999998</v>
      </c>
      <c r="I570">
        <v>3.5000000000000003E-2</v>
      </c>
      <c r="J570" s="413">
        <f>I570*VLOOKUP(E570,GWPs!$B$3:$C$6,2,FALSE)</f>
        <v>3.5000000000000003E-2</v>
      </c>
      <c r="K570">
        <v>0.39300000000000002</v>
      </c>
      <c r="L570" s="413">
        <f>K570*VLOOKUP(E570,GWPs!$B$3:$C$6,2,FALSE)</f>
        <v>0.39300000000000002</v>
      </c>
      <c r="N570">
        <v>3</v>
      </c>
      <c r="O570">
        <v>2</v>
      </c>
      <c r="P570">
        <v>1</v>
      </c>
      <c r="Q570">
        <v>3</v>
      </c>
      <c r="R570">
        <v>1</v>
      </c>
    </row>
    <row r="571" spans="1:18">
      <c r="A571" t="str">
        <f>_xlfn.IFNA(IF(VLOOKUP(C571,'2016_Detail_Commodity_v1.0'!C:C,1,FALSE)=C571,"No change"),"Name changed")</f>
        <v>Name changed</v>
      </c>
      <c r="B571" t="s">
        <v>593</v>
      </c>
      <c r="C571" t="s">
        <v>1399</v>
      </c>
      <c r="D571" t="s">
        <v>594</v>
      </c>
      <c r="E571" t="s">
        <v>3654</v>
      </c>
      <c r="F571" t="s">
        <v>12</v>
      </c>
      <c r="G571">
        <v>1E-3</v>
      </c>
      <c r="H571" s="413">
        <f>G571*VLOOKUP(E571,GWPs!$B$3:$C$6,2,FALSE)</f>
        <v>2.8000000000000001E-2</v>
      </c>
      <c r="I571">
        <v>0</v>
      </c>
      <c r="J571" s="413">
        <f>I571*VLOOKUP(E571,GWPs!$B$3:$C$6,2,FALSE)</f>
        <v>0</v>
      </c>
      <c r="K571">
        <v>2E-3</v>
      </c>
      <c r="L571" s="413">
        <f>K571*VLOOKUP(E571,GWPs!$B$3:$C$6,2,FALSE)</f>
        <v>5.6000000000000001E-2</v>
      </c>
      <c r="N571">
        <v>4</v>
      </c>
      <c r="O571">
        <v>2</v>
      </c>
      <c r="P571">
        <v>1</v>
      </c>
      <c r="Q571">
        <v>1</v>
      </c>
      <c r="R571">
        <v>1</v>
      </c>
    </row>
    <row r="572" spans="1:18">
      <c r="A572" t="str">
        <f>_xlfn.IFNA(IF(VLOOKUP(C572,'2016_Detail_Commodity_v1.0'!C:C,1,FALSE)=C572,"No change"),"Name changed")</f>
        <v>Name changed</v>
      </c>
      <c r="B572" t="s">
        <v>593</v>
      </c>
      <c r="C572" t="s">
        <v>1399</v>
      </c>
      <c r="D572" t="s">
        <v>594</v>
      </c>
      <c r="E572" t="s">
        <v>3655</v>
      </c>
      <c r="F572" t="s">
        <v>12</v>
      </c>
      <c r="G572">
        <v>0</v>
      </c>
      <c r="H572" s="413">
        <f>G572*VLOOKUP(E572,GWPs!$B$3:$C$6,2,FALSE)</f>
        <v>0</v>
      </c>
      <c r="I572">
        <v>0</v>
      </c>
      <c r="J572" s="413">
        <f>I572*VLOOKUP(E572,GWPs!$B$3:$C$6,2,FALSE)</f>
        <v>0</v>
      </c>
      <c r="K572">
        <v>0</v>
      </c>
      <c r="L572" s="413">
        <f>K572*VLOOKUP(E572,GWPs!$B$3:$C$6,2,FALSE)</f>
        <v>0</v>
      </c>
      <c r="N572">
        <v>3</v>
      </c>
      <c r="O572">
        <v>2</v>
      </c>
      <c r="P572">
        <v>1</v>
      </c>
      <c r="Q572">
        <v>3</v>
      </c>
      <c r="R572">
        <v>1</v>
      </c>
    </row>
    <row r="573" spans="1:18">
      <c r="A573" t="str">
        <f>_xlfn.IFNA(IF(VLOOKUP(C573,'2016_Detail_Commodity_v1.0'!C:C,1,FALSE)=C573,"No change"),"Name changed")</f>
        <v>Name changed</v>
      </c>
      <c r="B573" t="s">
        <v>593</v>
      </c>
      <c r="C573" t="s">
        <v>1399</v>
      </c>
      <c r="D573" t="s">
        <v>594</v>
      </c>
      <c r="E573" t="s">
        <v>15</v>
      </c>
      <c r="F573" t="s">
        <v>16</v>
      </c>
      <c r="G573">
        <v>1.0999999999999999E-2</v>
      </c>
      <c r="H573" s="413">
        <f>G573*VLOOKUP(E573,GWPs!$B$3:$C$6,2,FALSE)</f>
        <v>1.0999999999999999E-2</v>
      </c>
      <c r="I573">
        <v>0</v>
      </c>
      <c r="J573" s="413">
        <f>I573*VLOOKUP(E573,GWPs!$B$3:$C$6,2,FALSE)</f>
        <v>0</v>
      </c>
      <c r="K573">
        <v>1.0999999999999999E-2</v>
      </c>
      <c r="L573" s="413">
        <f>K573*VLOOKUP(E573,GWPs!$B$3:$C$6,2,FALSE)</f>
        <v>1.0999999999999999E-2</v>
      </c>
      <c r="N573">
        <v>3</v>
      </c>
      <c r="O573">
        <v>2</v>
      </c>
      <c r="P573">
        <v>1</v>
      </c>
      <c r="Q573">
        <v>3</v>
      </c>
      <c r="R573">
        <v>1</v>
      </c>
    </row>
    <row r="574" spans="1:18">
      <c r="A574" t="str">
        <f>_xlfn.IFNA(IF(VLOOKUP(C574,'2016_Detail_Commodity_v1.0'!C:C,1,FALSE)=C574,"No change"),"Name changed")</f>
        <v>No change</v>
      </c>
      <c r="B574" t="s">
        <v>595</v>
      </c>
      <c r="C574" t="s">
        <v>596</v>
      </c>
      <c r="E574" t="s">
        <v>3653</v>
      </c>
      <c r="F574" t="s">
        <v>12</v>
      </c>
      <c r="G574">
        <v>0.55300000000000005</v>
      </c>
      <c r="H574" s="413">
        <f>G574*VLOOKUP(E574,GWPs!$B$3:$C$6,2,FALSE)</f>
        <v>0.55300000000000005</v>
      </c>
      <c r="I574">
        <v>2.7E-2</v>
      </c>
      <c r="J574" s="413">
        <f>I574*VLOOKUP(E574,GWPs!$B$3:$C$6,2,FALSE)</f>
        <v>2.7E-2</v>
      </c>
      <c r="K574">
        <v>0.57899999999999996</v>
      </c>
      <c r="L574" s="413">
        <f>K574*VLOOKUP(E574,GWPs!$B$3:$C$6,2,FALSE)</f>
        <v>0.57899999999999996</v>
      </c>
      <c r="N574">
        <v>3</v>
      </c>
      <c r="O574">
        <v>2</v>
      </c>
      <c r="P574">
        <v>1</v>
      </c>
      <c r="Q574">
        <v>3</v>
      </c>
      <c r="R574">
        <v>1</v>
      </c>
    </row>
    <row r="575" spans="1:18">
      <c r="A575" t="str">
        <f>_xlfn.IFNA(IF(VLOOKUP(C575,'2016_Detail_Commodity_v1.0'!C:C,1,FALSE)=C575,"No change"),"Name changed")</f>
        <v>No change</v>
      </c>
      <c r="B575" t="s">
        <v>595</v>
      </c>
      <c r="C575" t="s">
        <v>596</v>
      </c>
      <c r="E575" t="s">
        <v>3654</v>
      </c>
      <c r="F575" t="s">
        <v>12</v>
      </c>
      <c r="G575">
        <v>2E-3</v>
      </c>
      <c r="H575" s="413">
        <f>G575*VLOOKUP(E575,GWPs!$B$3:$C$6,2,FALSE)</f>
        <v>5.6000000000000001E-2</v>
      </c>
      <c r="I575">
        <v>0</v>
      </c>
      <c r="J575" s="413">
        <f>I575*VLOOKUP(E575,GWPs!$B$3:$C$6,2,FALSE)</f>
        <v>0</v>
      </c>
      <c r="K575">
        <v>2E-3</v>
      </c>
      <c r="L575" s="413">
        <f>K575*VLOOKUP(E575,GWPs!$B$3:$C$6,2,FALSE)</f>
        <v>5.6000000000000001E-2</v>
      </c>
      <c r="N575">
        <v>4</v>
      </c>
      <c r="O575">
        <v>2</v>
      </c>
      <c r="P575">
        <v>1</v>
      </c>
      <c r="Q575">
        <v>1</v>
      </c>
      <c r="R575">
        <v>1</v>
      </c>
    </row>
    <row r="576" spans="1:18">
      <c r="A576" t="str">
        <f>_xlfn.IFNA(IF(VLOOKUP(C576,'2016_Detail_Commodity_v1.0'!C:C,1,FALSE)=C576,"No change"),"Name changed")</f>
        <v>No change</v>
      </c>
      <c r="B576" t="s">
        <v>595</v>
      </c>
      <c r="C576" t="s">
        <v>596</v>
      </c>
      <c r="E576" t="s">
        <v>3655</v>
      </c>
      <c r="F576" t="s">
        <v>12</v>
      </c>
      <c r="G576">
        <v>0</v>
      </c>
      <c r="H576" s="413">
        <f>G576*VLOOKUP(E576,GWPs!$B$3:$C$6,2,FALSE)</f>
        <v>0</v>
      </c>
      <c r="I576">
        <v>0</v>
      </c>
      <c r="J576" s="413">
        <f>I576*VLOOKUP(E576,GWPs!$B$3:$C$6,2,FALSE)</f>
        <v>0</v>
      </c>
      <c r="K576">
        <v>0</v>
      </c>
      <c r="L576" s="413">
        <f>K576*VLOOKUP(E576,GWPs!$B$3:$C$6,2,FALSE)</f>
        <v>0</v>
      </c>
      <c r="N576">
        <v>3</v>
      </c>
      <c r="O576">
        <v>2</v>
      </c>
      <c r="P576">
        <v>1</v>
      </c>
      <c r="Q576">
        <v>3</v>
      </c>
      <c r="R576">
        <v>1</v>
      </c>
    </row>
    <row r="577" spans="1:18">
      <c r="A577" t="str">
        <f>_xlfn.IFNA(IF(VLOOKUP(C577,'2016_Detail_Commodity_v1.0'!C:C,1,FALSE)=C577,"No change"),"Name changed")</f>
        <v>No change</v>
      </c>
      <c r="B577" t="s">
        <v>595</v>
      </c>
      <c r="C577" t="s">
        <v>596</v>
      </c>
      <c r="E577" t="s">
        <v>15</v>
      </c>
      <c r="F577" t="s">
        <v>16</v>
      </c>
      <c r="G577">
        <v>1.2999999999999999E-2</v>
      </c>
      <c r="H577" s="413">
        <f>G577*VLOOKUP(E577,GWPs!$B$3:$C$6,2,FALSE)</f>
        <v>1.2999999999999999E-2</v>
      </c>
      <c r="I577">
        <v>0</v>
      </c>
      <c r="J577" s="413">
        <f>I577*VLOOKUP(E577,GWPs!$B$3:$C$6,2,FALSE)</f>
        <v>0</v>
      </c>
      <c r="K577">
        <v>1.2999999999999999E-2</v>
      </c>
      <c r="L577" s="413">
        <f>K577*VLOOKUP(E577,GWPs!$B$3:$C$6,2,FALSE)</f>
        <v>1.2999999999999999E-2</v>
      </c>
      <c r="N577">
        <v>3</v>
      </c>
      <c r="O577">
        <v>2</v>
      </c>
      <c r="P577">
        <v>1</v>
      </c>
      <c r="Q577">
        <v>2</v>
      </c>
      <c r="R577">
        <v>1</v>
      </c>
    </row>
    <row r="578" spans="1:18">
      <c r="A578" t="str">
        <f>_xlfn.IFNA(IF(VLOOKUP(C578,'2016_Detail_Commodity_v1.0'!C:C,1,FALSE)=C578,"No change"),"Name changed")</f>
        <v>No change</v>
      </c>
      <c r="B578" t="s">
        <v>597</v>
      </c>
      <c r="C578" t="s">
        <v>598</v>
      </c>
      <c r="E578" t="s">
        <v>3653</v>
      </c>
      <c r="F578" t="s">
        <v>12</v>
      </c>
      <c r="G578">
        <v>0.16800000000000001</v>
      </c>
      <c r="H578" s="413">
        <f>G578*VLOOKUP(E578,GWPs!$B$3:$C$6,2,FALSE)</f>
        <v>0.16800000000000001</v>
      </c>
      <c r="I578">
        <v>7.6999999999999999E-2</v>
      </c>
      <c r="J578" s="413">
        <f>I578*VLOOKUP(E578,GWPs!$B$3:$C$6,2,FALSE)</f>
        <v>7.6999999999999999E-2</v>
      </c>
      <c r="K578">
        <v>0.245</v>
      </c>
      <c r="L578" s="413">
        <f>K578*VLOOKUP(E578,GWPs!$B$3:$C$6,2,FALSE)</f>
        <v>0.245</v>
      </c>
      <c r="N578">
        <v>3</v>
      </c>
      <c r="O578">
        <v>2</v>
      </c>
      <c r="P578">
        <v>1</v>
      </c>
      <c r="Q578">
        <v>3</v>
      </c>
      <c r="R578">
        <v>1</v>
      </c>
    </row>
    <row r="579" spans="1:18">
      <c r="A579" t="str">
        <f>_xlfn.IFNA(IF(VLOOKUP(C579,'2016_Detail_Commodity_v1.0'!C:C,1,FALSE)=C579,"No change"),"Name changed")</f>
        <v>No change</v>
      </c>
      <c r="B579" t="s">
        <v>597</v>
      </c>
      <c r="C579" t="s">
        <v>598</v>
      </c>
      <c r="E579" t="s">
        <v>3654</v>
      </c>
      <c r="F579" t="s">
        <v>12</v>
      </c>
      <c r="G579">
        <v>1E-3</v>
      </c>
      <c r="H579" s="413">
        <f>G579*VLOOKUP(E579,GWPs!$B$3:$C$6,2,FALSE)</f>
        <v>2.8000000000000001E-2</v>
      </c>
      <c r="I579">
        <v>0</v>
      </c>
      <c r="J579" s="413">
        <f>I579*VLOOKUP(E579,GWPs!$B$3:$C$6,2,FALSE)</f>
        <v>0</v>
      </c>
      <c r="K579">
        <v>1E-3</v>
      </c>
      <c r="L579" s="413">
        <f>K579*VLOOKUP(E579,GWPs!$B$3:$C$6,2,FALSE)</f>
        <v>2.8000000000000001E-2</v>
      </c>
      <c r="N579">
        <v>4</v>
      </c>
      <c r="O579">
        <v>2</v>
      </c>
      <c r="P579">
        <v>1</v>
      </c>
      <c r="Q579">
        <v>1</v>
      </c>
      <c r="R579">
        <v>1</v>
      </c>
    </row>
    <row r="580" spans="1:18">
      <c r="A580" t="str">
        <f>_xlfn.IFNA(IF(VLOOKUP(C580,'2016_Detail_Commodity_v1.0'!C:C,1,FALSE)=C580,"No change"),"Name changed")</f>
        <v>No change</v>
      </c>
      <c r="B580" t="s">
        <v>597</v>
      </c>
      <c r="C580" t="s">
        <v>598</v>
      </c>
      <c r="E580" t="s">
        <v>3655</v>
      </c>
      <c r="F580" t="s">
        <v>12</v>
      </c>
      <c r="G580">
        <v>0</v>
      </c>
      <c r="H580" s="413">
        <f>G580*VLOOKUP(E580,GWPs!$B$3:$C$6,2,FALSE)</f>
        <v>0</v>
      </c>
      <c r="I580">
        <v>0</v>
      </c>
      <c r="J580" s="413">
        <f>I580*VLOOKUP(E580,GWPs!$B$3:$C$6,2,FALSE)</f>
        <v>0</v>
      </c>
      <c r="K580">
        <v>0</v>
      </c>
      <c r="L580" s="413">
        <f>K580*VLOOKUP(E580,GWPs!$B$3:$C$6,2,FALSE)</f>
        <v>0</v>
      </c>
      <c r="N580">
        <v>3</v>
      </c>
      <c r="O580">
        <v>2</v>
      </c>
      <c r="P580">
        <v>1</v>
      </c>
      <c r="Q580">
        <v>3</v>
      </c>
      <c r="R580">
        <v>1</v>
      </c>
    </row>
    <row r="581" spans="1:18">
      <c r="A581" t="str">
        <f>_xlfn.IFNA(IF(VLOOKUP(C581,'2016_Detail_Commodity_v1.0'!C:C,1,FALSE)=C581,"No change"),"Name changed")</f>
        <v>No change</v>
      </c>
      <c r="B581" t="s">
        <v>597</v>
      </c>
      <c r="C581" t="s">
        <v>598</v>
      </c>
      <c r="E581" t="s">
        <v>15</v>
      </c>
      <c r="F581" t="s">
        <v>16</v>
      </c>
      <c r="G581">
        <v>7.0000000000000001E-3</v>
      </c>
      <c r="H581" s="413">
        <f>G581*VLOOKUP(E581,GWPs!$B$3:$C$6,2,FALSE)</f>
        <v>7.0000000000000001E-3</v>
      </c>
      <c r="I581">
        <v>0</v>
      </c>
      <c r="J581" s="413">
        <f>I581*VLOOKUP(E581,GWPs!$B$3:$C$6,2,FALSE)</f>
        <v>0</v>
      </c>
      <c r="K581">
        <v>7.0000000000000001E-3</v>
      </c>
      <c r="L581" s="413">
        <f>K581*VLOOKUP(E581,GWPs!$B$3:$C$6,2,FALSE)</f>
        <v>7.0000000000000001E-3</v>
      </c>
      <c r="N581">
        <v>3</v>
      </c>
      <c r="O581">
        <v>2</v>
      </c>
      <c r="P581">
        <v>1</v>
      </c>
      <c r="Q581">
        <v>2</v>
      </c>
      <c r="R581">
        <v>1</v>
      </c>
    </row>
    <row r="582" spans="1:18">
      <c r="A582" t="str">
        <f>_xlfn.IFNA(IF(VLOOKUP(C582,'2016_Detail_Commodity_v1.0'!C:C,1,FALSE)=C582,"No change"),"Name changed")</f>
        <v>No change</v>
      </c>
      <c r="B582" t="s">
        <v>599</v>
      </c>
      <c r="C582" t="s">
        <v>600</v>
      </c>
      <c r="E582" t="s">
        <v>3653</v>
      </c>
      <c r="F582" t="s">
        <v>12</v>
      </c>
      <c r="G582">
        <v>0.32100000000000001</v>
      </c>
      <c r="H582" s="413">
        <f>G582*VLOOKUP(E582,GWPs!$B$3:$C$6,2,FALSE)</f>
        <v>0.32100000000000001</v>
      </c>
      <c r="I582">
        <v>2.8000000000000001E-2</v>
      </c>
      <c r="J582" s="413">
        <f>I582*VLOOKUP(E582,GWPs!$B$3:$C$6,2,FALSE)</f>
        <v>2.8000000000000001E-2</v>
      </c>
      <c r="K582">
        <v>0.34899999999999998</v>
      </c>
      <c r="L582" s="413">
        <f>K582*VLOOKUP(E582,GWPs!$B$3:$C$6,2,FALSE)</f>
        <v>0.34899999999999998</v>
      </c>
      <c r="N582">
        <v>3</v>
      </c>
      <c r="O582">
        <v>2</v>
      </c>
      <c r="P582">
        <v>1</v>
      </c>
      <c r="Q582">
        <v>2</v>
      </c>
      <c r="R582">
        <v>1</v>
      </c>
    </row>
    <row r="583" spans="1:18">
      <c r="A583" t="str">
        <f>_xlfn.IFNA(IF(VLOOKUP(C583,'2016_Detail_Commodity_v1.0'!C:C,1,FALSE)=C583,"No change"),"Name changed")</f>
        <v>No change</v>
      </c>
      <c r="B583" t="s">
        <v>599</v>
      </c>
      <c r="C583" t="s">
        <v>600</v>
      </c>
      <c r="E583" t="s">
        <v>3654</v>
      </c>
      <c r="F583" t="s">
        <v>12</v>
      </c>
      <c r="G583">
        <v>1E-3</v>
      </c>
      <c r="H583" s="413">
        <f>G583*VLOOKUP(E583,GWPs!$B$3:$C$6,2,FALSE)</f>
        <v>2.8000000000000001E-2</v>
      </c>
      <c r="I583">
        <v>0</v>
      </c>
      <c r="J583" s="413">
        <f>I583*VLOOKUP(E583,GWPs!$B$3:$C$6,2,FALSE)</f>
        <v>0</v>
      </c>
      <c r="K583">
        <v>2E-3</v>
      </c>
      <c r="L583" s="413">
        <f>K583*VLOOKUP(E583,GWPs!$B$3:$C$6,2,FALSE)</f>
        <v>5.6000000000000001E-2</v>
      </c>
      <c r="N583">
        <v>4</v>
      </c>
      <c r="O583">
        <v>2</v>
      </c>
      <c r="P583">
        <v>1</v>
      </c>
      <c r="Q583">
        <v>1</v>
      </c>
      <c r="R583">
        <v>1</v>
      </c>
    </row>
    <row r="584" spans="1:18">
      <c r="A584" t="str">
        <f>_xlfn.IFNA(IF(VLOOKUP(C584,'2016_Detail_Commodity_v1.0'!C:C,1,FALSE)=C584,"No change"),"Name changed")</f>
        <v>No change</v>
      </c>
      <c r="B584" t="s">
        <v>599</v>
      </c>
      <c r="C584" t="s">
        <v>600</v>
      </c>
      <c r="E584" t="s">
        <v>3655</v>
      </c>
      <c r="F584" t="s">
        <v>12</v>
      </c>
      <c r="G584">
        <v>0</v>
      </c>
      <c r="H584" s="413">
        <f>G584*VLOOKUP(E584,GWPs!$B$3:$C$6,2,FALSE)</f>
        <v>0</v>
      </c>
      <c r="I584">
        <v>0</v>
      </c>
      <c r="J584" s="413">
        <f>I584*VLOOKUP(E584,GWPs!$B$3:$C$6,2,FALSE)</f>
        <v>0</v>
      </c>
      <c r="K584">
        <v>0</v>
      </c>
      <c r="L584" s="413">
        <f>K584*VLOOKUP(E584,GWPs!$B$3:$C$6,2,FALSE)</f>
        <v>0</v>
      </c>
      <c r="N584">
        <v>3</v>
      </c>
      <c r="O584">
        <v>2</v>
      </c>
      <c r="P584">
        <v>1</v>
      </c>
      <c r="Q584">
        <v>3</v>
      </c>
      <c r="R584">
        <v>1</v>
      </c>
    </row>
    <row r="585" spans="1:18">
      <c r="A585" t="str">
        <f>_xlfn.IFNA(IF(VLOOKUP(C585,'2016_Detail_Commodity_v1.0'!C:C,1,FALSE)=C585,"No change"),"Name changed")</f>
        <v>No change</v>
      </c>
      <c r="B585" t="s">
        <v>599</v>
      </c>
      <c r="C585" t="s">
        <v>600</v>
      </c>
      <c r="E585" t="s">
        <v>15</v>
      </c>
      <c r="F585" t="s">
        <v>16</v>
      </c>
      <c r="G585">
        <v>8.0000000000000002E-3</v>
      </c>
      <c r="H585" s="413">
        <f>G585*VLOOKUP(E585,GWPs!$B$3:$C$6,2,FALSE)</f>
        <v>8.0000000000000002E-3</v>
      </c>
      <c r="I585">
        <v>0</v>
      </c>
      <c r="J585" s="413">
        <f>I585*VLOOKUP(E585,GWPs!$B$3:$C$6,2,FALSE)</f>
        <v>0</v>
      </c>
      <c r="K585">
        <v>8.0000000000000002E-3</v>
      </c>
      <c r="L585" s="413">
        <f>K585*VLOOKUP(E585,GWPs!$B$3:$C$6,2,FALSE)</f>
        <v>8.0000000000000002E-3</v>
      </c>
      <c r="N585">
        <v>3</v>
      </c>
      <c r="O585">
        <v>2</v>
      </c>
      <c r="P585">
        <v>1</v>
      </c>
      <c r="Q585">
        <v>3</v>
      </c>
      <c r="R585">
        <v>1</v>
      </c>
    </row>
    <row r="586" spans="1:18">
      <c r="A586" t="str">
        <f>_xlfn.IFNA(IF(VLOOKUP(C586,'2016_Detail_Commodity_v1.0'!C:C,1,FALSE)=C586,"No change"),"Name changed")</f>
        <v>No change</v>
      </c>
      <c r="B586" t="s">
        <v>601</v>
      </c>
      <c r="C586" t="s">
        <v>602</v>
      </c>
      <c r="E586" t="s">
        <v>3653</v>
      </c>
      <c r="F586" t="s">
        <v>12</v>
      </c>
      <c r="G586">
        <v>0.24399999999999999</v>
      </c>
      <c r="H586" s="413">
        <f>G586*VLOOKUP(E586,GWPs!$B$3:$C$6,2,FALSE)</f>
        <v>0.24399999999999999</v>
      </c>
      <c r="I586">
        <v>5.0999999999999997E-2</v>
      </c>
      <c r="J586" s="413">
        <f>I586*VLOOKUP(E586,GWPs!$B$3:$C$6,2,FALSE)</f>
        <v>5.0999999999999997E-2</v>
      </c>
      <c r="K586">
        <v>0.29499999999999998</v>
      </c>
      <c r="L586" s="413">
        <f>K586*VLOOKUP(E586,GWPs!$B$3:$C$6,2,FALSE)</f>
        <v>0.29499999999999998</v>
      </c>
      <c r="N586">
        <v>3</v>
      </c>
      <c r="O586">
        <v>2</v>
      </c>
      <c r="P586">
        <v>1</v>
      </c>
      <c r="Q586">
        <v>3</v>
      </c>
      <c r="R586">
        <v>1</v>
      </c>
    </row>
    <row r="587" spans="1:18">
      <c r="A587" t="str">
        <f>_xlfn.IFNA(IF(VLOOKUP(C587,'2016_Detail_Commodity_v1.0'!C:C,1,FALSE)=C587,"No change"),"Name changed")</f>
        <v>No change</v>
      </c>
      <c r="B587" t="s">
        <v>601</v>
      </c>
      <c r="C587" t="s">
        <v>602</v>
      </c>
      <c r="E587" t="s">
        <v>3654</v>
      </c>
      <c r="F587" t="s">
        <v>12</v>
      </c>
      <c r="G587">
        <v>1E-3</v>
      </c>
      <c r="H587" s="413">
        <f>G587*VLOOKUP(E587,GWPs!$B$3:$C$6,2,FALSE)</f>
        <v>2.8000000000000001E-2</v>
      </c>
      <c r="I587">
        <v>0</v>
      </c>
      <c r="J587" s="413">
        <f>I587*VLOOKUP(E587,GWPs!$B$3:$C$6,2,FALSE)</f>
        <v>0</v>
      </c>
      <c r="K587">
        <v>1E-3</v>
      </c>
      <c r="L587" s="413">
        <f>K587*VLOOKUP(E587,GWPs!$B$3:$C$6,2,FALSE)</f>
        <v>2.8000000000000001E-2</v>
      </c>
      <c r="N587">
        <v>4</v>
      </c>
      <c r="O587">
        <v>2</v>
      </c>
      <c r="P587">
        <v>1</v>
      </c>
      <c r="Q587">
        <v>1</v>
      </c>
      <c r="R587">
        <v>1</v>
      </c>
    </row>
    <row r="588" spans="1:18">
      <c r="A588" t="str">
        <f>_xlfn.IFNA(IF(VLOOKUP(C588,'2016_Detail_Commodity_v1.0'!C:C,1,FALSE)=C588,"No change"),"Name changed")</f>
        <v>No change</v>
      </c>
      <c r="B588" t="s">
        <v>601</v>
      </c>
      <c r="C588" t="s">
        <v>602</v>
      </c>
      <c r="E588" t="s">
        <v>3655</v>
      </c>
      <c r="F588" t="s">
        <v>12</v>
      </c>
      <c r="G588">
        <v>0</v>
      </c>
      <c r="H588" s="413">
        <f>G588*VLOOKUP(E588,GWPs!$B$3:$C$6,2,FALSE)</f>
        <v>0</v>
      </c>
      <c r="I588">
        <v>0</v>
      </c>
      <c r="J588" s="413">
        <f>I588*VLOOKUP(E588,GWPs!$B$3:$C$6,2,FALSE)</f>
        <v>0</v>
      </c>
      <c r="K588">
        <v>0</v>
      </c>
      <c r="L588" s="413">
        <f>K588*VLOOKUP(E588,GWPs!$B$3:$C$6,2,FALSE)</f>
        <v>0</v>
      </c>
      <c r="N588">
        <v>3</v>
      </c>
      <c r="O588">
        <v>2</v>
      </c>
      <c r="P588">
        <v>1</v>
      </c>
      <c r="Q588">
        <v>3</v>
      </c>
      <c r="R588">
        <v>1</v>
      </c>
    </row>
    <row r="589" spans="1:18">
      <c r="A589" t="str">
        <f>_xlfn.IFNA(IF(VLOOKUP(C589,'2016_Detail_Commodity_v1.0'!C:C,1,FALSE)=C589,"No change"),"Name changed")</f>
        <v>No change</v>
      </c>
      <c r="B589" t="s">
        <v>601</v>
      </c>
      <c r="C589" t="s">
        <v>602</v>
      </c>
      <c r="E589" t="s">
        <v>15</v>
      </c>
      <c r="F589" t="s">
        <v>16</v>
      </c>
      <c r="G589">
        <v>1.2E-2</v>
      </c>
      <c r="H589" s="413">
        <f>G589*VLOOKUP(E589,GWPs!$B$3:$C$6,2,FALSE)</f>
        <v>1.2E-2</v>
      </c>
      <c r="I589">
        <v>0</v>
      </c>
      <c r="J589" s="413">
        <f>I589*VLOOKUP(E589,GWPs!$B$3:$C$6,2,FALSE)</f>
        <v>0</v>
      </c>
      <c r="K589">
        <v>1.2E-2</v>
      </c>
      <c r="L589" s="413">
        <f>K589*VLOOKUP(E589,GWPs!$B$3:$C$6,2,FALSE)</f>
        <v>1.2E-2</v>
      </c>
      <c r="N589">
        <v>3</v>
      </c>
      <c r="O589">
        <v>2</v>
      </c>
      <c r="P589">
        <v>1</v>
      </c>
      <c r="Q589">
        <v>3</v>
      </c>
      <c r="R589">
        <v>1</v>
      </c>
    </row>
    <row r="590" spans="1:18">
      <c r="A590" t="str">
        <f>_xlfn.IFNA(IF(VLOOKUP(C590,'2016_Detail_Commodity_v1.0'!C:C,1,FALSE)=C590,"No change"),"Name changed")</f>
        <v>No change</v>
      </c>
      <c r="B590" t="s">
        <v>603</v>
      </c>
      <c r="C590" t="s">
        <v>604</v>
      </c>
      <c r="E590" t="s">
        <v>3653</v>
      </c>
      <c r="F590" t="s">
        <v>12</v>
      </c>
      <c r="G590">
        <v>0.20599999999999999</v>
      </c>
      <c r="H590" s="413">
        <f>G590*VLOOKUP(E590,GWPs!$B$3:$C$6,2,FALSE)</f>
        <v>0.20599999999999999</v>
      </c>
      <c r="I590">
        <v>3.5000000000000003E-2</v>
      </c>
      <c r="J590" s="413">
        <f>I590*VLOOKUP(E590,GWPs!$B$3:$C$6,2,FALSE)</f>
        <v>3.5000000000000003E-2</v>
      </c>
      <c r="K590">
        <v>0.24099999999999999</v>
      </c>
      <c r="L590" s="413">
        <f>K590*VLOOKUP(E590,GWPs!$B$3:$C$6,2,FALSE)</f>
        <v>0.24099999999999999</v>
      </c>
      <c r="N590">
        <v>3</v>
      </c>
      <c r="O590">
        <v>2</v>
      </c>
      <c r="P590">
        <v>1</v>
      </c>
      <c r="Q590">
        <v>3</v>
      </c>
      <c r="R590">
        <v>1</v>
      </c>
    </row>
    <row r="591" spans="1:18">
      <c r="A591" t="str">
        <f>_xlfn.IFNA(IF(VLOOKUP(C591,'2016_Detail_Commodity_v1.0'!C:C,1,FALSE)=C591,"No change"),"Name changed")</f>
        <v>No change</v>
      </c>
      <c r="B591" t="s">
        <v>603</v>
      </c>
      <c r="C591" t="s">
        <v>604</v>
      </c>
      <c r="E591" t="s">
        <v>3654</v>
      </c>
      <c r="F591" t="s">
        <v>12</v>
      </c>
      <c r="G591">
        <v>1E-3</v>
      </c>
      <c r="H591" s="413">
        <f>G591*VLOOKUP(E591,GWPs!$B$3:$C$6,2,FALSE)</f>
        <v>2.8000000000000001E-2</v>
      </c>
      <c r="I591">
        <v>0</v>
      </c>
      <c r="J591" s="413">
        <f>I591*VLOOKUP(E591,GWPs!$B$3:$C$6,2,FALSE)</f>
        <v>0</v>
      </c>
      <c r="K591">
        <v>1E-3</v>
      </c>
      <c r="L591" s="413">
        <f>K591*VLOOKUP(E591,GWPs!$B$3:$C$6,2,FALSE)</f>
        <v>2.8000000000000001E-2</v>
      </c>
      <c r="N591">
        <v>4</v>
      </c>
      <c r="O591">
        <v>2</v>
      </c>
      <c r="P591">
        <v>1</v>
      </c>
      <c r="Q591">
        <v>1</v>
      </c>
      <c r="R591">
        <v>1</v>
      </c>
    </row>
    <row r="592" spans="1:18">
      <c r="A592" t="str">
        <f>_xlfn.IFNA(IF(VLOOKUP(C592,'2016_Detail_Commodity_v1.0'!C:C,1,FALSE)=C592,"No change"),"Name changed")</f>
        <v>No change</v>
      </c>
      <c r="B592" t="s">
        <v>603</v>
      </c>
      <c r="C592" t="s">
        <v>604</v>
      </c>
      <c r="E592" t="s">
        <v>3655</v>
      </c>
      <c r="F592" t="s">
        <v>12</v>
      </c>
      <c r="G592">
        <v>0</v>
      </c>
      <c r="H592" s="413">
        <f>G592*VLOOKUP(E592,GWPs!$B$3:$C$6,2,FALSE)</f>
        <v>0</v>
      </c>
      <c r="I592">
        <v>0</v>
      </c>
      <c r="J592" s="413">
        <f>I592*VLOOKUP(E592,GWPs!$B$3:$C$6,2,FALSE)</f>
        <v>0</v>
      </c>
      <c r="K592">
        <v>0</v>
      </c>
      <c r="L592" s="413">
        <f>K592*VLOOKUP(E592,GWPs!$B$3:$C$6,2,FALSE)</f>
        <v>0</v>
      </c>
      <c r="N592">
        <v>3</v>
      </c>
      <c r="O592">
        <v>2</v>
      </c>
      <c r="P592">
        <v>1</v>
      </c>
      <c r="Q592">
        <v>3</v>
      </c>
      <c r="R592">
        <v>1</v>
      </c>
    </row>
    <row r="593" spans="1:18">
      <c r="A593" t="str">
        <f>_xlfn.IFNA(IF(VLOOKUP(C593,'2016_Detail_Commodity_v1.0'!C:C,1,FALSE)=C593,"No change"),"Name changed")</f>
        <v>No change</v>
      </c>
      <c r="B593" t="s">
        <v>603</v>
      </c>
      <c r="C593" t="s">
        <v>604</v>
      </c>
      <c r="E593" t="s">
        <v>15</v>
      </c>
      <c r="F593" t="s">
        <v>16</v>
      </c>
      <c r="G593">
        <v>1.4E-2</v>
      </c>
      <c r="H593" s="413">
        <f>G593*VLOOKUP(E593,GWPs!$B$3:$C$6,2,FALSE)</f>
        <v>1.4E-2</v>
      </c>
      <c r="I593">
        <v>0</v>
      </c>
      <c r="J593" s="413">
        <f>I593*VLOOKUP(E593,GWPs!$B$3:$C$6,2,FALSE)</f>
        <v>0</v>
      </c>
      <c r="K593">
        <v>1.4E-2</v>
      </c>
      <c r="L593" s="413">
        <f>K593*VLOOKUP(E593,GWPs!$B$3:$C$6,2,FALSE)</f>
        <v>1.4E-2</v>
      </c>
      <c r="N593">
        <v>3</v>
      </c>
      <c r="O593">
        <v>2</v>
      </c>
      <c r="P593">
        <v>1</v>
      </c>
      <c r="Q593">
        <v>2</v>
      </c>
      <c r="R593">
        <v>1</v>
      </c>
    </row>
    <row r="594" spans="1:18">
      <c r="A594" t="str">
        <f>_xlfn.IFNA(IF(VLOOKUP(C594,'2016_Detail_Commodity_v1.0'!C:C,1,FALSE)=C594,"No change"),"Name changed")</f>
        <v>No change</v>
      </c>
      <c r="B594" t="s">
        <v>605</v>
      </c>
      <c r="C594" t="s">
        <v>606</v>
      </c>
      <c r="E594" t="s">
        <v>3653</v>
      </c>
      <c r="F594" t="s">
        <v>12</v>
      </c>
      <c r="G594">
        <v>0.40500000000000003</v>
      </c>
      <c r="H594" s="413">
        <f>G594*VLOOKUP(E594,GWPs!$B$3:$C$6,2,FALSE)</f>
        <v>0.40500000000000003</v>
      </c>
      <c r="I594">
        <v>2.1999999999999999E-2</v>
      </c>
      <c r="J594" s="413">
        <f>I594*VLOOKUP(E594,GWPs!$B$3:$C$6,2,FALSE)</f>
        <v>2.1999999999999999E-2</v>
      </c>
      <c r="K594">
        <v>0.42699999999999999</v>
      </c>
      <c r="L594" s="413">
        <f>K594*VLOOKUP(E594,GWPs!$B$3:$C$6,2,FALSE)</f>
        <v>0.42699999999999999</v>
      </c>
      <c r="N594">
        <v>3</v>
      </c>
      <c r="O594">
        <v>2</v>
      </c>
      <c r="P594">
        <v>1</v>
      </c>
      <c r="Q594">
        <v>3</v>
      </c>
      <c r="R594">
        <v>1</v>
      </c>
    </row>
    <row r="595" spans="1:18">
      <c r="A595" t="str">
        <f>_xlfn.IFNA(IF(VLOOKUP(C595,'2016_Detail_Commodity_v1.0'!C:C,1,FALSE)=C595,"No change"),"Name changed")</f>
        <v>No change</v>
      </c>
      <c r="B595" t="s">
        <v>605</v>
      </c>
      <c r="C595" t="s">
        <v>606</v>
      </c>
      <c r="E595" t="s">
        <v>3654</v>
      </c>
      <c r="F595" t="s">
        <v>12</v>
      </c>
      <c r="G595">
        <v>2E-3</v>
      </c>
      <c r="H595" s="413">
        <f>G595*VLOOKUP(E595,GWPs!$B$3:$C$6,2,FALSE)</f>
        <v>5.6000000000000001E-2</v>
      </c>
      <c r="I595">
        <v>0</v>
      </c>
      <c r="J595" s="413">
        <f>I595*VLOOKUP(E595,GWPs!$B$3:$C$6,2,FALSE)</f>
        <v>0</v>
      </c>
      <c r="K595">
        <v>2E-3</v>
      </c>
      <c r="L595" s="413">
        <f>K595*VLOOKUP(E595,GWPs!$B$3:$C$6,2,FALSE)</f>
        <v>5.6000000000000001E-2</v>
      </c>
      <c r="N595">
        <v>4</v>
      </c>
      <c r="O595">
        <v>2</v>
      </c>
      <c r="P595">
        <v>1</v>
      </c>
      <c r="Q595">
        <v>1</v>
      </c>
      <c r="R595">
        <v>1</v>
      </c>
    </row>
    <row r="596" spans="1:18">
      <c r="A596" t="str">
        <f>_xlfn.IFNA(IF(VLOOKUP(C596,'2016_Detail_Commodity_v1.0'!C:C,1,FALSE)=C596,"No change"),"Name changed")</f>
        <v>No change</v>
      </c>
      <c r="B596" t="s">
        <v>605</v>
      </c>
      <c r="C596" t="s">
        <v>606</v>
      </c>
      <c r="E596" t="s">
        <v>3655</v>
      </c>
      <c r="F596" t="s">
        <v>12</v>
      </c>
      <c r="G596">
        <v>0</v>
      </c>
      <c r="H596" s="413">
        <f>G596*VLOOKUP(E596,GWPs!$B$3:$C$6,2,FALSE)</f>
        <v>0</v>
      </c>
      <c r="I596">
        <v>0</v>
      </c>
      <c r="J596" s="413">
        <f>I596*VLOOKUP(E596,GWPs!$B$3:$C$6,2,FALSE)</f>
        <v>0</v>
      </c>
      <c r="K596">
        <v>0</v>
      </c>
      <c r="L596" s="413">
        <f>K596*VLOOKUP(E596,GWPs!$B$3:$C$6,2,FALSE)</f>
        <v>0</v>
      </c>
      <c r="N596">
        <v>3</v>
      </c>
      <c r="O596">
        <v>2</v>
      </c>
      <c r="P596">
        <v>1</v>
      </c>
      <c r="Q596">
        <v>3</v>
      </c>
      <c r="R596">
        <v>1</v>
      </c>
    </row>
    <row r="597" spans="1:18">
      <c r="A597" t="str">
        <f>_xlfn.IFNA(IF(VLOOKUP(C597,'2016_Detail_Commodity_v1.0'!C:C,1,FALSE)=C597,"No change"),"Name changed")</f>
        <v>No change</v>
      </c>
      <c r="B597" t="s">
        <v>605</v>
      </c>
      <c r="C597" t="s">
        <v>606</v>
      </c>
      <c r="E597" t="s">
        <v>15</v>
      </c>
      <c r="F597" t="s">
        <v>16</v>
      </c>
      <c r="G597">
        <v>8.9999999999999993E-3</v>
      </c>
      <c r="H597" s="413">
        <f>G597*VLOOKUP(E597,GWPs!$B$3:$C$6,2,FALSE)</f>
        <v>8.9999999999999993E-3</v>
      </c>
      <c r="I597">
        <v>0</v>
      </c>
      <c r="J597" s="413">
        <f>I597*VLOOKUP(E597,GWPs!$B$3:$C$6,2,FALSE)</f>
        <v>0</v>
      </c>
      <c r="K597">
        <v>8.9999999999999993E-3</v>
      </c>
      <c r="L597" s="413">
        <f>K597*VLOOKUP(E597,GWPs!$B$3:$C$6,2,FALSE)</f>
        <v>8.9999999999999993E-3</v>
      </c>
      <c r="N597">
        <v>3</v>
      </c>
      <c r="O597">
        <v>2</v>
      </c>
      <c r="P597">
        <v>1</v>
      </c>
      <c r="Q597">
        <v>3</v>
      </c>
      <c r="R597">
        <v>1</v>
      </c>
    </row>
    <row r="598" spans="1:18">
      <c r="A598" t="str">
        <f>_xlfn.IFNA(IF(VLOOKUP(C598,'2016_Detail_Commodity_v1.0'!C:C,1,FALSE)=C598,"No change"),"Name changed")</f>
        <v>No change</v>
      </c>
      <c r="B598" t="s">
        <v>607</v>
      </c>
      <c r="C598" t="s">
        <v>608</v>
      </c>
      <c r="E598" t="s">
        <v>3653</v>
      </c>
      <c r="F598" t="s">
        <v>12</v>
      </c>
      <c r="G598">
        <v>0.53500000000000003</v>
      </c>
      <c r="H598" s="413">
        <f>G598*VLOOKUP(E598,GWPs!$B$3:$C$6,2,FALSE)</f>
        <v>0.53500000000000003</v>
      </c>
      <c r="I598">
        <v>2.5000000000000001E-2</v>
      </c>
      <c r="J598" s="413">
        <f>I598*VLOOKUP(E598,GWPs!$B$3:$C$6,2,FALSE)</f>
        <v>2.5000000000000001E-2</v>
      </c>
      <c r="K598">
        <v>0.56000000000000005</v>
      </c>
      <c r="L598" s="413">
        <f>K598*VLOOKUP(E598,GWPs!$B$3:$C$6,2,FALSE)</f>
        <v>0.56000000000000005</v>
      </c>
      <c r="N598">
        <v>3</v>
      </c>
      <c r="O598">
        <v>2</v>
      </c>
      <c r="P598">
        <v>1</v>
      </c>
      <c r="Q598">
        <v>3</v>
      </c>
      <c r="R598">
        <v>1</v>
      </c>
    </row>
    <row r="599" spans="1:18">
      <c r="A599" t="str">
        <f>_xlfn.IFNA(IF(VLOOKUP(C599,'2016_Detail_Commodity_v1.0'!C:C,1,FALSE)=C599,"No change"),"Name changed")</f>
        <v>No change</v>
      </c>
      <c r="B599" t="s">
        <v>607</v>
      </c>
      <c r="C599" t="s">
        <v>608</v>
      </c>
      <c r="E599" t="s">
        <v>3654</v>
      </c>
      <c r="F599" t="s">
        <v>12</v>
      </c>
      <c r="G599">
        <v>2E-3</v>
      </c>
      <c r="H599" s="413">
        <f>G599*VLOOKUP(E599,GWPs!$B$3:$C$6,2,FALSE)</f>
        <v>5.6000000000000001E-2</v>
      </c>
      <c r="I599">
        <v>0</v>
      </c>
      <c r="J599" s="413">
        <f>I599*VLOOKUP(E599,GWPs!$B$3:$C$6,2,FALSE)</f>
        <v>0</v>
      </c>
      <c r="K599">
        <v>2E-3</v>
      </c>
      <c r="L599" s="413">
        <f>K599*VLOOKUP(E599,GWPs!$B$3:$C$6,2,FALSE)</f>
        <v>5.6000000000000001E-2</v>
      </c>
      <c r="N599">
        <v>4</v>
      </c>
      <c r="O599">
        <v>2</v>
      </c>
      <c r="P599">
        <v>1</v>
      </c>
      <c r="Q599">
        <v>1</v>
      </c>
      <c r="R599">
        <v>1</v>
      </c>
    </row>
    <row r="600" spans="1:18">
      <c r="A600" t="str">
        <f>_xlfn.IFNA(IF(VLOOKUP(C600,'2016_Detail_Commodity_v1.0'!C:C,1,FALSE)=C600,"No change"),"Name changed")</f>
        <v>No change</v>
      </c>
      <c r="B600" t="s">
        <v>607</v>
      </c>
      <c r="C600" t="s">
        <v>608</v>
      </c>
      <c r="E600" t="s">
        <v>3655</v>
      </c>
      <c r="F600" t="s">
        <v>12</v>
      </c>
      <c r="G600">
        <v>0</v>
      </c>
      <c r="H600" s="413">
        <f>G600*VLOOKUP(E600,GWPs!$B$3:$C$6,2,FALSE)</f>
        <v>0</v>
      </c>
      <c r="I600">
        <v>0</v>
      </c>
      <c r="J600" s="413">
        <f>I600*VLOOKUP(E600,GWPs!$B$3:$C$6,2,FALSE)</f>
        <v>0</v>
      </c>
      <c r="K600">
        <v>0</v>
      </c>
      <c r="L600" s="413">
        <f>K600*VLOOKUP(E600,GWPs!$B$3:$C$6,2,FALSE)</f>
        <v>0</v>
      </c>
      <c r="N600">
        <v>3</v>
      </c>
      <c r="O600">
        <v>2</v>
      </c>
      <c r="P600">
        <v>1</v>
      </c>
      <c r="Q600">
        <v>3</v>
      </c>
      <c r="R600">
        <v>1</v>
      </c>
    </row>
    <row r="601" spans="1:18">
      <c r="A601" t="str">
        <f>_xlfn.IFNA(IF(VLOOKUP(C601,'2016_Detail_Commodity_v1.0'!C:C,1,FALSE)=C601,"No change"),"Name changed")</f>
        <v>No change</v>
      </c>
      <c r="B601" t="s">
        <v>607</v>
      </c>
      <c r="C601" t="s">
        <v>608</v>
      </c>
      <c r="E601" t="s">
        <v>15</v>
      </c>
      <c r="F601" t="s">
        <v>16</v>
      </c>
      <c r="G601">
        <v>3.1E-2</v>
      </c>
      <c r="H601" s="413">
        <f>G601*VLOOKUP(E601,GWPs!$B$3:$C$6,2,FALSE)</f>
        <v>3.1E-2</v>
      </c>
      <c r="I601">
        <v>0</v>
      </c>
      <c r="J601" s="413">
        <f>I601*VLOOKUP(E601,GWPs!$B$3:$C$6,2,FALSE)</f>
        <v>0</v>
      </c>
      <c r="K601">
        <v>3.1E-2</v>
      </c>
      <c r="L601" s="413">
        <f>K601*VLOOKUP(E601,GWPs!$B$3:$C$6,2,FALSE)</f>
        <v>3.1E-2</v>
      </c>
      <c r="N601">
        <v>2</v>
      </c>
      <c r="O601">
        <v>2</v>
      </c>
      <c r="P601">
        <v>1</v>
      </c>
      <c r="Q601">
        <v>1</v>
      </c>
      <c r="R601">
        <v>1</v>
      </c>
    </row>
    <row r="602" spans="1:18">
      <c r="A602" t="str">
        <f>_xlfn.IFNA(IF(VLOOKUP(C602,'2016_Detail_Commodity_v1.0'!C:C,1,FALSE)=C602,"No change"),"Name changed")</f>
        <v>No change</v>
      </c>
      <c r="B602" t="s">
        <v>609</v>
      </c>
      <c r="C602" t="s">
        <v>610</v>
      </c>
      <c r="E602" t="s">
        <v>3653</v>
      </c>
      <c r="F602" t="s">
        <v>12</v>
      </c>
      <c r="G602">
        <v>0.186</v>
      </c>
      <c r="H602" s="413">
        <f>G602*VLOOKUP(E602,GWPs!$B$3:$C$6,2,FALSE)</f>
        <v>0.186</v>
      </c>
      <c r="I602">
        <v>5.6000000000000001E-2</v>
      </c>
      <c r="J602" s="413">
        <f>I602*VLOOKUP(E602,GWPs!$B$3:$C$6,2,FALSE)</f>
        <v>5.6000000000000001E-2</v>
      </c>
      <c r="K602">
        <v>0.24299999999999999</v>
      </c>
      <c r="L602" s="413">
        <f>K602*VLOOKUP(E602,GWPs!$B$3:$C$6,2,FALSE)</f>
        <v>0.24299999999999999</v>
      </c>
      <c r="N602">
        <v>3</v>
      </c>
      <c r="O602">
        <v>2</v>
      </c>
      <c r="P602">
        <v>1</v>
      </c>
      <c r="Q602">
        <v>3</v>
      </c>
      <c r="R602">
        <v>1</v>
      </c>
    </row>
    <row r="603" spans="1:18">
      <c r="A603" t="str">
        <f>_xlfn.IFNA(IF(VLOOKUP(C603,'2016_Detail_Commodity_v1.0'!C:C,1,FALSE)=C603,"No change"),"Name changed")</f>
        <v>No change</v>
      </c>
      <c r="B603" t="s">
        <v>609</v>
      </c>
      <c r="C603" t="s">
        <v>610</v>
      </c>
      <c r="E603" t="s">
        <v>3654</v>
      </c>
      <c r="F603" t="s">
        <v>12</v>
      </c>
      <c r="G603">
        <v>1E-3</v>
      </c>
      <c r="H603" s="413">
        <f>G603*VLOOKUP(E603,GWPs!$B$3:$C$6,2,FALSE)</f>
        <v>2.8000000000000001E-2</v>
      </c>
      <c r="I603">
        <v>0</v>
      </c>
      <c r="J603" s="413">
        <f>I603*VLOOKUP(E603,GWPs!$B$3:$C$6,2,FALSE)</f>
        <v>0</v>
      </c>
      <c r="K603">
        <v>1E-3</v>
      </c>
      <c r="L603" s="413">
        <f>K603*VLOOKUP(E603,GWPs!$B$3:$C$6,2,FALSE)</f>
        <v>2.8000000000000001E-2</v>
      </c>
      <c r="N603">
        <v>4</v>
      </c>
      <c r="O603">
        <v>2</v>
      </c>
      <c r="P603">
        <v>1</v>
      </c>
      <c r="Q603">
        <v>1</v>
      </c>
      <c r="R603">
        <v>1</v>
      </c>
    </row>
    <row r="604" spans="1:18">
      <c r="A604" t="str">
        <f>_xlfn.IFNA(IF(VLOOKUP(C604,'2016_Detail_Commodity_v1.0'!C:C,1,FALSE)=C604,"No change"),"Name changed")</f>
        <v>No change</v>
      </c>
      <c r="B604" t="s">
        <v>609</v>
      </c>
      <c r="C604" t="s">
        <v>610</v>
      </c>
      <c r="E604" t="s">
        <v>3655</v>
      </c>
      <c r="F604" t="s">
        <v>12</v>
      </c>
      <c r="G604">
        <v>0</v>
      </c>
      <c r="H604" s="413">
        <f>G604*VLOOKUP(E604,GWPs!$B$3:$C$6,2,FALSE)</f>
        <v>0</v>
      </c>
      <c r="I604">
        <v>0</v>
      </c>
      <c r="J604" s="413">
        <f>I604*VLOOKUP(E604,GWPs!$B$3:$C$6,2,FALSE)</f>
        <v>0</v>
      </c>
      <c r="K604">
        <v>0</v>
      </c>
      <c r="L604" s="413">
        <f>K604*VLOOKUP(E604,GWPs!$B$3:$C$6,2,FALSE)</f>
        <v>0</v>
      </c>
      <c r="N604">
        <v>3</v>
      </c>
      <c r="O604">
        <v>2</v>
      </c>
      <c r="P604">
        <v>1</v>
      </c>
      <c r="Q604">
        <v>3</v>
      </c>
      <c r="R604">
        <v>1</v>
      </c>
    </row>
    <row r="605" spans="1:18">
      <c r="A605" t="str">
        <f>_xlfn.IFNA(IF(VLOOKUP(C605,'2016_Detail_Commodity_v1.0'!C:C,1,FALSE)=C605,"No change"),"Name changed")</f>
        <v>No change</v>
      </c>
      <c r="B605" t="s">
        <v>609</v>
      </c>
      <c r="C605" t="s">
        <v>610</v>
      </c>
      <c r="E605" t="s">
        <v>15</v>
      </c>
      <c r="F605" t="s">
        <v>16</v>
      </c>
      <c r="G605">
        <v>8.0000000000000002E-3</v>
      </c>
      <c r="H605" s="413">
        <f>G605*VLOOKUP(E605,GWPs!$B$3:$C$6,2,FALSE)</f>
        <v>8.0000000000000002E-3</v>
      </c>
      <c r="I605">
        <v>0</v>
      </c>
      <c r="J605" s="413">
        <f>I605*VLOOKUP(E605,GWPs!$B$3:$C$6,2,FALSE)</f>
        <v>0</v>
      </c>
      <c r="K605">
        <v>8.0000000000000002E-3</v>
      </c>
      <c r="L605" s="413">
        <f>K605*VLOOKUP(E605,GWPs!$B$3:$C$6,2,FALSE)</f>
        <v>8.0000000000000002E-3</v>
      </c>
      <c r="N605">
        <v>3</v>
      </c>
      <c r="O605">
        <v>2</v>
      </c>
      <c r="P605">
        <v>1</v>
      </c>
      <c r="Q605">
        <v>2</v>
      </c>
      <c r="R605">
        <v>1</v>
      </c>
    </row>
    <row r="606" spans="1:18">
      <c r="A606" t="str">
        <f>_xlfn.IFNA(IF(VLOOKUP(C606,'2016_Detail_Commodity_v1.0'!C:C,1,FALSE)=C606,"No change"),"Name changed")</f>
        <v>No change</v>
      </c>
      <c r="B606" t="s">
        <v>611</v>
      </c>
      <c r="C606" t="s">
        <v>612</v>
      </c>
      <c r="E606" t="s">
        <v>3653</v>
      </c>
      <c r="F606" t="s">
        <v>12</v>
      </c>
      <c r="G606">
        <v>0.35099999999999998</v>
      </c>
      <c r="H606" s="413">
        <f>G606*VLOOKUP(E606,GWPs!$B$3:$C$6,2,FALSE)</f>
        <v>0.35099999999999998</v>
      </c>
      <c r="I606">
        <v>2.7E-2</v>
      </c>
      <c r="J606" s="413">
        <f>I606*VLOOKUP(E606,GWPs!$B$3:$C$6,2,FALSE)</f>
        <v>2.7E-2</v>
      </c>
      <c r="K606">
        <v>0.378</v>
      </c>
      <c r="L606" s="413">
        <f>K606*VLOOKUP(E606,GWPs!$B$3:$C$6,2,FALSE)</f>
        <v>0.378</v>
      </c>
      <c r="N606">
        <v>3</v>
      </c>
      <c r="O606">
        <v>2</v>
      </c>
      <c r="P606">
        <v>1</v>
      </c>
      <c r="Q606">
        <v>3</v>
      </c>
      <c r="R606">
        <v>1</v>
      </c>
    </row>
    <row r="607" spans="1:18">
      <c r="A607" t="str">
        <f>_xlfn.IFNA(IF(VLOOKUP(C607,'2016_Detail_Commodity_v1.0'!C:C,1,FALSE)=C607,"No change"),"Name changed")</f>
        <v>No change</v>
      </c>
      <c r="B607" t="s">
        <v>611</v>
      </c>
      <c r="C607" t="s">
        <v>612</v>
      </c>
      <c r="E607" t="s">
        <v>3654</v>
      </c>
      <c r="F607" t="s">
        <v>12</v>
      </c>
      <c r="G607">
        <v>1E-3</v>
      </c>
      <c r="H607" s="413">
        <f>G607*VLOOKUP(E607,GWPs!$B$3:$C$6,2,FALSE)</f>
        <v>2.8000000000000001E-2</v>
      </c>
      <c r="I607">
        <v>0</v>
      </c>
      <c r="J607" s="413">
        <f>I607*VLOOKUP(E607,GWPs!$B$3:$C$6,2,FALSE)</f>
        <v>0</v>
      </c>
      <c r="K607">
        <v>1E-3</v>
      </c>
      <c r="L607" s="413">
        <f>K607*VLOOKUP(E607,GWPs!$B$3:$C$6,2,FALSE)</f>
        <v>2.8000000000000001E-2</v>
      </c>
      <c r="N607">
        <v>4</v>
      </c>
      <c r="O607">
        <v>2</v>
      </c>
      <c r="P607">
        <v>1</v>
      </c>
      <c r="Q607">
        <v>1</v>
      </c>
      <c r="R607">
        <v>1</v>
      </c>
    </row>
    <row r="608" spans="1:18">
      <c r="A608" t="str">
        <f>_xlfn.IFNA(IF(VLOOKUP(C608,'2016_Detail_Commodity_v1.0'!C:C,1,FALSE)=C608,"No change"),"Name changed")</f>
        <v>No change</v>
      </c>
      <c r="B608" t="s">
        <v>611</v>
      </c>
      <c r="C608" t="s">
        <v>612</v>
      </c>
      <c r="E608" t="s">
        <v>3655</v>
      </c>
      <c r="F608" t="s">
        <v>12</v>
      </c>
      <c r="G608">
        <v>0</v>
      </c>
      <c r="H608" s="413">
        <f>G608*VLOOKUP(E608,GWPs!$B$3:$C$6,2,FALSE)</f>
        <v>0</v>
      </c>
      <c r="I608">
        <v>0</v>
      </c>
      <c r="J608" s="413">
        <f>I608*VLOOKUP(E608,GWPs!$B$3:$C$6,2,FALSE)</f>
        <v>0</v>
      </c>
      <c r="K608">
        <v>0</v>
      </c>
      <c r="L608" s="413">
        <f>K608*VLOOKUP(E608,GWPs!$B$3:$C$6,2,FALSE)</f>
        <v>0</v>
      </c>
      <c r="N608">
        <v>3</v>
      </c>
      <c r="O608">
        <v>2</v>
      </c>
      <c r="P608">
        <v>1</v>
      </c>
      <c r="Q608">
        <v>3</v>
      </c>
      <c r="R608">
        <v>1</v>
      </c>
    </row>
    <row r="609" spans="1:18">
      <c r="A609" t="str">
        <f>_xlfn.IFNA(IF(VLOOKUP(C609,'2016_Detail_Commodity_v1.0'!C:C,1,FALSE)=C609,"No change"),"Name changed")</f>
        <v>No change</v>
      </c>
      <c r="B609" t="s">
        <v>611</v>
      </c>
      <c r="C609" t="s">
        <v>612</v>
      </c>
      <c r="E609" t="s">
        <v>15</v>
      </c>
      <c r="F609" t="s">
        <v>16</v>
      </c>
      <c r="G609">
        <v>8.9999999999999993E-3</v>
      </c>
      <c r="H609" s="413">
        <f>G609*VLOOKUP(E609,GWPs!$B$3:$C$6,2,FALSE)</f>
        <v>8.9999999999999993E-3</v>
      </c>
      <c r="I609">
        <v>0</v>
      </c>
      <c r="J609" s="413">
        <f>I609*VLOOKUP(E609,GWPs!$B$3:$C$6,2,FALSE)</f>
        <v>0</v>
      </c>
      <c r="K609">
        <v>8.9999999999999993E-3</v>
      </c>
      <c r="L609" s="413">
        <f>K609*VLOOKUP(E609,GWPs!$B$3:$C$6,2,FALSE)</f>
        <v>8.9999999999999993E-3</v>
      </c>
      <c r="N609">
        <v>3</v>
      </c>
      <c r="O609">
        <v>2</v>
      </c>
      <c r="P609">
        <v>1</v>
      </c>
      <c r="Q609">
        <v>2</v>
      </c>
      <c r="R609">
        <v>1</v>
      </c>
    </row>
    <row r="610" spans="1:18">
      <c r="A610" t="str">
        <f>_xlfn.IFNA(IF(VLOOKUP(C610,'2016_Detail_Commodity_v1.0'!C:C,1,FALSE)=C610,"No change"),"Name changed")</f>
        <v>No change</v>
      </c>
      <c r="B610" t="s">
        <v>613</v>
      </c>
      <c r="C610" t="s">
        <v>614</v>
      </c>
      <c r="E610" t="s">
        <v>3653</v>
      </c>
      <c r="F610" t="s">
        <v>12</v>
      </c>
      <c r="G610">
        <v>0.27100000000000002</v>
      </c>
      <c r="H610" s="413">
        <f>G610*VLOOKUP(E610,GWPs!$B$3:$C$6,2,FALSE)</f>
        <v>0.27100000000000002</v>
      </c>
      <c r="I610">
        <v>1.6E-2</v>
      </c>
      <c r="J610" s="413">
        <f>I610*VLOOKUP(E610,GWPs!$B$3:$C$6,2,FALSE)</f>
        <v>1.6E-2</v>
      </c>
      <c r="K610">
        <v>0.28699999999999998</v>
      </c>
      <c r="L610" s="413">
        <f>K610*VLOOKUP(E610,GWPs!$B$3:$C$6,2,FALSE)</f>
        <v>0.28699999999999998</v>
      </c>
      <c r="N610">
        <v>3</v>
      </c>
      <c r="O610">
        <v>2</v>
      </c>
      <c r="P610">
        <v>1</v>
      </c>
      <c r="Q610">
        <v>3</v>
      </c>
      <c r="R610">
        <v>1</v>
      </c>
    </row>
    <row r="611" spans="1:18">
      <c r="A611" t="str">
        <f>_xlfn.IFNA(IF(VLOOKUP(C611,'2016_Detail_Commodity_v1.0'!C:C,1,FALSE)=C611,"No change"),"Name changed")</f>
        <v>No change</v>
      </c>
      <c r="B611" t="s">
        <v>613</v>
      </c>
      <c r="C611" t="s">
        <v>614</v>
      </c>
      <c r="E611" t="s">
        <v>3654</v>
      </c>
      <c r="F611" t="s">
        <v>12</v>
      </c>
      <c r="G611">
        <v>1E-3</v>
      </c>
      <c r="H611" s="413">
        <f>G611*VLOOKUP(E611,GWPs!$B$3:$C$6,2,FALSE)</f>
        <v>2.8000000000000001E-2</v>
      </c>
      <c r="I611">
        <v>0</v>
      </c>
      <c r="J611" s="413">
        <f>I611*VLOOKUP(E611,GWPs!$B$3:$C$6,2,FALSE)</f>
        <v>0</v>
      </c>
      <c r="K611">
        <v>1E-3</v>
      </c>
      <c r="L611" s="413">
        <f>K611*VLOOKUP(E611,GWPs!$B$3:$C$6,2,FALSE)</f>
        <v>2.8000000000000001E-2</v>
      </c>
      <c r="N611">
        <v>4</v>
      </c>
      <c r="O611">
        <v>2</v>
      </c>
      <c r="P611">
        <v>1</v>
      </c>
      <c r="Q611">
        <v>1</v>
      </c>
      <c r="R611">
        <v>1</v>
      </c>
    </row>
    <row r="612" spans="1:18">
      <c r="A612" t="str">
        <f>_xlfn.IFNA(IF(VLOOKUP(C612,'2016_Detail_Commodity_v1.0'!C:C,1,FALSE)=C612,"No change"),"Name changed")</f>
        <v>No change</v>
      </c>
      <c r="B612" t="s">
        <v>613</v>
      </c>
      <c r="C612" t="s">
        <v>614</v>
      </c>
      <c r="E612" t="s">
        <v>3655</v>
      </c>
      <c r="F612" t="s">
        <v>12</v>
      </c>
      <c r="G612">
        <v>0</v>
      </c>
      <c r="H612" s="413">
        <f>G612*VLOOKUP(E612,GWPs!$B$3:$C$6,2,FALSE)</f>
        <v>0</v>
      </c>
      <c r="I612">
        <v>0</v>
      </c>
      <c r="J612" s="413">
        <f>I612*VLOOKUP(E612,GWPs!$B$3:$C$6,2,FALSE)</f>
        <v>0</v>
      </c>
      <c r="K612">
        <v>0</v>
      </c>
      <c r="L612" s="413">
        <f>K612*VLOOKUP(E612,GWPs!$B$3:$C$6,2,FALSE)</f>
        <v>0</v>
      </c>
      <c r="N612">
        <v>3</v>
      </c>
      <c r="O612">
        <v>2</v>
      </c>
      <c r="P612">
        <v>1</v>
      </c>
      <c r="Q612">
        <v>3</v>
      </c>
      <c r="R612">
        <v>1</v>
      </c>
    </row>
    <row r="613" spans="1:18">
      <c r="A613" t="str">
        <f>_xlfn.IFNA(IF(VLOOKUP(C613,'2016_Detail_Commodity_v1.0'!C:C,1,FALSE)=C613,"No change"),"Name changed")</f>
        <v>No change</v>
      </c>
      <c r="B613" t="s">
        <v>613</v>
      </c>
      <c r="C613" t="s">
        <v>614</v>
      </c>
      <c r="E613" t="s">
        <v>15</v>
      </c>
      <c r="F613" t="s">
        <v>16</v>
      </c>
      <c r="G613">
        <v>7.0000000000000001E-3</v>
      </c>
      <c r="H613" s="413">
        <f>G613*VLOOKUP(E613,GWPs!$B$3:$C$6,2,FALSE)</f>
        <v>7.0000000000000001E-3</v>
      </c>
      <c r="I613">
        <v>0</v>
      </c>
      <c r="J613" s="413">
        <f>I613*VLOOKUP(E613,GWPs!$B$3:$C$6,2,FALSE)</f>
        <v>0</v>
      </c>
      <c r="K613">
        <v>7.0000000000000001E-3</v>
      </c>
      <c r="L613" s="413">
        <f>K613*VLOOKUP(E613,GWPs!$B$3:$C$6,2,FALSE)</f>
        <v>7.0000000000000001E-3</v>
      </c>
      <c r="N613">
        <v>3</v>
      </c>
      <c r="O613">
        <v>2</v>
      </c>
      <c r="P613">
        <v>1</v>
      </c>
      <c r="Q613">
        <v>2</v>
      </c>
      <c r="R613">
        <v>1</v>
      </c>
    </row>
    <row r="614" spans="1:18">
      <c r="A614" t="str">
        <f>_xlfn.IFNA(IF(VLOOKUP(C614,'2016_Detail_Commodity_v1.0'!C:C,1,FALSE)=C614,"No change"),"Name changed")</f>
        <v>No change</v>
      </c>
      <c r="B614" t="s">
        <v>615</v>
      </c>
      <c r="C614" t="s">
        <v>616</v>
      </c>
      <c r="E614" t="s">
        <v>3653</v>
      </c>
      <c r="F614" t="s">
        <v>12</v>
      </c>
      <c r="G614">
        <v>0.29099999999999998</v>
      </c>
      <c r="H614" s="413">
        <f>G614*VLOOKUP(E614,GWPs!$B$3:$C$6,2,FALSE)</f>
        <v>0.29099999999999998</v>
      </c>
      <c r="I614">
        <v>3.1E-2</v>
      </c>
      <c r="J614" s="413">
        <f>I614*VLOOKUP(E614,GWPs!$B$3:$C$6,2,FALSE)</f>
        <v>3.1E-2</v>
      </c>
      <c r="K614">
        <v>0.32200000000000001</v>
      </c>
      <c r="L614" s="413">
        <f>K614*VLOOKUP(E614,GWPs!$B$3:$C$6,2,FALSE)</f>
        <v>0.32200000000000001</v>
      </c>
      <c r="N614">
        <v>3</v>
      </c>
      <c r="O614">
        <v>2</v>
      </c>
      <c r="P614">
        <v>1</v>
      </c>
      <c r="Q614">
        <v>3</v>
      </c>
      <c r="R614">
        <v>1</v>
      </c>
    </row>
    <row r="615" spans="1:18">
      <c r="A615" t="str">
        <f>_xlfn.IFNA(IF(VLOOKUP(C615,'2016_Detail_Commodity_v1.0'!C:C,1,FALSE)=C615,"No change"),"Name changed")</f>
        <v>No change</v>
      </c>
      <c r="B615" t="s">
        <v>615</v>
      </c>
      <c r="C615" t="s">
        <v>616</v>
      </c>
      <c r="E615" t="s">
        <v>3654</v>
      </c>
      <c r="F615" t="s">
        <v>12</v>
      </c>
      <c r="G615">
        <v>1E-3</v>
      </c>
      <c r="H615" s="413">
        <f>G615*VLOOKUP(E615,GWPs!$B$3:$C$6,2,FALSE)</f>
        <v>2.8000000000000001E-2</v>
      </c>
      <c r="I615">
        <v>0</v>
      </c>
      <c r="J615" s="413">
        <f>I615*VLOOKUP(E615,GWPs!$B$3:$C$6,2,FALSE)</f>
        <v>0</v>
      </c>
      <c r="K615">
        <v>1E-3</v>
      </c>
      <c r="L615" s="413">
        <f>K615*VLOOKUP(E615,GWPs!$B$3:$C$6,2,FALSE)</f>
        <v>2.8000000000000001E-2</v>
      </c>
      <c r="N615">
        <v>4</v>
      </c>
      <c r="O615">
        <v>2</v>
      </c>
      <c r="P615">
        <v>1</v>
      </c>
      <c r="Q615">
        <v>1</v>
      </c>
      <c r="R615">
        <v>1</v>
      </c>
    </row>
    <row r="616" spans="1:18">
      <c r="A616" t="str">
        <f>_xlfn.IFNA(IF(VLOOKUP(C616,'2016_Detail_Commodity_v1.0'!C:C,1,FALSE)=C616,"No change"),"Name changed")</f>
        <v>No change</v>
      </c>
      <c r="B616" t="s">
        <v>615</v>
      </c>
      <c r="C616" t="s">
        <v>616</v>
      </c>
      <c r="E616" t="s">
        <v>3655</v>
      </c>
      <c r="F616" t="s">
        <v>12</v>
      </c>
      <c r="G616">
        <v>0</v>
      </c>
      <c r="H616" s="413">
        <f>G616*VLOOKUP(E616,GWPs!$B$3:$C$6,2,FALSE)</f>
        <v>0</v>
      </c>
      <c r="I616">
        <v>0</v>
      </c>
      <c r="J616" s="413">
        <f>I616*VLOOKUP(E616,GWPs!$B$3:$C$6,2,FALSE)</f>
        <v>0</v>
      </c>
      <c r="K616">
        <v>0</v>
      </c>
      <c r="L616" s="413">
        <f>K616*VLOOKUP(E616,GWPs!$B$3:$C$6,2,FALSE)</f>
        <v>0</v>
      </c>
      <c r="N616">
        <v>3</v>
      </c>
      <c r="O616">
        <v>2</v>
      </c>
      <c r="P616">
        <v>1</v>
      </c>
      <c r="Q616">
        <v>3</v>
      </c>
      <c r="R616">
        <v>1</v>
      </c>
    </row>
    <row r="617" spans="1:18">
      <c r="A617" t="str">
        <f>_xlfn.IFNA(IF(VLOOKUP(C617,'2016_Detail_Commodity_v1.0'!C:C,1,FALSE)=C617,"No change"),"Name changed")</f>
        <v>No change</v>
      </c>
      <c r="B617" t="s">
        <v>615</v>
      </c>
      <c r="C617" t="s">
        <v>616</v>
      </c>
      <c r="E617" t="s">
        <v>15</v>
      </c>
      <c r="F617" t="s">
        <v>16</v>
      </c>
      <c r="G617">
        <v>8.0000000000000002E-3</v>
      </c>
      <c r="H617" s="413">
        <f>G617*VLOOKUP(E617,GWPs!$B$3:$C$6,2,FALSE)</f>
        <v>8.0000000000000002E-3</v>
      </c>
      <c r="I617">
        <v>0</v>
      </c>
      <c r="J617" s="413">
        <f>I617*VLOOKUP(E617,GWPs!$B$3:$C$6,2,FALSE)</f>
        <v>0</v>
      </c>
      <c r="K617">
        <v>8.0000000000000002E-3</v>
      </c>
      <c r="L617" s="413">
        <f>K617*VLOOKUP(E617,GWPs!$B$3:$C$6,2,FALSE)</f>
        <v>8.0000000000000002E-3</v>
      </c>
      <c r="N617">
        <v>3</v>
      </c>
      <c r="O617">
        <v>2</v>
      </c>
      <c r="P617">
        <v>1</v>
      </c>
      <c r="Q617">
        <v>2</v>
      </c>
      <c r="R617">
        <v>1</v>
      </c>
    </row>
    <row r="618" spans="1:18">
      <c r="A618" t="str">
        <f>_xlfn.IFNA(IF(VLOOKUP(C618,'2016_Detail_Commodity_v1.0'!C:C,1,FALSE)=C618,"No change"),"Name changed")</f>
        <v>No change</v>
      </c>
      <c r="B618" t="s">
        <v>617</v>
      </c>
      <c r="C618" t="s">
        <v>618</v>
      </c>
      <c r="E618" t="s">
        <v>3653</v>
      </c>
      <c r="F618" t="s">
        <v>12</v>
      </c>
      <c r="G618">
        <v>0.49299999999999999</v>
      </c>
      <c r="H618" s="413">
        <f>G618*VLOOKUP(E618,GWPs!$B$3:$C$6,2,FALSE)</f>
        <v>0.49299999999999999</v>
      </c>
      <c r="I618">
        <v>1.6E-2</v>
      </c>
      <c r="J618" s="413">
        <f>I618*VLOOKUP(E618,GWPs!$B$3:$C$6,2,FALSE)</f>
        <v>1.6E-2</v>
      </c>
      <c r="K618">
        <v>0.50900000000000001</v>
      </c>
      <c r="L618" s="413">
        <f>K618*VLOOKUP(E618,GWPs!$B$3:$C$6,2,FALSE)</f>
        <v>0.50900000000000001</v>
      </c>
      <c r="N618">
        <v>3</v>
      </c>
      <c r="O618">
        <v>2</v>
      </c>
      <c r="P618">
        <v>1</v>
      </c>
      <c r="Q618">
        <v>3</v>
      </c>
      <c r="R618">
        <v>1</v>
      </c>
    </row>
    <row r="619" spans="1:18">
      <c r="A619" t="str">
        <f>_xlfn.IFNA(IF(VLOOKUP(C619,'2016_Detail_Commodity_v1.0'!C:C,1,FALSE)=C619,"No change"),"Name changed")</f>
        <v>No change</v>
      </c>
      <c r="B619" t="s">
        <v>617</v>
      </c>
      <c r="C619" t="s">
        <v>618</v>
      </c>
      <c r="E619" t="s">
        <v>3654</v>
      </c>
      <c r="F619" t="s">
        <v>12</v>
      </c>
      <c r="G619">
        <v>2E-3</v>
      </c>
      <c r="H619" s="413">
        <f>G619*VLOOKUP(E619,GWPs!$B$3:$C$6,2,FALSE)</f>
        <v>5.6000000000000001E-2</v>
      </c>
      <c r="I619">
        <v>0</v>
      </c>
      <c r="J619" s="413">
        <f>I619*VLOOKUP(E619,GWPs!$B$3:$C$6,2,FALSE)</f>
        <v>0</v>
      </c>
      <c r="K619">
        <v>2E-3</v>
      </c>
      <c r="L619" s="413">
        <f>K619*VLOOKUP(E619,GWPs!$B$3:$C$6,2,FALSE)</f>
        <v>5.6000000000000001E-2</v>
      </c>
      <c r="N619">
        <v>4</v>
      </c>
      <c r="O619">
        <v>2</v>
      </c>
      <c r="P619">
        <v>1</v>
      </c>
      <c r="Q619">
        <v>1</v>
      </c>
      <c r="R619">
        <v>1</v>
      </c>
    </row>
    <row r="620" spans="1:18">
      <c r="A620" t="str">
        <f>_xlfn.IFNA(IF(VLOOKUP(C620,'2016_Detail_Commodity_v1.0'!C:C,1,FALSE)=C620,"No change"),"Name changed")</f>
        <v>No change</v>
      </c>
      <c r="B620" t="s">
        <v>617</v>
      </c>
      <c r="C620" t="s">
        <v>618</v>
      </c>
      <c r="E620" t="s">
        <v>3655</v>
      </c>
      <c r="F620" t="s">
        <v>12</v>
      </c>
      <c r="G620">
        <v>0</v>
      </c>
      <c r="H620" s="413">
        <f>G620*VLOOKUP(E620,GWPs!$B$3:$C$6,2,FALSE)</f>
        <v>0</v>
      </c>
      <c r="I620">
        <v>0</v>
      </c>
      <c r="J620" s="413">
        <f>I620*VLOOKUP(E620,GWPs!$B$3:$C$6,2,FALSE)</f>
        <v>0</v>
      </c>
      <c r="K620">
        <v>0</v>
      </c>
      <c r="L620" s="413">
        <f>K620*VLOOKUP(E620,GWPs!$B$3:$C$6,2,FALSE)</f>
        <v>0</v>
      </c>
      <c r="N620">
        <v>3</v>
      </c>
      <c r="O620">
        <v>2</v>
      </c>
      <c r="P620">
        <v>1</v>
      </c>
      <c r="Q620">
        <v>3</v>
      </c>
      <c r="R620">
        <v>1</v>
      </c>
    </row>
    <row r="621" spans="1:18">
      <c r="A621" t="str">
        <f>_xlfn.IFNA(IF(VLOOKUP(C621,'2016_Detail_Commodity_v1.0'!C:C,1,FALSE)=C621,"No change"),"Name changed")</f>
        <v>No change</v>
      </c>
      <c r="B621" t="s">
        <v>617</v>
      </c>
      <c r="C621" t="s">
        <v>618</v>
      </c>
      <c r="E621" t="s">
        <v>15</v>
      </c>
      <c r="F621" t="s">
        <v>16</v>
      </c>
      <c r="G621">
        <v>7.0000000000000001E-3</v>
      </c>
      <c r="H621" s="413">
        <f>G621*VLOOKUP(E621,GWPs!$B$3:$C$6,2,FALSE)</f>
        <v>7.0000000000000001E-3</v>
      </c>
      <c r="I621">
        <v>0</v>
      </c>
      <c r="J621" s="413">
        <f>I621*VLOOKUP(E621,GWPs!$B$3:$C$6,2,FALSE)</f>
        <v>0</v>
      </c>
      <c r="K621">
        <v>7.0000000000000001E-3</v>
      </c>
      <c r="L621" s="413">
        <f>K621*VLOOKUP(E621,GWPs!$B$3:$C$6,2,FALSE)</f>
        <v>7.0000000000000001E-3</v>
      </c>
      <c r="N621">
        <v>3</v>
      </c>
      <c r="O621">
        <v>2</v>
      </c>
      <c r="P621">
        <v>1</v>
      </c>
      <c r="Q621">
        <v>2</v>
      </c>
      <c r="R621">
        <v>1</v>
      </c>
    </row>
    <row r="622" spans="1:18">
      <c r="A622" t="str">
        <f>_xlfn.IFNA(IF(VLOOKUP(C622,'2016_Detail_Commodity_v1.0'!C:C,1,FALSE)=C622,"No change"),"Name changed")</f>
        <v>No change</v>
      </c>
      <c r="B622" t="s">
        <v>619</v>
      </c>
      <c r="C622" t="s">
        <v>620</v>
      </c>
      <c r="E622" t="s">
        <v>3653</v>
      </c>
      <c r="F622" t="s">
        <v>12</v>
      </c>
      <c r="G622">
        <v>0.14899999999999999</v>
      </c>
      <c r="H622" s="413">
        <f>G622*VLOOKUP(E622,GWPs!$B$3:$C$6,2,FALSE)</f>
        <v>0.14899999999999999</v>
      </c>
      <c r="I622">
        <v>7.2999999999999995E-2</v>
      </c>
      <c r="J622" s="413">
        <f>I622*VLOOKUP(E622,GWPs!$B$3:$C$6,2,FALSE)</f>
        <v>7.2999999999999995E-2</v>
      </c>
      <c r="K622">
        <v>0.222</v>
      </c>
      <c r="L622" s="413">
        <f>K622*VLOOKUP(E622,GWPs!$B$3:$C$6,2,FALSE)</f>
        <v>0.222</v>
      </c>
      <c r="N622">
        <v>3</v>
      </c>
      <c r="O622">
        <v>2</v>
      </c>
      <c r="P622">
        <v>1</v>
      </c>
      <c r="Q622">
        <v>3</v>
      </c>
      <c r="R622">
        <v>1</v>
      </c>
    </row>
    <row r="623" spans="1:18">
      <c r="A623" t="str">
        <f>_xlfn.IFNA(IF(VLOOKUP(C623,'2016_Detail_Commodity_v1.0'!C:C,1,FALSE)=C623,"No change"),"Name changed")</f>
        <v>No change</v>
      </c>
      <c r="B623" t="s">
        <v>619</v>
      </c>
      <c r="C623" t="s">
        <v>620</v>
      </c>
      <c r="E623" t="s">
        <v>3654</v>
      </c>
      <c r="F623" t="s">
        <v>12</v>
      </c>
      <c r="G623">
        <v>0</v>
      </c>
      <c r="H623" s="413">
        <f>G623*VLOOKUP(E623,GWPs!$B$3:$C$6,2,FALSE)</f>
        <v>0</v>
      </c>
      <c r="I623">
        <v>0</v>
      </c>
      <c r="J623" s="413">
        <f>I623*VLOOKUP(E623,GWPs!$B$3:$C$6,2,FALSE)</f>
        <v>0</v>
      </c>
      <c r="K623">
        <v>1E-3</v>
      </c>
      <c r="L623" s="413">
        <f>K623*VLOOKUP(E623,GWPs!$B$3:$C$6,2,FALSE)</f>
        <v>2.8000000000000001E-2</v>
      </c>
      <c r="N623">
        <v>4</v>
      </c>
      <c r="O623">
        <v>2</v>
      </c>
      <c r="P623">
        <v>1</v>
      </c>
      <c r="Q623">
        <v>1</v>
      </c>
      <c r="R623">
        <v>1</v>
      </c>
    </row>
    <row r="624" spans="1:18">
      <c r="A624" t="str">
        <f>_xlfn.IFNA(IF(VLOOKUP(C624,'2016_Detail_Commodity_v1.0'!C:C,1,FALSE)=C624,"No change"),"Name changed")</f>
        <v>No change</v>
      </c>
      <c r="B624" t="s">
        <v>619</v>
      </c>
      <c r="C624" t="s">
        <v>620</v>
      </c>
      <c r="E624" t="s">
        <v>3655</v>
      </c>
      <c r="F624" t="s">
        <v>12</v>
      </c>
      <c r="G624">
        <v>0</v>
      </c>
      <c r="H624" s="413">
        <f>G624*VLOOKUP(E624,GWPs!$B$3:$C$6,2,FALSE)</f>
        <v>0</v>
      </c>
      <c r="I624">
        <v>0</v>
      </c>
      <c r="J624" s="413">
        <f>I624*VLOOKUP(E624,GWPs!$B$3:$C$6,2,FALSE)</f>
        <v>0</v>
      </c>
      <c r="K624">
        <v>0</v>
      </c>
      <c r="L624" s="413">
        <f>K624*VLOOKUP(E624,GWPs!$B$3:$C$6,2,FALSE)</f>
        <v>0</v>
      </c>
      <c r="N624">
        <v>3</v>
      </c>
      <c r="O624">
        <v>2</v>
      </c>
      <c r="P624">
        <v>1</v>
      </c>
      <c r="Q624">
        <v>3</v>
      </c>
      <c r="R624">
        <v>1</v>
      </c>
    </row>
    <row r="625" spans="1:18">
      <c r="A625" t="str">
        <f>_xlfn.IFNA(IF(VLOOKUP(C625,'2016_Detail_Commodity_v1.0'!C:C,1,FALSE)=C625,"No change"),"Name changed")</f>
        <v>No change</v>
      </c>
      <c r="B625" t="s">
        <v>619</v>
      </c>
      <c r="C625" t="s">
        <v>620</v>
      </c>
      <c r="E625" t="s">
        <v>15</v>
      </c>
      <c r="F625" t="s">
        <v>16</v>
      </c>
      <c r="G625">
        <v>8.9999999999999993E-3</v>
      </c>
      <c r="H625" s="413">
        <f>G625*VLOOKUP(E625,GWPs!$B$3:$C$6,2,FALSE)</f>
        <v>8.9999999999999993E-3</v>
      </c>
      <c r="I625">
        <v>0</v>
      </c>
      <c r="J625" s="413">
        <f>I625*VLOOKUP(E625,GWPs!$B$3:$C$6,2,FALSE)</f>
        <v>0</v>
      </c>
      <c r="K625">
        <v>8.9999999999999993E-3</v>
      </c>
      <c r="L625" s="413">
        <f>K625*VLOOKUP(E625,GWPs!$B$3:$C$6,2,FALSE)</f>
        <v>8.9999999999999993E-3</v>
      </c>
      <c r="N625">
        <v>3</v>
      </c>
      <c r="O625">
        <v>2</v>
      </c>
      <c r="P625">
        <v>1</v>
      </c>
      <c r="Q625">
        <v>2</v>
      </c>
      <c r="R625">
        <v>1</v>
      </c>
    </row>
    <row r="626" spans="1:18">
      <c r="A626" t="str">
        <f>_xlfn.IFNA(IF(VLOOKUP(C626,'2016_Detail_Commodity_v1.0'!C:C,1,FALSE)=C626,"No change"),"Name changed")</f>
        <v>No change</v>
      </c>
      <c r="B626" t="s">
        <v>621</v>
      </c>
      <c r="C626" t="s">
        <v>622</v>
      </c>
      <c r="E626" t="s">
        <v>3653</v>
      </c>
      <c r="F626" t="s">
        <v>12</v>
      </c>
      <c r="G626">
        <v>0.19800000000000001</v>
      </c>
      <c r="H626" s="413">
        <f>G626*VLOOKUP(E626,GWPs!$B$3:$C$6,2,FALSE)</f>
        <v>0.19800000000000001</v>
      </c>
      <c r="I626">
        <v>3.5000000000000003E-2</v>
      </c>
      <c r="J626" s="413">
        <f>I626*VLOOKUP(E626,GWPs!$B$3:$C$6,2,FALSE)</f>
        <v>3.5000000000000003E-2</v>
      </c>
      <c r="K626">
        <v>0.23300000000000001</v>
      </c>
      <c r="L626" s="413">
        <f>K626*VLOOKUP(E626,GWPs!$B$3:$C$6,2,FALSE)</f>
        <v>0.23300000000000001</v>
      </c>
      <c r="N626">
        <v>3</v>
      </c>
      <c r="O626">
        <v>2</v>
      </c>
      <c r="P626">
        <v>1</v>
      </c>
      <c r="Q626">
        <v>3</v>
      </c>
      <c r="R626">
        <v>1</v>
      </c>
    </row>
    <row r="627" spans="1:18">
      <c r="A627" t="str">
        <f>_xlfn.IFNA(IF(VLOOKUP(C627,'2016_Detail_Commodity_v1.0'!C:C,1,FALSE)=C627,"No change"),"Name changed")</f>
        <v>No change</v>
      </c>
      <c r="B627" t="s">
        <v>621</v>
      </c>
      <c r="C627" t="s">
        <v>622</v>
      </c>
      <c r="E627" t="s">
        <v>3654</v>
      </c>
      <c r="F627" t="s">
        <v>12</v>
      </c>
      <c r="G627">
        <v>1E-3</v>
      </c>
      <c r="H627" s="413">
        <f>G627*VLOOKUP(E627,GWPs!$B$3:$C$6,2,FALSE)</f>
        <v>2.8000000000000001E-2</v>
      </c>
      <c r="I627">
        <v>0</v>
      </c>
      <c r="J627" s="413">
        <f>I627*VLOOKUP(E627,GWPs!$B$3:$C$6,2,FALSE)</f>
        <v>0</v>
      </c>
      <c r="K627">
        <v>1E-3</v>
      </c>
      <c r="L627" s="413">
        <f>K627*VLOOKUP(E627,GWPs!$B$3:$C$6,2,FALSE)</f>
        <v>2.8000000000000001E-2</v>
      </c>
      <c r="N627">
        <v>4</v>
      </c>
      <c r="O627">
        <v>2</v>
      </c>
      <c r="P627">
        <v>1</v>
      </c>
      <c r="Q627">
        <v>1</v>
      </c>
      <c r="R627">
        <v>1</v>
      </c>
    </row>
    <row r="628" spans="1:18">
      <c r="A628" t="str">
        <f>_xlfn.IFNA(IF(VLOOKUP(C628,'2016_Detail_Commodity_v1.0'!C:C,1,FALSE)=C628,"No change"),"Name changed")</f>
        <v>No change</v>
      </c>
      <c r="B628" t="s">
        <v>621</v>
      </c>
      <c r="C628" t="s">
        <v>622</v>
      </c>
      <c r="E628" t="s">
        <v>3655</v>
      </c>
      <c r="F628" t="s">
        <v>12</v>
      </c>
      <c r="G628">
        <v>0</v>
      </c>
      <c r="H628" s="413">
        <f>G628*VLOOKUP(E628,GWPs!$B$3:$C$6,2,FALSE)</f>
        <v>0</v>
      </c>
      <c r="I628">
        <v>0</v>
      </c>
      <c r="J628" s="413">
        <f>I628*VLOOKUP(E628,GWPs!$B$3:$C$6,2,FALSE)</f>
        <v>0</v>
      </c>
      <c r="K628">
        <v>0</v>
      </c>
      <c r="L628" s="413">
        <f>K628*VLOOKUP(E628,GWPs!$B$3:$C$6,2,FALSE)</f>
        <v>0</v>
      </c>
      <c r="N628">
        <v>3</v>
      </c>
      <c r="O628">
        <v>2</v>
      </c>
      <c r="P628">
        <v>1</v>
      </c>
      <c r="Q628">
        <v>3</v>
      </c>
      <c r="R628">
        <v>1</v>
      </c>
    </row>
    <row r="629" spans="1:18">
      <c r="A629" t="str">
        <f>_xlfn.IFNA(IF(VLOOKUP(C629,'2016_Detail_Commodity_v1.0'!C:C,1,FALSE)=C629,"No change"),"Name changed")</f>
        <v>No change</v>
      </c>
      <c r="B629" t="s">
        <v>621</v>
      </c>
      <c r="C629" t="s">
        <v>622</v>
      </c>
      <c r="E629" t="s">
        <v>15</v>
      </c>
      <c r="F629" t="s">
        <v>16</v>
      </c>
      <c r="G629">
        <v>8.0000000000000002E-3</v>
      </c>
      <c r="H629" s="413">
        <f>G629*VLOOKUP(E629,GWPs!$B$3:$C$6,2,FALSE)</f>
        <v>8.0000000000000002E-3</v>
      </c>
      <c r="I629">
        <v>0</v>
      </c>
      <c r="J629" s="413">
        <f>I629*VLOOKUP(E629,GWPs!$B$3:$C$6,2,FALSE)</f>
        <v>0</v>
      </c>
      <c r="K629">
        <v>8.0000000000000002E-3</v>
      </c>
      <c r="L629" s="413">
        <f>K629*VLOOKUP(E629,GWPs!$B$3:$C$6,2,FALSE)</f>
        <v>8.0000000000000002E-3</v>
      </c>
      <c r="N629">
        <v>3</v>
      </c>
      <c r="O629">
        <v>2</v>
      </c>
      <c r="P629">
        <v>1</v>
      </c>
      <c r="Q629">
        <v>2</v>
      </c>
      <c r="R629">
        <v>1</v>
      </c>
    </row>
    <row r="630" spans="1:18">
      <c r="A630" t="str">
        <f>_xlfn.IFNA(IF(VLOOKUP(C630,'2016_Detail_Commodity_v1.0'!C:C,1,FALSE)=C630,"No change"),"Name changed")</f>
        <v>No change</v>
      </c>
      <c r="B630" t="s">
        <v>623</v>
      </c>
      <c r="C630" t="s">
        <v>624</v>
      </c>
      <c r="E630" t="s">
        <v>3653</v>
      </c>
      <c r="F630" t="s">
        <v>12</v>
      </c>
      <c r="G630">
        <v>0.23699999999999999</v>
      </c>
      <c r="H630" s="413">
        <f>G630*VLOOKUP(E630,GWPs!$B$3:$C$6,2,FALSE)</f>
        <v>0.23699999999999999</v>
      </c>
      <c r="I630">
        <v>3.1E-2</v>
      </c>
      <c r="J630" s="413">
        <f>I630*VLOOKUP(E630,GWPs!$B$3:$C$6,2,FALSE)</f>
        <v>3.1E-2</v>
      </c>
      <c r="K630">
        <v>0.26800000000000002</v>
      </c>
      <c r="L630" s="413">
        <f>K630*VLOOKUP(E630,GWPs!$B$3:$C$6,2,FALSE)</f>
        <v>0.26800000000000002</v>
      </c>
      <c r="N630">
        <v>3</v>
      </c>
      <c r="O630">
        <v>2</v>
      </c>
      <c r="P630">
        <v>1</v>
      </c>
      <c r="Q630">
        <v>3</v>
      </c>
      <c r="R630">
        <v>1</v>
      </c>
    </row>
    <row r="631" spans="1:18">
      <c r="A631" t="str">
        <f>_xlfn.IFNA(IF(VLOOKUP(C631,'2016_Detail_Commodity_v1.0'!C:C,1,FALSE)=C631,"No change"),"Name changed")</f>
        <v>No change</v>
      </c>
      <c r="B631" t="s">
        <v>623</v>
      </c>
      <c r="C631" t="s">
        <v>624</v>
      </c>
      <c r="E631" t="s">
        <v>3654</v>
      </c>
      <c r="F631" t="s">
        <v>12</v>
      </c>
      <c r="G631">
        <v>1E-3</v>
      </c>
      <c r="H631" s="413">
        <f>G631*VLOOKUP(E631,GWPs!$B$3:$C$6,2,FALSE)</f>
        <v>2.8000000000000001E-2</v>
      </c>
      <c r="I631">
        <v>0</v>
      </c>
      <c r="J631" s="413">
        <f>I631*VLOOKUP(E631,GWPs!$B$3:$C$6,2,FALSE)</f>
        <v>0</v>
      </c>
      <c r="K631">
        <v>1E-3</v>
      </c>
      <c r="L631" s="413">
        <f>K631*VLOOKUP(E631,GWPs!$B$3:$C$6,2,FALSE)</f>
        <v>2.8000000000000001E-2</v>
      </c>
      <c r="N631">
        <v>4</v>
      </c>
      <c r="O631">
        <v>2</v>
      </c>
      <c r="P631">
        <v>1</v>
      </c>
      <c r="Q631">
        <v>1</v>
      </c>
      <c r="R631">
        <v>1</v>
      </c>
    </row>
    <row r="632" spans="1:18">
      <c r="A632" t="str">
        <f>_xlfn.IFNA(IF(VLOOKUP(C632,'2016_Detail_Commodity_v1.0'!C:C,1,FALSE)=C632,"No change"),"Name changed")</f>
        <v>No change</v>
      </c>
      <c r="B632" t="s">
        <v>623</v>
      </c>
      <c r="C632" t="s">
        <v>624</v>
      </c>
      <c r="E632" t="s">
        <v>3655</v>
      </c>
      <c r="F632" t="s">
        <v>12</v>
      </c>
      <c r="G632">
        <v>0</v>
      </c>
      <c r="H632" s="413">
        <f>G632*VLOOKUP(E632,GWPs!$B$3:$C$6,2,FALSE)</f>
        <v>0</v>
      </c>
      <c r="I632">
        <v>0</v>
      </c>
      <c r="J632" s="413">
        <f>I632*VLOOKUP(E632,GWPs!$B$3:$C$6,2,FALSE)</f>
        <v>0</v>
      </c>
      <c r="K632">
        <v>0</v>
      </c>
      <c r="L632" s="413">
        <f>K632*VLOOKUP(E632,GWPs!$B$3:$C$6,2,FALSE)</f>
        <v>0</v>
      </c>
      <c r="N632">
        <v>3</v>
      </c>
      <c r="O632">
        <v>2</v>
      </c>
      <c r="P632">
        <v>1</v>
      </c>
      <c r="Q632">
        <v>2</v>
      </c>
      <c r="R632">
        <v>1</v>
      </c>
    </row>
    <row r="633" spans="1:18">
      <c r="A633" t="str">
        <f>_xlfn.IFNA(IF(VLOOKUP(C633,'2016_Detail_Commodity_v1.0'!C:C,1,FALSE)=C633,"No change"),"Name changed")</f>
        <v>No change</v>
      </c>
      <c r="B633" t="s">
        <v>623</v>
      </c>
      <c r="C633" t="s">
        <v>624</v>
      </c>
      <c r="E633" t="s">
        <v>15</v>
      </c>
      <c r="F633" t="s">
        <v>16</v>
      </c>
      <c r="G633">
        <v>5.0000000000000001E-3</v>
      </c>
      <c r="H633" s="413">
        <f>G633*VLOOKUP(E633,GWPs!$B$3:$C$6,2,FALSE)</f>
        <v>5.0000000000000001E-3</v>
      </c>
      <c r="I633">
        <v>0</v>
      </c>
      <c r="J633" s="413">
        <f>I633*VLOOKUP(E633,GWPs!$B$3:$C$6,2,FALSE)</f>
        <v>0</v>
      </c>
      <c r="K633">
        <v>5.0000000000000001E-3</v>
      </c>
      <c r="L633" s="413">
        <f>K633*VLOOKUP(E633,GWPs!$B$3:$C$6,2,FALSE)</f>
        <v>5.0000000000000001E-3</v>
      </c>
      <c r="N633">
        <v>3</v>
      </c>
      <c r="O633">
        <v>2</v>
      </c>
      <c r="P633">
        <v>1</v>
      </c>
      <c r="Q633">
        <v>2</v>
      </c>
      <c r="R633">
        <v>1</v>
      </c>
    </row>
    <row r="634" spans="1:18">
      <c r="A634" t="str">
        <f>_xlfn.IFNA(IF(VLOOKUP(C634,'2016_Detail_Commodity_v1.0'!C:C,1,FALSE)=C634,"No change"),"Name changed")</f>
        <v>No change</v>
      </c>
      <c r="B634" t="s">
        <v>625</v>
      </c>
      <c r="C634" t="s">
        <v>626</v>
      </c>
      <c r="E634" t="s">
        <v>3653</v>
      </c>
      <c r="F634" t="s">
        <v>12</v>
      </c>
      <c r="G634">
        <v>0.318</v>
      </c>
      <c r="H634" s="413">
        <f>G634*VLOOKUP(E634,GWPs!$B$3:$C$6,2,FALSE)</f>
        <v>0.318</v>
      </c>
      <c r="I634">
        <v>3.5999999999999997E-2</v>
      </c>
      <c r="J634" s="413">
        <f>I634*VLOOKUP(E634,GWPs!$B$3:$C$6,2,FALSE)</f>
        <v>3.5999999999999997E-2</v>
      </c>
      <c r="K634">
        <v>0.35399999999999998</v>
      </c>
      <c r="L634" s="413">
        <f>K634*VLOOKUP(E634,GWPs!$B$3:$C$6,2,FALSE)</f>
        <v>0.35399999999999998</v>
      </c>
      <c r="N634">
        <v>3</v>
      </c>
      <c r="O634">
        <v>2</v>
      </c>
      <c r="P634">
        <v>1</v>
      </c>
      <c r="Q634">
        <v>3</v>
      </c>
      <c r="R634">
        <v>1</v>
      </c>
    </row>
    <row r="635" spans="1:18">
      <c r="A635" t="str">
        <f>_xlfn.IFNA(IF(VLOOKUP(C635,'2016_Detail_Commodity_v1.0'!C:C,1,FALSE)=C635,"No change"),"Name changed")</f>
        <v>No change</v>
      </c>
      <c r="B635" t="s">
        <v>625</v>
      </c>
      <c r="C635" t="s">
        <v>626</v>
      </c>
      <c r="E635" t="s">
        <v>3654</v>
      </c>
      <c r="F635" t="s">
        <v>12</v>
      </c>
      <c r="G635">
        <v>1E-3</v>
      </c>
      <c r="H635" s="413">
        <f>G635*VLOOKUP(E635,GWPs!$B$3:$C$6,2,FALSE)</f>
        <v>2.8000000000000001E-2</v>
      </c>
      <c r="I635">
        <v>0</v>
      </c>
      <c r="J635" s="413">
        <f>I635*VLOOKUP(E635,GWPs!$B$3:$C$6,2,FALSE)</f>
        <v>0</v>
      </c>
      <c r="K635">
        <v>2E-3</v>
      </c>
      <c r="L635" s="413">
        <f>K635*VLOOKUP(E635,GWPs!$B$3:$C$6,2,FALSE)</f>
        <v>5.6000000000000001E-2</v>
      </c>
      <c r="N635">
        <v>4</v>
      </c>
      <c r="O635">
        <v>2</v>
      </c>
      <c r="P635">
        <v>1</v>
      </c>
      <c r="Q635">
        <v>1</v>
      </c>
      <c r="R635">
        <v>1</v>
      </c>
    </row>
    <row r="636" spans="1:18">
      <c r="A636" t="str">
        <f>_xlfn.IFNA(IF(VLOOKUP(C636,'2016_Detail_Commodity_v1.0'!C:C,1,FALSE)=C636,"No change"),"Name changed")</f>
        <v>No change</v>
      </c>
      <c r="B636" t="s">
        <v>625</v>
      </c>
      <c r="C636" t="s">
        <v>626</v>
      </c>
      <c r="E636" t="s">
        <v>3655</v>
      </c>
      <c r="F636" t="s">
        <v>12</v>
      </c>
      <c r="G636">
        <v>0</v>
      </c>
      <c r="H636" s="413">
        <f>G636*VLOOKUP(E636,GWPs!$B$3:$C$6,2,FALSE)</f>
        <v>0</v>
      </c>
      <c r="I636">
        <v>0</v>
      </c>
      <c r="J636" s="413">
        <f>I636*VLOOKUP(E636,GWPs!$B$3:$C$6,2,FALSE)</f>
        <v>0</v>
      </c>
      <c r="K636">
        <v>0</v>
      </c>
      <c r="L636" s="413">
        <f>K636*VLOOKUP(E636,GWPs!$B$3:$C$6,2,FALSE)</f>
        <v>0</v>
      </c>
      <c r="N636">
        <v>3</v>
      </c>
      <c r="O636">
        <v>2</v>
      </c>
      <c r="P636">
        <v>1</v>
      </c>
      <c r="Q636">
        <v>3</v>
      </c>
      <c r="R636">
        <v>1</v>
      </c>
    </row>
    <row r="637" spans="1:18">
      <c r="A637" t="str">
        <f>_xlfn.IFNA(IF(VLOOKUP(C637,'2016_Detail_Commodity_v1.0'!C:C,1,FALSE)=C637,"No change"),"Name changed")</f>
        <v>No change</v>
      </c>
      <c r="B637" t="s">
        <v>625</v>
      </c>
      <c r="C637" t="s">
        <v>626</v>
      </c>
      <c r="E637" t="s">
        <v>15</v>
      </c>
      <c r="F637" t="s">
        <v>16</v>
      </c>
      <c r="G637">
        <v>7.0000000000000001E-3</v>
      </c>
      <c r="H637" s="413">
        <f>G637*VLOOKUP(E637,GWPs!$B$3:$C$6,2,FALSE)</f>
        <v>7.0000000000000001E-3</v>
      </c>
      <c r="I637">
        <v>0</v>
      </c>
      <c r="J637" s="413">
        <f>I637*VLOOKUP(E637,GWPs!$B$3:$C$6,2,FALSE)</f>
        <v>0</v>
      </c>
      <c r="K637">
        <v>7.0000000000000001E-3</v>
      </c>
      <c r="L637" s="413">
        <f>K637*VLOOKUP(E637,GWPs!$B$3:$C$6,2,FALSE)</f>
        <v>7.0000000000000001E-3</v>
      </c>
      <c r="N637">
        <v>3</v>
      </c>
      <c r="O637">
        <v>2</v>
      </c>
      <c r="P637">
        <v>1</v>
      </c>
      <c r="Q637">
        <v>2</v>
      </c>
      <c r="R637">
        <v>1</v>
      </c>
    </row>
    <row r="638" spans="1:18">
      <c r="A638" t="str">
        <f>_xlfn.IFNA(IF(VLOOKUP(C638,'2016_Detail_Commodity_v1.0'!C:C,1,FALSE)=C638,"No change"),"Name changed")</f>
        <v>Name changed</v>
      </c>
      <c r="B638" t="s">
        <v>627</v>
      </c>
      <c r="C638" t="s">
        <v>1657</v>
      </c>
      <c r="D638" t="s">
        <v>628</v>
      </c>
      <c r="E638" t="s">
        <v>3653</v>
      </c>
      <c r="F638" t="s">
        <v>12</v>
      </c>
      <c r="G638">
        <v>0.28499999999999998</v>
      </c>
      <c r="H638" s="413">
        <f>G638*VLOOKUP(E638,GWPs!$B$3:$C$6,2,FALSE)</f>
        <v>0.28499999999999998</v>
      </c>
      <c r="I638">
        <v>4.3999999999999997E-2</v>
      </c>
      <c r="J638" s="413">
        <f>I638*VLOOKUP(E638,GWPs!$B$3:$C$6,2,FALSE)</f>
        <v>4.3999999999999997E-2</v>
      </c>
      <c r="K638">
        <v>0.33</v>
      </c>
      <c r="L638" s="413">
        <f>K638*VLOOKUP(E638,GWPs!$B$3:$C$6,2,FALSE)</f>
        <v>0.33</v>
      </c>
      <c r="N638">
        <v>3</v>
      </c>
      <c r="O638">
        <v>2</v>
      </c>
      <c r="P638">
        <v>1</v>
      </c>
      <c r="Q638">
        <v>3</v>
      </c>
      <c r="R638">
        <v>1</v>
      </c>
    </row>
    <row r="639" spans="1:18">
      <c r="A639" t="str">
        <f>_xlfn.IFNA(IF(VLOOKUP(C639,'2016_Detail_Commodity_v1.0'!C:C,1,FALSE)=C639,"No change"),"Name changed")</f>
        <v>Name changed</v>
      </c>
      <c r="B639" t="s">
        <v>627</v>
      </c>
      <c r="C639" t="s">
        <v>1657</v>
      </c>
      <c r="D639" t="s">
        <v>628</v>
      </c>
      <c r="E639" t="s">
        <v>3654</v>
      </c>
      <c r="F639" t="s">
        <v>12</v>
      </c>
      <c r="G639">
        <v>1E-3</v>
      </c>
      <c r="H639" s="413">
        <f>G639*VLOOKUP(E639,GWPs!$B$3:$C$6,2,FALSE)</f>
        <v>2.8000000000000001E-2</v>
      </c>
      <c r="I639">
        <v>0</v>
      </c>
      <c r="J639" s="413">
        <f>I639*VLOOKUP(E639,GWPs!$B$3:$C$6,2,FALSE)</f>
        <v>0</v>
      </c>
      <c r="K639">
        <v>1E-3</v>
      </c>
      <c r="L639" s="413">
        <f>K639*VLOOKUP(E639,GWPs!$B$3:$C$6,2,FALSE)</f>
        <v>2.8000000000000001E-2</v>
      </c>
      <c r="N639">
        <v>4</v>
      </c>
      <c r="O639">
        <v>2</v>
      </c>
      <c r="P639">
        <v>1</v>
      </c>
      <c r="Q639">
        <v>1</v>
      </c>
      <c r="R639">
        <v>1</v>
      </c>
    </row>
    <row r="640" spans="1:18">
      <c r="A640" t="str">
        <f>_xlfn.IFNA(IF(VLOOKUP(C640,'2016_Detail_Commodity_v1.0'!C:C,1,FALSE)=C640,"No change"),"Name changed")</f>
        <v>Name changed</v>
      </c>
      <c r="B640" t="s">
        <v>627</v>
      </c>
      <c r="C640" t="s">
        <v>1657</v>
      </c>
      <c r="D640" t="s">
        <v>628</v>
      </c>
      <c r="E640" t="s">
        <v>3655</v>
      </c>
      <c r="F640" t="s">
        <v>12</v>
      </c>
      <c r="G640">
        <v>0</v>
      </c>
      <c r="H640" s="413">
        <f>G640*VLOOKUP(E640,GWPs!$B$3:$C$6,2,FALSE)</f>
        <v>0</v>
      </c>
      <c r="I640">
        <v>0</v>
      </c>
      <c r="J640" s="413">
        <f>I640*VLOOKUP(E640,GWPs!$B$3:$C$6,2,FALSE)</f>
        <v>0</v>
      </c>
      <c r="K640">
        <v>0</v>
      </c>
      <c r="L640" s="413">
        <f>K640*VLOOKUP(E640,GWPs!$B$3:$C$6,2,FALSE)</f>
        <v>0</v>
      </c>
      <c r="N640">
        <v>3</v>
      </c>
      <c r="O640">
        <v>2</v>
      </c>
      <c r="P640">
        <v>1</v>
      </c>
      <c r="Q640">
        <v>3</v>
      </c>
      <c r="R640">
        <v>1</v>
      </c>
    </row>
    <row r="641" spans="1:18">
      <c r="A641" t="str">
        <f>_xlfn.IFNA(IF(VLOOKUP(C641,'2016_Detail_Commodity_v1.0'!C:C,1,FALSE)=C641,"No change"),"Name changed")</f>
        <v>Name changed</v>
      </c>
      <c r="B641" t="s">
        <v>627</v>
      </c>
      <c r="C641" t="s">
        <v>1657</v>
      </c>
      <c r="D641" t="s">
        <v>628</v>
      </c>
      <c r="E641" t="s">
        <v>15</v>
      </c>
      <c r="F641" t="s">
        <v>16</v>
      </c>
      <c r="G641">
        <v>1.2E-2</v>
      </c>
      <c r="H641" s="413">
        <f>G641*VLOOKUP(E641,GWPs!$B$3:$C$6,2,FALSE)</f>
        <v>1.2E-2</v>
      </c>
      <c r="I641">
        <v>0</v>
      </c>
      <c r="J641" s="413">
        <f>I641*VLOOKUP(E641,GWPs!$B$3:$C$6,2,FALSE)</f>
        <v>0</v>
      </c>
      <c r="K641">
        <v>1.2E-2</v>
      </c>
      <c r="L641" s="413">
        <f>K641*VLOOKUP(E641,GWPs!$B$3:$C$6,2,FALSE)</f>
        <v>1.2E-2</v>
      </c>
      <c r="N641">
        <v>3</v>
      </c>
      <c r="O641">
        <v>2</v>
      </c>
      <c r="P641">
        <v>1</v>
      </c>
      <c r="Q641">
        <v>2</v>
      </c>
      <c r="R641">
        <v>1</v>
      </c>
    </row>
    <row r="642" spans="1:18">
      <c r="A642" t="str">
        <f>_xlfn.IFNA(IF(VLOOKUP(C642,'2016_Detail_Commodity_v1.0'!C:C,1,FALSE)=C642,"No change"),"Name changed")</f>
        <v>No change</v>
      </c>
      <c r="B642" t="s">
        <v>629</v>
      </c>
      <c r="C642" t="s">
        <v>630</v>
      </c>
      <c r="E642" t="s">
        <v>3653</v>
      </c>
      <c r="F642" t="s">
        <v>12</v>
      </c>
      <c r="G642">
        <v>0.129</v>
      </c>
      <c r="H642" s="413">
        <f>G642*VLOOKUP(E642,GWPs!$B$3:$C$6,2,FALSE)</f>
        <v>0.129</v>
      </c>
      <c r="I642">
        <v>6.9000000000000006E-2</v>
      </c>
      <c r="J642" s="413">
        <f>I642*VLOOKUP(E642,GWPs!$B$3:$C$6,2,FALSE)</f>
        <v>6.9000000000000006E-2</v>
      </c>
      <c r="K642">
        <v>0.19800000000000001</v>
      </c>
      <c r="L642" s="413">
        <f>K642*VLOOKUP(E642,GWPs!$B$3:$C$6,2,FALSE)</f>
        <v>0.19800000000000001</v>
      </c>
      <c r="N642">
        <v>3</v>
      </c>
      <c r="O642">
        <v>2</v>
      </c>
      <c r="P642">
        <v>1</v>
      </c>
      <c r="Q642">
        <v>3</v>
      </c>
      <c r="R642">
        <v>1</v>
      </c>
    </row>
    <row r="643" spans="1:18">
      <c r="A643" t="str">
        <f>_xlfn.IFNA(IF(VLOOKUP(C643,'2016_Detail_Commodity_v1.0'!C:C,1,FALSE)=C643,"No change"),"Name changed")</f>
        <v>No change</v>
      </c>
      <c r="B643" t="s">
        <v>629</v>
      </c>
      <c r="C643" t="s">
        <v>630</v>
      </c>
      <c r="E643" t="s">
        <v>3654</v>
      </c>
      <c r="F643" t="s">
        <v>12</v>
      </c>
      <c r="G643">
        <v>0</v>
      </c>
      <c r="H643" s="413">
        <f>G643*VLOOKUP(E643,GWPs!$B$3:$C$6,2,FALSE)</f>
        <v>0</v>
      </c>
      <c r="I643">
        <v>0</v>
      </c>
      <c r="J643" s="413">
        <f>I643*VLOOKUP(E643,GWPs!$B$3:$C$6,2,FALSE)</f>
        <v>0</v>
      </c>
      <c r="K643">
        <v>1E-3</v>
      </c>
      <c r="L643" s="413">
        <f>K643*VLOOKUP(E643,GWPs!$B$3:$C$6,2,FALSE)</f>
        <v>2.8000000000000001E-2</v>
      </c>
      <c r="N643">
        <v>3</v>
      </c>
      <c r="O643">
        <v>2</v>
      </c>
      <c r="P643">
        <v>1</v>
      </c>
      <c r="Q643">
        <v>1</v>
      </c>
      <c r="R643">
        <v>1</v>
      </c>
    </row>
    <row r="644" spans="1:18">
      <c r="A644" t="str">
        <f>_xlfn.IFNA(IF(VLOOKUP(C644,'2016_Detail_Commodity_v1.0'!C:C,1,FALSE)=C644,"No change"),"Name changed")</f>
        <v>No change</v>
      </c>
      <c r="B644" t="s">
        <v>629</v>
      </c>
      <c r="C644" t="s">
        <v>630</v>
      </c>
      <c r="E644" t="s">
        <v>3655</v>
      </c>
      <c r="F644" t="s">
        <v>12</v>
      </c>
      <c r="G644">
        <v>0</v>
      </c>
      <c r="H644" s="413">
        <f>G644*VLOOKUP(E644,GWPs!$B$3:$C$6,2,FALSE)</f>
        <v>0</v>
      </c>
      <c r="I644">
        <v>0</v>
      </c>
      <c r="J644" s="413">
        <f>I644*VLOOKUP(E644,GWPs!$B$3:$C$6,2,FALSE)</f>
        <v>0</v>
      </c>
      <c r="K644">
        <v>0</v>
      </c>
      <c r="L644" s="413">
        <f>K644*VLOOKUP(E644,GWPs!$B$3:$C$6,2,FALSE)</f>
        <v>0</v>
      </c>
      <c r="N644">
        <v>3</v>
      </c>
      <c r="O644">
        <v>2</v>
      </c>
      <c r="P644">
        <v>1</v>
      </c>
      <c r="Q644">
        <v>3</v>
      </c>
      <c r="R644">
        <v>1</v>
      </c>
    </row>
    <row r="645" spans="1:18">
      <c r="A645" t="str">
        <f>_xlfn.IFNA(IF(VLOOKUP(C645,'2016_Detail_Commodity_v1.0'!C:C,1,FALSE)=C645,"No change"),"Name changed")</f>
        <v>No change</v>
      </c>
      <c r="B645" t="s">
        <v>629</v>
      </c>
      <c r="C645" t="s">
        <v>630</v>
      </c>
      <c r="E645" t="s">
        <v>15</v>
      </c>
      <c r="F645" t="s">
        <v>16</v>
      </c>
      <c r="G645">
        <v>6.0000000000000001E-3</v>
      </c>
      <c r="H645" s="413">
        <f>G645*VLOOKUP(E645,GWPs!$B$3:$C$6,2,FALSE)</f>
        <v>6.0000000000000001E-3</v>
      </c>
      <c r="I645">
        <v>0</v>
      </c>
      <c r="J645" s="413">
        <f>I645*VLOOKUP(E645,GWPs!$B$3:$C$6,2,FALSE)</f>
        <v>0</v>
      </c>
      <c r="K645">
        <v>6.0000000000000001E-3</v>
      </c>
      <c r="L645" s="413">
        <f>K645*VLOOKUP(E645,GWPs!$B$3:$C$6,2,FALSE)</f>
        <v>6.0000000000000001E-3</v>
      </c>
      <c r="N645">
        <v>3</v>
      </c>
      <c r="O645">
        <v>2</v>
      </c>
      <c r="P645">
        <v>1</v>
      </c>
      <c r="Q645">
        <v>2</v>
      </c>
      <c r="R645">
        <v>1</v>
      </c>
    </row>
    <row r="646" spans="1:18">
      <c r="A646" t="str">
        <f>_xlfn.IFNA(IF(VLOOKUP(C646,'2016_Detail_Commodity_v1.0'!C:C,1,FALSE)=C646,"No change"),"Name changed")</f>
        <v>No change</v>
      </c>
      <c r="B646" t="s">
        <v>631</v>
      </c>
      <c r="C646" t="s">
        <v>632</v>
      </c>
      <c r="E646" t="s">
        <v>3653</v>
      </c>
      <c r="F646" t="s">
        <v>12</v>
      </c>
      <c r="G646">
        <v>0.215</v>
      </c>
      <c r="H646" s="413">
        <f>G646*VLOOKUP(E646,GWPs!$B$3:$C$6,2,FALSE)</f>
        <v>0.215</v>
      </c>
      <c r="I646">
        <v>4.1000000000000002E-2</v>
      </c>
      <c r="J646" s="413">
        <f>I646*VLOOKUP(E646,GWPs!$B$3:$C$6,2,FALSE)</f>
        <v>4.1000000000000002E-2</v>
      </c>
      <c r="K646">
        <v>0.25600000000000001</v>
      </c>
      <c r="L646" s="413">
        <f>K646*VLOOKUP(E646,GWPs!$B$3:$C$6,2,FALSE)</f>
        <v>0.25600000000000001</v>
      </c>
      <c r="N646">
        <v>3</v>
      </c>
      <c r="O646">
        <v>2</v>
      </c>
      <c r="P646">
        <v>1</v>
      </c>
      <c r="Q646">
        <v>3</v>
      </c>
      <c r="R646">
        <v>1</v>
      </c>
    </row>
    <row r="647" spans="1:18">
      <c r="A647" t="str">
        <f>_xlfn.IFNA(IF(VLOOKUP(C647,'2016_Detail_Commodity_v1.0'!C:C,1,FALSE)=C647,"No change"),"Name changed")</f>
        <v>No change</v>
      </c>
      <c r="B647" t="s">
        <v>631</v>
      </c>
      <c r="C647" t="s">
        <v>632</v>
      </c>
      <c r="E647" t="s">
        <v>3654</v>
      </c>
      <c r="F647" t="s">
        <v>12</v>
      </c>
      <c r="G647">
        <v>1E-3</v>
      </c>
      <c r="H647" s="413">
        <f>G647*VLOOKUP(E647,GWPs!$B$3:$C$6,2,FALSE)</f>
        <v>2.8000000000000001E-2</v>
      </c>
      <c r="I647">
        <v>0</v>
      </c>
      <c r="J647" s="413">
        <f>I647*VLOOKUP(E647,GWPs!$B$3:$C$6,2,FALSE)</f>
        <v>0</v>
      </c>
      <c r="K647">
        <v>1E-3</v>
      </c>
      <c r="L647" s="413">
        <f>K647*VLOOKUP(E647,GWPs!$B$3:$C$6,2,FALSE)</f>
        <v>2.8000000000000001E-2</v>
      </c>
      <c r="N647">
        <v>4</v>
      </c>
      <c r="O647">
        <v>2</v>
      </c>
      <c r="P647">
        <v>1</v>
      </c>
      <c r="Q647">
        <v>1</v>
      </c>
      <c r="R647">
        <v>1</v>
      </c>
    </row>
    <row r="648" spans="1:18">
      <c r="A648" t="str">
        <f>_xlfn.IFNA(IF(VLOOKUP(C648,'2016_Detail_Commodity_v1.0'!C:C,1,FALSE)=C648,"No change"),"Name changed")</f>
        <v>No change</v>
      </c>
      <c r="B648" t="s">
        <v>631</v>
      </c>
      <c r="C648" t="s">
        <v>632</v>
      </c>
      <c r="E648" t="s">
        <v>3655</v>
      </c>
      <c r="F648" t="s">
        <v>12</v>
      </c>
      <c r="G648">
        <v>0</v>
      </c>
      <c r="H648" s="413">
        <f>G648*VLOOKUP(E648,GWPs!$B$3:$C$6,2,FALSE)</f>
        <v>0</v>
      </c>
      <c r="I648">
        <v>0</v>
      </c>
      <c r="J648" s="413">
        <f>I648*VLOOKUP(E648,GWPs!$B$3:$C$6,2,FALSE)</f>
        <v>0</v>
      </c>
      <c r="K648">
        <v>0</v>
      </c>
      <c r="L648" s="413">
        <f>K648*VLOOKUP(E648,GWPs!$B$3:$C$6,2,FALSE)</f>
        <v>0</v>
      </c>
      <c r="N648">
        <v>3</v>
      </c>
      <c r="O648">
        <v>2</v>
      </c>
      <c r="P648">
        <v>1</v>
      </c>
      <c r="Q648">
        <v>3</v>
      </c>
      <c r="R648">
        <v>1</v>
      </c>
    </row>
    <row r="649" spans="1:18">
      <c r="A649" t="str">
        <f>_xlfn.IFNA(IF(VLOOKUP(C649,'2016_Detail_Commodity_v1.0'!C:C,1,FALSE)=C649,"No change"),"Name changed")</f>
        <v>No change</v>
      </c>
      <c r="B649" t="s">
        <v>631</v>
      </c>
      <c r="C649" t="s">
        <v>632</v>
      </c>
      <c r="E649" t="s">
        <v>15</v>
      </c>
      <c r="F649" t="s">
        <v>16</v>
      </c>
      <c r="G649">
        <v>8.0000000000000002E-3</v>
      </c>
      <c r="H649" s="413">
        <f>G649*VLOOKUP(E649,GWPs!$B$3:$C$6,2,FALSE)</f>
        <v>8.0000000000000002E-3</v>
      </c>
      <c r="I649">
        <v>0</v>
      </c>
      <c r="J649" s="413">
        <f>I649*VLOOKUP(E649,GWPs!$B$3:$C$6,2,FALSE)</f>
        <v>0</v>
      </c>
      <c r="K649">
        <v>8.0000000000000002E-3</v>
      </c>
      <c r="L649" s="413">
        <f>K649*VLOOKUP(E649,GWPs!$B$3:$C$6,2,FALSE)</f>
        <v>8.0000000000000002E-3</v>
      </c>
      <c r="N649">
        <v>3</v>
      </c>
      <c r="O649">
        <v>2</v>
      </c>
      <c r="P649">
        <v>1</v>
      </c>
      <c r="Q649">
        <v>3</v>
      </c>
      <c r="R649">
        <v>1</v>
      </c>
    </row>
    <row r="650" spans="1:18">
      <c r="A650" t="str">
        <f>_xlfn.IFNA(IF(VLOOKUP(C650,'2016_Detail_Commodity_v1.0'!C:C,1,FALSE)=C650,"No change"),"Name changed")</f>
        <v>No change</v>
      </c>
      <c r="B650" t="s">
        <v>633</v>
      </c>
      <c r="C650" t="s">
        <v>634</v>
      </c>
      <c r="E650" t="s">
        <v>3653</v>
      </c>
      <c r="F650" t="s">
        <v>12</v>
      </c>
      <c r="G650">
        <v>9.4E-2</v>
      </c>
      <c r="H650" s="413">
        <f>G650*VLOOKUP(E650,GWPs!$B$3:$C$6,2,FALSE)</f>
        <v>9.4E-2</v>
      </c>
      <c r="I650">
        <v>0.12</v>
      </c>
      <c r="J650" s="413">
        <f>I650*VLOOKUP(E650,GWPs!$B$3:$C$6,2,FALSE)</f>
        <v>0.12</v>
      </c>
      <c r="K650">
        <v>0.214</v>
      </c>
      <c r="L650" s="413">
        <f>K650*VLOOKUP(E650,GWPs!$B$3:$C$6,2,FALSE)</f>
        <v>0.214</v>
      </c>
      <c r="N650">
        <v>3</v>
      </c>
      <c r="O650">
        <v>2</v>
      </c>
      <c r="P650">
        <v>1</v>
      </c>
      <c r="Q650">
        <v>3</v>
      </c>
      <c r="R650">
        <v>1</v>
      </c>
    </row>
    <row r="651" spans="1:18">
      <c r="A651" t="str">
        <f>_xlfn.IFNA(IF(VLOOKUP(C651,'2016_Detail_Commodity_v1.0'!C:C,1,FALSE)=C651,"No change"),"Name changed")</f>
        <v>No change</v>
      </c>
      <c r="B651" t="s">
        <v>633</v>
      </c>
      <c r="C651" t="s">
        <v>634</v>
      </c>
      <c r="E651" t="s">
        <v>3654</v>
      </c>
      <c r="F651" t="s">
        <v>12</v>
      </c>
      <c r="G651">
        <v>0</v>
      </c>
      <c r="H651" s="413">
        <f>G651*VLOOKUP(E651,GWPs!$B$3:$C$6,2,FALSE)</f>
        <v>0</v>
      </c>
      <c r="I651">
        <v>0</v>
      </c>
      <c r="J651" s="413">
        <f>I651*VLOOKUP(E651,GWPs!$B$3:$C$6,2,FALSE)</f>
        <v>0</v>
      </c>
      <c r="K651">
        <v>1E-3</v>
      </c>
      <c r="L651" s="413">
        <f>K651*VLOOKUP(E651,GWPs!$B$3:$C$6,2,FALSE)</f>
        <v>2.8000000000000001E-2</v>
      </c>
      <c r="N651">
        <v>4</v>
      </c>
      <c r="O651">
        <v>2</v>
      </c>
      <c r="P651">
        <v>1</v>
      </c>
      <c r="Q651">
        <v>1</v>
      </c>
      <c r="R651">
        <v>1</v>
      </c>
    </row>
    <row r="652" spans="1:18">
      <c r="A652" t="str">
        <f>_xlfn.IFNA(IF(VLOOKUP(C652,'2016_Detail_Commodity_v1.0'!C:C,1,FALSE)=C652,"No change"),"Name changed")</f>
        <v>No change</v>
      </c>
      <c r="B652" t="s">
        <v>633</v>
      </c>
      <c r="C652" t="s">
        <v>634</v>
      </c>
      <c r="E652" t="s">
        <v>3655</v>
      </c>
      <c r="F652" t="s">
        <v>12</v>
      </c>
      <c r="G652">
        <v>0</v>
      </c>
      <c r="H652" s="413">
        <f>G652*VLOOKUP(E652,GWPs!$B$3:$C$6,2,FALSE)</f>
        <v>0</v>
      </c>
      <c r="I652">
        <v>0</v>
      </c>
      <c r="J652" s="413">
        <f>I652*VLOOKUP(E652,GWPs!$B$3:$C$6,2,FALSE)</f>
        <v>0</v>
      </c>
      <c r="K652">
        <v>0</v>
      </c>
      <c r="L652" s="413">
        <f>K652*VLOOKUP(E652,GWPs!$B$3:$C$6,2,FALSE)</f>
        <v>0</v>
      </c>
      <c r="N652">
        <v>3</v>
      </c>
      <c r="O652">
        <v>2</v>
      </c>
      <c r="P652">
        <v>1</v>
      </c>
      <c r="Q652">
        <v>3</v>
      </c>
      <c r="R652">
        <v>1</v>
      </c>
    </row>
    <row r="653" spans="1:18">
      <c r="A653" t="str">
        <f>_xlfn.IFNA(IF(VLOOKUP(C653,'2016_Detail_Commodity_v1.0'!C:C,1,FALSE)=C653,"No change"),"Name changed")</f>
        <v>No change</v>
      </c>
      <c r="B653" t="s">
        <v>633</v>
      </c>
      <c r="C653" t="s">
        <v>634</v>
      </c>
      <c r="E653" t="s">
        <v>15</v>
      </c>
      <c r="F653" t="s">
        <v>16</v>
      </c>
      <c r="G653">
        <v>8.9999999999999993E-3</v>
      </c>
      <c r="H653" s="413">
        <f>G653*VLOOKUP(E653,GWPs!$B$3:$C$6,2,FALSE)</f>
        <v>8.9999999999999993E-3</v>
      </c>
      <c r="I653">
        <v>0</v>
      </c>
      <c r="J653" s="413">
        <f>I653*VLOOKUP(E653,GWPs!$B$3:$C$6,2,FALSE)</f>
        <v>0</v>
      </c>
      <c r="K653">
        <v>8.9999999999999993E-3</v>
      </c>
      <c r="L653" s="413">
        <f>K653*VLOOKUP(E653,GWPs!$B$3:$C$6,2,FALSE)</f>
        <v>8.9999999999999993E-3</v>
      </c>
      <c r="N653">
        <v>3</v>
      </c>
      <c r="O653">
        <v>2</v>
      </c>
      <c r="P653">
        <v>1</v>
      </c>
      <c r="Q653">
        <v>3</v>
      </c>
      <c r="R653">
        <v>1</v>
      </c>
    </row>
    <row r="654" spans="1:18">
      <c r="A654" t="str">
        <f>_xlfn.IFNA(IF(VLOOKUP(C654,'2016_Detail_Commodity_v1.0'!C:C,1,FALSE)=C654,"No change"),"Name changed")</f>
        <v>No change</v>
      </c>
      <c r="B654" t="s">
        <v>635</v>
      </c>
      <c r="C654" t="s">
        <v>636</v>
      </c>
      <c r="E654" t="s">
        <v>3653</v>
      </c>
      <c r="F654" t="s">
        <v>12</v>
      </c>
      <c r="G654">
        <v>0.19900000000000001</v>
      </c>
      <c r="H654" s="413">
        <f>G654*VLOOKUP(E654,GWPs!$B$3:$C$6,2,FALSE)</f>
        <v>0.19900000000000001</v>
      </c>
      <c r="I654">
        <v>3.7999999999999999E-2</v>
      </c>
      <c r="J654" s="413">
        <f>I654*VLOOKUP(E654,GWPs!$B$3:$C$6,2,FALSE)</f>
        <v>3.7999999999999999E-2</v>
      </c>
      <c r="K654">
        <v>0.23699999999999999</v>
      </c>
      <c r="L654" s="413">
        <f>K654*VLOOKUP(E654,GWPs!$B$3:$C$6,2,FALSE)</f>
        <v>0.23699999999999999</v>
      </c>
      <c r="N654">
        <v>3</v>
      </c>
      <c r="O654">
        <v>2</v>
      </c>
      <c r="P654">
        <v>1</v>
      </c>
      <c r="Q654">
        <v>3</v>
      </c>
      <c r="R654">
        <v>1</v>
      </c>
    </row>
    <row r="655" spans="1:18">
      <c r="A655" t="str">
        <f>_xlfn.IFNA(IF(VLOOKUP(C655,'2016_Detail_Commodity_v1.0'!C:C,1,FALSE)=C655,"No change"),"Name changed")</f>
        <v>No change</v>
      </c>
      <c r="B655" t="s">
        <v>635</v>
      </c>
      <c r="C655" t="s">
        <v>636</v>
      </c>
      <c r="E655" t="s">
        <v>3654</v>
      </c>
      <c r="F655" t="s">
        <v>12</v>
      </c>
      <c r="G655">
        <v>1E-3</v>
      </c>
      <c r="H655" s="413">
        <f>G655*VLOOKUP(E655,GWPs!$B$3:$C$6,2,FALSE)</f>
        <v>2.8000000000000001E-2</v>
      </c>
      <c r="I655">
        <v>0</v>
      </c>
      <c r="J655" s="413">
        <f>I655*VLOOKUP(E655,GWPs!$B$3:$C$6,2,FALSE)</f>
        <v>0</v>
      </c>
      <c r="K655">
        <v>1E-3</v>
      </c>
      <c r="L655" s="413">
        <f>K655*VLOOKUP(E655,GWPs!$B$3:$C$6,2,FALSE)</f>
        <v>2.8000000000000001E-2</v>
      </c>
      <c r="N655">
        <v>4</v>
      </c>
      <c r="O655">
        <v>2</v>
      </c>
      <c r="P655">
        <v>1</v>
      </c>
      <c r="Q655">
        <v>1</v>
      </c>
      <c r="R655">
        <v>1</v>
      </c>
    </row>
    <row r="656" spans="1:18">
      <c r="A656" t="str">
        <f>_xlfn.IFNA(IF(VLOOKUP(C656,'2016_Detail_Commodity_v1.0'!C:C,1,FALSE)=C656,"No change"),"Name changed")</f>
        <v>No change</v>
      </c>
      <c r="B656" t="s">
        <v>635</v>
      </c>
      <c r="C656" t="s">
        <v>636</v>
      </c>
      <c r="E656" t="s">
        <v>3655</v>
      </c>
      <c r="F656" t="s">
        <v>12</v>
      </c>
      <c r="G656">
        <v>0</v>
      </c>
      <c r="H656" s="413">
        <f>G656*VLOOKUP(E656,GWPs!$B$3:$C$6,2,FALSE)</f>
        <v>0</v>
      </c>
      <c r="I656">
        <v>0</v>
      </c>
      <c r="J656" s="413">
        <f>I656*VLOOKUP(E656,GWPs!$B$3:$C$6,2,FALSE)</f>
        <v>0</v>
      </c>
      <c r="K656">
        <v>0</v>
      </c>
      <c r="L656" s="413">
        <f>K656*VLOOKUP(E656,GWPs!$B$3:$C$6,2,FALSE)</f>
        <v>0</v>
      </c>
      <c r="N656">
        <v>3</v>
      </c>
      <c r="O656">
        <v>2</v>
      </c>
      <c r="P656">
        <v>1</v>
      </c>
      <c r="Q656">
        <v>3</v>
      </c>
      <c r="R656">
        <v>1</v>
      </c>
    </row>
    <row r="657" spans="1:18">
      <c r="A657" t="str">
        <f>_xlfn.IFNA(IF(VLOOKUP(C657,'2016_Detail_Commodity_v1.0'!C:C,1,FALSE)=C657,"No change"),"Name changed")</f>
        <v>No change</v>
      </c>
      <c r="B657" t="s">
        <v>635</v>
      </c>
      <c r="C657" t="s">
        <v>636</v>
      </c>
      <c r="E657" t="s">
        <v>15</v>
      </c>
      <c r="F657" t="s">
        <v>16</v>
      </c>
      <c r="G657">
        <v>7.0000000000000001E-3</v>
      </c>
      <c r="H657" s="413">
        <f>G657*VLOOKUP(E657,GWPs!$B$3:$C$6,2,FALSE)</f>
        <v>7.0000000000000001E-3</v>
      </c>
      <c r="I657">
        <v>0</v>
      </c>
      <c r="J657" s="413">
        <f>I657*VLOOKUP(E657,GWPs!$B$3:$C$6,2,FALSE)</f>
        <v>0</v>
      </c>
      <c r="K657">
        <v>7.0000000000000001E-3</v>
      </c>
      <c r="L657" s="413">
        <f>K657*VLOOKUP(E657,GWPs!$B$3:$C$6,2,FALSE)</f>
        <v>7.0000000000000001E-3</v>
      </c>
      <c r="N657">
        <v>3</v>
      </c>
      <c r="O657">
        <v>2</v>
      </c>
      <c r="P657">
        <v>1</v>
      </c>
      <c r="Q657">
        <v>3</v>
      </c>
      <c r="R657">
        <v>1</v>
      </c>
    </row>
    <row r="658" spans="1:18">
      <c r="A658" t="str">
        <f>_xlfn.IFNA(IF(VLOOKUP(C658,'2016_Detail_Commodity_v1.0'!C:C,1,FALSE)=C658,"No change"),"Name changed")</f>
        <v>No change</v>
      </c>
      <c r="B658" t="s">
        <v>637</v>
      </c>
      <c r="C658" t="s">
        <v>638</v>
      </c>
      <c r="E658" t="s">
        <v>3653</v>
      </c>
      <c r="F658" t="s">
        <v>12</v>
      </c>
      <c r="G658">
        <v>0.23200000000000001</v>
      </c>
      <c r="H658" s="413">
        <f>G658*VLOOKUP(E658,GWPs!$B$3:$C$6,2,FALSE)</f>
        <v>0.23200000000000001</v>
      </c>
      <c r="I658">
        <v>0.04</v>
      </c>
      <c r="J658" s="413">
        <f>I658*VLOOKUP(E658,GWPs!$B$3:$C$6,2,FALSE)</f>
        <v>0.04</v>
      </c>
      <c r="K658">
        <v>0.27200000000000002</v>
      </c>
      <c r="L658" s="413">
        <f>K658*VLOOKUP(E658,GWPs!$B$3:$C$6,2,FALSE)</f>
        <v>0.27200000000000002</v>
      </c>
      <c r="N658">
        <v>3</v>
      </c>
      <c r="O658">
        <v>2</v>
      </c>
      <c r="P658">
        <v>1</v>
      </c>
      <c r="Q658">
        <v>3</v>
      </c>
      <c r="R658">
        <v>1</v>
      </c>
    </row>
    <row r="659" spans="1:18">
      <c r="A659" t="str">
        <f>_xlfn.IFNA(IF(VLOOKUP(C659,'2016_Detail_Commodity_v1.0'!C:C,1,FALSE)=C659,"No change"),"Name changed")</f>
        <v>No change</v>
      </c>
      <c r="B659" t="s">
        <v>637</v>
      </c>
      <c r="C659" t="s">
        <v>638</v>
      </c>
      <c r="E659" t="s">
        <v>3654</v>
      </c>
      <c r="F659" t="s">
        <v>12</v>
      </c>
      <c r="G659">
        <v>1E-3</v>
      </c>
      <c r="H659" s="413">
        <f>G659*VLOOKUP(E659,GWPs!$B$3:$C$6,2,FALSE)</f>
        <v>2.8000000000000001E-2</v>
      </c>
      <c r="I659">
        <v>0</v>
      </c>
      <c r="J659" s="413">
        <f>I659*VLOOKUP(E659,GWPs!$B$3:$C$6,2,FALSE)</f>
        <v>0</v>
      </c>
      <c r="K659">
        <v>1E-3</v>
      </c>
      <c r="L659" s="413">
        <f>K659*VLOOKUP(E659,GWPs!$B$3:$C$6,2,FALSE)</f>
        <v>2.8000000000000001E-2</v>
      </c>
      <c r="N659">
        <v>4</v>
      </c>
      <c r="O659">
        <v>2</v>
      </c>
      <c r="P659">
        <v>1</v>
      </c>
      <c r="Q659">
        <v>1</v>
      </c>
      <c r="R659">
        <v>1</v>
      </c>
    </row>
    <row r="660" spans="1:18">
      <c r="A660" t="str">
        <f>_xlfn.IFNA(IF(VLOOKUP(C660,'2016_Detail_Commodity_v1.0'!C:C,1,FALSE)=C660,"No change"),"Name changed")</f>
        <v>No change</v>
      </c>
      <c r="B660" t="s">
        <v>637</v>
      </c>
      <c r="C660" t="s">
        <v>638</v>
      </c>
      <c r="E660" t="s">
        <v>3655</v>
      </c>
      <c r="F660" t="s">
        <v>12</v>
      </c>
      <c r="G660">
        <v>0</v>
      </c>
      <c r="H660" s="413">
        <f>G660*VLOOKUP(E660,GWPs!$B$3:$C$6,2,FALSE)</f>
        <v>0</v>
      </c>
      <c r="I660">
        <v>0</v>
      </c>
      <c r="J660" s="413">
        <f>I660*VLOOKUP(E660,GWPs!$B$3:$C$6,2,FALSE)</f>
        <v>0</v>
      </c>
      <c r="K660">
        <v>0</v>
      </c>
      <c r="L660" s="413">
        <f>K660*VLOOKUP(E660,GWPs!$B$3:$C$6,2,FALSE)</f>
        <v>0</v>
      </c>
      <c r="N660">
        <v>3</v>
      </c>
      <c r="O660">
        <v>2</v>
      </c>
      <c r="P660">
        <v>1</v>
      </c>
      <c r="Q660">
        <v>3</v>
      </c>
      <c r="R660">
        <v>1</v>
      </c>
    </row>
    <row r="661" spans="1:18">
      <c r="A661" t="str">
        <f>_xlfn.IFNA(IF(VLOOKUP(C661,'2016_Detail_Commodity_v1.0'!C:C,1,FALSE)=C661,"No change"),"Name changed")</f>
        <v>No change</v>
      </c>
      <c r="B661" t="s">
        <v>637</v>
      </c>
      <c r="C661" t="s">
        <v>638</v>
      </c>
      <c r="E661" t="s">
        <v>15</v>
      </c>
      <c r="F661" t="s">
        <v>16</v>
      </c>
      <c r="G661">
        <v>8.0000000000000002E-3</v>
      </c>
      <c r="H661" s="413">
        <f>G661*VLOOKUP(E661,GWPs!$B$3:$C$6,2,FALSE)</f>
        <v>8.0000000000000002E-3</v>
      </c>
      <c r="I661">
        <v>0</v>
      </c>
      <c r="J661" s="413">
        <f>I661*VLOOKUP(E661,GWPs!$B$3:$C$6,2,FALSE)</f>
        <v>0</v>
      </c>
      <c r="K661">
        <v>8.0000000000000002E-3</v>
      </c>
      <c r="L661" s="413">
        <f>K661*VLOOKUP(E661,GWPs!$B$3:$C$6,2,FALSE)</f>
        <v>8.0000000000000002E-3</v>
      </c>
      <c r="N661">
        <v>3</v>
      </c>
      <c r="O661">
        <v>2</v>
      </c>
      <c r="P661">
        <v>1</v>
      </c>
      <c r="Q661">
        <v>3</v>
      </c>
      <c r="R661">
        <v>1</v>
      </c>
    </row>
    <row r="662" spans="1:18">
      <c r="A662" t="str">
        <f>_xlfn.IFNA(IF(VLOOKUP(C662,'2016_Detail_Commodity_v1.0'!C:C,1,FALSE)=C662,"No change"),"Name changed")</f>
        <v>No change</v>
      </c>
      <c r="B662" t="s">
        <v>639</v>
      </c>
      <c r="C662" t="s">
        <v>640</v>
      </c>
      <c r="E662" t="s">
        <v>3653</v>
      </c>
      <c r="F662" t="s">
        <v>12</v>
      </c>
      <c r="G662">
        <v>0.16600000000000001</v>
      </c>
      <c r="H662" s="413">
        <f>G662*VLOOKUP(E662,GWPs!$B$3:$C$6,2,FALSE)</f>
        <v>0.16600000000000001</v>
      </c>
      <c r="I662">
        <v>3.4000000000000002E-2</v>
      </c>
      <c r="J662" s="413">
        <f>I662*VLOOKUP(E662,GWPs!$B$3:$C$6,2,FALSE)</f>
        <v>3.4000000000000002E-2</v>
      </c>
      <c r="K662">
        <v>0.2</v>
      </c>
      <c r="L662" s="413">
        <f>K662*VLOOKUP(E662,GWPs!$B$3:$C$6,2,FALSE)</f>
        <v>0.2</v>
      </c>
      <c r="N662">
        <v>3</v>
      </c>
      <c r="O662">
        <v>2</v>
      </c>
      <c r="P662">
        <v>1</v>
      </c>
      <c r="Q662">
        <v>3</v>
      </c>
      <c r="R662">
        <v>1</v>
      </c>
    </row>
    <row r="663" spans="1:18">
      <c r="A663" t="str">
        <f>_xlfn.IFNA(IF(VLOOKUP(C663,'2016_Detail_Commodity_v1.0'!C:C,1,FALSE)=C663,"No change"),"Name changed")</f>
        <v>No change</v>
      </c>
      <c r="B663" t="s">
        <v>639</v>
      </c>
      <c r="C663" t="s">
        <v>640</v>
      </c>
      <c r="E663" t="s">
        <v>3654</v>
      </c>
      <c r="F663" t="s">
        <v>12</v>
      </c>
      <c r="G663">
        <v>1E-3</v>
      </c>
      <c r="H663" s="413">
        <f>G663*VLOOKUP(E663,GWPs!$B$3:$C$6,2,FALSE)</f>
        <v>2.8000000000000001E-2</v>
      </c>
      <c r="I663">
        <v>0</v>
      </c>
      <c r="J663" s="413">
        <f>I663*VLOOKUP(E663,GWPs!$B$3:$C$6,2,FALSE)</f>
        <v>0</v>
      </c>
      <c r="K663">
        <v>1E-3</v>
      </c>
      <c r="L663" s="413">
        <f>K663*VLOOKUP(E663,GWPs!$B$3:$C$6,2,FALSE)</f>
        <v>2.8000000000000001E-2</v>
      </c>
      <c r="N663">
        <v>3</v>
      </c>
      <c r="O663">
        <v>2</v>
      </c>
      <c r="P663">
        <v>1</v>
      </c>
      <c r="Q663">
        <v>1</v>
      </c>
      <c r="R663">
        <v>1</v>
      </c>
    </row>
    <row r="664" spans="1:18">
      <c r="A664" t="str">
        <f>_xlfn.IFNA(IF(VLOOKUP(C664,'2016_Detail_Commodity_v1.0'!C:C,1,FALSE)=C664,"No change"),"Name changed")</f>
        <v>No change</v>
      </c>
      <c r="B664" t="s">
        <v>639</v>
      </c>
      <c r="C664" t="s">
        <v>640</v>
      </c>
      <c r="E664" t="s">
        <v>3655</v>
      </c>
      <c r="F664" t="s">
        <v>12</v>
      </c>
      <c r="G664">
        <v>0</v>
      </c>
      <c r="H664" s="413">
        <f>G664*VLOOKUP(E664,GWPs!$B$3:$C$6,2,FALSE)</f>
        <v>0</v>
      </c>
      <c r="I664">
        <v>0</v>
      </c>
      <c r="J664" s="413">
        <f>I664*VLOOKUP(E664,GWPs!$B$3:$C$6,2,FALSE)</f>
        <v>0</v>
      </c>
      <c r="K664">
        <v>0</v>
      </c>
      <c r="L664" s="413">
        <f>K664*VLOOKUP(E664,GWPs!$B$3:$C$6,2,FALSE)</f>
        <v>0</v>
      </c>
      <c r="N664">
        <v>3</v>
      </c>
      <c r="O664">
        <v>2</v>
      </c>
      <c r="P664">
        <v>1</v>
      </c>
      <c r="Q664">
        <v>3</v>
      </c>
      <c r="R664">
        <v>1</v>
      </c>
    </row>
    <row r="665" spans="1:18">
      <c r="A665" t="str">
        <f>_xlfn.IFNA(IF(VLOOKUP(C665,'2016_Detail_Commodity_v1.0'!C:C,1,FALSE)=C665,"No change"),"Name changed")</f>
        <v>No change</v>
      </c>
      <c r="B665" t="s">
        <v>639</v>
      </c>
      <c r="C665" t="s">
        <v>640</v>
      </c>
      <c r="E665" t="s">
        <v>15</v>
      </c>
      <c r="F665" t="s">
        <v>16</v>
      </c>
      <c r="G665">
        <v>6.0000000000000001E-3</v>
      </c>
      <c r="H665" s="413">
        <f>G665*VLOOKUP(E665,GWPs!$B$3:$C$6,2,FALSE)</f>
        <v>6.0000000000000001E-3</v>
      </c>
      <c r="I665">
        <v>0</v>
      </c>
      <c r="J665" s="413">
        <f>I665*VLOOKUP(E665,GWPs!$B$3:$C$6,2,FALSE)</f>
        <v>0</v>
      </c>
      <c r="K665">
        <v>6.0000000000000001E-3</v>
      </c>
      <c r="L665" s="413">
        <f>K665*VLOOKUP(E665,GWPs!$B$3:$C$6,2,FALSE)</f>
        <v>6.0000000000000001E-3</v>
      </c>
      <c r="N665">
        <v>3</v>
      </c>
      <c r="O665">
        <v>2</v>
      </c>
      <c r="P665">
        <v>1</v>
      </c>
      <c r="Q665">
        <v>2</v>
      </c>
      <c r="R665">
        <v>1</v>
      </c>
    </row>
    <row r="666" spans="1:18">
      <c r="A666" t="str">
        <f>_xlfn.IFNA(IF(VLOOKUP(C666,'2016_Detail_Commodity_v1.0'!C:C,1,FALSE)=C666,"No change"),"Name changed")</f>
        <v>No change</v>
      </c>
      <c r="B666" t="s">
        <v>641</v>
      </c>
      <c r="C666" t="s">
        <v>642</v>
      </c>
      <c r="E666" t="s">
        <v>3653</v>
      </c>
      <c r="F666" t="s">
        <v>12</v>
      </c>
      <c r="G666">
        <v>0.184</v>
      </c>
      <c r="H666" s="413">
        <f>G666*VLOOKUP(E666,GWPs!$B$3:$C$6,2,FALSE)</f>
        <v>0.184</v>
      </c>
      <c r="I666">
        <v>0.03</v>
      </c>
      <c r="J666" s="413">
        <f>I666*VLOOKUP(E666,GWPs!$B$3:$C$6,2,FALSE)</f>
        <v>0.03</v>
      </c>
      <c r="K666">
        <v>0.21299999999999999</v>
      </c>
      <c r="L666" s="413">
        <f>K666*VLOOKUP(E666,GWPs!$B$3:$C$6,2,FALSE)</f>
        <v>0.21299999999999999</v>
      </c>
      <c r="N666">
        <v>3</v>
      </c>
      <c r="O666">
        <v>2</v>
      </c>
      <c r="P666">
        <v>1</v>
      </c>
      <c r="Q666">
        <v>3</v>
      </c>
      <c r="R666">
        <v>1</v>
      </c>
    </row>
    <row r="667" spans="1:18">
      <c r="A667" t="str">
        <f>_xlfn.IFNA(IF(VLOOKUP(C667,'2016_Detail_Commodity_v1.0'!C:C,1,FALSE)=C667,"No change"),"Name changed")</f>
        <v>No change</v>
      </c>
      <c r="B667" t="s">
        <v>641</v>
      </c>
      <c r="C667" t="s">
        <v>642</v>
      </c>
      <c r="E667" t="s">
        <v>3654</v>
      </c>
      <c r="F667" t="s">
        <v>12</v>
      </c>
      <c r="G667">
        <v>1E-3</v>
      </c>
      <c r="H667" s="413">
        <f>G667*VLOOKUP(E667,GWPs!$B$3:$C$6,2,FALSE)</f>
        <v>2.8000000000000001E-2</v>
      </c>
      <c r="I667">
        <v>0</v>
      </c>
      <c r="J667" s="413">
        <f>I667*VLOOKUP(E667,GWPs!$B$3:$C$6,2,FALSE)</f>
        <v>0</v>
      </c>
      <c r="K667">
        <v>1E-3</v>
      </c>
      <c r="L667" s="413">
        <f>K667*VLOOKUP(E667,GWPs!$B$3:$C$6,2,FALSE)</f>
        <v>2.8000000000000001E-2</v>
      </c>
      <c r="N667">
        <v>4</v>
      </c>
      <c r="O667">
        <v>2</v>
      </c>
      <c r="P667">
        <v>1</v>
      </c>
      <c r="Q667">
        <v>1</v>
      </c>
      <c r="R667">
        <v>1</v>
      </c>
    </row>
    <row r="668" spans="1:18">
      <c r="A668" t="str">
        <f>_xlfn.IFNA(IF(VLOOKUP(C668,'2016_Detail_Commodity_v1.0'!C:C,1,FALSE)=C668,"No change"),"Name changed")</f>
        <v>No change</v>
      </c>
      <c r="B668" t="s">
        <v>641</v>
      </c>
      <c r="C668" t="s">
        <v>642</v>
      </c>
      <c r="E668" t="s">
        <v>3655</v>
      </c>
      <c r="F668" t="s">
        <v>12</v>
      </c>
      <c r="G668">
        <v>0</v>
      </c>
      <c r="H668" s="413">
        <f>G668*VLOOKUP(E668,GWPs!$B$3:$C$6,2,FALSE)</f>
        <v>0</v>
      </c>
      <c r="I668">
        <v>0</v>
      </c>
      <c r="J668" s="413">
        <f>I668*VLOOKUP(E668,GWPs!$B$3:$C$6,2,FALSE)</f>
        <v>0</v>
      </c>
      <c r="K668">
        <v>0</v>
      </c>
      <c r="L668" s="413">
        <f>K668*VLOOKUP(E668,GWPs!$B$3:$C$6,2,FALSE)</f>
        <v>0</v>
      </c>
      <c r="N668">
        <v>3</v>
      </c>
      <c r="O668">
        <v>2</v>
      </c>
      <c r="P668">
        <v>1</v>
      </c>
      <c r="Q668">
        <v>3</v>
      </c>
      <c r="R668">
        <v>1</v>
      </c>
    </row>
    <row r="669" spans="1:18">
      <c r="A669" t="str">
        <f>_xlfn.IFNA(IF(VLOOKUP(C669,'2016_Detail_Commodity_v1.0'!C:C,1,FALSE)=C669,"No change"),"Name changed")</f>
        <v>No change</v>
      </c>
      <c r="B669" t="s">
        <v>641</v>
      </c>
      <c r="C669" t="s">
        <v>642</v>
      </c>
      <c r="E669" t="s">
        <v>15</v>
      </c>
      <c r="F669" t="s">
        <v>16</v>
      </c>
      <c r="G669">
        <v>6.0000000000000001E-3</v>
      </c>
      <c r="H669" s="413">
        <f>G669*VLOOKUP(E669,GWPs!$B$3:$C$6,2,FALSE)</f>
        <v>6.0000000000000001E-3</v>
      </c>
      <c r="I669">
        <v>0</v>
      </c>
      <c r="J669" s="413">
        <f>I669*VLOOKUP(E669,GWPs!$B$3:$C$6,2,FALSE)</f>
        <v>0</v>
      </c>
      <c r="K669">
        <v>6.0000000000000001E-3</v>
      </c>
      <c r="L669" s="413">
        <f>K669*VLOOKUP(E669,GWPs!$B$3:$C$6,2,FALSE)</f>
        <v>6.0000000000000001E-3</v>
      </c>
      <c r="N669">
        <v>3</v>
      </c>
      <c r="O669">
        <v>2</v>
      </c>
      <c r="P669">
        <v>1</v>
      </c>
      <c r="Q669">
        <v>3</v>
      </c>
      <c r="R669">
        <v>1</v>
      </c>
    </row>
    <row r="670" spans="1:18">
      <c r="A670" t="str">
        <f>_xlfn.IFNA(IF(VLOOKUP(C670,'2016_Detail_Commodity_v1.0'!C:C,1,FALSE)=C670,"No change"),"Name changed")</f>
        <v>No change</v>
      </c>
      <c r="B670" t="s">
        <v>643</v>
      </c>
      <c r="C670" t="s">
        <v>644</v>
      </c>
      <c r="E670" t="s">
        <v>3653</v>
      </c>
      <c r="F670" t="s">
        <v>12</v>
      </c>
      <c r="G670">
        <v>0.13200000000000001</v>
      </c>
      <c r="H670" s="413">
        <f>G670*VLOOKUP(E670,GWPs!$B$3:$C$6,2,FALSE)</f>
        <v>0.13200000000000001</v>
      </c>
      <c r="I670">
        <v>3.5999999999999997E-2</v>
      </c>
      <c r="J670" s="413">
        <f>I670*VLOOKUP(E670,GWPs!$B$3:$C$6,2,FALSE)</f>
        <v>3.5999999999999997E-2</v>
      </c>
      <c r="K670">
        <v>0.16800000000000001</v>
      </c>
      <c r="L670" s="413">
        <f>K670*VLOOKUP(E670,GWPs!$B$3:$C$6,2,FALSE)</f>
        <v>0.16800000000000001</v>
      </c>
      <c r="N670">
        <v>3</v>
      </c>
      <c r="O670">
        <v>2</v>
      </c>
      <c r="P670">
        <v>1</v>
      </c>
      <c r="Q670">
        <v>3</v>
      </c>
      <c r="R670">
        <v>1</v>
      </c>
    </row>
    <row r="671" spans="1:18">
      <c r="A671" t="str">
        <f>_xlfn.IFNA(IF(VLOOKUP(C671,'2016_Detail_Commodity_v1.0'!C:C,1,FALSE)=C671,"No change"),"Name changed")</f>
        <v>No change</v>
      </c>
      <c r="B671" t="s">
        <v>643</v>
      </c>
      <c r="C671" t="s">
        <v>644</v>
      </c>
      <c r="E671" t="s">
        <v>3654</v>
      </c>
      <c r="F671" t="s">
        <v>12</v>
      </c>
      <c r="G671">
        <v>0</v>
      </c>
      <c r="H671" s="413">
        <f>G671*VLOOKUP(E671,GWPs!$B$3:$C$6,2,FALSE)</f>
        <v>0</v>
      </c>
      <c r="I671">
        <v>0</v>
      </c>
      <c r="J671" s="413">
        <f>I671*VLOOKUP(E671,GWPs!$B$3:$C$6,2,FALSE)</f>
        <v>0</v>
      </c>
      <c r="K671">
        <v>1E-3</v>
      </c>
      <c r="L671" s="413">
        <f>K671*VLOOKUP(E671,GWPs!$B$3:$C$6,2,FALSE)</f>
        <v>2.8000000000000001E-2</v>
      </c>
      <c r="N671">
        <v>4</v>
      </c>
      <c r="O671">
        <v>2</v>
      </c>
      <c r="P671">
        <v>1</v>
      </c>
      <c r="Q671">
        <v>1</v>
      </c>
      <c r="R671">
        <v>1</v>
      </c>
    </row>
    <row r="672" spans="1:18">
      <c r="A672" t="str">
        <f>_xlfn.IFNA(IF(VLOOKUP(C672,'2016_Detail_Commodity_v1.0'!C:C,1,FALSE)=C672,"No change"),"Name changed")</f>
        <v>No change</v>
      </c>
      <c r="B672" t="s">
        <v>643</v>
      </c>
      <c r="C672" t="s">
        <v>644</v>
      </c>
      <c r="E672" t="s">
        <v>3655</v>
      </c>
      <c r="F672" t="s">
        <v>12</v>
      </c>
      <c r="G672">
        <v>0</v>
      </c>
      <c r="H672" s="413">
        <f>G672*VLOOKUP(E672,GWPs!$B$3:$C$6,2,FALSE)</f>
        <v>0</v>
      </c>
      <c r="I672">
        <v>0</v>
      </c>
      <c r="J672" s="413">
        <f>I672*VLOOKUP(E672,GWPs!$B$3:$C$6,2,FALSE)</f>
        <v>0</v>
      </c>
      <c r="K672">
        <v>0</v>
      </c>
      <c r="L672" s="413">
        <f>K672*VLOOKUP(E672,GWPs!$B$3:$C$6,2,FALSE)</f>
        <v>0</v>
      </c>
      <c r="N672">
        <v>3</v>
      </c>
      <c r="O672">
        <v>2</v>
      </c>
      <c r="P672">
        <v>1</v>
      </c>
      <c r="Q672">
        <v>3</v>
      </c>
      <c r="R672">
        <v>1</v>
      </c>
    </row>
    <row r="673" spans="1:18">
      <c r="A673" t="str">
        <f>_xlfn.IFNA(IF(VLOOKUP(C673,'2016_Detail_Commodity_v1.0'!C:C,1,FALSE)=C673,"No change"),"Name changed")</f>
        <v>No change</v>
      </c>
      <c r="B673" t="s">
        <v>643</v>
      </c>
      <c r="C673" t="s">
        <v>644</v>
      </c>
      <c r="E673" t="s">
        <v>15</v>
      </c>
      <c r="F673" t="s">
        <v>16</v>
      </c>
      <c r="G673">
        <v>4.0000000000000001E-3</v>
      </c>
      <c r="H673" s="413">
        <f>G673*VLOOKUP(E673,GWPs!$B$3:$C$6,2,FALSE)</f>
        <v>4.0000000000000001E-3</v>
      </c>
      <c r="I673">
        <v>0</v>
      </c>
      <c r="J673" s="413">
        <f>I673*VLOOKUP(E673,GWPs!$B$3:$C$6,2,FALSE)</f>
        <v>0</v>
      </c>
      <c r="K673">
        <v>4.0000000000000001E-3</v>
      </c>
      <c r="L673" s="413">
        <f>K673*VLOOKUP(E673,GWPs!$B$3:$C$6,2,FALSE)</f>
        <v>4.0000000000000001E-3</v>
      </c>
      <c r="N673">
        <v>3</v>
      </c>
      <c r="O673">
        <v>2</v>
      </c>
      <c r="P673">
        <v>1</v>
      </c>
      <c r="Q673">
        <v>3</v>
      </c>
      <c r="R673">
        <v>1</v>
      </c>
    </row>
    <row r="674" spans="1:18">
      <c r="A674" t="str">
        <f>_xlfn.IFNA(IF(VLOOKUP(C674,'2016_Detail_Commodity_v1.0'!C:C,1,FALSE)=C674,"No change"),"Name changed")</f>
        <v>No change</v>
      </c>
      <c r="B674" t="s">
        <v>645</v>
      </c>
      <c r="C674" t="s">
        <v>646</v>
      </c>
      <c r="E674" t="s">
        <v>3653</v>
      </c>
      <c r="F674" t="s">
        <v>12</v>
      </c>
      <c r="G674">
        <v>0.09</v>
      </c>
      <c r="H674" s="413">
        <f>G674*VLOOKUP(E674,GWPs!$B$3:$C$6,2,FALSE)</f>
        <v>0.09</v>
      </c>
      <c r="I674">
        <v>0.10199999999999999</v>
      </c>
      <c r="J674" s="413">
        <f>I674*VLOOKUP(E674,GWPs!$B$3:$C$6,2,FALSE)</f>
        <v>0.10199999999999999</v>
      </c>
      <c r="K674">
        <v>0.192</v>
      </c>
      <c r="L674" s="413">
        <f>K674*VLOOKUP(E674,GWPs!$B$3:$C$6,2,FALSE)</f>
        <v>0.192</v>
      </c>
      <c r="N674">
        <v>3</v>
      </c>
      <c r="O674">
        <v>2</v>
      </c>
      <c r="P674">
        <v>1</v>
      </c>
      <c r="Q674">
        <v>3</v>
      </c>
      <c r="R674">
        <v>1</v>
      </c>
    </row>
    <row r="675" spans="1:18">
      <c r="A675" t="str">
        <f>_xlfn.IFNA(IF(VLOOKUP(C675,'2016_Detail_Commodity_v1.0'!C:C,1,FALSE)=C675,"No change"),"Name changed")</f>
        <v>No change</v>
      </c>
      <c r="B675" t="s">
        <v>645</v>
      </c>
      <c r="C675" t="s">
        <v>646</v>
      </c>
      <c r="E675" t="s">
        <v>3654</v>
      </c>
      <c r="F675" t="s">
        <v>12</v>
      </c>
      <c r="G675">
        <v>0</v>
      </c>
      <c r="H675" s="413">
        <f>G675*VLOOKUP(E675,GWPs!$B$3:$C$6,2,FALSE)</f>
        <v>0</v>
      </c>
      <c r="I675">
        <v>0</v>
      </c>
      <c r="J675" s="413">
        <f>I675*VLOOKUP(E675,GWPs!$B$3:$C$6,2,FALSE)</f>
        <v>0</v>
      </c>
      <c r="K675">
        <v>1E-3</v>
      </c>
      <c r="L675" s="413">
        <f>K675*VLOOKUP(E675,GWPs!$B$3:$C$6,2,FALSE)</f>
        <v>2.8000000000000001E-2</v>
      </c>
      <c r="N675">
        <v>4</v>
      </c>
      <c r="O675">
        <v>2</v>
      </c>
      <c r="P675">
        <v>1</v>
      </c>
      <c r="Q675">
        <v>1</v>
      </c>
      <c r="R675">
        <v>1</v>
      </c>
    </row>
    <row r="676" spans="1:18">
      <c r="A676" t="str">
        <f>_xlfn.IFNA(IF(VLOOKUP(C676,'2016_Detail_Commodity_v1.0'!C:C,1,FALSE)=C676,"No change"),"Name changed")</f>
        <v>No change</v>
      </c>
      <c r="B676" t="s">
        <v>645</v>
      </c>
      <c r="C676" t="s">
        <v>646</v>
      </c>
      <c r="E676" t="s">
        <v>3655</v>
      </c>
      <c r="F676" t="s">
        <v>12</v>
      </c>
      <c r="G676">
        <v>0</v>
      </c>
      <c r="H676" s="413">
        <f>G676*VLOOKUP(E676,GWPs!$B$3:$C$6,2,FALSE)</f>
        <v>0</v>
      </c>
      <c r="I676">
        <v>0</v>
      </c>
      <c r="J676" s="413">
        <f>I676*VLOOKUP(E676,GWPs!$B$3:$C$6,2,FALSE)</f>
        <v>0</v>
      </c>
      <c r="K676">
        <v>0</v>
      </c>
      <c r="L676" s="413">
        <f>K676*VLOOKUP(E676,GWPs!$B$3:$C$6,2,FALSE)</f>
        <v>0</v>
      </c>
      <c r="N676">
        <v>3</v>
      </c>
      <c r="O676">
        <v>2</v>
      </c>
      <c r="P676">
        <v>1</v>
      </c>
      <c r="Q676">
        <v>3</v>
      </c>
      <c r="R676">
        <v>1</v>
      </c>
    </row>
    <row r="677" spans="1:18">
      <c r="A677" t="str">
        <f>_xlfn.IFNA(IF(VLOOKUP(C677,'2016_Detail_Commodity_v1.0'!C:C,1,FALSE)=C677,"No change"),"Name changed")</f>
        <v>No change</v>
      </c>
      <c r="B677" t="s">
        <v>645</v>
      </c>
      <c r="C677" t="s">
        <v>646</v>
      </c>
      <c r="E677" t="s">
        <v>15</v>
      </c>
      <c r="F677" t="s">
        <v>16</v>
      </c>
      <c r="G677">
        <v>1.2E-2</v>
      </c>
      <c r="H677" s="413">
        <f>G677*VLOOKUP(E677,GWPs!$B$3:$C$6,2,FALSE)</f>
        <v>1.2E-2</v>
      </c>
      <c r="I677">
        <v>0</v>
      </c>
      <c r="J677" s="413">
        <f>I677*VLOOKUP(E677,GWPs!$B$3:$C$6,2,FALSE)</f>
        <v>0</v>
      </c>
      <c r="K677">
        <v>1.2E-2</v>
      </c>
      <c r="L677" s="413">
        <f>K677*VLOOKUP(E677,GWPs!$B$3:$C$6,2,FALSE)</f>
        <v>1.2E-2</v>
      </c>
      <c r="N677">
        <v>3</v>
      </c>
      <c r="O677">
        <v>2</v>
      </c>
      <c r="P677">
        <v>1</v>
      </c>
      <c r="Q677">
        <v>3</v>
      </c>
      <c r="R677">
        <v>1</v>
      </c>
    </row>
    <row r="678" spans="1:18">
      <c r="A678" t="str">
        <f>_xlfn.IFNA(IF(VLOOKUP(C678,'2016_Detail_Commodity_v1.0'!C:C,1,FALSE)=C678,"No change"),"Name changed")</f>
        <v>No change</v>
      </c>
      <c r="B678" t="s">
        <v>647</v>
      </c>
      <c r="C678" t="s">
        <v>648</v>
      </c>
      <c r="E678" t="s">
        <v>3653</v>
      </c>
      <c r="F678" t="s">
        <v>12</v>
      </c>
      <c r="G678">
        <v>0.19800000000000001</v>
      </c>
      <c r="H678" s="413">
        <f>G678*VLOOKUP(E678,GWPs!$B$3:$C$6,2,FALSE)</f>
        <v>0.19800000000000001</v>
      </c>
      <c r="I678">
        <v>4.9000000000000002E-2</v>
      </c>
      <c r="J678" s="413">
        <f>I678*VLOOKUP(E678,GWPs!$B$3:$C$6,2,FALSE)</f>
        <v>4.9000000000000002E-2</v>
      </c>
      <c r="K678">
        <v>0.248</v>
      </c>
      <c r="L678" s="413">
        <f>K678*VLOOKUP(E678,GWPs!$B$3:$C$6,2,FALSE)</f>
        <v>0.248</v>
      </c>
      <c r="N678">
        <v>3</v>
      </c>
      <c r="O678">
        <v>2</v>
      </c>
      <c r="P678">
        <v>1</v>
      </c>
      <c r="Q678">
        <v>4</v>
      </c>
      <c r="R678">
        <v>1</v>
      </c>
    </row>
    <row r="679" spans="1:18">
      <c r="A679" t="str">
        <f>_xlfn.IFNA(IF(VLOOKUP(C679,'2016_Detail_Commodity_v1.0'!C:C,1,FALSE)=C679,"No change"),"Name changed")</f>
        <v>No change</v>
      </c>
      <c r="B679" t="s">
        <v>647</v>
      </c>
      <c r="C679" t="s">
        <v>648</v>
      </c>
      <c r="E679" t="s">
        <v>3654</v>
      </c>
      <c r="F679" t="s">
        <v>12</v>
      </c>
      <c r="G679">
        <v>1E-3</v>
      </c>
      <c r="H679" s="413">
        <f>G679*VLOOKUP(E679,GWPs!$B$3:$C$6,2,FALSE)</f>
        <v>2.8000000000000001E-2</v>
      </c>
      <c r="I679">
        <v>0</v>
      </c>
      <c r="J679" s="413">
        <f>I679*VLOOKUP(E679,GWPs!$B$3:$C$6,2,FALSE)</f>
        <v>0</v>
      </c>
      <c r="K679">
        <v>1E-3</v>
      </c>
      <c r="L679" s="413">
        <f>K679*VLOOKUP(E679,GWPs!$B$3:$C$6,2,FALSE)</f>
        <v>2.8000000000000001E-2</v>
      </c>
      <c r="N679">
        <v>4</v>
      </c>
      <c r="O679">
        <v>2</v>
      </c>
      <c r="P679">
        <v>1</v>
      </c>
      <c r="Q679">
        <v>1</v>
      </c>
      <c r="R679">
        <v>1</v>
      </c>
    </row>
    <row r="680" spans="1:18">
      <c r="A680" t="str">
        <f>_xlfn.IFNA(IF(VLOOKUP(C680,'2016_Detail_Commodity_v1.0'!C:C,1,FALSE)=C680,"No change"),"Name changed")</f>
        <v>No change</v>
      </c>
      <c r="B680" t="s">
        <v>647</v>
      </c>
      <c r="C680" t="s">
        <v>648</v>
      </c>
      <c r="E680" t="s">
        <v>3655</v>
      </c>
      <c r="F680" t="s">
        <v>12</v>
      </c>
      <c r="G680">
        <v>0</v>
      </c>
      <c r="H680" s="413">
        <f>G680*VLOOKUP(E680,GWPs!$B$3:$C$6,2,FALSE)</f>
        <v>0</v>
      </c>
      <c r="I680">
        <v>0</v>
      </c>
      <c r="J680" s="413">
        <f>I680*VLOOKUP(E680,GWPs!$B$3:$C$6,2,FALSE)</f>
        <v>0</v>
      </c>
      <c r="K680">
        <v>0</v>
      </c>
      <c r="L680" s="413">
        <f>K680*VLOOKUP(E680,GWPs!$B$3:$C$6,2,FALSE)</f>
        <v>0</v>
      </c>
      <c r="N680">
        <v>3</v>
      </c>
      <c r="O680">
        <v>2</v>
      </c>
      <c r="P680">
        <v>1</v>
      </c>
      <c r="Q680">
        <v>3</v>
      </c>
      <c r="R680">
        <v>1</v>
      </c>
    </row>
    <row r="681" spans="1:18">
      <c r="A681" t="str">
        <f>_xlfn.IFNA(IF(VLOOKUP(C681,'2016_Detail_Commodity_v1.0'!C:C,1,FALSE)=C681,"No change"),"Name changed")</f>
        <v>No change</v>
      </c>
      <c r="B681" t="s">
        <v>647</v>
      </c>
      <c r="C681" t="s">
        <v>648</v>
      </c>
      <c r="E681" t="s">
        <v>15</v>
      </c>
      <c r="F681" t="s">
        <v>16</v>
      </c>
      <c r="G681">
        <v>3.4000000000000002E-2</v>
      </c>
      <c r="H681" s="413">
        <f>G681*VLOOKUP(E681,GWPs!$B$3:$C$6,2,FALSE)</f>
        <v>3.4000000000000002E-2</v>
      </c>
      <c r="I681">
        <v>0</v>
      </c>
      <c r="J681" s="413">
        <f>I681*VLOOKUP(E681,GWPs!$B$3:$C$6,2,FALSE)</f>
        <v>0</v>
      </c>
      <c r="K681">
        <v>3.4000000000000002E-2</v>
      </c>
      <c r="L681" s="413">
        <f>K681*VLOOKUP(E681,GWPs!$B$3:$C$6,2,FALSE)</f>
        <v>3.4000000000000002E-2</v>
      </c>
      <c r="N681">
        <v>4</v>
      </c>
      <c r="O681">
        <v>2</v>
      </c>
      <c r="P681">
        <v>1</v>
      </c>
      <c r="Q681">
        <v>5</v>
      </c>
      <c r="R681">
        <v>1</v>
      </c>
    </row>
    <row r="682" spans="1:18">
      <c r="A682" t="str">
        <f>_xlfn.IFNA(IF(VLOOKUP(C682,'2016_Detail_Commodity_v1.0'!C:C,1,FALSE)=C682,"No change"),"Name changed")</f>
        <v>Name changed</v>
      </c>
      <c r="B682" t="s">
        <v>649</v>
      </c>
      <c r="C682" t="s">
        <v>1400</v>
      </c>
      <c r="D682" t="s">
        <v>650</v>
      </c>
      <c r="E682" t="s">
        <v>3653</v>
      </c>
      <c r="F682" t="s">
        <v>12</v>
      </c>
      <c r="G682">
        <v>0.20499999999999999</v>
      </c>
      <c r="H682" s="413">
        <f>G682*VLOOKUP(E682,GWPs!$B$3:$C$6,2,FALSE)</f>
        <v>0.20499999999999999</v>
      </c>
      <c r="I682">
        <v>3.4000000000000002E-2</v>
      </c>
      <c r="J682" s="413">
        <f>I682*VLOOKUP(E682,GWPs!$B$3:$C$6,2,FALSE)</f>
        <v>3.4000000000000002E-2</v>
      </c>
      <c r="K682">
        <v>0.23899999999999999</v>
      </c>
      <c r="L682" s="413">
        <f>K682*VLOOKUP(E682,GWPs!$B$3:$C$6,2,FALSE)</f>
        <v>0.23899999999999999</v>
      </c>
      <c r="N682">
        <v>3</v>
      </c>
      <c r="O682">
        <v>2</v>
      </c>
      <c r="P682">
        <v>1</v>
      </c>
      <c r="Q682">
        <v>3</v>
      </c>
      <c r="R682">
        <v>1</v>
      </c>
    </row>
    <row r="683" spans="1:18">
      <c r="A683" t="str">
        <f>_xlfn.IFNA(IF(VLOOKUP(C683,'2016_Detail_Commodity_v1.0'!C:C,1,FALSE)=C683,"No change"),"Name changed")</f>
        <v>Name changed</v>
      </c>
      <c r="B683" t="s">
        <v>649</v>
      </c>
      <c r="C683" t="s">
        <v>1400</v>
      </c>
      <c r="D683" t="s">
        <v>650</v>
      </c>
      <c r="E683" t="s">
        <v>3654</v>
      </c>
      <c r="F683" t="s">
        <v>12</v>
      </c>
      <c r="G683">
        <v>1E-3</v>
      </c>
      <c r="H683" s="413">
        <f>G683*VLOOKUP(E683,GWPs!$B$3:$C$6,2,FALSE)</f>
        <v>2.8000000000000001E-2</v>
      </c>
      <c r="I683">
        <v>0</v>
      </c>
      <c r="J683" s="413">
        <f>I683*VLOOKUP(E683,GWPs!$B$3:$C$6,2,FALSE)</f>
        <v>0</v>
      </c>
      <c r="K683">
        <v>1E-3</v>
      </c>
      <c r="L683" s="413">
        <f>K683*VLOOKUP(E683,GWPs!$B$3:$C$6,2,FALSE)</f>
        <v>2.8000000000000001E-2</v>
      </c>
      <c r="N683">
        <v>4</v>
      </c>
      <c r="O683">
        <v>2</v>
      </c>
      <c r="P683">
        <v>1</v>
      </c>
      <c r="Q683">
        <v>1</v>
      </c>
      <c r="R683">
        <v>1</v>
      </c>
    </row>
    <row r="684" spans="1:18">
      <c r="A684" t="str">
        <f>_xlfn.IFNA(IF(VLOOKUP(C684,'2016_Detail_Commodity_v1.0'!C:C,1,FALSE)=C684,"No change"),"Name changed")</f>
        <v>Name changed</v>
      </c>
      <c r="B684" t="s">
        <v>649</v>
      </c>
      <c r="C684" t="s">
        <v>1400</v>
      </c>
      <c r="D684" t="s">
        <v>650</v>
      </c>
      <c r="E684" t="s">
        <v>3655</v>
      </c>
      <c r="F684" t="s">
        <v>12</v>
      </c>
      <c r="G684">
        <v>0</v>
      </c>
      <c r="H684" s="413">
        <f>G684*VLOOKUP(E684,GWPs!$B$3:$C$6,2,FALSE)</f>
        <v>0</v>
      </c>
      <c r="I684">
        <v>0</v>
      </c>
      <c r="J684" s="413">
        <f>I684*VLOOKUP(E684,GWPs!$B$3:$C$6,2,FALSE)</f>
        <v>0</v>
      </c>
      <c r="K684">
        <v>0</v>
      </c>
      <c r="L684" s="413">
        <f>K684*VLOOKUP(E684,GWPs!$B$3:$C$6,2,FALSE)</f>
        <v>0</v>
      </c>
      <c r="N684">
        <v>3</v>
      </c>
      <c r="O684">
        <v>2</v>
      </c>
      <c r="P684">
        <v>1</v>
      </c>
      <c r="Q684">
        <v>3</v>
      </c>
      <c r="R684">
        <v>1</v>
      </c>
    </row>
    <row r="685" spans="1:18">
      <c r="A685" t="str">
        <f>_xlfn.IFNA(IF(VLOOKUP(C685,'2016_Detail_Commodity_v1.0'!C:C,1,FALSE)=C685,"No change"),"Name changed")</f>
        <v>Name changed</v>
      </c>
      <c r="B685" t="s">
        <v>649</v>
      </c>
      <c r="C685" t="s">
        <v>1400</v>
      </c>
      <c r="D685" t="s">
        <v>650</v>
      </c>
      <c r="E685" t="s">
        <v>15</v>
      </c>
      <c r="F685" t="s">
        <v>16</v>
      </c>
      <c r="G685">
        <v>2.7E-2</v>
      </c>
      <c r="H685" s="413">
        <f>G685*VLOOKUP(E685,GWPs!$B$3:$C$6,2,FALSE)</f>
        <v>2.7E-2</v>
      </c>
      <c r="I685">
        <v>0</v>
      </c>
      <c r="J685" s="413">
        <f>I685*VLOOKUP(E685,GWPs!$B$3:$C$6,2,FALSE)</f>
        <v>0</v>
      </c>
      <c r="K685">
        <v>2.7E-2</v>
      </c>
      <c r="L685" s="413">
        <f>K685*VLOOKUP(E685,GWPs!$B$3:$C$6,2,FALSE)</f>
        <v>2.7E-2</v>
      </c>
      <c r="N685">
        <v>4</v>
      </c>
      <c r="O685">
        <v>2</v>
      </c>
      <c r="P685">
        <v>1</v>
      </c>
      <c r="Q685">
        <v>4</v>
      </c>
      <c r="R685">
        <v>1</v>
      </c>
    </row>
    <row r="686" spans="1:18">
      <c r="A686" t="str">
        <f>_xlfn.IFNA(IF(VLOOKUP(C686,'2016_Detail_Commodity_v1.0'!C:C,1,FALSE)=C686,"No change"),"Name changed")</f>
        <v>No change</v>
      </c>
      <c r="B686" t="s">
        <v>651</v>
      </c>
      <c r="C686" t="s">
        <v>652</v>
      </c>
      <c r="E686" t="s">
        <v>3653</v>
      </c>
      <c r="F686" t="s">
        <v>12</v>
      </c>
      <c r="G686">
        <v>0.16500000000000001</v>
      </c>
      <c r="H686" s="413">
        <f>G686*VLOOKUP(E686,GWPs!$B$3:$C$6,2,FALSE)</f>
        <v>0.16500000000000001</v>
      </c>
      <c r="I686">
        <v>0.06</v>
      </c>
      <c r="J686" s="413">
        <f>I686*VLOOKUP(E686,GWPs!$B$3:$C$6,2,FALSE)</f>
        <v>0.06</v>
      </c>
      <c r="K686">
        <v>0.22500000000000001</v>
      </c>
      <c r="L686" s="413">
        <f>K686*VLOOKUP(E686,GWPs!$B$3:$C$6,2,FALSE)</f>
        <v>0.22500000000000001</v>
      </c>
      <c r="N686">
        <v>3</v>
      </c>
      <c r="O686">
        <v>2</v>
      </c>
      <c r="P686">
        <v>1</v>
      </c>
      <c r="Q686">
        <v>3</v>
      </c>
      <c r="R686">
        <v>1</v>
      </c>
    </row>
    <row r="687" spans="1:18">
      <c r="A687" t="str">
        <f>_xlfn.IFNA(IF(VLOOKUP(C687,'2016_Detail_Commodity_v1.0'!C:C,1,FALSE)=C687,"No change"),"Name changed")</f>
        <v>No change</v>
      </c>
      <c r="B687" t="s">
        <v>651</v>
      </c>
      <c r="C687" t="s">
        <v>652</v>
      </c>
      <c r="E687" t="s">
        <v>3654</v>
      </c>
      <c r="F687" t="s">
        <v>12</v>
      </c>
      <c r="G687">
        <v>1E-3</v>
      </c>
      <c r="H687" s="413">
        <f>G687*VLOOKUP(E687,GWPs!$B$3:$C$6,2,FALSE)</f>
        <v>2.8000000000000001E-2</v>
      </c>
      <c r="I687">
        <v>0</v>
      </c>
      <c r="J687" s="413">
        <f>I687*VLOOKUP(E687,GWPs!$B$3:$C$6,2,FALSE)</f>
        <v>0</v>
      </c>
      <c r="K687">
        <v>1E-3</v>
      </c>
      <c r="L687" s="413">
        <f>K687*VLOOKUP(E687,GWPs!$B$3:$C$6,2,FALSE)</f>
        <v>2.8000000000000001E-2</v>
      </c>
      <c r="N687">
        <v>4</v>
      </c>
      <c r="O687">
        <v>2</v>
      </c>
      <c r="P687">
        <v>1</v>
      </c>
      <c r="Q687">
        <v>1</v>
      </c>
      <c r="R687">
        <v>1</v>
      </c>
    </row>
    <row r="688" spans="1:18">
      <c r="A688" t="str">
        <f>_xlfn.IFNA(IF(VLOOKUP(C688,'2016_Detail_Commodity_v1.0'!C:C,1,FALSE)=C688,"No change"),"Name changed")</f>
        <v>No change</v>
      </c>
      <c r="B688" t="s">
        <v>651</v>
      </c>
      <c r="C688" t="s">
        <v>652</v>
      </c>
      <c r="E688" t="s">
        <v>3655</v>
      </c>
      <c r="F688" t="s">
        <v>12</v>
      </c>
      <c r="G688">
        <v>0</v>
      </c>
      <c r="H688" s="413">
        <f>G688*VLOOKUP(E688,GWPs!$B$3:$C$6,2,FALSE)</f>
        <v>0</v>
      </c>
      <c r="I688">
        <v>0</v>
      </c>
      <c r="J688" s="413">
        <f>I688*VLOOKUP(E688,GWPs!$B$3:$C$6,2,FALSE)</f>
        <v>0</v>
      </c>
      <c r="K688">
        <v>0</v>
      </c>
      <c r="L688" s="413">
        <f>K688*VLOOKUP(E688,GWPs!$B$3:$C$6,2,FALSE)</f>
        <v>0</v>
      </c>
      <c r="N688">
        <v>3</v>
      </c>
      <c r="O688">
        <v>2</v>
      </c>
      <c r="P688">
        <v>1</v>
      </c>
      <c r="Q688">
        <v>3</v>
      </c>
      <c r="R688">
        <v>1</v>
      </c>
    </row>
    <row r="689" spans="1:18">
      <c r="A689" t="str">
        <f>_xlfn.IFNA(IF(VLOOKUP(C689,'2016_Detail_Commodity_v1.0'!C:C,1,FALSE)=C689,"No change"),"Name changed")</f>
        <v>No change</v>
      </c>
      <c r="B689" t="s">
        <v>651</v>
      </c>
      <c r="C689" t="s">
        <v>652</v>
      </c>
      <c r="E689" t="s">
        <v>15</v>
      </c>
      <c r="F689" t="s">
        <v>16</v>
      </c>
      <c r="G689">
        <v>8.0000000000000002E-3</v>
      </c>
      <c r="H689" s="413">
        <f>G689*VLOOKUP(E689,GWPs!$B$3:$C$6,2,FALSE)</f>
        <v>8.0000000000000002E-3</v>
      </c>
      <c r="I689">
        <v>0</v>
      </c>
      <c r="J689" s="413">
        <f>I689*VLOOKUP(E689,GWPs!$B$3:$C$6,2,FALSE)</f>
        <v>0</v>
      </c>
      <c r="K689">
        <v>8.0000000000000002E-3</v>
      </c>
      <c r="L689" s="413">
        <f>K689*VLOOKUP(E689,GWPs!$B$3:$C$6,2,FALSE)</f>
        <v>8.0000000000000002E-3</v>
      </c>
      <c r="N689">
        <v>3</v>
      </c>
      <c r="O689">
        <v>2</v>
      </c>
      <c r="P689">
        <v>1</v>
      </c>
      <c r="Q689">
        <v>3</v>
      </c>
      <c r="R689">
        <v>1</v>
      </c>
    </row>
    <row r="690" spans="1:18">
      <c r="A690" t="str">
        <f>_xlfn.IFNA(IF(VLOOKUP(C690,'2016_Detail_Commodity_v1.0'!C:C,1,FALSE)=C690,"No change"),"Name changed")</f>
        <v>No change</v>
      </c>
      <c r="B690" t="s">
        <v>653</v>
      </c>
      <c r="C690" t="s">
        <v>654</v>
      </c>
      <c r="E690" t="s">
        <v>3653</v>
      </c>
      <c r="F690" t="s">
        <v>12</v>
      </c>
      <c r="G690">
        <v>0.14699999999999999</v>
      </c>
      <c r="H690" s="413">
        <f>G690*VLOOKUP(E690,GWPs!$B$3:$C$6,2,FALSE)</f>
        <v>0.14699999999999999</v>
      </c>
      <c r="I690">
        <v>0.05</v>
      </c>
      <c r="J690" s="413">
        <f>I690*VLOOKUP(E690,GWPs!$B$3:$C$6,2,FALSE)</f>
        <v>0.05</v>
      </c>
      <c r="K690">
        <v>0.19700000000000001</v>
      </c>
      <c r="L690" s="413">
        <f>K690*VLOOKUP(E690,GWPs!$B$3:$C$6,2,FALSE)</f>
        <v>0.19700000000000001</v>
      </c>
      <c r="N690">
        <v>3</v>
      </c>
      <c r="O690">
        <v>2</v>
      </c>
      <c r="P690">
        <v>1</v>
      </c>
      <c r="Q690">
        <v>3</v>
      </c>
      <c r="R690">
        <v>1</v>
      </c>
    </row>
    <row r="691" spans="1:18">
      <c r="A691" t="str">
        <f>_xlfn.IFNA(IF(VLOOKUP(C691,'2016_Detail_Commodity_v1.0'!C:C,1,FALSE)=C691,"No change"),"Name changed")</f>
        <v>No change</v>
      </c>
      <c r="B691" t="s">
        <v>653</v>
      </c>
      <c r="C691" t="s">
        <v>654</v>
      </c>
      <c r="E691" t="s">
        <v>3654</v>
      </c>
      <c r="F691" t="s">
        <v>12</v>
      </c>
      <c r="G691">
        <v>1E-3</v>
      </c>
      <c r="H691" s="413">
        <f>G691*VLOOKUP(E691,GWPs!$B$3:$C$6,2,FALSE)</f>
        <v>2.8000000000000001E-2</v>
      </c>
      <c r="I691">
        <v>0</v>
      </c>
      <c r="J691" s="413">
        <f>I691*VLOOKUP(E691,GWPs!$B$3:$C$6,2,FALSE)</f>
        <v>0</v>
      </c>
      <c r="K691">
        <v>1E-3</v>
      </c>
      <c r="L691" s="413">
        <f>K691*VLOOKUP(E691,GWPs!$B$3:$C$6,2,FALSE)</f>
        <v>2.8000000000000001E-2</v>
      </c>
      <c r="N691">
        <v>4</v>
      </c>
      <c r="O691">
        <v>2</v>
      </c>
      <c r="P691">
        <v>1</v>
      </c>
      <c r="Q691">
        <v>1</v>
      </c>
      <c r="R691">
        <v>1</v>
      </c>
    </row>
    <row r="692" spans="1:18">
      <c r="A692" t="str">
        <f>_xlfn.IFNA(IF(VLOOKUP(C692,'2016_Detail_Commodity_v1.0'!C:C,1,FALSE)=C692,"No change"),"Name changed")</f>
        <v>No change</v>
      </c>
      <c r="B692" t="s">
        <v>653</v>
      </c>
      <c r="C692" t="s">
        <v>654</v>
      </c>
      <c r="E692" t="s">
        <v>3655</v>
      </c>
      <c r="F692" t="s">
        <v>12</v>
      </c>
      <c r="G692">
        <v>0</v>
      </c>
      <c r="H692" s="413">
        <f>G692*VLOOKUP(E692,GWPs!$B$3:$C$6,2,FALSE)</f>
        <v>0</v>
      </c>
      <c r="I692">
        <v>0</v>
      </c>
      <c r="J692" s="413">
        <f>I692*VLOOKUP(E692,GWPs!$B$3:$C$6,2,FALSE)</f>
        <v>0</v>
      </c>
      <c r="K692">
        <v>0</v>
      </c>
      <c r="L692" s="413">
        <f>K692*VLOOKUP(E692,GWPs!$B$3:$C$6,2,FALSE)</f>
        <v>0</v>
      </c>
      <c r="N692">
        <v>3</v>
      </c>
      <c r="O692">
        <v>2</v>
      </c>
      <c r="P692">
        <v>1</v>
      </c>
      <c r="Q692">
        <v>3</v>
      </c>
      <c r="R692">
        <v>1</v>
      </c>
    </row>
    <row r="693" spans="1:18">
      <c r="A693" t="str">
        <f>_xlfn.IFNA(IF(VLOOKUP(C693,'2016_Detail_Commodity_v1.0'!C:C,1,FALSE)=C693,"No change"),"Name changed")</f>
        <v>No change</v>
      </c>
      <c r="B693" t="s">
        <v>653</v>
      </c>
      <c r="C693" t="s">
        <v>654</v>
      </c>
      <c r="E693" t="s">
        <v>15</v>
      </c>
      <c r="F693" t="s">
        <v>16</v>
      </c>
      <c r="G693">
        <v>0.433</v>
      </c>
      <c r="H693" s="413">
        <f>G693*VLOOKUP(E693,GWPs!$B$3:$C$6,2,FALSE)</f>
        <v>0.433</v>
      </c>
      <c r="I693">
        <v>0</v>
      </c>
      <c r="J693" s="413">
        <f>I693*VLOOKUP(E693,GWPs!$B$3:$C$6,2,FALSE)</f>
        <v>0</v>
      </c>
      <c r="K693">
        <v>0.433</v>
      </c>
      <c r="L693" s="413">
        <f>K693*VLOOKUP(E693,GWPs!$B$3:$C$6,2,FALSE)</f>
        <v>0.433</v>
      </c>
      <c r="N693">
        <v>4</v>
      </c>
      <c r="O693">
        <v>2</v>
      </c>
      <c r="P693">
        <v>1</v>
      </c>
      <c r="Q693">
        <v>5</v>
      </c>
      <c r="R693">
        <v>1</v>
      </c>
    </row>
    <row r="694" spans="1:18">
      <c r="A694" t="str">
        <f>_xlfn.IFNA(IF(VLOOKUP(C694,'2016_Detail_Commodity_v1.0'!C:C,1,FALSE)=C694,"No change"),"Name changed")</f>
        <v>No change</v>
      </c>
      <c r="B694" t="s">
        <v>655</v>
      </c>
      <c r="C694" t="s">
        <v>656</v>
      </c>
      <c r="E694" t="s">
        <v>3653</v>
      </c>
      <c r="F694" t="s">
        <v>12</v>
      </c>
      <c r="G694">
        <v>0.307</v>
      </c>
      <c r="H694" s="413">
        <f>G694*VLOOKUP(E694,GWPs!$B$3:$C$6,2,FALSE)</f>
        <v>0.307</v>
      </c>
      <c r="I694">
        <v>3.2000000000000001E-2</v>
      </c>
      <c r="J694" s="413">
        <f>I694*VLOOKUP(E694,GWPs!$B$3:$C$6,2,FALSE)</f>
        <v>3.2000000000000001E-2</v>
      </c>
      <c r="K694">
        <v>0.33900000000000002</v>
      </c>
      <c r="L694" s="413">
        <f>K694*VLOOKUP(E694,GWPs!$B$3:$C$6,2,FALSE)</f>
        <v>0.33900000000000002</v>
      </c>
      <c r="N694">
        <v>3</v>
      </c>
      <c r="O694">
        <v>2</v>
      </c>
      <c r="P694">
        <v>1</v>
      </c>
      <c r="Q694">
        <v>3</v>
      </c>
      <c r="R694">
        <v>1</v>
      </c>
    </row>
    <row r="695" spans="1:18">
      <c r="A695" t="str">
        <f>_xlfn.IFNA(IF(VLOOKUP(C695,'2016_Detail_Commodity_v1.0'!C:C,1,FALSE)=C695,"No change"),"Name changed")</f>
        <v>No change</v>
      </c>
      <c r="B695" t="s">
        <v>655</v>
      </c>
      <c r="C695" t="s">
        <v>656</v>
      </c>
      <c r="E695" t="s">
        <v>3654</v>
      </c>
      <c r="F695" t="s">
        <v>12</v>
      </c>
      <c r="G695">
        <v>1E-3</v>
      </c>
      <c r="H695" s="413">
        <f>G695*VLOOKUP(E695,GWPs!$B$3:$C$6,2,FALSE)</f>
        <v>2.8000000000000001E-2</v>
      </c>
      <c r="I695">
        <v>0</v>
      </c>
      <c r="J695" s="413">
        <f>I695*VLOOKUP(E695,GWPs!$B$3:$C$6,2,FALSE)</f>
        <v>0</v>
      </c>
      <c r="K695">
        <v>1E-3</v>
      </c>
      <c r="L695" s="413">
        <f>K695*VLOOKUP(E695,GWPs!$B$3:$C$6,2,FALSE)</f>
        <v>2.8000000000000001E-2</v>
      </c>
      <c r="N695">
        <v>4</v>
      </c>
      <c r="O695">
        <v>2</v>
      </c>
      <c r="P695">
        <v>1</v>
      </c>
      <c r="Q695">
        <v>1</v>
      </c>
      <c r="R695">
        <v>1</v>
      </c>
    </row>
    <row r="696" spans="1:18">
      <c r="A696" t="str">
        <f>_xlfn.IFNA(IF(VLOOKUP(C696,'2016_Detail_Commodity_v1.0'!C:C,1,FALSE)=C696,"No change"),"Name changed")</f>
        <v>No change</v>
      </c>
      <c r="B696" t="s">
        <v>655</v>
      </c>
      <c r="C696" t="s">
        <v>656</v>
      </c>
      <c r="E696" t="s">
        <v>3655</v>
      </c>
      <c r="F696" t="s">
        <v>12</v>
      </c>
      <c r="G696">
        <v>0</v>
      </c>
      <c r="H696" s="413">
        <f>G696*VLOOKUP(E696,GWPs!$B$3:$C$6,2,FALSE)</f>
        <v>0</v>
      </c>
      <c r="I696">
        <v>0</v>
      </c>
      <c r="J696" s="413">
        <f>I696*VLOOKUP(E696,GWPs!$B$3:$C$6,2,FALSE)</f>
        <v>0</v>
      </c>
      <c r="K696">
        <v>0</v>
      </c>
      <c r="L696" s="413">
        <f>K696*VLOOKUP(E696,GWPs!$B$3:$C$6,2,FALSE)</f>
        <v>0</v>
      </c>
      <c r="N696">
        <v>3</v>
      </c>
      <c r="O696">
        <v>2</v>
      </c>
      <c r="P696">
        <v>1</v>
      </c>
      <c r="Q696">
        <v>3</v>
      </c>
      <c r="R696">
        <v>1</v>
      </c>
    </row>
    <row r="697" spans="1:18">
      <c r="A697" t="str">
        <f>_xlfn.IFNA(IF(VLOOKUP(C697,'2016_Detail_Commodity_v1.0'!C:C,1,FALSE)=C697,"No change"),"Name changed")</f>
        <v>No change</v>
      </c>
      <c r="B697" t="s">
        <v>655</v>
      </c>
      <c r="C697" t="s">
        <v>656</v>
      </c>
      <c r="E697" t="s">
        <v>15</v>
      </c>
      <c r="F697" t="s">
        <v>16</v>
      </c>
      <c r="G697">
        <v>7.0000000000000001E-3</v>
      </c>
      <c r="H697" s="413">
        <f>G697*VLOOKUP(E697,GWPs!$B$3:$C$6,2,FALSE)</f>
        <v>7.0000000000000001E-3</v>
      </c>
      <c r="I697">
        <v>0</v>
      </c>
      <c r="J697" s="413">
        <f>I697*VLOOKUP(E697,GWPs!$B$3:$C$6,2,FALSE)</f>
        <v>0</v>
      </c>
      <c r="K697">
        <v>7.0000000000000001E-3</v>
      </c>
      <c r="L697" s="413">
        <f>K697*VLOOKUP(E697,GWPs!$B$3:$C$6,2,FALSE)</f>
        <v>7.0000000000000001E-3</v>
      </c>
      <c r="N697">
        <v>3</v>
      </c>
      <c r="O697">
        <v>2</v>
      </c>
      <c r="P697">
        <v>1</v>
      </c>
      <c r="Q697">
        <v>2</v>
      </c>
      <c r="R697">
        <v>1</v>
      </c>
    </row>
    <row r="698" spans="1:18">
      <c r="A698" t="str">
        <f>_xlfn.IFNA(IF(VLOOKUP(C698,'2016_Detail_Commodity_v1.0'!C:C,1,FALSE)=C698,"No change"),"Name changed")</f>
        <v>No change</v>
      </c>
      <c r="B698" t="s">
        <v>657</v>
      </c>
      <c r="C698" t="s">
        <v>658</v>
      </c>
      <c r="E698" t="s">
        <v>3653</v>
      </c>
      <c r="F698" t="s">
        <v>12</v>
      </c>
      <c r="G698">
        <v>0.20399999999999999</v>
      </c>
      <c r="H698" s="413">
        <f>G698*VLOOKUP(E698,GWPs!$B$3:$C$6,2,FALSE)</f>
        <v>0.20399999999999999</v>
      </c>
      <c r="I698">
        <v>3.1E-2</v>
      </c>
      <c r="J698" s="413">
        <f>I698*VLOOKUP(E698,GWPs!$B$3:$C$6,2,FALSE)</f>
        <v>3.1E-2</v>
      </c>
      <c r="K698">
        <v>0.23499999999999999</v>
      </c>
      <c r="L698" s="413">
        <f>K698*VLOOKUP(E698,GWPs!$B$3:$C$6,2,FALSE)</f>
        <v>0.23499999999999999</v>
      </c>
      <c r="N698">
        <v>3</v>
      </c>
      <c r="O698">
        <v>2</v>
      </c>
      <c r="P698">
        <v>1</v>
      </c>
      <c r="Q698">
        <v>3</v>
      </c>
      <c r="R698">
        <v>1</v>
      </c>
    </row>
    <row r="699" spans="1:18">
      <c r="A699" t="str">
        <f>_xlfn.IFNA(IF(VLOOKUP(C699,'2016_Detail_Commodity_v1.0'!C:C,1,FALSE)=C699,"No change"),"Name changed")</f>
        <v>No change</v>
      </c>
      <c r="B699" t="s">
        <v>657</v>
      </c>
      <c r="C699" t="s">
        <v>658</v>
      </c>
      <c r="E699" t="s">
        <v>3654</v>
      </c>
      <c r="F699" t="s">
        <v>12</v>
      </c>
      <c r="G699">
        <v>1E-3</v>
      </c>
      <c r="H699" s="413">
        <f>G699*VLOOKUP(E699,GWPs!$B$3:$C$6,2,FALSE)</f>
        <v>2.8000000000000001E-2</v>
      </c>
      <c r="I699">
        <v>0</v>
      </c>
      <c r="J699" s="413">
        <f>I699*VLOOKUP(E699,GWPs!$B$3:$C$6,2,FALSE)</f>
        <v>0</v>
      </c>
      <c r="K699">
        <v>1E-3</v>
      </c>
      <c r="L699" s="413">
        <f>K699*VLOOKUP(E699,GWPs!$B$3:$C$6,2,FALSE)</f>
        <v>2.8000000000000001E-2</v>
      </c>
      <c r="N699">
        <v>4</v>
      </c>
      <c r="O699">
        <v>2</v>
      </c>
      <c r="P699">
        <v>1</v>
      </c>
      <c r="Q699">
        <v>1</v>
      </c>
      <c r="R699">
        <v>1</v>
      </c>
    </row>
    <row r="700" spans="1:18">
      <c r="A700" t="str">
        <f>_xlfn.IFNA(IF(VLOOKUP(C700,'2016_Detail_Commodity_v1.0'!C:C,1,FALSE)=C700,"No change"),"Name changed")</f>
        <v>No change</v>
      </c>
      <c r="B700" t="s">
        <v>657</v>
      </c>
      <c r="C700" t="s">
        <v>658</v>
      </c>
      <c r="E700" t="s">
        <v>3655</v>
      </c>
      <c r="F700" t="s">
        <v>12</v>
      </c>
      <c r="G700">
        <v>0</v>
      </c>
      <c r="H700" s="413">
        <f>G700*VLOOKUP(E700,GWPs!$B$3:$C$6,2,FALSE)</f>
        <v>0</v>
      </c>
      <c r="I700">
        <v>0</v>
      </c>
      <c r="J700" s="413">
        <f>I700*VLOOKUP(E700,GWPs!$B$3:$C$6,2,FALSE)</f>
        <v>0</v>
      </c>
      <c r="K700">
        <v>0</v>
      </c>
      <c r="L700" s="413">
        <f>K700*VLOOKUP(E700,GWPs!$B$3:$C$6,2,FALSE)</f>
        <v>0</v>
      </c>
      <c r="N700">
        <v>3</v>
      </c>
      <c r="O700">
        <v>2</v>
      </c>
      <c r="P700">
        <v>1</v>
      </c>
      <c r="Q700">
        <v>3</v>
      </c>
      <c r="R700">
        <v>1</v>
      </c>
    </row>
    <row r="701" spans="1:18">
      <c r="A701" t="str">
        <f>_xlfn.IFNA(IF(VLOOKUP(C701,'2016_Detail_Commodity_v1.0'!C:C,1,FALSE)=C701,"No change"),"Name changed")</f>
        <v>No change</v>
      </c>
      <c r="B701" t="s">
        <v>657</v>
      </c>
      <c r="C701" t="s">
        <v>658</v>
      </c>
      <c r="E701" t="s">
        <v>15</v>
      </c>
      <c r="F701" t="s">
        <v>16</v>
      </c>
      <c r="G701">
        <v>6.0000000000000001E-3</v>
      </c>
      <c r="H701" s="413">
        <f>G701*VLOOKUP(E701,GWPs!$B$3:$C$6,2,FALSE)</f>
        <v>6.0000000000000001E-3</v>
      </c>
      <c r="I701">
        <v>0</v>
      </c>
      <c r="J701" s="413">
        <f>I701*VLOOKUP(E701,GWPs!$B$3:$C$6,2,FALSE)</f>
        <v>0</v>
      </c>
      <c r="K701">
        <v>6.0000000000000001E-3</v>
      </c>
      <c r="L701" s="413">
        <f>K701*VLOOKUP(E701,GWPs!$B$3:$C$6,2,FALSE)</f>
        <v>6.0000000000000001E-3</v>
      </c>
      <c r="N701">
        <v>3</v>
      </c>
      <c r="O701">
        <v>2</v>
      </c>
      <c r="P701">
        <v>1</v>
      </c>
      <c r="Q701">
        <v>2</v>
      </c>
      <c r="R701">
        <v>1</v>
      </c>
    </row>
    <row r="702" spans="1:18">
      <c r="A702" t="str">
        <f>_xlfn.IFNA(IF(VLOOKUP(C702,'2016_Detail_Commodity_v1.0'!C:C,1,FALSE)=C702,"No change"),"Name changed")</f>
        <v>Name changed</v>
      </c>
      <c r="B702" t="s">
        <v>659</v>
      </c>
      <c r="C702" t="s">
        <v>1401</v>
      </c>
      <c r="D702" t="s">
        <v>660</v>
      </c>
      <c r="E702" t="s">
        <v>3653</v>
      </c>
      <c r="F702" t="s">
        <v>12</v>
      </c>
      <c r="G702">
        <v>0.20799999999999999</v>
      </c>
      <c r="H702" s="413">
        <f>G702*VLOOKUP(E702,GWPs!$B$3:$C$6,2,FALSE)</f>
        <v>0.20799999999999999</v>
      </c>
      <c r="I702">
        <v>3.1E-2</v>
      </c>
      <c r="J702" s="413">
        <f>I702*VLOOKUP(E702,GWPs!$B$3:$C$6,2,FALSE)</f>
        <v>3.1E-2</v>
      </c>
      <c r="K702">
        <v>0.23799999999999999</v>
      </c>
      <c r="L702" s="413">
        <f>K702*VLOOKUP(E702,GWPs!$B$3:$C$6,2,FALSE)</f>
        <v>0.23799999999999999</v>
      </c>
      <c r="N702">
        <v>3</v>
      </c>
      <c r="O702">
        <v>2</v>
      </c>
      <c r="P702">
        <v>1</v>
      </c>
      <c r="Q702">
        <v>3</v>
      </c>
      <c r="R702">
        <v>1</v>
      </c>
    </row>
    <row r="703" spans="1:18">
      <c r="A703" t="str">
        <f>_xlfn.IFNA(IF(VLOOKUP(C703,'2016_Detail_Commodity_v1.0'!C:C,1,FALSE)=C703,"No change"),"Name changed")</f>
        <v>Name changed</v>
      </c>
      <c r="B703" t="s">
        <v>659</v>
      </c>
      <c r="C703" t="s">
        <v>1401</v>
      </c>
      <c r="D703" t="s">
        <v>660</v>
      </c>
      <c r="E703" t="s">
        <v>3654</v>
      </c>
      <c r="F703" t="s">
        <v>12</v>
      </c>
      <c r="G703">
        <v>1E-3</v>
      </c>
      <c r="H703" s="413">
        <f>G703*VLOOKUP(E703,GWPs!$B$3:$C$6,2,FALSE)</f>
        <v>2.8000000000000001E-2</v>
      </c>
      <c r="I703">
        <v>0</v>
      </c>
      <c r="J703" s="413">
        <f>I703*VLOOKUP(E703,GWPs!$B$3:$C$6,2,FALSE)</f>
        <v>0</v>
      </c>
      <c r="K703">
        <v>1E-3</v>
      </c>
      <c r="L703" s="413">
        <f>K703*VLOOKUP(E703,GWPs!$B$3:$C$6,2,FALSE)</f>
        <v>2.8000000000000001E-2</v>
      </c>
      <c r="N703">
        <v>4</v>
      </c>
      <c r="O703">
        <v>2</v>
      </c>
      <c r="P703">
        <v>1</v>
      </c>
      <c r="Q703">
        <v>1</v>
      </c>
      <c r="R703">
        <v>1</v>
      </c>
    </row>
    <row r="704" spans="1:18">
      <c r="A704" t="str">
        <f>_xlfn.IFNA(IF(VLOOKUP(C704,'2016_Detail_Commodity_v1.0'!C:C,1,FALSE)=C704,"No change"),"Name changed")</f>
        <v>Name changed</v>
      </c>
      <c r="B704" t="s">
        <v>659</v>
      </c>
      <c r="C704" t="s">
        <v>1401</v>
      </c>
      <c r="D704" t="s">
        <v>660</v>
      </c>
      <c r="E704" t="s">
        <v>3655</v>
      </c>
      <c r="F704" t="s">
        <v>12</v>
      </c>
      <c r="G704">
        <v>0</v>
      </c>
      <c r="H704" s="413">
        <f>G704*VLOOKUP(E704,GWPs!$B$3:$C$6,2,FALSE)</f>
        <v>0</v>
      </c>
      <c r="I704">
        <v>0</v>
      </c>
      <c r="J704" s="413">
        <f>I704*VLOOKUP(E704,GWPs!$B$3:$C$6,2,FALSE)</f>
        <v>0</v>
      </c>
      <c r="K704">
        <v>0</v>
      </c>
      <c r="L704" s="413">
        <f>K704*VLOOKUP(E704,GWPs!$B$3:$C$6,2,FALSE)</f>
        <v>0</v>
      </c>
      <c r="N704">
        <v>3</v>
      </c>
      <c r="O704">
        <v>2</v>
      </c>
      <c r="P704">
        <v>1</v>
      </c>
      <c r="Q704">
        <v>3</v>
      </c>
      <c r="R704">
        <v>1</v>
      </c>
    </row>
    <row r="705" spans="1:18">
      <c r="A705" t="str">
        <f>_xlfn.IFNA(IF(VLOOKUP(C705,'2016_Detail_Commodity_v1.0'!C:C,1,FALSE)=C705,"No change"),"Name changed")</f>
        <v>Name changed</v>
      </c>
      <c r="B705" t="s">
        <v>659</v>
      </c>
      <c r="C705" t="s">
        <v>1401</v>
      </c>
      <c r="D705" t="s">
        <v>660</v>
      </c>
      <c r="E705" t="s">
        <v>15</v>
      </c>
      <c r="F705" t="s">
        <v>16</v>
      </c>
      <c r="G705">
        <v>7.0000000000000001E-3</v>
      </c>
      <c r="H705" s="413">
        <f>G705*VLOOKUP(E705,GWPs!$B$3:$C$6,2,FALSE)</f>
        <v>7.0000000000000001E-3</v>
      </c>
      <c r="I705">
        <v>0</v>
      </c>
      <c r="J705" s="413">
        <f>I705*VLOOKUP(E705,GWPs!$B$3:$C$6,2,FALSE)</f>
        <v>0</v>
      </c>
      <c r="K705">
        <v>7.0000000000000001E-3</v>
      </c>
      <c r="L705" s="413">
        <f>K705*VLOOKUP(E705,GWPs!$B$3:$C$6,2,FALSE)</f>
        <v>7.0000000000000001E-3</v>
      </c>
      <c r="N705">
        <v>3</v>
      </c>
      <c r="O705">
        <v>2</v>
      </c>
      <c r="P705">
        <v>1</v>
      </c>
      <c r="Q705">
        <v>3</v>
      </c>
      <c r="R705">
        <v>1</v>
      </c>
    </row>
    <row r="706" spans="1:18">
      <c r="A706" t="str">
        <f>_xlfn.IFNA(IF(VLOOKUP(C706,'2016_Detail_Commodity_v1.0'!C:C,1,FALSE)=C706,"No change"),"Name changed")</f>
        <v>No change</v>
      </c>
      <c r="B706" t="s">
        <v>661</v>
      </c>
      <c r="C706" t="s">
        <v>662</v>
      </c>
      <c r="E706" t="s">
        <v>3653</v>
      </c>
      <c r="F706" t="s">
        <v>12</v>
      </c>
      <c r="G706">
        <v>0.21299999999999999</v>
      </c>
      <c r="H706" s="413">
        <f>G706*VLOOKUP(E706,GWPs!$B$3:$C$6,2,FALSE)</f>
        <v>0.21299999999999999</v>
      </c>
      <c r="I706">
        <v>2.9000000000000001E-2</v>
      </c>
      <c r="J706" s="413">
        <f>I706*VLOOKUP(E706,GWPs!$B$3:$C$6,2,FALSE)</f>
        <v>2.9000000000000001E-2</v>
      </c>
      <c r="K706">
        <v>0.24199999999999999</v>
      </c>
      <c r="L706" s="413">
        <f>K706*VLOOKUP(E706,GWPs!$B$3:$C$6,2,FALSE)</f>
        <v>0.24199999999999999</v>
      </c>
      <c r="N706">
        <v>3</v>
      </c>
      <c r="O706">
        <v>2</v>
      </c>
      <c r="P706">
        <v>1</v>
      </c>
      <c r="Q706">
        <v>3</v>
      </c>
      <c r="R706">
        <v>1</v>
      </c>
    </row>
    <row r="707" spans="1:18">
      <c r="A707" t="str">
        <f>_xlfn.IFNA(IF(VLOOKUP(C707,'2016_Detail_Commodity_v1.0'!C:C,1,FALSE)=C707,"No change"),"Name changed")</f>
        <v>No change</v>
      </c>
      <c r="B707" t="s">
        <v>661</v>
      </c>
      <c r="C707" t="s">
        <v>662</v>
      </c>
      <c r="E707" t="s">
        <v>3654</v>
      </c>
      <c r="F707" t="s">
        <v>12</v>
      </c>
      <c r="G707">
        <v>1E-3</v>
      </c>
      <c r="H707" s="413">
        <f>G707*VLOOKUP(E707,GWPs!$B$3:$C$6,2,FALSE)</f>
        <v>2.8000000000000001E-2</v>
      </c>
      <c r="I707">
        <v>0</v>
      </c>
      <c r="J707" s="413">
        <f>I707*VLOOKUP(E707,GWPs!$B$3:$C$6,2,FALSE)</f>
        <v>0</v>
      </c>
      <c r="K707">
        <v>1E-3</v>
      </c>
      <c r="L707" s="413">
        <f>K707*VLOOKUP(E707,GWPs!$B$3:$C$6,2,FALSE)</f>
        <v>2.8000000000000001E-2</v>
      </c>
      <c r="N707">
        <v>4</v>
      </c>
      <c r="O707">
        <v>2</v>
      </c>
      <c r="P707">
        <v>1</v>
      </c>
      <c r="Q707">
        <v>1</v>
      </c>
      <c r="R707">
        <v>1</v>
      </c>
    </row>
    <row r="708" spans="1:18">
      <c r="A708" t="str">
        <f>_xlfn.IFNA(IF(VLOOKUP(C708,'2016_Detail_Commodity_v1.0'!C:C,1,FALSE)=C708,"No change"),"Name changed")</f>
        <v>No change</v>
      </c>
      <c r="B708" t="s">
        <v>661</v>
      </c>
      <c r="C708" t="s">
        <v>662</v>
      </c>
      <c r="E708" t="s">
        <v>3655</v>
      </c>
      <c r="F708" t="s">
        <v>12</v>
      </c>
      <c r="G708">
        <v>0</v>
      </c>
      <c r="H708" s="413">
        <f>G708*VLOOKUP(E708,GWPs!$B$3:$C$6,2,FALSE)</f>
        <v>0</v>
      </c>
      <c r="I708">
        <v>0</v>
      </c>
      <c r="J708" s="413">
        <f>I708*VLOOKUP(E708,GWPs!$B$3:$C$6,2,FALSE)</f>
        <v>0</v>
      </c>
      <c r="K708">
        <v>0</v>
      </c>
      <c r="L708" s="413">
        <f>K708*VLOOKUP(E708,GWPs!$B$3:$C$6,2,FALSE)</f>
        <v>0</v>
      </c>
      <c r="N708">
        <v>3</v>
      </c>
      <c r="O708">
        <v>2</v>
      </c>
      <c r="P708">
        <v>1</v>
      </c>
      <c r="Q708">
        <v>3</v>
      </c>
      <c r="R708">
        <v>1</v>
      </c>
    </row>
    <row r="709" spans="1:18">
      <c r="A709" t="str">
        <f>_xlfn.IFNA(IF(VLOOKUP(C709,'2016_Detail_Commodity_v1.0'!C:C,1,FALSE)=C709,"No change"),"Name changed")</f>
        <v>No change</v>
      </c>
      <c r="B709" t="s">
        <v>661</v>
      </c>
      <c r="C709" t="s">
        <v>662</v>
      </c>
      <c r="E709" t="s">
        <v>15</v>
      </c>
      <c r="F709" t="s">
        <v>16</v>
      </c>
      <c r="G709">
        <v>7.0000000000000001E-3</v>
      </c>
      <c r="H709" s="413">
        <f>G709*VLOOKUP(E709,GWPs!$B$3:$C$6,2,FALSE)</f>
        <v>7.0000000000000001E-3</v>
      </c>
      <c r="I709">
        <v>0</v>
      </c>
      <c r="J709" s="413">
        <f>I709*VLOOKUP(E709,GWPs!$B$3:$C$6,2,FALSE)</f>
        <v>0</v>
      </c>
      <c r="K709">
        <v>7.0000000000000001E-3</v>
      </c>
      <c r="L709" s="413">
        <f>K709*VLOOKUP(E709,GWPs!$B$3:$C$6,2,FALSE)</f>
        <v>7.0000000000000001E-3</v>
      </c>
      <c r="N709">
        <v>3</v>
      </c>
      <c r="O709">
        <v>2</v>
      </c>
      <c r="P709">
        <v>1</v>
      </c>
      <c r="Q709">
        <v>2</v>
      </c>
      <c r="R709">
        <v>1</v>
      </c>
    </row>
    <row r="710" spans="1:18">
      <c r="A710" t="str">
        <f>_xlfn.IFNA(IF(VLOOKUP(C710,'2016_Detail_Commodity_v1.0'!C:C,1,FALSE)=C710,"No change"),"Name changed")</f>
        <v>No change</v>
      </c>
      <c r="B710" t="s">
        <v>663</v>
      </c>
      <c r="C710" t="s">
        <v>664</v>
      </c>
      <c r="E710" t="s">
        <v>3653</v>
      </c>
      <c r="F710" t="s">
        <v>12</v>
      </c>
      <c r="G710">
        <v>0.214</v>
      </c>
      <c r="H710" s="413">
        <f>G710*VLOOKUP(E710,GWPs!$B$3:$C$6,2,FALSE)</f>
        <v>0.214</v>
      </c>
      <c r="I710">
        <v>3.3000000000000002E-2</v>
      </c>
      <c r="J710" s="413">
        <f>I710*VLOOKUP(E710,GWPs!$B$3:$C$6,2,FALSE)</f>
        <v>3.3000000000000002E-2</v>
      </c>
      <c r="K710">
        <v>0.246</v>
      </c>
      <c r="L710" s="413">
        <f>K710*VLOOKUP(E710,GWPs!$B$3:$C$6,2,FALSE)</f>
        <v>0.246</v>
      </c>
      <c r="N710">
        <v>3</v>
      </c>
      <c r="O710">
        <v>2</v>
      </c>
      <c r="P710">
        <v>1</v>
      </c>
      <c r="Q710">
        <v>3</v>
      </c>
      <c r="R710">
        <v>1</v>
      </c>
    </row>
    <row r="711" spans="1:18">
      <c r="A711" t="str">
        <f>_xlfn.IFNA(IF(VLOOKUP(C711,'2016_Detail_Commodity_v1.0'!C:C,1,FALSE)=C711,"No change"),"Name changed")</f>
        <v>No change</v>
      </c>
      <c r="B711" t="s">
        <v>663</v>
      </c>
      <c r="C711" t="s">
        <v>664</v>
      </c>
      <c r="E711" t="s">
        <v>3654</v>
      </c>
      <c r="F711" t="s">
        <v>12</v>
      </c>
      <c r="G711">
        <v>1E-3</v>
      </c>
      <c r="H711" s="413">
        <f>G711*VLOOKUP(E711,GWPs!$B$3:$C$6,2,FALSE)</f>
        <v>2.8000000000000001E-2</v>
      </c>
      <c r="I711">
        <v>0</v>
      </c>
      <c r="J711" s="413">
        <f>I711*VLOOKUP(E711,GWPs!$B$3:$C$6,2,FALSE)</f>
        <v>0</v>
      </c>
      <c r="K711">
        <v>1E-3</v>
      </c>
      <c r="L711" s="413">
        <f>K711*VLOOKUP(E711,GWPs!$B$3:$C$6,2,FALSE)</f>
        <v>2.8000000000000001E-2</v>
      </c>
      <c r="N711">
        <v>4</v>
      </c>
      <c r="O711">
        <v>2</v>
      </c>
      <c r="P711">
        <v>1</v>
      </c>
      <c r="Q711">
        <v>1</v>
      </c>
      <c r="R711">
        <v>1</v>
      </c>
    </row>
    <row r="712" spans="1:18">
      <c r="A712" t="str">
        <f>_xlfn.IFNA(IF(VLOOKUP(C712,'2016_Detail_Commodity_v1.0'!C:C,1,FALSE)=C712,"No change"),"Name changed")</f>
        <v>No change</v>
      </c>
      <c r="B712" t="s">
        <v>663</v>
      </c>
      <c r="C712" t="s">
        <v>664</v>
      </c>
      <c r="E712" t="s">
        <v>3655</v>
      </c>
      <c r="F712" t="s">
        <v>12</v>
      </c>
      <c r="G712">
        <v>0</v>
      </c>
      <c r="H712" s="413">
        <f>G712*VLOOKUP(E712,GWPs!$B$3:$C$6,2,FALSE)</f>
        <v>0</v>
      </c>
      <c r="I712">
        <v>0</v>
      </c>
      <c r="J712" s="413">
        <f>I712*VLOOKUP(E712,GWPs!$B$3:$C$6,2,FALSE)</f>
        <v>0</v>
      </c>
      <c r="K712">
        <v>0</v>
      </c>
      <c r="L712" s="413">
        <f>K712*VLOOKUP(E712,GWPs!$B$3:$C$6,2,FALSE)</f>
        <v>0</v>
      </c>
      <c r="N712">
        <v>3</v>
      </c>
      <c r="O712">
        <v>2</v>
      </c>
      <c r="P712">
        <v>1</v>
      </c>
      <c r="Q712">
        <v>3</v>
      </c>
      <c r="R712">
        <v>1</v>
      </c>
    </row>
    <row r="713" spans="1:18">
      <c r="A713" t="str">
        <f>_xlfn.IFNA(IF(VLOOKUP(C713,'2016_Detail_Commodity_v1.0'!C:C,1,FALSE)=C713,"No change"),"Name changed")</f>
        <v>No change</v>
      </c>
      <c r="B713" t="s">
        <v>663</v>
      </c>
      <c r="C713" t="s">
        <v>664</v>
      </c>
      <c r="E713" t="s">
        <v>15</v>
      </c>
      <c r="F713" t="s">
        <v>16</v>
      </c>
      <c r="G713">
        <v>7.0000000000000001E-3</v>
      </c>
      <c r="H713" s="413">
        <f>G713*VLOOKUP(E713,GWPs!$B$3:$C$6,2,FALSE)</f>
        <v>7.0000000000000001E-3</v>
      </c>
      <c r="I713">
        <v>0</v>
      </c>
      <c r="J713" s="413">
        <f>I713*VLOOKUP(E713,GWPs!$B$3:$C$6,2,FALSE)</f>
        <v>0</v>
      </c>
      <c r="K713">
        <v>7.0000000000000001E-3</v>
      </c>
      <c r="L713" s="413">
        <f>K713*VLOOKUP(E713,GWPs!$B$3:$C$6,2,FALSE)</f>
        <v>7.0000000000000001E-3</v>
      </c>
      <c r="N713">
        <v>3</v>
      </c>
      <c r="O713">
        <v>2</v>
      </c>
      <c r="P713">
        <v>1</v>
      </c>
      <c r="Q713">
        <v>2</v>
      </c>
      <c r="R713">
        <v>1</v>
      </c>
    </row>
    <row r="714" spans="1:18">
      <c r="A714" t="str">
        <f>_xlfn.IFNA(IF(VLOOKUP(C714,'2016_Detail_Commodity_v1.0'!C:C,1,FALSE)=C714,"No change"),"Name changed")</f>
        <v>No change</v>
      </c>
      <c r="B714" t="s">
        <v>665</v>
      </c>
      <c r="C714" t="s">
        <v>666</v>
      </c>
      <c r="E714" t="s">
        <v>3653</v>
      </c>
      <c r="F714" t="s">
        <v>12</v>
      </c>
      <c r="G714">
        <v>0.19700000000000001</v>
      </c>
      <c r="H714" s="413">
        <f>G714*VLOOKUP(E714,GWPs!$B$3:$C$6,2,FALSE)</f>
        <v>0.19700000000000001</v>
      </c>
      <c r="I714">
        <v>2.9000000000000001E-2</v>
      </c>
      <c r="J714" s="413">
        <f>I714*VLOOKUP(E714,GWPs!$B$3:$C$6,2,FALSE)</f>
        <v>2.9000000000000001E-2</v>
      </c>
      <c r="K714">
        <v>0.22600000000000001</v>
      </c>
      <c r="L714" s="413">
        <f>K714*VLOOKUP(E714,GWPs!$B$3:$C$6,2,FALSE)</f>
        <v>0.22600000000000001</v>
      </c>
      <c r="N714">
        <v>3</v>
      </c>
      <c r="O714">
        <v>2</v>
      </c>
      <c r="P714">
        <v>1</v>
      </c>
      <c r="Q714">
        <v>3</v>
      </c>
      <c r="R714">
        <v>1</v>
      </c>
    </row>
    <row r="715" spans="1:18">
      <c r="A715" t="str">
        <f>_xlfn.IFNA(IF(VLOOKUP(C715,'2016_Detail_Commodity_v1.0'!C:C,1,FALSE)=C715,"No change"),"Name changed")</f>
        <v>No change</v>
      </c>
      <c r="B715" t="s">
        <v>665</v>
      </c>
      <c r="C715" t="s">
        <v>666</v>
      </c>
      <c r="E715" t="s">
        <v>3654</v>
      </c>
      <c r="F715" t="s">
        <v>12</v>
      </c>
      <c r="G715">
        <v>1E-3</v>
      </c>
      <c r="H715" s="413">
        <f>G715*VLOOKUP(E715,GWPs!$B$3:$C$6,2,FALSE)</f>
        <v>2.8000000000000001E-2</v>
      </c>
      <c r="I715">
        <v>0</v>
      </c>
      <c r="J715" s="413">
        <f>I715*VLOOKUP(E715,GWPs!$B$3:$C$6,2,FALSE)</f>
        <v>0</v>
      </c>
      <c r="K715">
        <v>1E-3</v>
      </c>
      <c r="L715" s="413">
        <f>K715*VLOOKUP(E715,GWPs!$B$3:$C$6,2,FALSE)</f>
        <v>2.8000000000000001E-2</v>
      </c>
      <c r="N715">
        <v>4</v>
      </c>
      <c r="O715">
        <v>2</v>
      </c>
      <c r="P715">
        <v>1</v>
      </c>
      <c r="Q715">
        <v>1</v>
      </c>
      <c r="R715">
        <v>1</v>
      </c>
    </row>
    <row r="716" spans="1:18">
      <c r="A716" t="str">
        <f>_xlfn.IFNA(IF(VLOOKUP(C716,'2016_Detail_Commodity_v1.0'!C:C,1,FALSE)=C716,"No change"),"Name changed")</f>
        <v>No change</v>
      </c>
      <c r="B716" t="s">
        <v>665</v>
      </c>
      <c r="C716" t="s">
        <v>666</v>
      </c>
      <c r="E716" t="s">
        <v>3655</v>
      </c>
      <c r="F716" t="s">
        <v>12</v>
      </c>
      <c r="G716">
        <v>0</v>
      </c>
      <c r="H716" s="413">
        <f>G716*VLOOKUP(E716,GWPs!$B$3:$C$6,2,FALSE)</f>
        <v>0</v>
      </c>
      <c r="I716">
        <v>0</v>
      </c>
      <c r="J716" s="413">
        <f>I716*VLOOKUP(E716,GWPs!$B$3:$C$6,2,FALSE)</f>
        <v>0</v>
      </c>
      <c r="K716">
        <v>0</v>
      </c>
      <c r="L716" s="413">
        <f>K716*VLOOKUP(E716,GWPs!$B$3:$C$6,2,FALSE)</f>
        <v>0</v>
      </c>
      <c r="N716">
        <v>3</v>
      </c>
      <c r="O716">
        <v>2</v>
      </c>
      <c r="P716">
        <v>1</v>
      </c>
      <c r="Q716">
        <v>3</v>
      </c>
      <c r="R716">
        <v>1</v>
      </c>
    </row>
    <row r="717" spans="1:18">
      <c r="A717" t="str">
        <f>_xlfn.IFNA(IF(VLOOKUP(C717,'2016_Detail_Commodity_v1.0'!C:C,1,FALSE)=C717,"No change"),"Name changed")</f>
        <v>No change</v>
      </c>
      <c r="B717" t="s">
        <v>665</v>
      </c>
      <c r="C717" t="s">
        <v>666</v>
      </c>
      <c r="E717" t="s">
        <v>15</v>
      </c>
      <c r="F717" t="s">
        <v>16</v>
      </c>
      <c r="G717">
        <v>6.0000000000000001E-3</v>
      </c>
      <c r="H717" s="413">
        <f>G717*VLOOKUP(E717,GWPs!$B$3:$C$6,2,FALSE)</f>
        <v>6.0000000000000001E-3</v>
      </c>
      <c r="I717">
        <v>0</v>
      </c>
      <c r="J717" s="413">
        <f>I717*VLOOKUP(E717,GWPs!$B$3:$C$6,2,FALSE)</f>
        <v>0</v>
      </c>
      <c r="K717">
        <v>6.0000000000000001E-3</v>
      </c>
      <c r="L717" s="413">
        <f>K717*VLOOKUP(E717,GWPs!$B$3:$C$6,2,FALSE)</f>
        <v>6.0000000000000001E-3</v>
      </c>
      <c r="N717">
        <v>3</v>
      </c>
      <c r="O717">
        <v>2</v>
      </c>
      <c r="P717">
        <v>1</v>
      </c>
      <c r="Q717">
        <v>3</v>
      </c>
      <c r="R717">
        <v>1</v>
      </c>
    </row>
    <row r="718" spans="1:18">
      <c r="A718" t="str">
        <f>_xlfn.IFNA(IF(VLOOKUP(C718,'2016_Detail_Commodity_v1.0'!C:C,1,FALSE)=C718,"No change"),"Name changed")</f>
        <v>No change</v>
      </c>
      <c r="B718" t="s">
        <v>667</v>
      </c>
      <c r="C718" t="s">
        <v>668</v>
      </c>
      <c r="E718" t="s">
        <v>3653</v>
      </c>
      <c r="F718" t="s">
        <v>12</v>
      </c>
      <c r="G718">
        <v>0.21199999999999999</v>
      </c>
      <c r="H718" s="413">
        <f>G718*VLOOKUP(E718,GWPs!$B$3:$C$6,2,FALSE)</f>
        <v>0.21199999999999999</v>
      </c>
      <c r="I718">
        <v>3.1E-2</v>
      </c>
      <c r="J718" s="413">
        <f>I718*VLOOKUP(E718,GWPs!$B$3:$C$6,2,FALSE)</f>
        <v>3.1E-2</v>
      </c>
      <c r="K718">
        <v>0.24299999999999999</v>
      </c>
      <c r="L718" s="413">
        <f>K718*VLOOKUP(E718,GWPs!$B$3:$C$6,2,FALSE)</f>
        <v>0.24299999999999999</v>
      </c>
      <c r="N718">
        <v>3</v>
      </c>
      <c r="O718">
        <v>2</v>
      </c>
      <c r="P718">
        <v>1</v>
      </c>
      <c r="Q718">
        <v>3</v>
      </c>
      <c r="R718">
        <v>1</v>
      </c>
    </row>
    <row r="719" spans="1:18">
      <c r="A719" t="str">
        <f>_xlfn.IFNA(IF(VLOOKUP(C719,'2016_Detail_Commodity_v1.0'!C:C,1,FALSE)=C719,"No change"),"Name changed")</f>
        <v>No change</v>
      </c>
      <c r="B719" t="s">
        <v>667</v>
      </c>
      <c r="C719" t="s">
        <v>668</v>
      </c>
      <c r="E719" t="s">
        <v>3654</v>
      </c>
      <c r="F719" t="s">
        <v>12</v>
      </c>
      <c r="G719">
        <v>1E-3</v>
      </c>
      <c r="H719" s="413">
        <f>G719*VLOOKUP(E719,GWPs!$B$3:$C$6,2,FALSE)</f>
        <v>2.8000000000000001E-2</v>
      </c>
      <c r="I719">
        <v>0</v>
      </c>
      <c r="J719" s="413">
        <f>I719*VLOOKUP(E719,GWPs!$B$3:$C$6,2,FALSE)</f>
        <v>0</v>
      </c>
      <c r="K719">
        <v>1E-3</v>
      </c>
      <c r="L719" s="413">
        <f>K719*VLOOKUP(E719,GWPs!$B$3:$C$6,2,FALSE)</f>
        <v>2.8000000000000001E-2</v>
      </c>
      <c r="N719">
        <v>4</v>
      </c>
      <c r="O719">
        <v>2</v>
      </c>
      <c r="P719">
        <v>1</v>
      </c>
      <c r="Q719">
        <v>1</v>
      </c>
      <c r="R719">
        <v>1</v>
      </c>
    </row>
    <row r="720" spans="1:18">
      <c r="A720" t="str">
        <f>_xlfn.IFNA(IF(VLOOKUP(C720,'2016_Detail_Commodity_v1.0'!C:C,1,FALSE)=C720,"No change"),"Name changed")</f>
        <v>No change</v>
      </c>
      <c r="B720" t="s">
        <v>667</v>
      </c>
      <c r="C720" t="s">
        <v>668</v>
      </c>
      <c r="E720" t="s">
        <v>3655</v>
      </c>
      <c r="F720" t="s">
        <v>12</v>
      </c>
      <c r="G720">
        <v>0</v>
      </c>
      <c r="H720" s="413">
        <f>G720*VLOOKUP(E720,GWPs!$B$3:$C$6,2,FALSE)</f>
        <v>0</v>
      </c>
      <c r="I720">
        <v>0</v>
      </c>
      <c r="J720" s="413">
        <f>I720*VLOOKUP(E720,GWPs!$B$3:$C$6,2,FALSE)</f>
        <v>0</v>
      </c>
      <c r="K720">
        <v>0</v>
      </c>
      <c r="L720" s="413">
        <f>K720*VLOOKUP(E720,GWPs!$B$3:$C$6,2,FALSE)</f>
        <v>0</v>
      </c>
      <c r="N720">
        <v>3</v>
      </c>
      <c r="O720">
        <v>2</v>
      </c>
      <c r="P720">
        <v>1</v>
      </c>
      <c r="Q720">
        <v>3</v>
      </c>
      <c r="R720">
        <v>1</v>
      </c>
    </row>
    <row r="721" spans="1:18">
      <c r="A721" t="str">
        <f>_xlfn.IFNA(IF(VLOOKUP(C721,'2016_Detail_Commodity_v1.0'!C:C,1,FALSE)=C721,"No change"),"Name changed")</f>
        <v>No change</v>
      </c>
      <c r="B721" t="s">
        <v>667</v>
      </c>
      <c r="C721" t="s">
        <v>668</v>
      </c>
      <c r="E721" t="s">
        <v>15</v>
      </c>
      <c r="F721" t="s">
        <v>16</v>
      </c>
      <c r="G721">
        <v>6.0000000000000001E-3</v>
      </c>
      <c r="H721" s="413">
        <f>G721*VLOOKUP(E721,GWPs!$B$3:$C$6,2,FALSE)</f>
        <v>6.0000000000000001E-3</v>
      </c>
      <c r="I721">
        <v>0</v>
      </c>
      <c r="J721" s="413">
        <f>I721*VLOOKUP(E721,GWPs!$B$3:$C$6,2,FALSE)</f>
        <v>0</v>
      </c>
      <c r="K721">
        <v>6.0000000000000001E-3</v>
      </c>
      <c r="L721" s="413">
        <f>K721*VLOOKUP(E721,GWPs!$B$3:$C$6,2,FALSE)</f>
        <v>6.0000000000000001E-3</v>
      </c>
      <c r="N721">
        <v>3</v>
      </c>
      <c r="O721">
        <v>2</v>
      </c>
      <c r="P721">
        <v>1</v>
      </c>
      <c r="Q721">
        <v>2</v>
      </c>
      <c r="R721">
        <v>1</v>
      </c>
    </row>
    <row r="722" spans="1:18">
      <c r="A722" t="str">
        <f>_xlfn.IFNA(IF(VLOOKUP(C722,'2016_Detail_Commodity_v1.0'!C:C,1,FALSE)=C722,"No change"),"Name changed")</f>
        <v>No change</v>
      </c>
      <c r="B722" t="s">
        <v>669</v>
      </c>
      <c r="C722" t="s">
        <v>670</v>
      </c>
      <c r="E722" t="s">
        <v>3653</v>
      </c>
      <c r="F722" t="s">
        <v>12</v>
      </c>
      <c r="G722">
        <v>0.25800000000000001</v>
      </c>
      <c r="H722" s="413">
        <f>G722*VLOOKUP(E722,GWPs!$B$3:$C$6,2,FALSE)</f>
        <v>0.25800000000000001</v>
      </c>
      <c r="I722">
        <v>3.4000000000000002E-2</v>
      </c>
      <c r="J722" s="413">
        <f>I722*VLOOKUP(E722,GWPs!$B$3:$C$6,2,FALSE)</f>
        <v>3.4000000000000002E-2</v>
      </c>
      <c r="K722">
        <v>0.29199999999999998</v>
      </c>
      <c r="L722" s="413">
        <f>K722*VLOOKUP(E722,GWPs!$B$3:$C$6,2,FALSE)</f>
        <v>0.29199999999999998</v>
      </c>
      <c r="N722">
        <v>3</v>
      </c>
      <c r="O722">
        <v>2</v>
      </c>
      <c r="P722">
        <v>1</v>
      </c>
      <c r="Q722">
        <v>3</v>
      </c>
      <c r="R722">
        <v>1</v>
      </c>
    </row>
    <row r="723" spans="1:18">
      <c r="A723" t="str">
        <f>_xlfn.IFNA(IF(VLOOKUP(C723,'2016_Detail_Commodity_v1.0'!C:C,1,FALSE)=C723,"No change"),"Name changed")</f>
        <v>No change</v>
      </c>
      <c r="B723" t="s">
        <v>669</v>
      </c>
      <c r="C723" t="s">
        <v>670</v>
      </c>
      <c r="E723" t="s">
        <v>3654</v>
      </c>
      <c r="F723" t="s">
        <v>12</v>
      </c>
      <c r="G723">
        <v>1E-3</v>
      </c>
      <c r="H723" s="413">
        <f>G723*VLOOKUP(E723,GWPs!$B$3:$C$6,2,FALSE)</f>
        <v>2.8000000000000001E-2</v>
      </c>
      <c r="I723">
        <v>0</v>
      </c>
      <c r="J723" s="413">
        <f>I723*VLOOKUP(E723,GWPs!$B$3:$C$6,2,FALSE)</f>
        <v>0</v>
      </c>
      <c r="K723">
        <v>1E-3</v>
      </c>
      <c r="L723" s="413">
        <f>K723*VLOOKUP(E723,GWPs!$B$3:$C$6,2,FALSE)</f>
        <v>2.8000000000000001E-2</v>
      </c>
      <c r="N723">
        <v>4</v>
      </c>
      <c r="O723">
        <v>2</v>
      </c>
      <c r="P723">
        <v>1</v>
      </c>
      <c r="Q723">
        <v>1</v>
      </c>
      <c r="R723">
        <v>1</v>
      </c>
    </row>
    <row r="724" spans="1:18">
      <c r="A724" t="str">
        <f>_xlfn.IFNA(IF(VLOOKUP(C724,'2016_Detail_Commodity_v1.0'!C:C,1,FALSE)=C724,"No change"),"Name changed")</f>
        <v>No change</v>
      </c>
      <c r="B724" t="s">
        <v>669</v>
      </c>
      <c r="C724" t="s">
        <v>670</v>
      </c>
      <c r="E724" t="s">
        <v>3655</v>
      </c>
      <c r="F724" t="s">
        <v>12</v>
      </c>
      <c r="G724">
        <v>0</v>
      </c>
      <c r="H724" s="413">
        <f>G724*VLOOKUP(E724,GWPs!$B$3:$C$6,2,FALSE)</f>
        <v>0</v>
      </c>
      <c r="I724">
        <v>0</v>
      </c>
      <c r="J724" s="413">
        <f>I724*VLOOKUP(E724,GWPs!$B$3:$C$6,2,FALSE)</f>
        <v>0</v>
      </c>
      <c r="K724">
        <v>0</v>
      </c>
      <c r="L724" s="413">
        <f>K724*VLOOKUP(E724,GWPs!$B$3:$C$6,2,FALSE)</f>
        <v>0</v>
      </c>
      <c r="N724">
        <v>3</v>
      </c>
      <c r="O724">
        <v>2</v>
      </c>
      <c r="P724">
        <v>1</v>
      </c>
      <c r="Q724">
        <v>3</v>
      </c>
      <c r="R724">
        <v>1</v>
      </c>
    </row>
    <row r="725" spans="1:18">
      <c r="A725" t="str">
        <f>_xlfn.IFNA(IF(VLOOKUP(C725,'2016_Detail_Commodity_v1.0'!C:C,1,FALSE)=C725,"No change"),"Name changed")</f>
        <v>No change</v>
      </c>
      <c r="B725" t="s">
        <v>669</v>
      </c>
      <c r="C725" t="s">
        <v>670</v>
      </c>
      <c r="E725" t="s">
        <v>15</v>
      </c>
      <c r="F725" t="s">
        <v>16</v>
      </c>
      <c r="G725">
        <v>1.6E-2</v>
      </c>
      <c r="H725" s="413">
        <f>G725*VLOOKUP(E725,GWPs!$B$3:$C$6,2,FALSE)</f>
        <v>1.6E-2</v>
      </c>
      <c r="I725">
        <v>0</v>
      </c>
      <c r="J725" s="413">
        <f>I725*VLOOKUP(E725,GWPs!$B$3:$C$6,2,FALSE)</f>
        <v>0</v>
      </c>
      <c r="K725">
        <v>1.6E-2</v>
      </c>
      <c r="L725" s="413">
        <f>K725*VLOOKUP(E725,GWPs!$B$3:$C$6,2,FALSE)</f>
        <v>1.6E-2</v>
      </c>
      <c r="N725">
        <v>4</v>
      </c>
      <c r="O725">
        <v>2</v>
      </c>
      <c r="P725">
        <v>1</v>
      </c>
      <c r="Q725">
        <v>4</v>
      </c>
      <c r="R725">
        <v>1</v>
      </c>
    </row>
    <row r="726" spans="1:18">
      <c r="A726" t="str">
        <f>_xlfn.IFNA(IF(VLOOKUP(C726,'2016_Detail_Commodity_v1.0'!C:C,1,FALSE)=C726,"No change"),"Name changed")</f>
        <v>No change</v>
      </c>
      <c r="B726" t="s">
        <v>671</v>
      </c>
      <c r="C726" t="s">
        <v>672</v>
      </c>
      <c r="E726" t="s">
        <v>3653</v>
      </c>
      <c r="F726" t="s">
        <v>12</v>
      </c>
      <c r="G726">
        <v>0.184</v>
      </c>
      <c r="H726" s="413">
        <f>G726*VLOOKUP(E726,GWPs!$B$3:$C$6,2,FALSE)</f>
        <v>0.184</v>
      </c>
      <c r="I726">
        <v>2.8000000000000001E-2</v>
      </c>
      <c r="J726" s="413">
        <f>I726*VLOOKUP(E726,GWPs!$B$3:$C$6,2,FALSE)</f>
        <v>2.8000000000000001E-2</v>
      </c>
      <c r="K726">
        <v>0.21299999999999999</v>
      </c>
      <c r="L726" s="413">
        <f>K726*VLOOKUP(E726,GWPs!$B$3:$C$6,2,FALSE)</f>
        <v>0.21299999999999999</v>
      </c>
      <c r="N726">
        <v>3</v>
      </c>
      <c r="O726">
        <v>2</v>
      </c>
      <c r="P726">
        <v>1</v>
      </c>
      <c r="Q726">
        <v>3</v>
      </c>
      <c r="R726">
        <v>1</v>
      </c>
    </row>
    <row r="727" spans="1:18">
      <c r="A727" t="str">
        <f>_xlfn.IFNA(IF(VLOOKUP(C727,'2016_Detail_Commodity_v1.0'!C:C,1,FALSE)=C727,"No change"),"Name changed")</f>
        <v>No change</v>
      </c>
      <c r="B727" t="s">
        <v>671</v>
      </c>
      <c r="C727" t="s">
        <v>672</v>
      </c>
      <c r="E727" t="s">
        <v>3654</v>
      </c>
      <c r="F727" t="s">
        <v>12</v>
      </c>
      <c r="G727">
        <v>1E-3</v>
      </c>
      <c r="H727" s="413">
        <f>G727*VLOOKUP(E727,GWPs!$B$3:$C$6,2,FALSE)</f>
        <v>2.8000000000000001E-2</v>
      </c>
      <c r="I727">
        <v>0</v>
      </c>
      <c r="J727" s="413">
        <f>I727*VLOOKUP(E727,GWPs!$B$3:$C$6,2,FALSE)</f>
        <v>0</v>
      </c>
      <c r="K727">
        <v>1E-3</v>
      </c>
      <c r="L727" s="413">
        <f>K727*VLOOKUP(E727,GWPs!$B$3:$C$6,2,FALSE)</f>
        <v>2.8000000000000001E-2</v>
      </c>
      <c r="N727">
        <v>4</v>
      </c>
      <c r="O727">
        <v>2</v>
      </c>
      <c r="P727">
        <v>1</v>
      </c>
      <c r="Q727">
        <v>1</v>
      </c>
      <c r="R727">
        <v>1</v>
      </c>
    </row>
    <row r="728" spans="1:18">
      <c r="A728" t="str">
        <f>_xlfn.IFNA(IF(VLOOKUP(C728,'2016_Detail_Commodity_v1.0'!C:C,1,FALSE)=C728,"No change"),"Name changed")</f>
        <v>No change</v>
      </c>
      <c r="B728" t="s">
        <v>671</v>
      </c>
      <c r="C728" t="s">
        <v>672</v>
      </c>
      <c r="E728" t="s">
        <v>3655</v>
      </c>
      <c r="F728" t="s">
        <v>12</v>
      </c>
      <c r="G728">
        <v>0</v>
      </c>
      <c r="H728" s="413">
        <f>G728*VLOOKUP(E728,GWPs!$B$3:$C$6,2,FALSE)</f>
        <v>0</v>
      </c>
      <c r="I728">
        <v>0</v>
      </c>
      <c r="J728" s="413">
        <f>I728*VLOOKUP(E728,GWPs!$B$3:$C$6,2,FALSE)</f>
        <v>0</v>
      </c>
      <c r="K728">
        <v>0</v>
      </c>
      <c r="L728" s="413">
        <f>K728*VLOOKUP(E728,GWPs!$B$3:$C$6,2,FALSE)</f>
        <v>0</v>
      </c>
      <c r="N728">
        <v>3</v>
      </c>
      <c r="O728">
        <v>2</v>
      </c>
      <c r="P728">
        <v>1</v>
      </c>
      <c r="Q728">
        <v>3</v>
      </c>
      <c r="R728">
        <v>1</v>
      </c>
    </row>
    <row r="729" spans="1:18">
      <c r="A729" t="str">
        <f>_xlfn.IFNA(IF(VLOOKUP(C729,'2016_Detail_Commodity_v1.0'!C:C,1,FALSE)=C729,"No change"),"Name changed")</f>
        <v>No change</v>
      </c>
      <c r="B729" t="s">
        <v>671</v>
      </c>
      <c r="C729" t="s">
        <v>672</v>
      </c>
      <c r="E729" t="s">
        <v>15</v>
      </c>
      <c r="F729" t="s">
        <v>16</v>
      </c>
      <c r="G729">
        <v>8.0000000000000002E-3</v>
      </c>
      <c r="H729" s="413">
        <f>G729*VLOOKUP(E729,GWPs!$B$3:$C$6,2,FALSE)</f>
        <v>8.0000000000000002E-3</v>
      </c>
      <c r="I729">
        <v>0</v>
      </c>
      <c r="J729" s="413">
        <f>I729*VLOOKUP(E729,GWPs!$B$3:$C$6,2,FALSE)</f>
        <v>0</v>
      </c>
      <c r="K729">
        <v>8.0000000000000002E-3</v>
      </c>
      <c r="L729" s="413">
        <f>K729*VLOOKUP(E729,GWPs!$B$3:$C$6,2,FALSE)</f>
        <v>8.0000000000000002E-3</v>
      </c>
      <c r="N729">
        <v>3</v>
      </c>
      <c r="O729">
        <v>2</v>
      </c>
      <c r="P729">
        <v>1</v>
      </c>
      <c r="Q729">
        <v>2</v>
      </c>
      <c r="R729">
        <v>1</v>
      </c>
    </row>
    <row r="730" spans="1:18">
      <c r="A730" t="str">
        <f>_xlfn.IFNA(IF(VLOOKUP(C730,'2016_Detail_Commodity_v1.0'!C:C,1,FALSE)=C730,"No change"),"Name changed")</f>
        <v>No change</v>
      </c>
      <c r="B730" t="s">
        <v>673</v>
      </c>
      <c r="C730" t="s">
        <v>674</v>
      </c>
      <c r="E730" t="s">
        <v>3653</v>
      </c>
      <c r="F730" t="s">
        <v>12</v>
      </c>
      <c r="G730">
        <v>0.16400000000000001</v>
      </c>
      <c r="H730" s="413">
        <f>G730*VLOOKUP(E730,GWPs!$B$3:$C$6,2,FALSE)</f>
        <v>0.16400000000000001</v>
      </c>
      <c r="I730">
        <v>2.7E-2</v>
      </c>
      <c r="J730" s="413">
        <f>I730*VLOOKUP(E730,GWPs!$B$3:$C$6,2,FALSE)</f>
        <v>2.7E-2</v>
      </c>
      <c r="K730">
        <v>0.192</v>
      </c>
      <c r="L730" s="413">
        <f>K730*VLOOKUP(E730,GWPs!$B$3:$C$6,2,FALSE)</f>
        <v>0.192</v>
      </c>
      <c r="N730">
        <v>3</v>
      </c>
      <c r="O730">
        <v>2</v>
      </c>
      <c r="P730">
        <v>1</v>
      </c>
      <c r="Q730">
        <v>3</v>
      </c>
      <c r="R730">
        <v>1</v>
      </c>
    </row>
    <row r="731" spans="1:18">
      <c r="A731" t="str">
        <f>_xlfn.IFNA(IF(VLOOKUP(C731,'2016_Detail_Commodity_v1.0'!C:C,1,FALSE)=C731,"No change"),"Name changed")</f>
        <v>No change</v>
      </c>
      <c r="B731" t="s">
        <v>673</v>
      </c>
      <c r="C731" t="s">
        <v>674</v>
      </c>
      <c r="E731" t="s">
        <v>3654</v>
      </c>
      <c r="F731" t="s">
        <v>12</v>
      </c>
      <c r="G731">
        <v>1E-3</v>
      </c>
      <c r="H731" s="413">
        <f>G731*VLOOKUP(E731,GWPs!$B$3:$C$6,2,FALSE)</f>
        <v>2.8000000000000001E-2</v>
      </c>
      <c r="I731">
        <v>0</v>
      </c>
      <c r="J731" s="413">
        <f>I731*VLOOKUP(E731,GWPs!$B$3:$C$6,2,FALSE)</f>
        <v>0</v>
      </c>
      <c r="K731">
        <v>1E-3</v>
      </c>
      <c r="L731" s="413">
        <f>K731*VLOOKUP(E731,GWPs!$B$3:$C$6,2,FALSE)</f>
        <v>2.8000000000000001E-2</v>
      </c>
      <c r="N731">
        <v>4</v>
      </c>
      <c r="O731">
        <v>2</v>
      </c>
      <c r="P731">
        <v>1</v>
      </c>
      <c r="Q731">
        <v>1</v>
      </c>
      <c r="R731">
        <v>1</v>
      </c>
    </row>
    <row r="732" spans="1:18">
      <c r="A732" t="str">
        <f>_xlfn.IFNA(IF(VLOOKUP(C732,'2016_Detail_Commodity_v1.0'!C:C,1,FALSE)=C732,"No change"),"Name changed")</f>
        <v>No change</v>
      </c>
      <c r="B732" t="s">
        <v>673</v>
      </c>
      <c r="C732" t="s">
        <v>674</v>
      </c>
      <c r="E732" t="s">
        <v>3655</v>
      </c>
      <c r="F732" t="s">
        <v>12</v>
      </c>
      <c r="G732">
        <v>0</v>
      </c>
      <c r="H732" s="413">
        <f>G732*VLOOKUP(E732,GWPs!$B$3:$C$6,2,FALSE)</f>
        <v>0</v>
      </c>
      <c r="I732">
        <v>0</v>
      </c>
      <c r="J732" s="413">
        <f>I732*VLOOKUP(E732,GWPs!$B$3:$C$6,2,FALSE)</f>
        <v>0</v>
      </c>
      <c r="K732">
        <v>0</v>
      </c>
      <c r="L732" s="413">
        <f>K732*VLOOKUP(E732,GWPs!$B$3:$C$6,2,FALSE)</f>
        <v>0</v>
      </c>
      <c r="N732">
        <v>3</v>
      </c>
      <c r="O732">
        <v>2</v>
      </c>
      <c r="P732">
        <v>1</v>
      </c>
      <c r="Q732">
        <v>3</v>
      </c>
      <c r="R732">
        <v>1</v>
      </c>
    </row>
    <row r="733" spans="1:18">
      <c r="A733" t="str">
        <f>_xlfn.IFNA(IF(VLOOKUP(C733,'2016_Detail_Commodity_v1.0'!C:C,1,FALSE)=C733,"No change"),"Name changed")</f>
        <v>No change</v>
      </c>
      <c r="B733" t="s">
        <v>673</v>
      </c>
      <c r="C733" t="s">
        <v>674</v>
      </c>
      <c r="E733" t="s">
        <v>15</v>
      </c>
      <c r="F733" t="s">
        <v>16</v>
      </c>
      <c r="G733">
        <v>8.0000000000000002E-3</v>
      </c>
      <c r="H733" s="413">
        <f>G733*VLOOKUP(E733,GWPs!$B$3:$C$6,2,FALSE)</f>
        <v>8.0000000000000002E-3</v>
      </c>
      <c r="I733">
        <v>0</v>
      </c>
      <c r="J733" s="413">
        <f>I733*VLOOKUP(E733,GWPs!$B$3:$C$6,2,FALSE)</f>
        <v>0</v>
      </c>
      <c r="K733">
        <v>8.0000000000000002E-3</v>
      </c>
      <c r="L733" s="413">
        <f>K733*VLOOKUP(E733,GWPs!$B$3:$C$6,2,FALSE)</f>
        <v>8.0000000000000002E-3</v>
      </c>
      <c r="N733">
        <v>3</v>
      </c>
      <c r="O733">
        <v>2</v>
      </c>
      <c r="P733">
        <v>1</v>
      </c>
      <c r="Q733">
        <v>2</v>
      </c>
      <c r="R733">
        <v>1</v>
      </c>
    </row>
    <row r="734" spans="1:18">
      <c r="A734" t="str">
        <f>_xlfn.IFNA(IF(VLOOKUP(C734,'2016_Detail_Commodity_v1.0'!C:C,1,FALSE)=C734,"No change"),"Name changed")</f>
        <v>No change</v>
      </c>
      <c r="B734" t="s">
        <v>675</v>
      </c>
      <c r="C734" t="s">
        <v>676</v>
      </c>
      <c r="E734" t="s">
        <v>3653</v>
      </c>
      <c r="F734" t="s">
        <v>12</v>
      </c>
      <c r="G734">
        <v>0.23799999999999999</v>
      </c>
      <c r="H734" s="413">
        <f>G734*VLOOKUP(E734,GWPs!$B$3:$C$6,2,FALSE)</f>
        <v>0.23799999999999999</v>
      </c>
      <c r="I734">
        <v>2.8000000000000001E-2</v>
      </c>
      <c r="J734" s="413">
        <f>I734*VLOOKUP(E734,GWPs!$B$3:$C$6,2,FALSE)</f>
        <v>2.8000000000000001E-2</v>
      </c>
      <c r="K734">
        <v>0.26600000000000001</v>
      </c>
      <c r="L734" s="413">
        <f>K734*VLOOKUP(E734,GWPs!$B$3:$C$6,2,FALSE)</f>
        <v>0.26600000000000001</v>
      </c>
      <c r="N734">
        <v>3</v>
      </c>
      <c r="O734">
        <v>2</v>
      </c>
      <c r="P734">
        <v>1</v>
      </c>
      <c r="Q734">
        <v>3</v>
      </c>
      <c r="R734">
        <v>1</v>
      </c>
    </row>
    <row r="735" spans="1:18">
      <c r="A735" t="str">
        <f>_xlfn.IFNA(IF(VLOOKUP(C735,'2016_Detail_Commodity_v1.0'!C:C,1,FALSE)=C735,"No change"),"Name changed")</f>
        <v>No change</v>
      </c>
      <c r="B735" t="s">
        <v>675</v>
      </c>
      <c r="C735" t="s">
        <v>676</v>
      </c>
      <c r="E735" t="s">
        <v>3654</v>
      </c>
      <c r="F735" t="s">
        <v>12</v>
      </c>
      <c r="G735">
        <v>1E-3</v>
      </c>
      <c r="H735" s="413">
        <f>G735*VLOOKUP(E735,GWPs!$B$3:$C$6,2,FALSE)</f>
        <v>2.8000000000000001E-2</v>
      </c>
      <c r="I735">
        <v>0</v>
      </c>
      <c r="J735" s="413">
        <f>I735*VLOOKUP(E735,GWPs!$B$3:$C$6,2,FALSE)</f>
        <v>0</v>
      </c>
      <c r="K735">
        <v>1E-3</v>
      </c>
      <c r="L735" s="413">
        <f>K735*VLOOKUP(E735,GWPs!$B$3:$C$6,2,FALSE)</f>
        <v>2.8000000000000001E-2</v>
      </c>
      <c r="N735">
        <v>4</v>
      </c>
      <c r="O735">
        <v>2</v>
      </c>
      <c r="P735">
        <v>1</v>
      </c>
      <c r="Q735">
        <v>1</v>
      </c>
      <c r="R735">
        <v>1</v>
      </c>
    </row>
    <row r="736" spans="1:18">
      <c r="A736" t="str">
        <f>_xlfn.IFNA(IF(VLOOKUP(C736,'2016_Detail_Commodity_v1.0'!C:C,1,FALSE)=C736,"No change"),"Name changed")</f>
        <v>No change</v>
      </c>
      <c r="B736" t="s">
        <v>675</v>
      </c>
      <c r="C736" t="s">
        <v>676</v>
      </c>
      <c r="E736" t="s">
        <v>3655</v>
      </c>
      <c r="F736" t="s">
        <v>12</v>
      </c>
      <c r="G736">
        <v>0</v>
      </c>
      <c r="H736" s="413">
        <f>G736*VLOOKUP(E736,GWPs!$B$3:$C$6,2,FALSE)</f>
        <v>0</v>
      </c>
      <c r="I736">
        <v>0</v>
      </c>
      <c r="J736" s="413">
        <f>I736*VLOOKUP(E736,GWPs!$B$3:$C$6,2,FALSE)</f>
        <v>0</v>
      </c>
      <c r="K736">
        <v>0</v>
      </c>
      <c r="L736" s="413">
        <f>K736*VLOOKUP(E736,GWPs!$B$3:$C$6,2,FALSE)</f>
        <v>0</v>
      </c>
      <c r="N736">
        <v>3</v>
      </c>
      <c r="O736">
        <v>2</v>
      </c>
      <c r="P736">
        <v>1</v>
      </c>
      <c r="Q736">
        <v>3</v>
      </c>
      <c r="R736">
        <v>1</v>
      </c>
    </row>
    <row r="737" spans="1:18">
      <c r="A737" t="str">
        <f>_xlfn.IFNA(IF(VLOOKUP(C737,'2016_Detail_Commodity_v1.0'!C:C,1,FALSE)=C737,"No change"),"Name changed")</f>
        <v>No change</v>
      </c>
      <c r="B737" t="s">
        <v>675</v>
      </c>
      <c r="C737" t="s">
        <v>676</v>
      </c>
      <c r="E737" t="s">
        <v>15</v>
      </c>
      <c r="F737" t="s">
        <v>16</v>
      </c>
      <c r="G737">
        <v>7.0000000000000001E-3</v>
      </c>
      <c r="H737" s="413">
        <f>G737*VLOOKUP(E737,GWPs!$B$3:$C$6,2,FALSE)</f>
        <v>7.0000000000000001E-3</v>
      </c>
      <c r="I737">
        <v>0</v>
      </c>
      <c r="J737" s="413">
        <f>I737*VLOOKUP(E737,GWPs!$B$3:$C$6,2,FALSE)</f>
        <v>0</v>
      </c>
      <c r="K737">
        <v>7.0000000000000001E-3</v>
      </c>
      <c r="L737" s="413">
        <f>K737*VLOOKUP(E737,GWPs!$B$3:$C$6,2,FALSE)</f>
        <v>7.0000000000000001E-3</v>
      </c>
      <c r="N737">
        <v>3</v>
      </c>
      <c r="O737">
        <v>2</v>
      </c>
      <c r="P737">
        <v>1</v>
      </c>
      <c r="Q737">
        <v>3</v>
      </c>
      <c r="R737">
        <v>1</v>
      </c>
    </row>
    <row r="738" spans="1:18">
      <c r="A738" t="str">
        <f>_xlfn.IFNA(IF(VLOOKUP(C738,'2016_Detail_Commodity_v1.0'!C:C,1,FALSE)=C738,"No change"),"Name changed")</f>
        <v>No change</v>
      </c>
      <c r="B738" t="s">
        <v>677</v>
      </c>
      <c r="C738" t="s">
        <v>678</v>
      </c>
      <c r="E738" t="s">
        <v>3653</v>
      </c>
      <c r="F738" t="s">
        <v>12</v>
      </c>
      <c r="G738">
        <v>0.10100000000000001</v>
      </c>
      <c r="H738" s="413">
        <f>G738*VLOOKUP(E738,GWPs!$B$3:$C$6,2,FALSE)</f>
        <v>0.10100000000000001</v>
      </c>
      <c r="I738">
        <v>8.8999999999999996E-2</v>
      </c>
      <c r="J738" s="413">
        <f>I738*VLOOKUP(E738,GWPs!$B$3:$C$6,2,FALSE)</f>
        <v>8.8999999999999996E-2</v>
      </c>
      <c r="K738">
        <v>0.19</v>
      </c>
      <c r="L738" s="413">
        <f>K738*VLOOKUP(E738,GWPs!$B$3:$C$6,2,FALSE)</f>
        <v>0.19</v>
      </c>
      <c r="N738">
        <v>3</v>
      </c>
      <c r="O738">
        <v>2</v>
      </c>
      <c r="P738">
        <v>1</v>
      </c>
      <c r="Q738">
        <v>3</v>
      </c>
      <c r="R738">
        <v>1</v>
      </c>
    </row>
    <row r="739" spans="1:18">
      <c r="A739" t="str">
        <f>_xlfn.IFNA(IF(VLOOKUP(C739,'2016_Detail_Commodity_v1.0'!C:C,1,FALSE)=C739,"No change"),"Name changed")</f>
        <v>No change</v>
      </c>
      <c r="B739" t="s">
        <v>677</v>
      </c>
      <c r="C739" t="s">
        <v>678</v>
      </c>
      <c r="E739" t="s">
        <v>3654</v>
      </c>
      <c r="F739" t="s">
        <v>12</v>
      </c>
      <c r="G739">
        <v>0</v>
      </c>
      <c r="H739" s="413">
        <f>G739*VLOOKUP(E739,GWPs!$B$3:$C$6,2,FALSE)</f>
        <v>0</v>
      </c>
      <c r="I739">
        <v>0</v>
      </c>
      <c r="J739" s="413">
        <f>I739*VLOOKUP(E739,GWPs!$B$3:$C$6,2,FALSE)</f>
        <v>0</v>
      </c>
      <c r="K739">
        <v>1E-3</v>
      </c>
      <c r="L739" s="413">
        <f>K739*VLOOKUP(E739,GWPs!$B$3:$C$6,2,FALSE)</f>
        <v>2.8000000000000001E-2</v>
      </c>
      <c r="N739">
        <v>4</v>
      </c>
      <c r="O739">
        <v>2</v>
      </c>
      <c r="P739">
        <v>1</v>
      </c>
      <c r="Q739">
        <v>1</v>
      </c>
      <c r="R739">
        <v>1</v>
      </c>
    </row>
    <row r="740" spans="1:18">
      <c r="A740" t="str">
        <f>_xlfn.IFNA(IF(VLOOKUP(C740,'2016_Detail_Commodity_v1.0'!C:C,1,FALSE)=C740,"No change"),"Name changed")</f>
        <v>No change</v>
      </c>
      <c r="B740" t="s">
        <v>677</v>
      </c>
      <c r="C740" t="s">
        <v>678</v>
      </c>
      <c r="E740" t="s">
        <v>3655</v>
      </c>
      <c r="F740" t="s">
        <v>12</v>
      </c>
      <c r="G740">
        <v>0</v>
      </c>
      <c r="H740" s="413">
        <f>G740*VLOOKUP(E740,GWPs!$B$3:$C$6,2,FALSE)</f>
        <v>0</v>
      </c>
      <c r="I740">
        <v>0</v>
      </c>
      <c r="J740" s="413">
        <f>I740*VLOOKUP(E740,GWPs!$B$3:$C$6,2,FALSE)</f>
        <v>0</v>
      </c>
      <c r="K740">
        <v>0</v>
      </c>
      <c r="L740" s="413">
        <f>K740*VLOOKUP(E740,GWPs!$B$3:$C$6,2,FALSE)</f>
        <v>0</v>
      </c>
      <c r="N740">
        <v>3</v>
      </c>
      <c r="O740">
        <v>2</v>
      </c>
      <c r="P740">
        <v>1</v>
      </c>
      <c r="Q740">
        <v>3</v>
      </c>
      <c r="R740">
        <v>1</v>
      </c>
    </row>
    <row r="741" spans="1:18">
      <c r="A741" t="str">
        <f>_xlfn.IFNA(IF(VLOOKUP(C741,'2016_Detail_Commodity_v1.0'!C:C,1,FALSE)=C741,"No change"),"Name changed")</f>
        <v>No change</v>
      </c>
      <c r="B741" t="s">
        <v>677</v>
      </c>
      <c r="C741" t="s">
        <v>678</v>
      </c>
      <c r="E741" t="s">
        <v>15</v>
      </c>
      <c r="F741" t="s">
        <v>16</v>
      </c>
      <c r="G741">
        <v>6.0000000000000001E-3</v>
      </c>
      <c r="H741" s="413">
        <f>G741*VLOOKUP(E741,GWPs!$B$3:$C$6,2,FALSE)</f>
        <v>6.0000000000000001E-3</v>
      </c>
      <c r="I741">
        <v>0</v>
      </c>
      <c r="J741" s="413">
        <f>I741*VLOOKUP(E741,GWPs!$B$3:$C$6,2,FALSE)</f>
        <v>0</v>
      </c>
      <c r="K741">
        <v>6.0000000000000001E-3</v>
      </c>
      <c r="L741" s="413">
        <f>K741*VLOOKUP(E741,GWPs!$B$3:$C$6,2,FALSE)</f>
        <v>6.0000000000000001E-3</v>
      </c>
      <c r="N741">
        <v>3</v>
      </c>
      <c r="O741">
        <v>2</v>
      </c>
      <c r="P741">
        <v>1</v>
      </c>
      <c r="Q741">
        <v>2</v>
      </c>
      <c r="R741">
        <v>1</v>
      </c>
    </row>
    <row r="742" spans="1:18">
      <c r="A742" t="str">
        <f>_xlfn.IFNA(IF(VLOOKUP(C742,'2016_Detail_Commodity_v1.0'!C:C,1,FALSE)=C742,"No change"),"Name changed")</f>
        <v>No change</v>
      </c>
      <c r="B742" t="s">
        <v>679</v>
      </c>
      <c r="C742" t="s">
        <v>680</v>
      </c>
      <c r="E742" t="s">
        <v>3653</v>
      </c>
      <c r="F742" t="s">
        <v>12</v>
      </c>
      <c r="G742">
        <v>0.14199999999999999</v>
      </c>
      <c r="H742" s="413">
        <f>G742*VLOOKUP(E742,GWPs!$B$3:$C$6,2,FALSE)</f>
        <v>0.14199999999999999</v>
      </c>
      <c r="I742">
        <v>2.7E-2</v>
      </c>
      <c r="J742" s="413">
        <f>I742*VLOOKUP(E742,GWPs!$B$3:$C$6,2,FALSE)</f>
        <v>2.7E-2</v>
      </c>
      <c r="K742">
        <v>0.16900000000000001</v>
      </c>
      <c r="L742" s="413">
        <f>K742*VLOOKUP(E742,GWPs!$B$3:$C$6,2,FALSE)</f>
        <v>0.16900000000000001</v>
      </c>
      <c r="N742">
        <v>3</v>
      </c>
      <c r="O742">
        <v>2</v>
      </c>
      <c r="P742">
        <v>1</v>
      </c>
      <c r="Q742">
        <v>3</v>
      </c>
      <c r="R742">
        <v>1</v>
      </c>
    </row>
    <row r="743" spans="1:18">
      <c r="A743" t="str">
        <f>_xlfn.IFNA(IF(VLOOKUP(C743,'2016_Detail_Commodity_v1.0'!C:C,1,FALSE)=C743,"No change"),"Name changed")</f>
        <v>No change</v>
      </c>
      <c r="B743" t="s">
        <v>679</v>
      </c>
      <c r="C743" t="s">
        <v>680</v>
      </c>
      <c r="E743" t="s">
        <v>3654</v>
      </c>
      <c r="F743" t="s">
        <v>12</v>
      </c>
      <c r="G743">
        <v>1E-3</v>
      </c>
      <c r="H743" s="413">
        <f>G743*VLOOKUP(E743,GWPs!$B$3:$C$6,2,FALSE)</f>
        <v>2.8000000000000001E-2</v>
      </c>
      <c r="I743">
        <v>0</v>
      </c>
      <c r="J743" s="413">
        <f>I743*VLOOKUP(E743,GWPs!$B$3:$C$6,2,FALSE)</f>
        <v>0</v>
      </c>
      <c r="K743">
        <v>1E-3</v>
      </c>
      <c r="L743" s="413">
        <f>K743*VLOOKUP(E743,GWPs!$B$3:$C$6,2,FALSE)</f>
        <v>2.8000000000000001E-2</v>
      </c>
      <c r="N743">
        <v>4</v>
      </c>
      <c r="O743">
        <v>2</v>
      </c>
      <c r="P743">
        <v>1</v>
      </c>
      <c r="Q743">
        <v>1</v>
      </c>
      <c r="R743">
        <v>1</v>
      </c>
    </row>
    <row r="744" spans="1:18">
      <c r="A744" t="str">
        <f>_xlfn.IFNA(IF(VLOOKUP(C744,'2016_Detail_Commodity_v1.0'!C:C,1,FALSE)=C744,"No change"),"Name changed")</f>
        <v>No change</v>
      </c>
      <c r="B744" t="s">
        <v>679</v>
      </c>
      <c r="C744" t="s">
        <v>680</v>
      </c>
      <c r="E744" t="s">
        <v>3655</v>
      </c>
      <c r="F744" t="s">
        <v>12</v>
      </c>
      <c r="G744">
        <v>0</v>
      </c>
      <c r="H744" s="413">
        <f>G744*VLOOKUP(E744,GWPs!$B$3:$C$6,2,FALSE)</f>
        <v>0</v>
      </c>
      <c r="I744">
        <v>0</v>
      </c>
      <c r="J744" s="413">
        <f>I744*VLOOKUP(E744,GWPs!$B$3:$C$6,2,FALSE)</f>
        <v>0</v>
      </c>
      <c r="K744">
        <v>0</v>
      </c>
      <c r="L744" s="413">
        <f>K744*VLOOKUP(E744,GWPs!$B$3:$C$6,2,FALSE)</f>
        <v>0</v>
      </c>
      <c r="N744">
        <v>3</v>
      </c>
      <c r="O744">
        <v>2</v>
      </c>
      <c r="P744">
        <v>1</v>
      </c>
      <c r="Q744">
        <v>3</v>
      </c>
      <c r="R744">
        <v>1</v>
      </c>
    </row>
    <row r="745" spans="1:18">
      <c r="A745" t="str">
        <f>_xlfn.IFNA(IF(VLOOKUP(C745,'2016_Detail_Commodity_v1.0'!C:C,1,FALSE)=C745,"No change"),"Name changed")</f>
        <v>No change</v>
      </c>
      <c r="B745" t="s">
        <v>679</v>
      </c>
      <c r="C745" t="s">
        <v>680</v>
      </c>
      <c r="E745" t="s">
        <v>15</v>
      </c>
      <c r="F745" t="s">
        <v>16</v>
      </c>
      <c r="G745">
        <v>6.0000000000000001E-3</v>
      </c>
      <c r="H745" s="413">
        <f>G745*VLOOKUP(E745,GWPs!$B$3:$C$6,2,FALSE)</f>
        <v>6.0000000000000001E-3</v>
      </c>
      <c r="I745">
        <v>0</v>
      </c>
      <c r="J745" s="413">
        <f>I745*VLOOKUP(E745,GWPs!$B$3:$C$6,2,FALSE)</f>
        <v>0</v>
      </c>
      <c r="K745">
        <v>6.0000000000000001E-3</v>
      </c>
      <c r="L745" s="413">
        <f>K745*VLOOKUP(E745,GWPs!$B$3:$C$6,2,FALSE)</f>
        <v>6.0000000000000001E-3</v>
      </c>
      <c r="N745">
        <v>3</v>
      </c>
      <c r="O745">
        <v>2</v>
      </c>
      <c r="P745">
        <v>1</v>
      </c>
      <c r="Q745">
        <v>2</v>
      </c>
      <c r="R745">
        <v>1</v>
      </c>
    </row>
    <row r="746" spans="1:18">
      <c r="A746" t="str">
        <f>_xlfn.IFNA(IF(VLOOKUP(C746,'2016_Detail_Commodity_v1.0'!C:C,1,FALSE)=C746,"No change"),"Name changed")</f>
        <v>No change</v>
      </c>
      <c r="B746" t="s">
        <v>681</v>
      </c>
      <c r="C746" t="s">
        <v>682</v>
      </c>
      <c r="E746" t="s">
        <v>3653</v>
      </c>
      <c r="F746" t="s">
        <v>12</v>
      </c>
      <c r="G746">
        <v>0.18</v>
      </c>
      <c r="H746" s="413">
        <f>G746*VLOOKUP(E746,GWPs!$B$3:$C$6,2,FALSE)</f>
        <v>0.18</v>
      </c>
      <c r="I746">
        <v>2.9000000000000001E-2</v>
      </c>
      <c r="J746" s="413">
        <f>I746*VLOOKUP(E746,GWPs!$B$3:$C$6,2,FALSE)</f>
        <v>2.9000000000000001E-2</v>
      </c>
      <c r="K746">
        <v>0.20899999999999999</v>
      </c>
      <c r="L746" s="413">
        <f>K746*VLOOKUP(E746,GWPs!$B$3:$C$6,2,FALSE)</f>
        <v>0.20899999999999999</v>
      </c>
      <c r="N746">
        <v>3</v>
      </c>
      <c r="O746">
        <v>2</v>
      </c>
      <c r="P746">
        <v>1</v>
      </c>
      <c r="Q746">
        <v>3</v>
      </c>
      <c r="R746">
        <v>1</v>
      </c>
    </row>
    <row r="747" spans="1:18">
      <c r="A747" t="str">
        <f>_xlfn.IFNA(IF(VLOOKUP(C747,'2016_Detail_Commodity_v1.0'!C:C,1,FALSE)=C747,"No change"),"Name changed")</f>
        <v>No change</v>
      </c>
      <c r="B747" t="s">
        <v>681</v>
      </c>
      <c r="C747" t="s">
        <v>682</v>
      </c>
      <c r="E747" t="s">
        <v>3654</v>
      </c>
      <c r="F747" t="s">
        <v>12</v>
      </c>
      <c r="G747">
        <v>1E-3</v>
      </c>
      <c r="H747" s="413">
        <f>G747*VLOOKUP(E747,GWPs!$B$3:$C$6,2,FALSE)</f>
        <v>2.8000000000000001E-2</v>
      </c>
      <c r="I747">
        <v>0</v>
      </c>
      <c r="J747" s="413">
        <f>I747*VLOOKUP(E747,GWPs!$B$3:$C$6,2,FALSE)</f>
        <v>0</v>
      </c>
      <c r="K747">
        <v>1E-3</v>
      </c>
      <c r="L747" s="413">
        <f>K747*VLOOKUP(E747,GWPs!$B$3:$C$6,2,FALSE)</f>
        <v>2.8000000000000001E-2</v>
      </c>
      <c r="N747">
        <v>4</v>
      </c>
      <c r="O747">
        <v>2</v>
      </c>
      <c r="P747">
        <v>1</v>
      </c>
      <c r="Q747">
        <v>1</v>
      </c>
      <c r="R747">
        <v>1</v>
      </c>
    </row>
    <row r="748" spans="1:18">
      <c r="A748" t="str">
        <f>_xlfn.IFNA(IF(VLOOKUP(C748,'2016_Detail_Commodity_v1.0'!C:C,1,FALSE)=C748,"No change"),"Name changed")</f>
        <v>No change</v>
      </c>
      <c r="B748" t="s">
        <v>681</v>
      </c>
      <c r="C748" t="s">
        <v>682</v>
      </c>
      <c r="E748" t="s">
        <v>3655</v>
      </c>
      <c r="F748" t="s">
        <v>12</v>
      </c>
      <c r="G748">
        <v>0</v>
      </c>
      <c r="H748" s="413">
        <f>G748*VLOOKUP(E748,GWPs!$B$3:$C$6,2,FALSE)</f>
        <v>0</v>
      </c>
      <c r="I748">
        <v>0</v>
      </c>
      <c r="J748" s="413">
        <f>I748*VLOOKUP(E748,GWPs!$B$3:$C$6,2,FALSE)</f>
        <v>0</v>
      </c>
      <c r="K748">
        <v>0</v>
      </c>
      <c r="L748" s="413">
        <f>K748*VLOOKUP(E748,GWPs!$B$3:$C$6,2,FALSE)</f>
        <v>0</v>
      </c>
      <c r="N748">
        <v>3</v>
      </c>
      <c r="O748">
        <v>2</v>
      </c>
      <c r="P748">
        <v>1</v>
      </c>
      <c r="Q748">
        <v>3</v>
      </c>
      <c r="R748">
        <v>1</v>
      </c>
    </row>
    <row r="749" spans="1:18">
      <c r="A749" t="str">
        <f>_xlfn.IFNA(IF(VLOOKUP(C749,'2016_Detail_Commodity_v1.0'!C:C,1,FALSE)=C749,"No change"),"Name changed")</f>
        <v>No change</v>
      </c>
      <c r="B749" t="s">
        <v>681</v>
      </c>
      <c r="C749" t="s">
        <v>682</v>
      </c>
      <c r="E749" t="s">
        <v>15</v>
      </c>
      <c r="F749" t="s">
        <v>16</v>
      </c>
      <c r="G749">
        <v>6.0000000000000001E-3</v>
      </c>
      <c r="H749" s="413">
        <f>G749*VLOOKUP(E749,GWPs!$B$3:$C$6,2,FALSE)</f>
        <v>6.0000000000000001E-3</v>
      </c>
      <c r="I749">
        <v>0</v>
      </c>
      <c r="J749" s="413">
        <f>I749*VLOOKUP(E749,GWPs!$B$3:$C$6,2,FALSE)</f>
        <v>0</v>
      </c>
      <c r="K749">
        <v>6.0000000000000001E-3</v>
      </c>
      <c r="L749" s="413">
        <f>K749*VLOOKUP(E749,GWPs!$B$3:$C$6,2,FALSE)</f>
        <v>6.0000000000000001E-3</v>
      </c>
      <c r="N749">
        <v>3</v>
      </c>
      <c r="O749">
        <v>2</v>
      </c>
      <c r="P749">
        <v>1</v>
      </c>
      <c r="Q749">
        <v>2</v>
      </c>
      <c r="R749">
        <v>1</v>
      </c>
    </row>
    <row r="750" spans="1:18">
      <c r="A750" t="str">
        <f>_xlfn.IFNA(IF(VLOOKUP(C750,'2016_Detail_Commodity_v1.0'!C:C,1,FALSE)=C750,"No change"),"Name changed")</f>
        <v>No change</v>
      </c>
      <c r="B750" t="s">
        <v>683</v>
      </c>
      <c r="C750" t="s">
        <v>684</v>
      </c>
      <c r="E750" t="s">
        <v>3653</v>
      </c>
      <c r="F750" t="s">
        <v>12</v>
      </c>
      <c r="G750">
        <v>0.22</v>
      </c>
      <c r="H750" s="413">
        <f>G750*VLOOKUP(E750,GWPs!$B$3:$C$6,2,FALSE)</f>
        <v>0.22</v>
      </c>
      <c r="I750">
        <v>3.1E-2</v>
      </c>
      <c r="J750" s="413">
        <f>I750*VLOOKUP(E750,GWPs!$B$3:$C$6,2,FALSE)</f>
        <v>3.1E-2</v>
      </c>
      <c r="K750">
        <v>0.251</v>
      </c>
      <c r="L750" s="413">
        <f>K750*VLOOKUP(E750,GWPs!$B$3:$C$6,2,FALSE)</f>
        <v>0.251</v>
      </c>
      <c r="N750">
        <v>3</v>
      </c>
      <c r="O750">
        <v>2</v>
      </c>
      <c r="P750">
        <v>1</v>
      </c>
      <c r="Q750">
        <v>3</v>
      </c>
      <c r="R750">
        <v>1</v>
      </c>
    </row>
    <row r="751" spans="1:18">
      <c r="A751" t="str">
        <f>_xlfn.IFNA(IF(VLOOKUP(C751,'2016_Detail_Commodity_v1.0'!C:C,1,FALSE)=C751,"No change"),"Name changed")</f>
        <v>No change</v>
      </c>
      <c r="B751" t="s">
        <v>683</v>
      </c>
      <c r="C751" t="s">
        <v>684</v>
      </c>
      <c r="E751" t="s">
        <v>3654</v>
      </c>
      <c r="F751" t="s">
        <v>12</v>
      </c>
      <c r="G751">
        <v>1E-3</v>
      </c>
      <c r="H751" s="413">
        <f>G751*VLOOKUP(E751,GWPs!$B$3:$C$6,2,FALSE)</f>
        <v>2.8000000000000001E-2</v>
      </c>
      <c r="I751">
        <v>0</v>
      </c>
      <c r="J751" s="413">
        <f>I751*VLOOKUP(E751,GWPs!$B$3:$C$6,2,FALSE)</f>
        <v>0</v>
      </c>
      <c r="K751">
        <v>1E-3</v>
      </c>
      <c r="L751" s="413">
        <f>K751*VLOOKUP(E751,GWPs!$B$3:$C$6,2,FALSE)</f>
        <v>2.8000000000000001E-2</v>
      </c>
      <c r="N751">
        <v>4</v>
      </c>
      <c r="O751">
        <v>2</v>
      </c>
      <c r="P751">
        <v>1</v>
      </c>
      <c r="Q751">
        <v>1</v>
      </c>
      <c r="R751">
        <v>1</v>
      </c>
    </row>
    <row r="752" spans="1:18">
      <c r="A752" t="str">
        <f>_xlfn.IFNA(IF(VLOOKUP(C752,'2016_Detail_Commodity_v1.0'!C:C,1,FALSE)=C752,"No change"),"Name changed")</f>
        <v>No change</v>
      </c>
      <c r="B752" t="s">
        <v>683</v>
      </c>
      <c r="C752" t="s">
        <v>684</v>
      </c>
      <c r="E752" t="s">
        <v>3655</v>
      </c>
      <c r="F752" t="s">
        <v>12</v>
      </c>
      <c r="G752">
        <v>0</v>
      </c>
      <c r="H752" s="413">
        <f>G752*VLOOKUP(E752,GWPs!$B$3:$C$6,2,FALSE)</f>
        <v>0</v>
      </c>
      <c r="I752">
        <v>0</v>
      </c>
      <c r="J752" s="413">
        <f>I752*VLOOKUP(E752,GWPs!$B$3:$C$6,2,FALSE)</f>
        <v>0</v>
      </c>
      <c r="K752">
        <v>0</v>
      </c>
      <c r="L752" s="413">
        <f>K752*VLOOKUP(E752,GWPs!$B$3:$C$6,2,FALSE)</f>
        <v>0</v>
      </c>
      <c r="N752">
        <v>3</v>
      </c>
      <c r="O752">
        <v>2</v>
      </c>
      <c r="P752">
        <v>1</v>
      </c>
      <c r="Q752">
        <v>3</v>
      </c>
      <c r="R752">
        <v>1</v>
      </c>
    </row>
    <row r="753" spans="1:18">
      <c r="A753" t="str">
        <f>_xlfn.IFNA(IF(VLOOKUP(C753,'2016_Detail_Commodity_v1.0'!C:C,1,FALSE)=C753,"No change"),"Name changed")</f>
        <v>No change</v>
      </c>
      <c r="B753" t="s">
        <v>683</v>
      </c>
      <c r="C753" t="s">
        <v>684</v>
      </c>
      <c r="E753" t="s">
        <v>15</v>
      </c>
      <c r="F753" t="s">
        <v>16</v>
      </c>
      <c r="G753">
        <v>6.0000000000000001E-3</v>
      </c>
      <c r="H753" s="413">
        <f>G753*VLOOKUP(E753,GWPs!$B$3:$C$6,2,FALSE)</f>
        <v>6.0000000000000001E-3</v>
      </c>
      <c r="I753">
        <v>0</v>
      </c>
      <c r="J753" s="413">
        <f>I753*VLOOKUP(E753,GWPs!$B$3:$C$6,2,FALSE)</f>
        <v>0</v>
      </c>
      <c r="K753">
        <v>6.0000000000000001E-3</v>
      </c>
      <c r="L753" s="413">
        <f>K753*VLOOKUP(E753,GWPs!$B$3:$C$6,2,FALSE)</f>
        <v>6.0000000000000001E-3</v>
      </c>
      <c r="N753">
        <v>3</v>
      </c>
      <c r="O753">
        <v>2</v>
      </c>
      <c r="P753">
        <v>1</v>
      </c>
      <c r="Q753">
        <v>3</v>
      </c>
      <c r="R753">
        <v>1</v>
      </c>
    </row>
    <row r="754" spans="1:18">
      <c r="A754" t="str">
        <f>_xlfn.IFNA(IF(VLOOKUP(C754,'2016_Detail_Commodity_v1.0'!C:C,1,FALSE)=C754,"No change"),"Name changed")</f>
        <v>No change</v>
      </c>
      <c r="B754" t="s">
        <v>685</v>
      </c>
      <c r="C754" t="s">
        <v>686</v>
      </c>
      <c r="E754" t="s">
        <v>3653</v>
      </c>
      <c r="F754" t="s">
        <v>12</v>
      </c>
      <c r="G754">
        <v>0.217</v>
      </c>
      <c r="H754" s="413">
        <f>G754*VLOOKUP(E754,GWPs!$B$3:$C$6,2,FALSE)</f>
        <v>0.217</v>
      </c>
      <c r="I754">
        <v>0.03</v>
      </c>
      <c r="J754" s="413">
        <f>I754*VLOOKUP(E754,GWPs!$B$3:$C$6,2,FALSE)</f>
        <v>0.03</v>
      </c>
      <c r="K754">
        <v>0.247</v>
      </c>
      <c r="L754" s="413">
        <f>K754*VLOOKUP(E754,GWPs!$B$3:$C$6,2,FALSE)</f>
        <v>0.247</v>
      </c>
      <c r="N754">
        <v>3</v>
      </c>
      <c r="O754">
        <v>2</v>
      </c>
      <c r="P754">
        <v>1</v>
      </c>
      <c r="Q754">
        <v>3</v>
      </c>
      <c r="R754">
        <v>1</v>
      </c>
    </row>
    <row r="755" spans="1:18">
      <c r="A755" t="str">
        <f>_xlfn.IFNA(IF(VLOOKUP(C755,'2016_Detail_Commodity_v1.0'!C:C,1,FALSE)=C755,"No change"),"Name changed")</f>
        <v>No change</v>
      </c>
      <c r="B755" t="s">
        <v>685</v>
      </c>
      <c r="C755" t="s">
        <v>686</v>
      </c>
      <c r="E755" t="s">
        <v>3654</v>
      </c>
      <c r="F755" t="s">
        <v>12</v>
      </c>
      <c r="G755">
        <v>1E-3</v>
      </c>
      <c r="H755" s="413">
        <f>G755*VLOOKUP(E755,GWPs!$B$3:$C$6,2,FALSE)</f>
        <v>2.8000000000000001E-2</v>
      </c>
      <c r="I755">
        <v>0</v>
      </c>
      <c r="J755" s="413">
        <f>I755*VLOOKUP(E755,GWPs!$B$3:$C$6,2,FALSE)</f>
        <v>0</v>
      </c>
      <c r="K755">
        <v>1E-3</v>
      </c>
      <c r="L755" s="413">
        <f>K755*VLOOKUP(E755,GWPs!$B$3:$C$6,2,FALSE)</f>
        <v>2.8000000000000001E-2</v>
      </c>
      <c r="N755">
        <v>4</v>
      </c>
      <c r="O755">
        <v>2</v>
      </c>
      <c r="P755">
        <v>1</v>
      </c>
      <c r="Q755">
        <v>1</v>
      </c>
      <c r="R755">
        <v>1</v>
      </c>
    </row>
    <row r="756" spans="1:18">
      <c r="A756" t="str">
        <f>_xlfn.IFNA(IF(VLOOKUP(C756,'2016_Detail_Commodity_v1.0'!C:C,1,FALSE)=C756,"No change"),"Name changed")</f>
        <v>No change</v>
      </c>
      <c r="B756" t="s">
        <v>685</v>
      </c>
      <c r="C756" t="s">
        <v>686</v>
      </c>
      <c r="E756" t="s">
        <v>3655</v>
      </c>
      <c r="F756" t="s">
        <v>12</v>
      </c>
      <c r="G756">
        <v>0</v>
      </c>
      <c r="H756" s="413">
        <f>G756*VLOOKUP(E756,GWPs!$B$3:$C$6,2,FALSE)</f>
        <v>0</v>
      </c>
      <c r="I756">
        <v>0</v>
      </c>
      <c r="J756" s="413">
        <f>I756*VLOOKUP(E756,GWPs!$B$3:$C$6,2,FALSE)</f>
        <v>0</v>
      </c>
      <c r="K756">
        <v>0</v>
      </c>
      <c r="L756" s="413">
        <f>K756*VLOOKUP(E756,GWPs!$B$3:$C$6,2,FALSE)</f>
        <v>0</v>
      </c>
      <c r="N756">
        <v>3</v>
      </c>
      <c r="O756">
        <v>2</v>
      </c>
      <c r="P756">
        <v>1</v>
      </c>
      <c r="Q756">
        <v>3</v>
      </c>
      <c r="R756">
        <v>1</v>
      </c>
    </row>
    <row r="757" spans="1:18">
      <c r="A757" t="str">
        <f>_xlfn.IFNA(IF(VLOOKUP(C757,'2016_Detail_Commodity_v1.0'!C:C,1,FALSE)=C757,"No change"),"Name changed")</f>
        <v>No change</v>
      </c>
      <c r="B757" t="s">
        <v>685</v>
      </c>
      <c r="C757" t="s">
        <v>686</v>
      </c>
      <c r="E757" t="s">
        <v>15</v>
      </c>
      <c r="F757" t="s">
        <v>16</v>
      </c>
      <c r="G757">
        <v>7.0000000000000001E-3</v>
      </c>
      <c r="H757" s="413">
        <f>G757*VLOOKUP(E757,GWPs!$B$3:$C$6,2,FALSE)</f>
        <v>7.0000000000000001E-3</v>
      </c>
      <c r="I757">
        <v>0</v>
      </c>
      <c r="J757" s="413">
        <f>I757*VLOOKUP(E757,GWPs!$B$3:$C$6,2,FALSE)</f>
        <v>0</v>
      </c>
      <c r="K757">
        <v>7.0000000000000001E-3</v>
      </c>
      <c r="L757" s="413">
        <f>K757*VLOOKUP(E757,GWPs!$B$3:$C$6,2,FALSE)</f>
        <v>7.0000000000000001E-3</v>
      </c>
      <c r="N757">
        <v>3</v>
      </c>
      <c r="O757">
        <v>2</v>
      </c>
      <c r="P757">
        <v>1</v>
      </c>
      <c r="Q757">
        <v>2</v>
      </c>
      <c r="R757">
        <v>1</v>
      </c>
    </row>
    <row r="758" spans="1:18">
      <c r="A758" t="str">
        <f>_xlfn.IFNA(IF(VLOOKUP(C758,'2016_Detail_Commodity_v1.0'!C:C,1,FALSE)=C758,"No change"),"Name changed")</f>
        <v>No change</v>
      </c>
      <c r="B758" t="s">
        <v>687</v>
      </c>
      <c r="C758" t="s">
        <v>688</v>
      </c>
      <c r="E758" t="s">
        <v>3653</v>
      </c>
      <c r="F758" t="s">
        <v>12</v>
      </c>
      <c r="G758">
        <v>3.5999999999999997E-2</v>
      </c>
      <c r="H758" s="413">
        <f>G758*VLOOKUP(E758,GWPs!$B$3:$C$6,2,FALSE)</f>
        <v>3.5999999999999997E-2</v>
      </c>
      <c r="I758">
        <v>6.6000000000000003E-2</v>
      </c>
      <c r="J758" s="413">
        <f>I758*VLOOKUP(E758,GWPs!$B$3:$C$6,2,FALSE)</f>
        <v>6.6000000000000003E-2</v>
      </c>
      <c r="K758">
        <v>0.10199999999999999</v>
      </c>
      <c r="L758" s="413">
        <f>K758*VLOOKUP(E758,GWPs!$B$3:$C$6,2,FALSE)</f>
        <v>0.10199999999999999</v>
      </c>
      <c r="N758">
        <v>3</v>
      </c>
      <c r="O758">
        <v>2</v>
      </c>
      <c r="P758">
        <v>1</v>
      </c>
      <c r="Q758">
        <v>3</v>
      </c>
      <c r="R758">
        <v>1</v>
      </c>
    </row>
    <row r="759" spans="1:18">
      <c r="A759" t="str">
        <f>_xlfn.IFNA(IF(VLOOKUP(C759,'2016_Detail_Commodity_v1.0'!C:C,1,FALSE)=C759,"No change"),"Name changed")</f>
        <v>No change</v>
      </c>
      <c r="B759" t="s">
        <v>687</v>
      </c>
      <c r="C759" t="s">
        <v>688</v>
      </c>
      <c r="E759" t="s">
        <v>3654</v>
      </c>
      <c r="F759" t="s">
        <v>12</v>
      </c>
      <c r="G759">
        <v>0</v>
      </c>
      <c r="H759" s="413">
        <f>G759*VLOOKUP(E759,GWPs!$B$3:$C$6,2,FALSE)</f>
        <v>0</v>
      </c>
      <c r="I759">
        <v>0</v>
      </c>
      <c r="J759" s="413">
        <f>I759*VLOOKUP(E759,GWPs!$B$3:$C$6,2,FALSE)</f>
        <v>0</v>
      </c>
      <c r="K759">
        <v>0</v>
      </c>
      <c r="L759" s="413">
        <f>K759*VLOOKUP(E759,GWPs!$B$3:$C$6,2,FALSE)</f>
        <v>0</v>
      </c>
      <c r="N759">
        <v>3</v>
      </c>
      <c r="O759">
        <v>2</v>
      </c>
      <c r="P759">
        <v>1</v>
      </c>
      <c r="Q759">
        <v>1</v>
      </c>
      <c r="R759">
        <v>1</v>
      </c>
    </row>
    <row r="760" spans="1:18">
      <c r="A760" t="str">
        <f>_xlfn.IFNA(IF(VLOOKUP(C760,'2016_Detail_Commodity_v1.0'!C:C,1,FALSE)=C760,"No change"),"Name changed")</f>
        <v>No change</v>
      </c>
      <c r="B760" t="s">
        <v>687</v>
      </c>
      <c r="C760" t="s">
        <v>688</v>
      </c>
      <c r="E760" t="s">
        <v>3655</v>
      </c>
      <c r="F760" t="s">
        <v>12</v>
      </c>
      <c r="G760">
        <v>0</v>
      </c>
      <c r="H760" s="413">
        <f>G760*VLOOKUP(E760,GWPs!$B$3:$C$6,2,FALSE)</f>
        <v>0</v>
      </c>
      <c r="I760">
        <v>0</v>
      </c>
      <c r="J760" s="413">
        <f>I760*VLOOKUP(E760,GWPs!$B$3:$C$6,2,FALSE)</f>
        <v>0</v>
      </c>
      <c r="K760">
        <v>0</v>
      </c>
      <c r="L760" s="413">
        <f>K760*VLOOKUP(E760,GWPs!$B$3:$C$6,2,FALSE)</f>
        <v>0</v>
      </c>
      <c r="N760">
        <v>3</v>
      </c>
      <c r="O760">
        <v>2</v>
      </c>
      <c r="P760">
        <v>1</v>
      </c>
      <c r="Q760">
        <v>2</v>
      </c>
      <c r="R760">
        <v>1</v>
      </c>
    </row>
    <row r="761" spans="1:18">
      <c r="A761" t="str">
        <f>_xlfn.IFNA(IF(VLOOKUP(C761,'2016_Detail_Commodity_v1.0'!C:C,1,FALSE)=C761,"No change"),"Name changed")</f>
        <v>No change</v>
      </c>
      <c r="B761" t="s">
        <v>687</v>
      </c>
      <c r="C761" t="s">
        <v>688</v>
      </c>
      <c r="E761" t="s">
        <v>15</v>
      </c>
      <c r="F761" t="s">
        <v>16</v>
      </c>
      <c r="G761">
        <v>7.0000000000000001E-3</v>
      </c>
      <c r="H761" s="413">
        <f>G761*VLOOKUP(E761,GWPs!$B$3:$C$6,2,FALSE)</f>
        <v>7.0000000000000001E-3</v>
      </c>
      <c r="I761">
        <v>0</v>
      </c>
      <c r="J761" s="413">
        <f>I761*VLOOKUP(E761,GWPs!$B$3:$C$6,2,FALSE)</f>
        <v>0</v>
      </c>
      <c r="K761">
        <v>7.0000000000000001E-3</v>
      </c>
      <c r="L761" s="413">
        <f>K761*VLOOKUP(E761,GWPs!$B$3:$C$6,2,FALSE)</f>
        <v>7.0000000000000001E-3</v>
      </c>
      <c r="N761">
        <v>2</v>
      </c>
      <c r="O761">
        <v>2</v>
      </c>
      <c r="P761">
        <v>1</v>
      </c>
      <c r="Q761">
        <v>1</v>
      </c>
      <c r="R761">
        <v>1</v>
      </c>
    </row>
    <row r="762" spans="1:18">
      <c r="A762" t="str">
        <f>_xlfn.IFNA(IF(VLOOKUP(C762,'2016_Detail_Commodity_v1.0'!C:C,1,FALSE)=C762,"No change"),"Name changed")</f>
        <v>No change</v>
      </c>
      <c r="B762" t="s">
        <v>689</v>
      </c>
      <c r="C762" t="s">
        <v>690</v>
      </c>
      <c r="E762" t="s">
        <v>3653</v>
      </c>
      <c r="F762" t="s">
        <v>12</v>
      </c>
      <c r="G762">
        <v>7.5999999999999998E-2</v>
      </c>
      <c r="H762" s="413">
        <f>G762*VLOOKUP(E762,GWPs!$B$3:$C$6,2,FALSE)</f>
        <v>7.5999999999999998E-2</v>
      </c>
      <c r="I762">
        <v>5.8000000000000003E-2</v>
      </c>
      <c r="J762" s="413">
        <f>I762*VLOOKUP(E762,GWPs!$B$3:$C$6,2,FALSE)</f>
        <v>5.8000000000000003E-2</v>
      </c>
      <c r="K762">
        <v>0.13400000000000001</v>
      </c>
      <c r="L762" s="413">
        <f>K762*VLOOKUP(E762,GWPs!$B$3:$C$6,2,FALSE)</f>
        <v>0.13400000000000001</v>
      </c>
      <c r="N762">
        <v>3</v>
      </c>
      <c r="O762">
        <v>2</v>
      </c>
      <c r="P762">
        <v>1</v>
      </c>
      <c r="Q762">
        <v>3</v>
      </c>
      <c r="R762">
        <v>1</v>
      </c>
    </row>
    <row r="763" spans="1:18">
      <c r="A763" t="str">
        <f>_xlfn.IFNA(IF(VLOOKUP(C763,'2016_Detail_Commodity_v1.0'!C:C,1,FALSE)=C763,"No change"),"Name changed")</f>
        <v>No change</v>
      </c>
      <c r="B763" t="s">
        <v>689</v>
      </c>
      <c r="C763" t="s">
        <v>690</v>
      </c>
      <c r="E763" t="s">
        <v>3654</v>
      </c>
      <c r="F763" t="s">
        <v>12</v>
      </c>
      <c r="G763">
        <v>0</v>
      </c>
      <c r="H763" s="413">
        <f>G763*VLOOKUP(E763,GWPs!$B$3:$C$6,2,FALSE)</f>
        <v>0</v>
      </c>
      <c r="I763">
        <v>0</v>
      </c>
      <c r="J763" s="413">
        <f>I763*VLOOKUP(E763,GWPs!$B$3:$C$6,2,FALSE)</f>
        <v>0</v>
      </c>
      <c r="K763">
        <v>1E-3</v>
      </c>
      <c r="L763" s="413">
        <f>K763*VLOOKUP(E763,GWPs!$B$3:$C$6,2,FALSE)</f>
        <v>2.8000000000000001E-2</v>
      </c>
      <c r="N763">
        <v>3</v>
      </c>
      <c r="O763">
        <v>2</v>
      </c>
      <c r="P763">
        <v>1</v>
      </c>
      <c r="Q763">
        <v>1</v>
      </c>
      <c r="R763">
        <v>1</v>
      </c>
    </row>
    <row r="764" spans="1:18">
      <c r="A764" t="str">
        <f>_xlfn.IFNA(IF(VLOOKUP(C764,'2016_Detail_Commodity_v1.0'!C:C,1,FALSE)=C764,"No change"),"Name changed")</f>
        <v>No change</v>
      </c>
      <c r="B764" t="s">
        <v>689</v>
      </c>
      <c r="C764" t="s">
        <v>690</v>
      </c>
      <c r="E764" t="s">
        <v>3655</v>
      </c>
      <c r="F764" t="s">
        <v>12</v>
      </c>
      <c r="G764">
        <v>0</v>
      </c>
      <c r="H764" s="413">
        <f>G764*VLOOKUP(E764,GWPs!$B$3:$C$6,2,FALSE)</f>
        <v>0</v>
      </c>
      <c r="I764">
        <v>0</v>
      </c>
      <c r="J764" s="413">
        <f>I764*VLOOKUP(E764,GWPs!$B$3:$C$6,2,FALSE)</f>
        <v>0</v>
      </c>
      <c r="K764">
        <v>0</v>
      </c>
      <c r="L764" s="413">
        <f>K764*VLOOKUP(E764,GWPs!$B$3:$C$6,2,FALSE)</f>
        <v>0</v>
      </c>
      <c r="N764">
        <v>3</v>
      </c>
      <c r="O764">
        <v>2</v>
      </c>
      <c r="P764">
        <v>1</v>
      </c>
      <c r="Q764">
        <v>2</v>
      </c>
      <c r="R764">
        <v>1</v>
      </c>
    </row>
    <row r="765" spans="1:18">
      <c r="A765" t="str">
        <f>_xlfn.IFNA(IF(VLOOKUP(C765,'2016_Detail_Commodity_v1.0'!C:C,1,FALSE)=C765,"No change"),"Name changed")</f>
        <v>No change</v>
      </c>
      <c r="B765" t="s">
        <v>689</v>
      </c>
      <c r="C765" t="s">
        <v>690</v>
      </c>
      <c r="E765" t="s">
        <v>15</v>
      </c>
      <c r="F765" t="s">
        <v>16</v>
      </c>
      <c r="G765">
        <v>7.0000000000000001E-3</v>
      </c>
      <c r="H765" s="413">
        <f>G765*VLOOKUP(E765,GWPs!$B$3:$C$6,2,FALSE)</f>
        <v>7.0000000000000001E-3</v>
      </c>
      <c r="I765">
        <v>0</v>
      </c>
      <c r="J765" s="413">
        <f>I765*VLOOKUP(E765,GWPs!$B$3:$C$6,2,FALSE)</f>
        <v>0</v>
      </c>
      <c r="K765">
        <v>7.0000000000000001E-3</v>
      </c>
      <c r="L765" s="413">
        <f>K765*VLOOKUP(E765,GWPs!$B$3:$C$6,2,FALSE)</f>
        <v>7.0000000000000001E-3</v>
      </c>
      <c r="N765">
        <v>2</v>
      </c>
      <c r="O765">
        <v>2</v>
      </c>
      <c r="P765">
        <v>1</v>
      </c>
      <c r="Q765">
        <v>2</v>
      </c>
      <c r="R765">
        <v>1</v>
      </c>
    </row>
    <row r="766" spans="1:18">
      <c r="A766" t="str">
        <f>_xlfn.IFNA(IF(VLOOKUP(C766,'2016_Detail_Commodity_v1.0'!C:C,1,FALSE)=C766,"No change"),"Name changed")</f>
        <v>No change</v>
      </c>
      <c r="B766" t="s">
        <v>691</v>
      </c>
      <c r="C766" t="s">
        <v>692</v>
      </c>
      <c r="E766" t="s">
        <v>3653</v>
      </c>
      <c r="F766" t="s">
        <v>12</v>
      </c>
      <c r="G766">
        <v>0.11700000000000001</v>
      </c>
      <c r="H766" s="413">
        <f>G766*VLOOKUP(E766,GWPs!$B$3:$C$6,2,FALSE)</f>
        <v>0.11700000000000001</v>
      </c>
      <c r="I766">
        <v>0.05</v>
      </c>
      <c r="J766" s="413">
        <f>I766*VLOOKUP(E766,GWPs!$B$3:$C$6,2,FALSE)</f>
        <v>0.05</v>
      </c>
      <c r="K766">
        <v>0.16700000000000001</v>
      </c>
      <c r="L766" s="413">
        <f>K766*VLOOKUP(E766,GWPs!$B$3:$C$6,2,FALSE)</f>
        <v>0.16700000000000001</v>
      </c>
      <c r="N766">
        <v>3</v>
      </c>
      <c r="O766">
        <v>2</v>
      </c>
      <c r="P766">
        <v>1</v>
      </c>
      <c r="Q766">
        <v>3</v>
      </c>
      <c r="R766">
        <v>1</v>
      </c>
    </row>
    <row r="767" spans="1:18">
      <c r="A767" t="str">
        <f>_xlfn.IFNA(IF(VLOOKUP(C767,'2016_Detail_Commodity_v1.0'!C:C,1,FALSE)=C767,"No change"),"Name changed")</f>
        <v>No change</v>
      </c>
      <c r="B767" t="s">
        <v>691</v>
      </c>
      <c r="C767" t="s">
        <v>692</v>
      </c>
      <c r="E767" t="s">
        <v>3654</v>
      </c>
      <c r="F767" t="s">
        <v>12</v>
      </c>
      <c r="G767">
        <v>0</v>
      </c>
      <c r="H767" s="413">
        <f>G767*VLOOKUP(E767,GWPs!$B$3:$C$6,2,FALSE)</f>
        <v>0</v>
      </c>
      <c r="I767">
        <v>0</v>
      </c>
      <c r="J767" s="413">
        <f>I767*VLOOKUP(E767,GWPs!$B$3:$C$6,2,FALSE)</f>
        <v>0</v>
      </c>
      <c r="K767">
        <v>1E-3</v>
      </c>
      <c r="L767" s="413">
        <f>K767*VLOOKUP(E767,GWPs!$B$3:$C$6,2,FALSE)</f>
        <v>2.8000000000000001E-2</v>
      </c>
      <c r="N767">
        <v>4</v>
      </c>
      <c r="O767">
        <v>2</v>
      </c>
      <c r="P767">
        <v>1</v>
      </c>
      <c r="Q767">
        <v>1</v>
      </c>
      <c r="R767">
        <v>1</v>
      </c>
    </row>
    <row r="768" spans="1:18">
      <c r="A768" t="str">
        <f>_xlfn.IFNA(IF(VLOOKUP(C768,'2016_Detail_Commodity_v1.0'!C:C,1,FALSE)=C768,"No change"),"Name changed")</f>
        <v>No change</v>
      </c>
      <c r="B768" t="s">
        <v>691</v>
      </c>
      <c r="C768" t="s">
        <v>692</v>
      </c>
      <c r="E768" t="s">
        <v>3655</v>
      </c>
      <c r="F768" t="s">
        <v>12</v>
      </c>
      <c r="G768">
        <v>0</v>
      </c>
      <c r="H768" s="413">
        <f>G768*VLOOKUP(E768,GWPs!$B$3:$C$6,2,FALSE)</f>
        <v>0</v>
      </c>
      <c r="I768">
        <v>0</v>
      </c>
      <c r="J768" s="413">
        <f>I768*VLOOKUP(E768,GWPs!$B$3:$C$6,2,FALSE)</f>
        <v>0</v>
      </c>
      <c r="K768">
        <v>0</v>
      </c>
      <c r="L768" s="413">
        <f>K768*VLOOKUP(E768,GWPs!$B$3:$C$6,2,FALSE)</f>
        <v>0</v>
      </c>
      <c r="N768">
        <v>3</v>
      </c>
      <c r="O768">
        <v>2</v>
      </c>
      <c r="P768">
        <v>1</v>
      </c>
      <c r="Q768">
        <v>3</v>
      </c>
      <c r="R768">
        <v>1</v>
      </c>
    </row>
    <row r="769" spans="1:18">
      <c r="A769" t="str">
        <f>_xlfn.IFNA(IF(VLOOKUP(C769,'2016_Detail_Commodity_v1.0'!C:C,1,FALSE)=C769,"No change"),"Name changed")</f>
        <v>No change</v>
      </c>
      <c r="B769" t="s">
        <v>691</v>
      </c>
      <c r="C769" t="s">
        <v>692</v>
      </c>
      <c r="E769" t="s">
        <v>15</v>
      </c>
      <c r="F769" t="s">
        <v>16</v>
      </c>
      <c r="G769">
        <v>4.0000000000000001E-3</v>
      </c>
      <c r="H769" s="413">
        <f>G769*VLOOKUP(E769,GWPs!$B$3:$C$6,2,FALSE)</f>
        <v>4.0000000000000001E-3</v>
      </c>
      <c r="I769">
        <v>0</v>
      </c>
      <c r="J769" s="413">
        <f>I769*VLOOKUP(E769,GWPs!$B$3:$C$6,2,FALSE)</f>
        <v>0</v>
      </c>
      <c r="K769">
        <v>4.0000000000000001E-3</v>
      </c>
      <c r="L769" s="413">
        <f>K769*VLOOKUP(E769,GWPs!$B$3:$C$6,2,FALSE)</f>
        <v>4.0000000000000001E-3</v>
      </c>
      <c r="N769">
        <v>3</v>
      </c>
      <c r="O769">
        <v>2</v>
      </c>
      <c r="P769">
        <v>1</v>
      </c>
      <c r="Q769">
        <v>2</v>
      </c>
      <c r="R769">
        <v>1</v>
      </c>
    </row>
    <row r="770" spans="1:18">
      <c r="A770" t="str">
        <f>_xlfn.IFNA(IF(VLOOKUP(C770,'2016_Detail_Commodity_v1.0'!C:C,1,FALSE)=C770,"No change"),"Name changed")</f>
        <v>No change</v>
      </c>
      <c r="B770" t="s">
        <v>693</v>
      </c>
      <c r="C770" t="s">
        <v>694</v>
      </c>
      <c r="E770" t="s">
        <v>3653</v>
      </c>
      <c r="F770" t="s">
        <v>12</v>
      </c>
      <c r="G770">
        <v>6.6000000000000003E-2</v>
      </c>
      <c r="H770" s="413">
        <f>G770*VLOOKUP(E770,GWPs!$B$3:$C$6,2,FALSE)</f>
        <v>6.6000000000000003E-2</v>
      </c>
      <c r="I770">
        <v>9.7000000000000003E-2</v>
      </c>
      <c r="J770" s="413">
        <f>I770*VLOOKUP(E770,GWPs!$B$3:$C$6,2,FALSE)</f>
        <v>9.7000000000000003E-2</v>
      </c>
      <c r="K770">
        <v>0.16300000000000001</v>
      </c>
      <c r="L770" s="413">
        <f>K770*VLOOKUP(E770,GWPs!$B$3:$C$6,2,FALSE)</f>
        <v>0.16300000000000001</v>
      </c>
      <c r="N770">
        <v>3</v>
      </c>
      <c r="O770">
        <v>2</v>
      </c>
      <c r="P770">
        <v>1</v>
      </c>
      <c r="Q770">
        <v>3</v>
      </c>
      <c r="R770">
        <v>1</v>
      </c>
    </row>
    <row r="771" spans="1:18">
      <c r="A771" t="str">
        <f>_xlfn.IFNA(IF(VLOOKUP(C771,'2016_Detail_Commodity_v1.0'!C:C,1,FALSE)=C771,"No change"),"Name changed")</f>
        <v>No change</v>
      </c>
      <c r="B771" t="s">
        <v>693</v>
      </c>
      <c r="C771" t="s">
        <v>694</v>
      </c>
      <c r="E771" t="s">
        <v>3654</v>
      </c>
      <c r="F771" t="s">
        <v>12</v>
      </c>
      <c r="G771">
        <v>0</v>
      </c>
      <c r="H771" s="413">
        <f>G771*VLOOKUP(E771,GWPs!$B$3:$C$6,2,FALSE)</f>
        <v>0</v>
      </c>
      <c r="I771">
        <v>0</v>
      </c>
      <c r="J771" s="413">
        <f>I771*VLOOKUP(E771,GWPs!$B$3:$C$6,2,FALSE)</f>
        <v>0</v>
      </c>
      <c r="K771">
        <v>1E-3</v>
      </c>
      <c r="L771" s="413">
        <f>K771*VLOOKUP(E771,GWPs!$B$3:$C$6,2,FALSE)</f>
        <v>2.8000000000000001E-2</v>
      </c>
      <c r="N771">
        <v>3</v>
      </c>
      <c r="O771">
        <v>2</v>
      </c>
      <c r="P771">
        <v>1</v>
      </c>
      <c r="Q771">
        <v>1</v>
      </c>
      <c r="R771">
        <v>1</v>
      </c>
    </row>
    <row r="772" spans="1:18">
      <c r="A772" t="str">
        <f>_xlfn.IFNA(IF(VLOOKUP(C772,'2016_Detail_Commodity_v1.0'!C:C,1,FALSE)=C772,"No change"),"Name changed")</f>
        <v>No change</v>
      </c>
      <c r="B772" t="s">
        <v>693</v>
      </c>
      <c r="C772" t="s">
        <v>694</v>
      </c>
      <c r="E772" t="s">
        <v>3655</v>
      </c>
      <c r="F772" t="s">
        <v>12</v>
      </c>
      <c r="G772">
        <v>0</v>
      </c>
      <c r="H772" s="413">
        <f>G772*VLOOKUP(E772,GWPs!$B$3:$C$6,2,FALSE)</f>
        <v>0</v>
      </c>
      <c r="I772">
        <v>0</v>
      </c>
      <c r="J772" s="413">
        <f>I772*VLOOKUP(E772,GWPs!$B$3:$C$6,2,FALSE)</f>
        <v>0</v>
      </c>
      <c r="K772">
        <v>0</v>
      </c>
      <c r="L772" s="413">
        <f>K772*VLOOKUP(E772,GWPs!$B$3:$C$6,2,FALSE)</f>
        <v>0</v>
      </c>
      <c r="N772">
        <v>3</v>
      </c>
      <c r="O772">
        <v>2</v>
      </c>
      <c r="P772">
        <v>1</v>
      </c>
      <c r="Q772">
        <v>3</v>
      </c>
      <c r="R772">
        <v>1</v>
      </c>
    </row>
    <row r="773" spans="1:18">
      <c r="A773" t="str">
        <f>_xlfn.IFNA(IF(VLOOKUP(C773,'2016_Detail_Commodity_v1.0'!C:C,1,FALSE)=C773,"No change"),"Name changed")</f>
        <v>No change</v>
      </c>
      <c r="B773" t="s">
        <v>693</v>
      </c>
      <c r="C773" t="s">
        <v>694</v>
      </c>
      <c r="E773" t="s">
        <v>15</v>
      </c>
      <c r="F773" t="s">
        <v>16</v>
      </c>
      <c r="G773">
        <v>3.0000000000000001E-3</v>
      </c>
      <c r="H773" s="413">
        <f>G773*VLOOKUP(E773,GWPs!$B$3:$C$6,2,FALSE)</f>
        <v>3.0000000000000001E-3</v>
      </c>
      <c r="I773">
        <v>0</v>
      </c>
      <c r="J773" s="413">
        <f>I773*VLOOKUP(E773,GWPs!$B$3:$C$6,2,FALSE)</f>
        <v>0</v>
      </c>
      <c r="K773">
        <v>3.0000000000000001E-3</v>
      </c>
      <c r="L773" s="413">
        <f>K773*VLOOKUP(E773,GWPs!$B$3:$C$6,2,FALSE)</f>
        <v>3.0000000000000001E-3</v>
      </c>
      <c r="N773">
        <v>3</v>
      </c>
      <c r="O773">
        <v>2</v>
      </c>
      <c r="P773">
        <v>1</v>
      </c>
      <c r="Q773">
        <v>2</v>
      </c>
      <c r="R773">
        <v>1</v>
      </c>
    </row>
    <row r="774" spans="1:18">
      <c r="A774" t="str">
        <f>_xlfn.IFNA(IF(VLOOKUP(C774,'2016_Detail_Commodity_v1.0'!C:C,1,FALSE)=C774,"No change"),"Name changed")</f>
        <v>No change</v>
      </c>
      <c r="B774" t="s">
        <v>695</v>
      </c>
      <c r="C774" t="s">
        <v>696</v>
      </c>
      <c r="E774" t="s">
        <v>3653</v>
      </c>
      <c r="F774" t="s">
        <v>12</v>
      </c>
      <c r="G774">
        <v>7.9000000000000001E-2</v>
      </c>
      <c r="H774" s="413">
        <f>G774*VLOOKUP(E774,GWPs!$B$3:$C$6,2,FALSE)</f>
        <v>7.9000000000000001E-2</v>
      </c>
      <c r="I774">
        <v>8.8999999999999996E-2</v>
      </c>
      <c r="J774" s="413">
        <f>I774*VLOOKUP(E774,GWPs!$B$3:$C$6,2,FALSE)</f>
        <v>8.8999999999999996E-2</v>
      </c>
      <c r="K774">
        <v>0.16700000000000001</v>
      </c>
      <c r="L774" s="413">
        <f>K774*VLOOKUP(E774,GWPs!$B$3:$C$6,2,FALSE)</f>
        <v>0.16700000000000001</v>
      </c>
      <c r="N774">
        <v>3</v>
      </c>
      <c r="O774">
        <v>2</v>
      </c>
      <c r="P774">
        <v>1</v>
      </c>
      <c r="Q774">
        <v>3</v>
      </c>
      <c r="R774">
        <v>1</v>
      </c>
    </row>
    <row r="775" spans="1:18">
      <c r="A775" t="str">
        <f>_xlfn.IFNA(IF(VLOOKUP(C775,'2016_Detail_Commodity_v1.0'!C:C,1,FALSE)=C775,"No change"),"Name changed")</f>
        <v>No change</v>
      </c>
      <c r="B775" t="s">
        <v>695</v>
      </c>
      <c r="C775" t="s">
        <v>696</v>
      </c>
      <c r="E775" t="s">
        <v>3654</v>
      </c>
      <c r="F775" t="s">
        <v>12</v>
      </c>
      <c r="G775">
        <v>0</v>
      </c>
      <c r="H775" s="413">
        <f>G775*VLOOKUP(E775,GWPs!$B$3:$C$6,2,FALSE)</f>
        <v>0</v>
      </c>
      <c r="I775">
        <v>0</v>
      </c>
      <c r="J775" s="413">
        <f>I775*VLOOKUP(E775,GWPs!$B$3:$C$6,2,FALSE)</f>
        <v>0</v>
      </c>
      <c r="K775">
        <v>1E-3</v>
      </c>
      <c r="L775" s="413">
        <f>K775*VLOOKUP(E775,GWPs!$B$3:$C$6,2,FALSE)</f>
        <v>2.8000000000000001E-2</v>
      </c>
      <c r="N775">
        <v>3</v>
      </c>
      <c r="O775">
        <v>2</v>
      </c>
      <c r="P775">
        <v>1</v>
      </c>
      <c r="Q775">
        <v>1</v>
      </c>
      <c r="R775">
        <v>1</v>
      </c>
    </row>
    <row r="776" spans="1:18">
      <c r="A776" t="str">
        <f>_xlfn.IFNA(IF(VLOOKUP(C776,'2016_Detail_Commodity_v1.0'!C:C,1,FALSE)=C776,"No change"),"Name changed")</f>
        <v>No change</v>
      </c>
      <c r="B776" t="s">
        <v>695</v>
      </c>
      <c r="C776" t="s">
        <v>696</v>
      </c>
      <c r="E776" t="s">
        <v>3655</v>
      </c>
      <c r="F776" t="s">
        <v>12</v>
      </c>
      <c r="G776">
        <v>0</v>
      </c>
      <c r="H776" s="413">
        <f>G776*VLOOKUP(E776,GWPs!$B$3:$C$6,2,FALSE)</f>
        <v>0</v>
      </c>
      <c r="I776">
        <v>0</v>
      </c>
      <c r="J776" s="413">
        <f>I776*VLOOKUP(E776,GWPs!$B$3:$C$6,2,FALSE)</f>
        <v>0</v>
      </c>
      <c r="K776">
        <v>0</v>
      </c>
      <c r="L776" s="413">
        <f>K776*VLOOKUP(E776,GWPs!$B$3:$C$6,2,FALSE)</f>
        <v>0</v>
      </c>
      <c r="N776">
        <v>3</v>
      </c>
      <c r="O776">
        <v>2</v>
      </c>
      <c r="P776">
        <v>1</v>
      </c>
      <c r="Q776">
        <v>3</v>
      </c>
      <c r="R776">
        <v>1</v>
      </c>
    </row>
    <row r="777" spans="1:18">
      <c r="A777" t="str">
        <f>_xlfn.IFNA(IF(VLOOKUP(C777,'2016_Detail_Commodity_v1.0'!C:C,1,FALSE)=C777,"No change"),"Name changed")</f>
        <v>No change</v>
      </c>
      <c r="B777" t="s">
        <v>695</v>
      </c>
      <c r="C777" t="s">
        <v>696</v>
      </c>
      <c r="E777" t="s">
        <v>15</v>
      </c>
      <c r="F777" t="s">
        <v>16</v>
      </c>
      <c r="G777">
        <v>2E-3</v>
      </c>
      <c r="H777" s="413">
        <f>G777*VLOOKUP(E777,GWPs!$B$3:$C$6,2,FALSE)</f>
        <v>2E-3</v>
      </c>
      <c r="I777">
        <v>0</v>
      </c>
      <c r="J777" s="413">
        <f>I777*VLOOKUP(E777,GWPs!$B$3:$C$6,2,FALSE)</f>
        <v>0</v>
      </c>
      <c r="K777">
        <v>2E-3</v>
      </c>
      <c r="L777" s="413">
        <f>K777*VLOOKUP(E777,GWPs!$B$3:$C$6,2,FALSE)</f>
        <v>2E-3</v>
      </c>
      <c r="N777">
        <v>3</v>
      </c>
      <c r="O777">
        <v>2</v>
      </c>
      <c r="P777">
        <v>1</v>
      </c>
      <c r="Q777">
        <v>2</v>
      </c>
      <c r="R777">
        <v>1</v>
      </c>
    </row>
    <row r="778" spans="1:18">
      <c r="A778" t="str">
        <f>_xlfn.IFNA(IF(VLOOKUP(C778,'2016_Detail_Commodity_v1.0'!C:C,1,FALSE)=C778,"No change"),"Name changed")</f>
        <v>No change</v>
      </c>
      <c r="B778" t="s">
        <v>697</v>
      </c>
      <c r="C778" t="s">
        <v>698</v>
      </c>
      <c r="E778" t="s">
        <v>3653</v>
      </c>
      <c r="F778" t="s">
        <v>12</v>
      </c>
      <c r="G778">
        <v>6.4000000000000001E-2</v>
      </c>
      <c r="H778" s="413">
        <f>G778*VLOOKUP(E778,GWPs!$B$3:$C$6,2,FALSE)</f>
        <v>6.4000000000000001E-2</v>
      </c>
      <c r="I778">
        <v>0.05</v>
      </c>
      <c r="J778" s="413">
        <f>I778*VLOOKUP(E778,GWPs!$B$3:$C$6,2,FALSE)</f>
        <v>0.05</v>
      </c>
      <c r="K778">
        <v>0.114</v>
      </c>
      <c r="L778" s="413">
        <f>K778*VLOOKUP(E778,GWPs!$B$3:$C$6,2,FALSE)</f>
        <v>0.114</v>
      </c>
      <c r="N778">
        <v>3</v>
      </c>
      <c r="O778">
        <v>2</v>
      </c>
      <c r="P778">
        <v>1</v>
      </c>
      <c r="Q778">
        <v>3</v>
      </c>
      <c r="R778">
        <v>1</v>
      </c>
    </row>
    <row r="779" spans="1:18">
      <c r="A779" t="str">
        <f>_xlfn.IFNA(IF(VLOOKUP(C779,'2016_Detail_Commodity_v1.0'!C:C,1,FALSE)=C779,"No change"),"Name changed")</f>
        <v>No change</v>
      </c>
      <c r="B779" t="s">
        <v>697</v>
      </c>
      <c r="C779" t="s">
        <v>698</v>
      </c>
      <c r="E779" t="s">
        <v>3654</v>
      </c>
      <c r="F779" t="s">
        <v>12</v>
      </c>
      <c r="G779">
        <v>0</v>
      </c>
      <c r="H779" s="413">
        <f>G779*VLOOKUP(E779,GWPs!$B$3:$C$6,2,FALSE)</f>
        <v>0</v>
      </c>
      <c r="I779">
        <v>0</v>
      </c>
      <c r="J779" s="413">
        <f>I779*VLOOKUP(E779,GWPs!$B$3:$C$6,2,FALSE)</f>
        <v>0</v>
      </c>
      <c r="K779">
        <v>1E-3</v>
      </c>
      <c r="L779" s="413">
        <f>K779*VLOOKUP(E779,GWPs!$B$3:$C$6,2,FALSE)</f>
        <v>2.8000000000000001E-2</v>
      </c>
      <c r="N779">
        <v>4</v>
      </c>
      <c r="O779">
        <v>2</v>
      </c>
      <c r="P779">
        <v>1</v>
      </c>
      <c r="Q779">
        <v>1</v>
      </c>
      <c r="R779">
        <v>1</v>
      </c>
    </row>
    <row r="780" spans="1:18">
      <c r="A780" t="str">
        <f>_xlfn.IFNA(IF(VLOOKUP(C780,'2016_Detail_Commodity_v1.0'!C:C,1,FALSE)=C780,"No change"),"Name changed")</f>
        <v>No change</v>
      </c>
      <c r="B780" t="s">
        <v>697</v>
      </c>
      <c r="C780" t="s">
        <v>698</v>
      </c>
      <c r="E780" t="s">
        <v>3655</v>
      </c>
      <c r="F780" t="s">
        <v>12</v>
      </c>
      <c r="G780">
        <v>0</v>
      </c>
      <c r="H780" s="413">
        <f>G780*VLOOKUP(E780,GWPs!$B$3:$C$6,2,FALSE)</f>
        <v>0</v>
      </c>
      <c r="I780">
        <v>0</v>
      </c>
      <c r="J780" s="413">
        <f>I780*VLOOKUP(E780,GWPs!$B$3:$C$6,2,FALSE)</f>
        <v>0</v>
      </c>
      <c r="K780">
        <v>0</v>
      </c>
      <c r="L780" s="413">
        <f>K780*VLOOKUP(E780,GWPs!$B$3:$C$6,2,FALSE)</f>
        <v>0</v>
      </c>
      <c r="N780">
        <v>3</v>
      </c>
      <c r="O780">
        <v>2</v>
      </c>
      <c r="P780">
        <v>1</v>
      </c>
      <c r="Q780">
        <v>3</v>
      </c>
      <c r="R780">
        <v>1</v>
      </c>
    </row>
    <row r="781" spans="1:18">
      <c r="A781" t="str">
        <f>_xlfn.IFNA(IF(VLOOKUP(C781,'2016_Detail_Commodity_v1.0'!C:C,1,FALSE)=C781,"No change"),"Name changed")</f>
        <v>No change</v>
      </c>
      <c r="B781" t="s">
        <v>697</v>
      </c>
      <c r="C781" t="s">
        <v>698</v>
      </c>
      <c r="E781" t="s">
        <v>15</v>
      </c>
      <c r="F781" t="s">
        <v>16</v>
      </c>
      <c r="G781">
        <v>3.0000000000000001E-3</v>
      </c>
      <c r="H781" s="413">
        <f>G781*VLOOKUP(E781,GWPs!$B$3:$C$6,2,FALSE)</f>
        <v>3.0000000000000001E-3</v>
      </c>
      <c r="I781">
        <v>0</v>
      </c>
      <c r="J781" s="413">
        <f>I781*VLOOKUP(E781,GWPs!$B$3:$C$6,2,FALSE)</f>
        <v>0</v>
      </c>
      <c r="K781">
        <v>3.0000000000000001E-3</v>
      </c>
      <c r="L781" s="413">
        <f>K781*VLOOKUP(E781,GWPs!$B$3:$C$6,2,FALSE)</f>
        <v>3.0000000000000001E-3</v>
      </c>
      <c r="N781">
        <v>3</v>
      </c>
      <c r="O781">
        <v>2</v>
      </c>
      <c r="P781">
        <v>1</v>
      </c>
      <c r="Q781">
        <v>2</v>
      </c>
      <c r="R781">
        <v>1</v>
      </c>
    </row>
    <row r="782" spans="1:18">
      <c r="A782" t="str">
        <f>_xlfn.IFNA(IF(VLOOKUP(C782,'2016_Detail_Commodity_v1.0'!C:C,1,FALSE)=C782,"No change"),"Name changed")</f>
        <v>No change</v>
      </c>
      <c r="B782" t="s">
        <v>699</v>
      </c>
      <c r="C782" t="s">
        <v>700</v>
      </c>
      <c r="E782" t="s">
        <v>3653</v>
      </c>
      <c r="F782" t="s">
        <v>12</v>
      </c>
      <c r="G782">
        <v>6.5000000000000002E-2</v>
      </c>
      <c r="H782" s="413">
        <f>G782*VLOOKUP(E782,GWPs!$B$3:$C$6,2,FALSE)</f>
        <v>6.5000000000000002E-2</v>
      </c>
      <c r="I782">
        <v>7.5999999999999998E-2</v>
      </c>
      <c r="J782" s="413">
        <f>I782*VLOOKUP(E782,GWPs!$B$3:$C$6,2,FALSE)</f>
        <v>7.5999999999999998E-2</v>
      </c>
      <c r="K782">
        <v>0.14099999999999999</v>
      </c>
      <c r="L782" s="413">
        <f>K782*VLOOKUP(E782,GWPs!$B$3:$C$6,2,FALSE)</f>
        <v>0.14099999999999999</v>
      </c>
      <c r="N782">
        <v>3</v>
      </c>
      <c r="O782">
        <v>2</v>
      </c>
      <c r="P782">
        <v>1</v>
      </c>
      <c r="Q782">
        <v>3</v>
      </c>
      <c r="R782">
        <v>1</v>
      </c>
    </row>
    <row r="783" spans="1:18">
      <c r="A783" t="str">
        <f>_xlfn.IFNA(IF(VLOOKUP(C783,'2016_Detail_Commodity_v1.0'!C:C,1,FALSE)=C783,"No change"),"Name changed")</f>
        <v>No change</v>
      </c>
      <c r="B783" t="s">
        <v>699</v>
      </c>
      <c r="C783" t="s">
        <v>700</v>
      </c>
      <c r="E783" t="s">
        <v>3654</v>
      </c>
      <c r="F783" t="s">
        <v>12</v>
      </c>
      <c r="G783">
        <v>0</v>
      </c>
      <c r="H783" s="413">
        <f>G783*VLOOKUP(E783,GWPs!$B$3:$C$6,2,FALSE)</f>
        <v>0</v>
      </c>
      <c r="I783">
        <v>0</v>
      </c>
      <c r="J783" s="413">
        <f>I783*VLOOKUP(E783,GWPs!$B$3:$C$6,2,FALSE)</f>
        <v>0</v>
      </c>
      <c r="K783">
        <v>1E-3</v>
      </c>
      <c r="L783" s="413">
        <f>K783*VLOOKUP(E783,GWPs!$B$3:$C$6,2,FALSE)</f>
        <v>2.8000000000000001E-2</v>
      </c>
      <c r="N783">
        <v>4</v>
      </c>
      <c r="O783">
        <v>2</v>
      </c>
      <c r="P783">
        <v>1</v>
      </c>
      <c r="Q783">
        <v>1</v>
      </c>
      <c r="R783">
        <v>1</v>
      </c>
    </row>
    <row r="784" spans="1:18">
      <c r="A784" t="str">
        <f>_xlfn.IFNA(IF(VLOOKUP(C784,'2016_Detail_Commodity_v1.0'!C:C,1,FALSE)=C784,"No change"),"Name changed")</f>
        <v>No change</v>
      </c>
      <c r="B784" t="s">
        <v>699</v>
      </c>
      <c r="C784" t="s">
        <v>700</v>
      </c>
      <c r="E784" t="s">
        <v>3655</v>
      </c>
      <c r="F784" t="s">
        <v>12</v>
      </c>
      <c r="G784">
        <v>0</v>
      </c>
      <c r="H784" s="413">
        <f>G784*VLOOKUP(E784,GWPs!$B$3:$C$6,2,FALSE)</f>
        <v>0</v>
      </c>
      <c r="I784">
        <v>0</v>
      </c>
      <c r="J784" s="413">
        <f>I784*VLOOKUP(E784,GWPs!$B$3:$C$6,2,FALSE)</f>
        <v>0</v>
      </c>
      <c r="K784">
        <v>0</v>
      </c>
      <c r="L784" s="413">
        <f>K784*VLOOKUP(E784,GWPs!$B$3:$C$6,2,FALSE)</f>
        <v>0</v>
      </c>
      <c r="N784">
        <v>3</v>
      </c>
      <c r="O784">
        <v>2</v>
      </c>
      <c r="P784">
        <v>1</v>
      </c>
      <c r="Q784">
        <v>3</v>
      </c>
      <c r="R784">
        <v>1</v>
      </c>
    </row>
    <row r="785" spans="1:18">
      <c r="A785" t="str">
        <f>_xlfn.IFNA(IF(VLOOKUP(C785,'2016_Detail_Commodity_v1.0'!C:C,1,FALSE)=C785,"No change"),"Name changed")</f>
        <v>No change</v>
      </c>
      <c r="B785" t="s">
        <v>699</v>
      </c>
      <c r="C785" t="s">
        <v>700</v>
      </c>
      <c r="E785" t="s">
        <v>15</v>
      </c>
      <c r="F785" t="s">
        <v>16</v>
      </c>
      <c r="G785">
        <v>3.0000000000000001E-3</v>
      </c>
      <c r="H785" s="413">
        <f>G785*VLOOKUP(E785,GWPs!$B$3:$C$6,2,FALSE)</f>
        <v>3.0000000000000001E-3</v>
      </c>
      <c r="I785">
        <v>0</v>
      </c>
      <c r="J785" s="413">
        <f>I785*VLOOKUP(E785,GWPs!$B$3:$C$6,2,FALSE)</f>
        <v>0</v>
      </c>
      <c r="K785">
        <v>3.0000000000000001E-3</v>
      </c>
      <c r="L785" s="413">
        <f>K785*VLOOKUP(E785,GWPs!$B$3:$C$6,2,FALSE)</f>
        <v>3.0000000000000001E-3</v>
      </c>
      <c r="N785">
        <v>3</v>
      </c>
      <c r="O785">
        <v>2</v>
      </c>
      <c r="P785">
        <v>1</v>
      </c>
      <c r="Q785">
        <v>3</v>
      </c>
      <c r="R785">
        <v>1</v>
      </c>
    </row>
    <row r="786" spans="1:18">
      <c r="A786" t="str">
        <f>_xlfn.IFNA(IF(VLOOKUP(C786,'2016_Detail_Commodity_v1.0'!C:C,1,FALSE)=C786,"No change"),"Name changed")</f>
        <v>No change</v>
      </c>
      <c r="B786" t="s">
        <v>701</v>
      </c>
      <c r="C786" t="s">
        <v>702</v>
      </c>
      <c r="E786" t="s">
        <v>3653</v>
      </c>
      <c r="F786" t="s">
        <v>12</v>
      </c>
      <c r="G786">
        <v>0.13800000000000001</v>
      </c>
      <c r="H786" s="413">
        <f>G786*VLOOKUP(E786,GWPs!$B$3:$C$6,2,FALSE)</f>
        <v>0.13800000000000001</v>
      </c>
      <c r="I786">
        <v>3.4000000000000002E-2</v>
      </c>
      <c r="J786" s="413">
        <f>I786*VLOOKUP(E786,GWPs!$B$3:$C$6,2,FALSE)</f>
        <v>3.4000000000000002E-2</v>
      </c>
      <c r="K786">
        <v>0.17199999999999999</v>
      </c>
      <c r="L786" s="413">
        <f>K786*VLOOKUP(E786,GWPs!$B$3:$C$6,2,FALSE)</f>
        <v>0.17199999999999999</v>
      </c>
      <c r="N786">
        <v>3</v>
      </c>
      <c r="O786">
        <v>2</v>
      </c>
      <c r="P786">
        <v>1</v>
      </c>
      <c r="Q786">
        <v>3</v>
      </c>
      <c r="R786">
        <v>1</v>
      </c>
    </row>
    <row r="787" spans="1:18">
      <c r="A787" t="str">
        <f>_xlfn.IFNA(IF(VLOOKUP(C787,'2016_Detail_Commodity_v1.0'!C:C,1,FALSE)=C787,"No change"),"Name changed")</f>
        <v>No change</v>
      </c>
      <c r="B787" t="s">
        <v>701</v>
      </c>
      <c r="C787" t="s">
        <v>702</v>
      </c>
      <c r="E787" t="s">
        <v>3654</v>
      </c>
      <c r="F787" t="s">
        <v>12</v>
      </c>
      <c r="G787">
        <v>0</v>
      </c>
      <c r="H787" s="413">
        <f>G787*VLOOKUP(E787,GWPs!$B$3:$C$6,2,FALSE)</f>
        <v>0</v>
      </c>
      <c r="I787">
        <v>0</v>
      </c>
      <c r="J787" s="413">
        <f>I787*VLOOKUP(E787,GWPs!$B$3:$C$6,2,FALSE)</f>
        <v>0</v>
      </c>
      <c r="K787">
        <v>1E-3</v>
      </c>
      <c r="L787" s="413">
        <f>K787*VLOOKUP(E787,GWPs!$B$3:$C$6,2,FALSE)</f>
        <v>2.8000000000000001E-2</v>
      </c>
      <c r="N787">
        <v>3</v>
      </c>
      <c r="O787">
        <v>2</v>
      </c>
      <c r="P787">
        <v>1</v>
      </c>
      <c r="Q787">
        <v>1</v>
      </c>
      <c r="R787">
        <v>1</v>
      </c>
    </row>
    <row r="788" spans="1:18">
      <c r="A788" t="str">
        <f>_xlfn.IFNA(IF(VLOOKUP(C788,'2016_Detail_Commodity_v1.0'!C:C,1,FALSE)=C788,"No change"),"Name changed")</f>
        <v>No change</v>
      </c>
      <c r="B788" t="s">
        <v>701</v>
      </c>
      <c r="C788" t="s">
        <v>702</v>
      </c>
      <c r="E788" t="s">
        <v>3655</v>
      </c>
      <c r="F788" t="s">
        <v>12</v>
      </c>
      <c r="G788">
        <v>0</v>
      </c>
      <c r="H788" s="413">
        <f>G788*VLOOKUP(E788,GWPs!$B$3:$C$6,2,FALSE)</f>
        <v>0</v>
      </c>
      <c r="I788">
        <v>0</v>
      </c>
      <c r="J788" s="413">
        <f>I788*VLOOKUP(E788,GWPs!$B$3:$C$6,2,FALSE)</f>
        <v>0</v>
      </c>
      <c r="K788">
        <v>0</v>
      </c>
      <c r="L788" s="413">
        <f>K788*VLOOKUP(E788,GWPs!$B$3:$C$6,2,FALSE)</f>
        <v>0</v>
      </c>
      <c r="N788">
        <v>3</v>
      </c>
      <c r="O788">
        <v>2</v>
      </c>
      <c r="P788">
        <v>1</v>
      </c>
      <c r="Q788">
        <v>2</v>
      </c>
      <c r="R788">
        <v>1</v>
      </c>
    </row>
    <row r="789" spans="1:18">
      <c r="A789" t="str">
        <f>_xlfn.IFNA(IF(VLOOKUP(C789,'2016_Detail_Commodity_v1.0'!C:C,1,FALSE)=C789,"No change"),"Name changed")</f>
        <v>No change</v>
      </c>
      <c r="B789" t="s">
        <v>701</v>
      </c>
      <c r="C789" t="s">
        <v>702</v>
      </c>
      <c r="E789" t="s">
        <v>15</v>
      </c>
      <c r="F789" t="s">
        <v>16</v>
      </c>
      <c r="G789">
        <v>7.9000000000000001E-2</v>
      </c>
      <c r="H789" s="413">
        <f>G789*VLOOKUP(E789,GWPs!$B$3:$C$6,2,FALSE)</f>
        <v>7.9000000000000001E-2</v>
      </c>
      <c r="I789">
        <v>0</v>
      </c>
      <c r="J789" s="413">
        <f>I789*VLOOKUP(E789,GWPs!$B$3:$C$6,2,FALSE)</f>
        <v>0</v>
      </c>
      <c r="K789">
        <v>7.9000000000000001E-2</v>
      </c>
      <c r="L789" s="413">
        <f>K789*VLOOKUP(E789,GWPs!$B$3:$C$6,2,FALSE)</f>
        <v>7.9000000000000001E-2</v>
      </c>
      <c r="N789">
        <v>2</v>
      </c>
      <c r="O789">
        <v>2</v>
      </c>
      <c r="P789">
        <v>1</v>
      </c>
      <c r="Q789">
        <v>1</v>
      </c>
      <c r="R789">
        <v>1</v>
      </c>
    </row>
    <row r="790" spans="1:18">
      <c r="A790" t="str">
        <f>_xlfn.IFNA(IF(VLOOKUP(C790,'2016_Detail_Commodity_v1.0'!C:C,1,FALSE)=C790,"No change"),"Name changed")</f>
        <v>No change</v>
      </c>
      <c r="B790" t="s">
        <v>703</v>
      </c>
      <c r="C790" t="s">
        <v>704</v>
      </c>
      <c r="E790" t="s">
        <v>3653</v>
      </c>
      <c r="F790" t="s">
        <v>12</v>
      </c>
      <c r="G790">
        <v>0.11</v>
      </c>
      <c r="H790" s="413">
        <f>G790*VLOOKUP(E790,GWPs!$B$3:$C$6,2,FALSE)</f>
        <v>0.11</v>
      </c>
      <c r="I790">
        <v>2.9000000000000001E-2</v>
      </c>
      <c r="J790" s="413">
        <f>I790*VLOOKUP(E790,GWPs!$B$3:$C$6,2,FALSE)</f>
        <v>2.9000000000000001E-2</v>
      </c>
      <c r="K790">
        <v>0.13900000000000001</v>
      </c>
      <c r="L790" s="413">
        <f>K790*VLOOKUP(E790,GWPs!$B$3:$C$6,2,FALSE)</f>
        <v>0.13900000000000001</v>
      </c>
      <c r="N790">
        <v>3</v>
      </c>
      <c r="O790">
        <v>2</v>
      </c>
      <c r="P790">
        <v>1</v>
      </c>
      <c r="Q790">
        <v>3</v>
      </c>
      <c r="R790">
        <v>1</v>
      </c>
    </row>
    <row r="791" spans="1:18">
      <c r="A791" t="str">
        <f>_xlfn.IFNA(IF(VLOOKUP(C791,'2016_Detail_Commodity_v1.0'!C:C,1,FALSE)=C791,"No change"),"Name changed")</f>
        <v>No change</v>
      </c>
      <c r="B791" t="s">
        <v>703</v>
      </c>
      <c r="C791" t="s">
        <v>704</v>
      </c>
      <c r="E791" t="s">
        <v>3654</v>
      </c>
      <c r="F791" t="s">
        <v>12</v>
      </c>
      <c r="G791">
        <v>0</v>
      </c>
      <c r="H791" s="413">
        <f>G791*VLOOKUP(E791,GWPs!$B$3:$C$6,2,FALSE)</f>
        <v>0</v>
      </c>
      <c r="I791">
        <v>0</v>
      </c>
      <c r="J791" s="413">
        <f>I791*VLOOKUP(E791,GWPs!$B$3:$C$6,2,FALSE)</f>
        <v>0</v>
      </c>
      <c r="K791">
        <v>1E-3</v>
      </c>
      <c r="L791" s="413">
        <f>K791*VLOOKUP(E791,GWPs!$B$3:$C$6,2,FALSE)</f>
        <v>2.8000000000000001E-2</v>
      </c>
      <c r="N791">
        <v>4</v>
      </c>
      <c r="O791">
        <v>2</v>
      </c>
      <c r="P791">
        <v>1</v>
      </c>
      <c r="Q791">
        <v>1</v>
      </c>
      <c r="R791">
        <v>1</v>
      </c>
    </row>
    <row r="792" spans="1:18">
      <c r="A792" t="str">
        <f>_xlfn.IFNA(IF(VLOOKUP(C792,'2016_Detail_Commodity_v1.0'!C:C,1,FALSE)=C792,"No change"),"Name changed")</f>
        <v>No change</v>
      </c>
      <c r="B792" t="s">
        <v>703</v>
      </c>
      <c r="C792" t="s">
        <v>704</v>
      </c>
      <c r="E792" t="s">
        <v>3655</v>
      </c>
      <c r="F792" t="s">
        <v>12</v>
      </c>
      <c r="G792">
        <v>0</v>
      </c>
      <c r="H792" s="413">
        <f>G792*VLOOKUP(E792,GWPs!$B$3:$C$6,2,FALSE)</f>
        <v>0</v>
      </c>
      <c r="I792">
        <v>0</v>
      </c>
      <c r="J792" s="413">
        <f>I792*VLOOKUP(E792,GWPs!$B$3:$C$6,2,FALSE)</f>
        <v>0</v>
      </c>
      <c r="K792">
        <v>0</v>
      </c>
      <c r="L792" s="413">
        <f>K792*VLOOKUP(E792,GWPs!$B$3:$C$6,2,FALSE)</f>
        <v>0</v>
      </c>
      <c r="N792">
        <v>3</v>
      </c>
      <c r="O792">
        <v>2</v>
      </c>
      <c r="P792">
        <v>1</v>
      </c>
      <c r="Q792">
        <v>2</v>
      </c>
      <c r="R792">
        <v>1</v>
      </c>
    </row>
    <row r="793" spans="1:18">
      <c r="A793" t="str">
        <f>_xlfn.IFNA(IF(VLOOKUP(C793,'2016_Detail_Commodity_v1.0'!C:C,1,FALSE)=C793,"No change"),"Name changed")</f>
        <v>No change</v>
      </c>
      <c r="B793" t="s">
        <v>703</v>
      </c>
      <c r="C793" t="s">
        <v>704</v>
      </c>
      <c r="E793" t="s">
        <v>15</v>
      </c>
      <c r="F793" t="s">
        <v>16</v>
      </c>
      <c r="G793">
        <v>1.2E-2</v>
      </c>
      <c r="H793" s="413">
        <f>G793*VLOOKUP(E793,GWPs!$B$3:$C$6,2,FALSE)</f>
        <v>1.2E-2</v>
      </c>
      <c r="I793">
        <v>0</v>
      </c>
      <c r="J793" s="413">
        <f>I793*VLOOKUP(E793,GWPs!$B$3:$C$6,2,FALSE)</f>
        <v>0</v>
      </c>
      <c r="K793">
        <v>1.2E-2</v>
      </c>
      <c r="L793" s="413">
        <f>K793*VLOOKUP(E793,GWPs!$B$3:$C$6,2,FALSE)</f>
        <v>1.2E-2</v>
      </c>
      <c r="N793">
        <v>2</v>
      </c>
      <c r="O793">
        <v>2</v>
      </c>
      <c r="P793">
        <v>1</v>
      </c>
      <c r="Q793">
        <v>2</v>
      </c>
      <c r="R793">
        <v>1</v>
      </c>
    </row>
    <row r="794" spans="1:18">
      <c r="A794" t="str">
        <f>_xlfn.IFNA(IF(VLOOKUP(C794,'2016_Detail_Commodity_v1.0'!C:C,1,FALSE)=C794,"No change"),"Name changed")</f>
        <v>No change</v>
      </c>
      <c r="B794" t="s">
        <v>705</v>
      </c>
      <c r="C794" t="s">
        <v>706</v>
      </c>
      <c r="E794" t="s">
        <v>3653</v>
      </c>
      <c r="F794" t="s">
        <v>12</v>
      </c>
      <c r="G794">
        <v>0.14399999999999999</v>
      </c>
      <c r="H794" s="413">
        <f>G794*VLOOKUP(E794,GWPs!$B$3:$C$6,2,FALSE)</f>
        <v>0.14399999999999999</v>
      </c>
      <c r="I794">
        <v>2.5999999999999999E-2</v>
      </c>
      <c r="J794" s="413">
        <f>I794*VLOOKUP(E794,GWPs!$B$3:$C$6,2,FALSE)</f>
        <v>2.5999999999999999E-2</v>
      </c>
      <c r="K794">
        <v>0.17100000000000001</v>
      </c>
      <c r="L794" s="413">
        <f>K794*VLOOKUP(E794,GWPs!$B$3:$C$6,2,FALSE)</f>
        <v>0.17100000000000001</v>
      </c>
      <c r="N794">
        <v>3</v>
      </c>
      <c r="O794">
        <v>2</v>
      </c>
      <c r="P794">
        <v>1</v>
      </c>
      <c r="Q794">
        <v>3</v>
      </c>
      <c r="R794">
        <v>1</v>
      </c>
    </row>
    <row r="795" spans="1:18">
      <c r="A795" t="str">
        <f>_xlfn.IFNA(IF(VLOOKUP(C795,'2016_Detail_Commodity_v1.0'!C:C,1,FALSE)=C795,"No change"),"Name changed")</f>
        <v>No change</v>
      </c>
      <c r="B795" t="s">
        <v>705</v>
      </c>
      <c r="C795" t="s">
        <v>706</v>
      </c>
      <c r="E795" t="s">
        <v>3654</v>
      </c>
      <c r="F795" t="s">
        <v>12</v>
      </c>
      <c r="G795">
        <v>0</v>
      </c>
      <c r="H795" s="413">
        <f>G795*VLOOKUP(E795,GWPs!$B$3:$C$6,2,FALSE)</f>
        <v>0</v>
      </c>
      <c r="I795">
        <v>0</v>
      </c>
      <c r="J795" s="413">
        <f>I795*VLOOKUP(E795,GWPs!$B$3:$C$6,2,FALSE)</f>
        <v>0</v>
      </c>
      <c r="K795">
        <v>1E-3</v>
      </c>
      <c r="L795" s="413">
        <f>K795*VLOOKUP(E795,GWPs!$B$3:$C$6,2,FALSE)</f>
        <v>2.8000000000000001E-2</v>
      </c>
      <c r="N795">
        <v>3</v>
      </c>
      <c r="O795">
        <v>2</v>
      </c>
      <c r="P795">
        <v>1</v>
      </c>
      <c r="Q795">
        <v>1</v>
      </c>
      <c r="R795">
        <v>1</v>
      </c>
    </row>
    <row r="796" spans="1:18">
      <c r="A796" t="str">
        <f>_xlfn.IFNA(IF(VLOOKUP(C796,'2016_Detail_Commodity_v1.0'!C:C,1,FALSE)=C796,"No change"),"Name changed")</f>
        <v>No change</v>
      </c>
      <c r="B796" t="s">
        <v>705</v>
      </c>
      <c r="C796" t="s">
        <v>706</v>
      </c>
      <c r="E796" t="s">
        <v>3655</v>
      </c>
      <c r="F796" t="s">
        <v>12</v>
      </c>
      <c r="G796">
        <v>0</v>
      </c>
      <c r="H796" s="413">
        <f>G796*VLOOKUP(E796,GWPs!$B$3:$C$6,2,FALSE)</f>
        <v>0</v>
      </c>
      <c r="I796">
        <v>0</v>
      </c>
      <c r="J796" s="413">
        <f>I796*VLOOKUP(E796,GWPs!$B$3:$C$6,2,FALSE)</f>
        <v>0</v>
      </c>
      <c r="K796">
        <v>0</v>
      </c>
      <c r="L796" s="413">
        <f>K796*VLOOKUP(E796,GWPs!$B$3:$C$6,2,FALSE)</f>
        <v>0</v>
      </c>
      <c r="N796">
        <v>3</v>
      </c>
      <c r="O796">
        <v>2</v>
      </c>
      <c r="P796">
        <v>1</v>
      </c>
      <c r="Q796">
        <v>3</v>
      </c>
      <c r="R796">
        <v>1</v>
      </c>
    </row>
    <row r="797" spans="1:18">
      <c r="A797" t="str">
        <f>_xlfn.IFNA(IF(VLOOKUP(C797,'2016_Detail_Commodity_v1.0'!C:C,1,FALSE)=C797,"No change"),"Name changed")</f>
        <v>No change</v>
      </c>
      <c r="B797" t="s">
        <v>705</v>
      </c>
      <c r="C797" t="s">
        <v>706</v>
      </c>
      <c r="E797" t="s">
        <v>15</v>
      </c>
      <c r="F797" t="s">
        <v>16</v>
      </c>
      <c r="G797">
        <v>8.0000000000000002E-3</v>
      </c>
      <c r="H797" s="413">
        <f>G797*VLOOKUP(E797,GWPs!$B$3:$C$6,2,FALSE)</f>
        <v>8.0000000000000002E-3</v>
      </c>
      <c r="I797">
        <v>0</v>
      </c>
      <c r="J797" s="413">
        <f>I797*VLOOKUP(E797,GWPs!$B$3:$C$6,2,FALSE)</f>
        <v>0</v>
      </c>
      <c r="K797">
        <v>8.0000000000000002E-3</v>
      </c>
      <c r="L797" s="413">
        <f>K797*VLOOKUP(E797,GWPs!$B$3:$C$6,2,FALSE)</f>
        <v>8.0000000000000002E-3</v>
      </c>
      <c r="N797">
        <v>3</v>
      </c>
      <c r="O797">
        <v>2</v>
      </c>
      <c r="P797">
        <v>1</v>
      </c>
      <c r="Q797">
        <v>2</v>
      </c>
      <c r="R797">
        <v>1</v>
      </c>
    </row>
    <row r="798" spans="1:18">
      <c r="A798" t="str">
        <f>_xlfn.IFNA(IF(VLOOKUP(C798,'2016_Detail_Commodity_v1.0'!C:C,1,FALSE)=C798,"No change"),"Name changed")</f>
        <v>Name changed</v>
      </c>
      <c r="B798" t="s">
        <v>707</v>
      </c>
      <c r="C798" t="s">
        <v>708</v>
      </c>
      <c r="D798" t="s">
        <v>708</v>
      </c>
      <c r="E798" t="s">
        <v>3653</v>
      </c>
      <c r="F798" t="s">
        <v>12</v>
      </c>
      <c r="G798">
        <v>7.0000000000000007E-2</v>
      </c>
      <c r="H798" s="413">
        <f>G798*VLOOKUP(E798,GWPs!$B$3:$C$6,2,FALSE)</f>
        <v>7.0000000000000007E-2</v>
      </c>
      <c r="I798">
        <v>6.7000000000000004E-2</v>
      </c>
      <c r="J798" s="413">
        <f>I798*VLOOKUP(E798,GWPs!$B$3:$C$6,2,FALSE)</f>
        <v>6.7000000000000004E-2</v>
      </c>
      <c r="K798">
        <v>0.13700000000000001</v>
      </c>
      <c r="L798" s="413">
        <f>K798*VLOOKUP(E798,GWPs!$B$3:$C$6,2,FALSE)</f>
        <v>0.13700000000000001</v>
      </c>
      <c r="N798">
        <v>3</v>
      </c>
      <c r="O798">
        <v>2</v>
      </c>
      <c r="P798">
        <v>1</v>
      </c>
      <c r="Q798">
        <v>3</v>
      </c>
      <c r="R798">
        <v>1</v>
      </c>
    </row>
    <row r="799" spans="1:18">
      <c r="A799" t="str">
        <f>_xlfn.IFNA(IF(VLOOKUP(C799,'2016_Detail_Commodity_v1.0'!C:C,1,FALSE)=C799,"No change"),"Name changed")</f>
        <v>Name changed</v>
      </c>
      <c r="B799" t="s">
        <v>707</v>
      </c>
      <c r="C799" t="s">
        <v>708</v>
      </c>
      <c r="D799" t="s">
        <v>708</v>
      </c>
      <c r="E799" t="s">
        <v>3654</v>
      </c>
      <c r="F799" t="s">
        <v>12</v>
      </c>
      <c r="G799">
        <v>0</v>
      </c>
      <c r="H799" s="413">
        <f>G799*VLOOKUP(E799,GWPs!$B$3:$C$6,2,FALSE)</f>
        <v>0</v>
      </c>
      <c r="I799">
        <v>0</v>
      </c>
      <c r="J799" s="413">
        <f>I799*VLOOKUP(E799,GWPs!$B$3:$C$6,2,FALSE)</f>
        <v>0</v>
      </c>
      <c r="K799">
        <v>1E-3</v>
      </c>
      <c r="L799" s="413">
        <f>K799*VLOOKUP(E799,GWPs!$B$3:$C$6,2,FALSE)</f>
        <v>2.8000000000000001E-2</v>
      </c>
      <c r="N799">
        <v>4</v>
      </c>
      <c r="O799">
        <v>2</v>
      </c>
      <c r="P799">
        <v>1</v>
      </c>
      <c r="Q799">
        <v>1</v>
      </c>
      <c r="R799">
        <v>1</v>
      </c>
    </row>
    <row r="800" spans="1:18">
      <c r="A800" t="str">
        <f>_xlfn.IFNA(IF(VLOOKUP(C800,'2016_Detail_Commodity_v1.0'!C:C,1,FALSE)=C800,"No change"),"Name changed")</f>
        <v>Name changed</v>
      </c>
      <c r="B800" t="s">
        <v>707</v>
      </c>
      <c r="C800" t="s">
        <v>708</v>
      </c>
      <c r="D800" t="s">
        <v>708</v>
      </c>
      <c r="E800" t="s">
        <v>3655</v>
      </c>
      <c r="F800" t="s">
        <v>12</v>
      </c>
      <c r="G800">
        <v>0</v>
      </c>
      <c r="H800" s="413">
        <f>G800*VLOOKUP(E800,GWPs!$B$3:$C$6,2,FALSE)</f>
        <v>0</v>
      </c>
      <c r="I800">
        <v>0</v>
      </c>
      <c r="J800" s="413">
        <f>I800*VLOOKUP(E800,GWPs!$B$3:$C$6,2,FALSE)</f>
        <v>0</v>
      </c>
      <c r="K800">
        <v>0</v>
      </c>
      <c r="L800" s="413">
        <f>K800*VLOOKUP(E800,GWPs!$B$3:$C$6,2,FALSE)</f>
        <v>0</v>
      </c>
      <c r="N800">
        <v>3</v>
      </c>
      <c r="O800">
        <v>2</v>
      </c>
      <c r="P800">
        <v>1</v>
      </c>
      <c r="Q800">
        <v>3</v>
      </c>
      <c r="R800">
        <v>1</v>
      </c>
    </row>
    <row r="801" spans="1:18">
      <c r="A801" t="str">
        <f>_xlfn.IFNA(IF(VLOOKUP(C801,'2016_Detail_Commodity_v1.0'!C:C,1,FALSE)=C801,"No change"),"Name changed")</f>
        <v>Name changed</v>
      </c>
      <c r="B801" t="s">
        <v>707</v>
      </c>
      <c r="C801" t="s">
        <v>708</v>
      </c>
      <c r="D801" t="s">
        <v>708</v>
      </c>
      <c r="E801" t="s">
        <v>15</v>
      </c>
      <c r="F801" t="s">
        <v>16</v>
      </c>
      <c r="G801">
        <v>2E-3</v>
      </c>
      <c r="H801" s="413">
        <f>G801*VLOOKUP(E801,GWPs!$B$3:$C$6,2,FALSE)</f>
        <v>2E-3</v>
      </c>
      <c r="I801">
        <v>0</v>
      </c>
      <c r="J801" s="413">
        <f>I801*VLOOKUP(E801,GWPs!$B$3:$C$6,2,FALSE)</f>
        <v>0</v>
      </c>
      <c r="K801">
        <v>2E-3</v>
      </c>
      <c r="L801" s="413">
        <f>K801*VLOOKUP(E801,GWPs!$B$3:$C$6,2,FALSE)</f>
        <v>2E-3</v>
      </c>
      <c r="N801">
        <v>3</v>
      </c>
      <c r="O801">
        <v>2</v>
      </c>
      <c r="P801">
        <v>1</v>
      </c>
      <c r="Q801">
        <v>2</v>
      </c>
      <c r="R801">
        <v>1</v>
      </c>
    </row>
    <row r="802" spans="1:18">
      <c r="A802" t="str">
        <f>_xlfn.IFNA(IF(VLOOKUP(C802,'2016_Detail_Commodity_v1.0'!C:C,1,FALSE)=C802,"No change"),"Name changed")</f>
        <v>No change</v>
      </c>
      <c r="B802" t="s">
        <v>709</v>
      </c>
      <c r="C802" t="s">
        <v>710</v>
      </c>
      <c r="E802" t="s">
        <v>3653</v>
      </c>
      <c r="F802" t="s">
        <v>12</v>
      </c>
      <c r="G802">
        <v>4.2000000000000003E-2</v>
      </c>
      <c r="H802" s="413">
        <f>G802*VLOOKUP(E802,GWPs!$B$3:$C$6,2,FALSE)</f>
        <v>4.2000000000000003E-2</v>
      </c>
      <c r="I802">
        <v>1.7999999999999999E-2</v>
      </c>
      <c r="J802" s="413">
        <f>I802*VLOOKUP(E802,GWPs!$B$3:$C$6,2,FALSE)</f>
        <v>1.7999999999999999E-2</v>
      </c>
      <c r="K802">
        <v>0.06</v>
      </c>
      <c r="L802" s="413">
        <f>K802*VLOOKUP(E802,GWPs!$B$3:$C$6,2,FALSE)</f>
        <v>0.06</v>
      </c>
      <c r="N802">
        <v>3</v>
      </c>
      <c r="O802">
        <v>2</v>
      </c>
      <c r="P802">
        <v>1</v>
      </c>
      <c r="Q802">
        <v>3</v>
      </c>
      <c r="R802">
        <v>1</v>
      </c>
    </row>
    <row r="803" spans="1:18">
      <c r="A803" t="str">
        <f>_xlfn.IFNA(IF(VLOOKUP(C803,'2016_Detail_Commodity_v1.0'!C:C,1,FALSE)=C803,"No change"),"Name changed")</f>
        <v>No change</v>
      </c>
      <c r="B803" t="s">
        <v>709</v>
      </c>
      <c r="C803" t="s">
        <v>710</v>
      </c>
      <c r="E803" t="s">
        <v>3654</v>
      </c>
      <c r="F803" t="s">
        <v>12</v>
      </c>
      <c r="G803">
        <v>0</v>
      </c>
      <c r="H803" s="413">
        <f>G803*VLOOKUP(E803,GWPs!$B$3:$C$6,2,FALSE)</f>
        <v>0</v>
      </c>
      <c r="I803">
        <v>0</v>
      </c>
      <c r="J803" s="413">
        <f>I803*VLOOKUP(E803,GWPs!$B$3:$C$6,2,FALSE)</f>
        <v>0</v>
      </c>
      <c r="K803">
        <v>0</v>
      </c>
      <c r="L803" s="413">
        <f>K803*VLOOKUP(E803,GWPs!$B$3:$C$6,2,FALSE)</f>
        <v>0</v>
      </c>
      <c r="N803">
        <v>3</v>
      </c>
      <c r="O803">
        <v>2</v>
      </c>
      <c r="P803">
        <v>1</v>
      </c>
      <c r="Q803">
        <v>1</v>
      </c>
      <c r="R803">
        <v>1</v>
      </c>
    </row>
    <row r="804" spans="1:18">
      <c r="A804" t="str">
        <f>_xlfn.IFNA(IF(VLOOKUP(C804,'2016_Detail_Commodity_v1.0'!C:C,1,FALSE)=C804,"No change"),"Name changed")</f>
        <v>No change</v>
      </c>
      <c r="B804" t="s">
        <v>709</v>
      </c>
      <c r="C804" t="s">
        <v>710</v>
      </c>
      <c r="E804" t="s">
        <v>3655</v>
      </c>
      <c r="F804" t="s">
        <v>12</v>
      </c>
      <c r="G804">
        <v>0</v>
      </c>
      <c r="H804" s="413">
        <f>G804*VLOOKUP(E804,GWPs!$B$3:$C$6,2,FALSE)</f>
        <v>0</v>
      </c>
      <c r="I804">
        <v>0</v>
      </c>
      <c r="J804" s="413">
        <f>I804*VLOOKUP(E804,GWPs!$B$3:$C$6,2,FALSE)</f>
        <v>0</v>
      </c>
      <c r="K804">
        <v>0</v>
      </c>
      <c r="L804" s="413">
        <f>K804*VLOOKUP(E804,GWPs!$B$3:$C$6,2,FALSE)</f>
        <v>0</v>
      </c>
      <c r="N804">
        <v>3</v>
      </c>
      <c r="O804">
        <v>2</v>
      </c>
      <c r="P804">
        <v>1</v>
      </c>
      <c r="Q804">
        <v>3</v>
      </c>
      <c r="R804">
        <v>1</v>
      </c>
    </row>
    <row r="805" spans="1:18">
      <c r="A805" t="str">
        <f>_xlfn.IFNA(IF(VLOOKUP(C805,'2016_Detail_Commodity_v1.0'!C:C,1,FALSE)=C805,"No change"),"Name changed")</f>
        <v>No change</v>
      </c>
      <c r="B805" t="s">
        <v>709</v>
      </c>
      <c r="C805" t="s">
        <v>710</v>
      </c>
      <c r="E805" t="s">
        <v>15</v>
      </c>
      <c r="F805" t="s">
        <v>16</v>
      </c>
      <c r="G805">
        <v>2E-3</v>
      </c>
      <c r="H805" s="413">
        <f>G805*VLOOKUP(E805,GWPs!$B$3:$C$6,2,FALSE)</f>
        <v>2E-3</v>
      </c>
      <c r="I805">
        <v>0</v>
      </c>
      <c r="J805" s="413">
        <f>I805*VLOOKUP(E805,GWPs!$B$3:$C$6,2,FALSE)</f>
        <v>0</v>
      </c>
      <c r="K805">
        <v>2E-3</v>
      </c>
      <c r="L805" s="413">
        <f>K805*VLOOKUP(E805,GWPs!$B$3:$C$6,2,FALSE)</f>
        <v>2E-3</v>
      </c>
      <c r="N805">
        <v>3</v>
      </c>
      <c r="O805">
        <v>2</v>
      </c>
      <c r="P805">
        <v>1</v>
      </c>
      <c r="Q805">
        <v>2</v>
      </c>
      <c r="R805">
        <v>1</v>
      </c>
    </row>
    <row r="806" spans="1:18">
      <c r="A806" t="str">
        <f>_xlfn.IFNA(IF(VLOOKUP(C806,'2016_Detail_Commodity_v1.0'!C:C,1,FALSE)=C806,"No change"),"Name changed")</f>
        <v>No change</v>
      </c>
      <c r="B806" t="s">
        <v>711</v>
      </c>
      <c r="C806" t="s">
        <v>712</v>
      </c>
      <c r="E806" t="s">
        <v>3653</v>
      </c>
      <c r="F806" t="s">
        <v>12</v>
      </c>
      <c r="G806">
        <v>0.107</v>
      </c>
      <c r="H806" s="413">
        <f>G806*VLOOKUP(E806,GWPs!$B$3:$C$6,2,FALSE)</f>
        <v>0.107</v>
      </c>
      <c r="I806">
        <v>2.7E-2</v>
      </c>
      <c r="J806" s="413">
        <f>I806*VLOOKUP(E806,GWPs!$B$3:$C$6,2,FALSE)</f>
        <v>2.7E-2</v>
      </c>
      <c r="K806">
        <v>0.13400000000000001</v>
      </c>
      <c r="L806" s="413">
        <f>K806*VLOOKUP(E806,GWPs!$B$3:$C$6,2,FALSE)</f>
        <v>0.13400000000000001</v>
      </c>
      <c r="N806">
        <v>3</v>
      </c>
      <c r="O806">
        <v>2</v>
      </c>
      <c r="P806">
        <v>1</v>
      </c>
      <c r="Q806">
        <v>3</v>
      </c>
      <c r="R806">
        <v>1</v>
      </c>
    </row>
    <row r="807" spans="1:18">
      <c r="A807" t="str">
        <f>_xlfn.IFNA(IF(VLOOKUP(C807,'2016_Detail_Commodity_v1.0'!C:C,1,FALSE)=C807,"No change"),"Name changed")</f>
        <v>No change</v>
      </c>
      <c r="B807" t="s">
        <v>711</v>
      </c>
      <c r="C807" t="s">
        <v>712</v>
      </c>
      <c r="E807" t="s">
        <v>3654</v>
      </c>
      <c r="F807" t="s">
        <v>12</v>
      </c>
      <c r="G807">
        <v>0</v>
      </c>
      <c r="H807" s="413">
        <f>G807*VLOOKUP(E807,GWPs!$B$3:$C$6,2,FALSE)</f>
        <v>0</v>
      </c>
      <c r="I807">
        <v>0</v>
      </c>
      <c r="J807" s="413">
        <f>I807*VLOOKUP(E807,GWPs!$B$3:$C$6,2,FALSE)</f>
        <v>0</v>
      </c>
      <c r="K807">
        <v>1E-3</v>
      </c>
      <c r="L807" s="413">
        <f>K807*VLOOKUP(E807,GWPs!$B$3:$C$6,2,FALSE)</f>
        <v>2.8000000000000001E-2</v>
      </c>
      <c r="N807">
        <v>4</v>
      </c>
      <c r="O807">
        <v>2</v>
      </c>
      <c r="P807">
        <v>1</v>
      </c>
      <c r="Q807">
        <v>1</v>
      </c>
      <c r="R807">
        <v>1</v>
      </c>
    </row>
    <row r="808" spans="1:18">
      <c r="A808" t="str">
        <f>_xlfn.IFNA(IF(VLOOKUP(C808,'2016_Detail_Commodity_v1.0'!C:C,1,FALSE)=C808,"No change"),"Name changed")</f>
        <v>No change</v>
      </c>
      <c r="B808" t="s">
        <v>711</v>
      </c>
      <c r="C808" t="s">
        <v>712</v>
      </c>
      <c r="E808" t="s">
        <v>3655</v>
      </c>
      <c r="F808" t="s">
        <v>12</v>
      </c>
      <c r="G808">
        <v>0</v>
      </c>
      <c r="H808" s="413">
        <f>G808*VLOOKUP(E808,GWPs!$B$3:$C$6,2,FALSE)</f>
        <v>0</v>
      </c>
      <c r="I808">
        <v>0</v>
      </c>
      <c r="J808" s="413">
        <f>I808*VLOOKUP(E808,GWPs!$B$3:$C$6,2,FALSE)</f>
        <v>0</v>
      </c>
      <c r="K808">
        <v>0</v>
      </c>
      <c r="L808" s="413">
        <f>K808*VLOOKUP(E808,GWPs!$B$3:$C$6,2,FALSE)</f>
        <v>0</v>
      </c>
      <c r="N808">
        <v>3</v>
      </c>
      <c r="O808">
        <v>2</v>
      </c>
      <c r="P808">
        <v>1</v>
      </c>
      <c r="Q808">
        <v>3</v>
      </c>
      <c r="R808">
        <v>1</v>
      </c>
    </row>
    <row r="809" spans="1:18">
      <c r="A809" t="str">
        <f>_xlfn.IFNA(IF(VLOOKUP(C809,'2016_Detail_Commodity_v1.0'!C:C,1,FALSE)=C809,"No change"),"Name changed")</f>
        <v>No change</v>
      </c>
      <c r="B809" t="s">
        <v>711</v>
      </c>
      <c r="C809" t="s">
        <v>712</v>
      </c>
      <c r="E809" t="s">
        <v>15</v>
      </c>
      <c r="F809" t="s">
        <v>16</v>
      </c>
      <c r="G809">
        <v>8.9999999999999993E-3</v>
      </c>
      <c r="H809" s="413">
        <f>G809*VLOOKUP(E809,GWPs!$B$3:$C$6,2,FALSE)</f>
        <v>8.9999999999999993E-3</v>
      </c>
      <c r="I809">
        <v>0</v>
      </c>
      <c r="J809" s="413">
        <f>I809*VLOOKUP(E809,GWPs!$B$3:$C$6,2,FALSE)</f>
        <v>0</v>
      </c>
      <c r="K809">
        <v>8.9999999999999993E-3</v>
      </c>
      <c r="L809" s="413">
        <f>K809*VLOOKUP(E809,GWPs!$B$3:$C$6,2,FALSE)</f>
        <v>8.9999999999999993E-3</v>
      </c>
      <c r="N809">
        <v>3</v>
      </c>
      <c r="O809">
        <v>2</v>
      </c>
      <c r="P809">
        <v>1</v>
      </c>
      <c r="Q809">
        <v>3</v>
      </c>
      <c r="R809">
        <v>1</v>
      </c>
    </row>
    <row r="810" spans="1:18">
      <c r="A810" t="str">
        <f>_xlfn.IFNA(IF(VLOOKUP(C810,'2016_Detail_Commodity_v1.0'!C:C,1,FALSE)=C810,"No change"),"Name changed")</f>
        <v>No change</v>
      </c>
      <c r="B810" t="s">
        <v>713</v>
      </c>
      <c r="C810" t="s">
        <v>714</v>
      </c>
      <c r="E810" t="s">
        <v>3653</v>
      </c>
      <c r="F810" t="s">
        <v>12</v>
      </c>
      <c r="G810">
        <v>9.0999999999999998E-2</v>
      </c>
      <c r="H810" s="413">
        <f>G810*VLOOKUP(E810,GWPs!$B$3:$C$6,2,FALSE)</f>
        <v>9.0999999999999998E-2</v>
      </c>
      <c r="I810">
        <v>1.7999999999999999E-2</v>
      </c>
      <c r="J810" s="413">
        <f>I810*VLOOKUP(E810,GWPs!$B$3:$C$6,2,FALSE)</f>
        <v>1.7999999999999999E-2</v>
      </c>
      <c r="K810">
        <v>0.11</v>
      </c>
      <c r="L810" s="413">
        <f>K810*VLOOKUP(E810,GWPs!$B$3:$C$6,2,FALSE)</f>
        <v>0.11</v>
      </c>
      <c r="N810">
        <v>3</v>
      </c>
      <c r="O810">
        <v>2</v>
      </c>
      <c r="P810">
        <v>1</v>
      </c>
      <c r="Q810">
        <v>3</v>
      </c>
      <c r="R810">
        <v>1</v>
      </c>
    </row>
    <row r="811" spans="1:18">
      <c r="A811" t="str">
        <f>_xlfn.IFNA(IF(VLOOKUP(C811,'2016_Detail_Commodity_v1.0'!C:C,1,FALSE)=C811,"No change"),"Name changed")</f>
        <v>No change</v>
      </c>
      <c r="B811" t="s">
        <v>713</v>
      </c>
      <c r="C811" t="s">
        <v>714</v>
      </c>
      <c r="E811" t="s">
        <v>3654</v>
      </c>
      <c r="F811" t="s">
        <v>12</v>
      </c>
      <c r="G811">
        <v>0</v>
      </c>
      <c r="H811" s="413">
        <f>G811*VLOOKUP(E811,GWPs!$B$3:$C$6,2,FALSE)</f>
        <v>0</v>
      </c>
      <c r="I811">
        <v>0</v>
      </c>
      <c r="J811" s="413">
        <f>I811*VLOOKUP(E811,GWPs!$B$3:$C$6,2,FALSE)</f>
        <v>0</v>
      </c>
      <c r="K811">
        <v>0</v>
      </c>
      <c r="L811" s="413">
        <f>K811*VLOOKUP(E811,GWPs!$B$3:$C$6,2,FALSE)</f>
        <v>0</v>
      </c>
      <c r="N811">
        <v>4</v>
      </c>
      <c r="O811">
        <v>2</v>
      </c>
      <c r="P811">
        <v>1</v>
      </c>
      <c r="Q811">
        <v>1</v>
      </c>
      <c r="R811">
        <v>1</v>
      </c>
    </row>
    <row r="812" spans="1:18">
      <c r="A812" t="str">
        <f>_xlfn.IFNA(IF(VLOOKUP(C812,'2016_Detail_Commodity_v1.0'!C:C,1,FALSE)=C812,"No change"),"Name changed")</f>
        <v>No change</v>
      </c>
      <c r="B812" t="s">
        <v>713</v>
      </c>
      <c r="C812" t="s">
        <v>714</v>
      </c>
      <c r="E812" t="s">
        <v>3655</v>
      </c>
      <c r="F812" t="s">
        <v>12</v>
      </c>
      <c r="G812">
        <v>0</v>
      </c>
      <c r="H812" s="413">
        <f>G812*VLOOKUP(E812,GWPs!$B$3:$C$6,2,FALSE)</f>
        <v>0</v>
      </c>
      <c r="I812">
        <v>0</v>
      </c>
      <c r="J812" s="413">
        <f>I812*VLOOKUP(E812,GWPs!$B$3:$C$6,2,FALSE)</f>
        <v>0</v>
      </c>
      <c r="K812">
        <v>0</v>
      </c>
      <c r="L812" s="413">
        <f>K812*VLOOKUP(E812,GWPs!$B$3:$C$6,2,FALSE)</f>
        <v>0</v>
      </c>
      <c r="N812">
        <v>3</v>
      </c>
      <c r="O812">
        <v>2</v>
      </c>
      <c r="P812">
        <v>1</v>
      </c>
      <c r="Q812">
        <v>3</v>
      </c>
      <c r="R812">
        <v>1</v>
      </c>
    </row>
    <row r="813" spans="1:18">
      <c r="A813" t="str">
        <f>_xlfn.IFNA(IF(VLOOKUP(C813,'2016_Detail_Commodity_v1.0'!C:C,1,FALSE)=C813,"No change"),"Name changed")</f>
        <v>No change</v>
      </c>
      <c r="B813" t="s">
        <v>713</v>
      </c>
      <c r="C813" t="s">
        <v>714</v>
      </c>
      <c r="E813" t="s">
        <v>15</v>
      </c>
      <c r="F813" t="s">
        <v>16</v>
      </c>
      <c r="G813">
        <v>3.0000000000000001E-3</v>
      </c>
      <c r="H813" s="413">
        <f>G813*VLOOKUP(E813,GWPs!$B$3:$C$6,2,FALSE)</f>
        <v>3.0000000000000001E-3</v>
      </c>
      <c r="I813">
        <v>0</v>
      </c>
      <c r="J813" s="413">
        <f>I813*VLOOKUP(E813,GWPs!$B$3:$C$6,2,FALSE)</f>
        <v>0</v>
      </c>
      <c r="K813">
        <v>3.0000000000000001E-3</v>
      </c>
      <c r="L813" s="413">
        <f>K813*VLOOKUP(E813,GWPs!$B$3:$C$6,2,FALSE)</f>
        <v>3.0000000000000001E-3</v>
      </c>
      <c r="N813">
        <v>3</v>
      </c>
      <c r="O813">
        <v>2</v>
      </c>
      <c r="P813">
        <v>1</v>
      </c>
      <c r="Q813">
        <v>2</v>
      </c>
      <c r="R813">
        <v>1</v>
      </c>
    </row>
    <row r="814" spans="1:18">
      <c r="A814" t="str">
        <f>_xlfn.IFNA(IF(VLOOKUP(C814,'2016_Detail_Commodity_v1.0'!C:C,1,FALSE)=C814,"No change"),"Name changed")</f>
        <v>No change</v>
      </c>
      <c r="B814" t="s">
        <v>715</v>
      </c>
      <c r="C814" t="s">
        <v>716</v>
      </c>
      <c r="E814" t="s">
        <v>3653</v>
      </c>
      <c r="F814" t="s">
        <v>12</v>
      </c>
      <c r="G814">
        <v>4.2999999999999997E-2</v>
      </c>
      <c r="H814" s="413">
        <f>G814*VLOOKUP(E814,GWPs!$B$3:$C$6,2,FALSE)</f>
        <v>4.2999999999999997E-2</v>
      </c>
      <c r="I814">
        <v>2.5000000000000001E-2</v>
      </c>
      <c r="J814" s="413">
        <f>I814*VLOOKUP(E814,GWPs!$B$3:$C$6,2,FALSE)</f>
        <v>2.5000000000000001E-2</v>
      </c>
      <c r="K814">
        <v>6.8000000000000005E-2</v>
      </c>
      <c r="L814" s="413">
        <f>K814*VLOOKUP(E814,GWPs!$B$3:$C$6,2,FALSE)</f>
        <v>6.8000000000000005E-2</v>
      </c>
      <c r="N814">
        <v>3</v>
      </c>
      <c r="O814">
        <v>2</v>
      </c>
      <c r="P814">
        <v>1</v>
      </c>
      <c r="Q814">
        <v>3</v>
      </c>
      <c r="R814">
        <v>1</v>
      </c>
    </row>
    <row r="815" spans="1:18">
      <c r="A815" t="str">
        <f>_xlfn.IFNA(IF(VLOOKUP(C815,'2016_Detail_Commodity_v1.0'!C:C,1,FALSE)=C815,"No change"),"Name changed")</f>
        <v>No change</v>
      </c>
      <c r="B815" t="s">
        <v>715</v>
      </c>
      <c r="C815" t="s">
        <v>716</v>
      </c>
      <c r="E815" t="s">
        <v>3654</v>
      </c>
      <c r="F815" t="s">
        <v>12</v>
      </c>
      <c r="G815">
        <v>0</v>
      </c>
      <c r="H815" s="413">
        <f>G815*VLOOKUP(E815,GWPs!$B$3:$C$6,2,FALSE)</f>
        <v>0</v>
      </c>
      <c r="I815">
        <v>0</v>
      </c>
      <c r="J815" s="413">
        <f>I815*VLOOKUP(E815,GWPs!$B$3:$C$6,2,FALSE)</f>
        <v>0</v>
      </c>
      <c r="K815">
        <v>0</v>
      </c>
      <c r="L815" s="413">
        <f>K815*VLOOKUP(E815,GWPs!$B$3:$C$6,2,FALSE)</f>
        <v>0</v>
      </c>
      <c r="N815">
        <v>4</v>
      </c>
      <c r="O815">
        <v>2</v>
      </c>
      <c r="P815">
        <v>1</v>
      </c>
      <c r="Q815">
        <v>1</v>
      </c>
      <c r="R815">
        <v>1</v>
      </c>
    </row>
    <row r="816" spans="1:18">
      <c r="A816" t="str">
        <f>_xlfn.IFNA(IF(VLOOKUP(C816,'2016_Detail_Commodity_v1.0'!C:C,1,FALSE)=C816,"No change"),"Name changed")</f>
        <v>No change</v>
      </c>
      <c r="B816" t="s">
        <v>715</v>
      </c>
      <c r="C816" t="s">
        <v>716</v>
      </c>
      <c r="E816" t="s">
        <v>3655</v>
      </c>
      <c r="F816" t="s">
        <v>12</v>
      </c>
      <c r="G816">
        <v>0</v>
      </c>
      <c r="H816" s="413">
        <f>G816*VLOOKUP(E816,GWPs!$B$3:$C$6,2,FALSE)</f>
        <v>0</v>
      </c>
      <c r="I816">
        <v>0</v>
      </c>
      <c r="J816" s="413">
        <f>I816*VLOOKUP(E816,GWPs!$B$3:$C$6,2,FALSE)</f>
        <v>0</v>
      </c>
      <c r="K816">
        <v>0</v>
      </c>
      <c r="L816" s="413">
        <f>K816*VLOOKUP(E816,GWPs!$B$3:$C$6,2,FALSE)</f>
        <v>0</v>
      </c>
      <c r="N816">
        <v>3</v>
      </c>
      <c r="O816">
        <v>2</v>
      </c>
      <c r="P816">
        <v>1</v>
      </c>
      <c r="Q816">
        <v>3</v>
      </c>
      <c r="R816">
        <v>1</v>
      </c>
    </row>
    <row r="817" spans="1:18">
      <c r="A817" t="str">
        <f>_xlfn.IFNA(IF(VLOOKUP(C817,'2016_Detail_Commodity_v1.0'!C:C,1,FALSE)=C817,"No change"),"Name changed")</f>
        <v>No change</v>
      </c>
      <c r="B817" t="s">
        <v>715</v>
      </c>
      <c r="C817" t="s">
        <v>716</v>
      </c>
      <c r="E817" t="s">
        <v>15</v>
      </c>
      <c r="F817" t="s">
        <v>16</v>
      </c>
      <c r="G817">
        <v>2E-3</v>
      </c>
      <c r="H817" s="413">
        <f>G817*VLOOKUP(E817,GWPs!$B$3:$C$6,2,FALSE)</f>
        <v>2E-3</v>
      </c>
      <c r="I817">
        <v>0</v>
      </c>
      <c r="J817" s="413">
        <f>I817*VLOOKUP(E817,GWPs!$B$3:$C$6,2,FALSE)</f>
        <v>0</v>
      </c>
      <c r="K817">
        <v>2E-3</v>
      </c>
      <c r="L817" s="413">
        <f>K817*VLOOKUP(E817,GWPs!$B$3:$C$6,2,FALSE)</f>
        <v>2E-3</v>
      </c>
      <c r="N817">
        <v>3</v>
      </c>
      <c r="O817">
        <v>2</v>
      </c>
      <c r="P817">
        <v>1</v>
      </c>
      <c r="Q817">
        <v>2</v>
      </c>
      <c r="R817">
        <v>1</v>
      </c>
    </row>
    <row r="818" spans="1:18">
      <c r="A818" t="str">
        <f>_xlfn.IFNA(IF(VLOOKUP(C818,'2016_Detail_Commodity_v1.0'!C:C,1,FALSE)=C818,"No change"),"Name changed")</f>
        <v>No change</v>
      </c>
      <c r="B818" t="s">
        <v>717</v>
      </c>
      <c r="C818" t="s">
        <v>718</v>
      </c>
      <c r="E818" t="s">
        <v>3653</v>
      </c>
      <c r="F818" t="s">
        <v>12</v>
      </c>
      <c r="G818">
        <v>7.9000000000000001E-2</v>
      </c>
      <c r="H818" s="413">
        <f>G818*VLOOKUP(E818,GWPs!$B$3:$C$6,2,FALSE)</f>
        <v>7.9000000000000001E-2</v>
      </c>
      <c r="I818">
        <v>2.9000000000000001E-2</v>
      </c>
      <c r="J818" s="413">
        <f>I818*VLOOKUP(E818,GWPs!$B$3:$C$6,2,FALSE)</f>
        <v>2.9000000000000001E-2</v>
      </c>
      <c r="K818">
        <v>0.108</v>
      </c>
      <c r="L818" s="413">
        <f>K818*VLOOKUP(E818,GWPs!$B$3:$C$6,2,FALSE)</f>
        <v>0.108</v>
      </c>
      <c r="N818">
        <v>3</v>
      </c>
      <c r="O818">
        <v>2</v>
      </c>
      <c r="P818">
        <v>1</v>
      </c>
      <c r="Q818">
        <v>3</v>
      </c>
      <c r="R818">
        <v>1</v>
      </c>
    </row>
    <row r="819" spans="1:18">
      <c r="A819" t="str">
        <f>_xlfn.IFNA(IF(VLOOKUP(C819,'2016_Detail_Commodity_v1.0'!C:C,1,FALSE)=C819,"No change"),"Name changed")</f>
        <v>No change</v>
      </c>
      <c r="B819" t="s">
        <v>717</v>
      </c>
      <c r="C819" t="s">
        <v>718</v>
      </c>
      <c r="E819" t="s">
        <v>3654</v>
      </c>
      <c r="F819" t="s">
        <v>12</v>
      </c>
      <c r="G819">
        <v>0</v>
      </c>
      <c r="H819" s="413">
        <f>G819*VLOOKUP(E819,GWPs!$B$3:$C$6,2,FALSE)</f>
        <v>0</v>
      </c>
      <c r="I819">
        <v>0</v>
      </c>
      <c r="J819" s="413">
        <f>I819*VLOOKUP(E819,GWPs!$B$3:$C$6,2,FALSE)</f>
        <v>0</v>
      </c>
      <c r="K819">
        <v>0</v>
      </c>
      <c r="L819" s="413">
        <f>K819*VLOOKUP(E819,GWPs!$B$3:$C$6,2,FALSE)</f>
        <v>0</v>
      </c>
      <c r="N819">
        <v>3</v>
      </c>
      <c r="O819">
        <v>2</v>
      </c>
      <c r="P819">
        <v>1</v>
      </c>
      <c r="Q819">
        <v>1</v>
      </c>
      <c r="R819">
        <v>1</v>
      </c>
    </row>
    <row r="820" spans="1:18">
      <c r="A820" t="str">
        <f>_xlfn.IFNA(IF(VLOOKUP(C820,'2016_Detail_Commodity_v1.0'!C:C,1,FALSE)=C820,"No change"),"Name changed")</f>
        <v>No change</v>
      </c>
      <c r="B820" t="s">
        <v>717</v>
      </c>
      <c r="C820" t="s">
        <v>718</v>
      </c>
      <c r="E820" t="s">
        <v>3655</v>
      </c>
      <c r="F820" t="s">
        <v>12</v>
      </c>
      <c r="G820">
        <v>0</v>
      </c>
      <c r="H820" s="413">
        <f>G820*VLOOKUP(E820,GWPs!$B$3:$C$6,2,FALSE)</f>
        <v>0</v>
      </c>
      <c r="I820">
        <v>0</v>
      </c>
      <c r="J820" s="413">
        <f>I820*VLOOKUP(E820,GWPs!$B$3:$C$6,2,FALSE)</f>
        <v>0</v>
      </c>
      <c r="K820">
        <v>0</v>
      </c>
      <c r="L820" s="413">
        <f>K820*VLOOKUP(E820,GWPs!$B$3:$C$6,2,FALSE)</f>
        <v>0</v>
      </c>
      <c r="N820">
        <v>3</v>
      </c>
      <c r="O820">
        <v>2</v>
      </c>
      <c r="P820">
        <v>1</v>
      </c>
      <c r="Q820">
        <v>3</v>
      </c>
      <c r="R820">
        <v>1</v>
      </c>
    </row>
    <row r="821" spans="1:18">
      <c r="A821" t="str">
        <f>_xlfn.IFNA(IF(VLOOKUP(C821,'2016_Detail_Commodity_v1.0'!C:C,1,FALSE)=C821,"No change"),"Name changed")</f>
        <v>No change</v>
      </c>
      <c r="B821" t="s">
        <v>717</v>
      </c>
      <c r="C821" t="s">
        <v>718</v>
      </c>
      <c r="E821" t="s">
        <v>15</v>
      </c>
      <c r="F821" t="s">
        <v>16</v>
      </c>
      <c r="G821">
        <v>2E-3</v>
      </c>
      <c r="H821" s="413">
        <f>G821*VLOOKUP(E821,GWPs!$B$3:$C$6,2,FALSE)</f>
        <v>2E-3</v>
      </c>
      <c r="I821">
        <v>0</v>
      </c>
      <c r="J821" s="413">
        <f>I821*VLOOKUP(E821,GWPs!$B$3:$C$6,2,FALSE)</f>
        <v>0</v>
      </c>
      <c r="K821">
        <v>2E-3</v>
      </c>
      <c r="L821" s="413">
        <f>K821*VLOOKUP(E821,GWPs!$B$3:$C$6,2,FALSE)</f>
        <v>2E-3</v>
      </c>
      <c r="N821">
        <v>3</v>
      </c>
      <c r="O821">
        <v>2</v>
      </c>
      <c r="P821">
        <v>1</v>
      </c>
      <c r="Q821">
        <v>3</v>
      </c>
      <c r="R821">
        <v>1</v>
      </c>
    </row>
    <row r="822" spans="1:18">
      <c r="A822" t="str">
        <f>_xlfn.IFNA(IF(VLOOKUP(C822,'2016_Detail_Commodity_v1.0'!C:C,1,FALSE)=C822,"No change"),"Name changed")</f>
        <v>No change</v>
      </c>
      <c r="B822" t="s">
        <v>719</v>
      </c>
      <c r="C822" t="s">
        <v>720</v>
      </c>
      <c r="E822" t="s">
        <v>3653</v>
      </c>
      <c r="F822" t="s">
        <v>12</v>
      </c>
      <c r="G822">
        <v>5.8999999999999997E-2</v>
      </c>
      <c r="H822" s="413">
        <f>G822*VLOOKUP(E822,GWPs!$B$3:$C$6,2,FALSE)</f>
        <v>5.8999999999999997E-2</v>
      </c>
      <c r="I822">
        <v>2.5999999999999999E-2</v>
      </c>
      <c r="J822" s="413">
        <f>I822*VLOOKUP(E822,GWPs!$B$3:$C$6,2,FALSE)</f>
        <v>2.5999999999999999E-2</v>
      </c>
      <c r="K822">
        <v>8.5999999999999993E-2</v>
      </c>
      <c r="L822" s="413">
        <f>K822*VLOOKUP(E822,GWPs!$B$3:$C$6,2,FALSE)</f>
        <v>8.5999999999999993E-2</v>
      </c>
      <c r="N822">
        <v>3</v>
      </c>
      <c r="O822">
        <v>2</v>
      </c>
      <c r="P822">
        <v>1</v>
      </c>
      <c r="Q822">
        <v>3</v>
      </c>
      <c r="R822">
        <v>1</v>
      </c>
    </row>
    <row r="823" spans="1:18">
      <c r="A823" t="str">
        <f>_xlfn.IFNA(IF(VLOOKUP(C823,'2016_Detail_Commodity_v1.0'!C:C,1,FALSE)=C823,"No change"),"Name changed")</f>
        <v>No change</v>
      </c>
      <c r="B823" t="s">
        <v>719</v>
      </c>
      <c r="C823" t="s">
        <v>720</v>
      </c>
      <c r="E823" t="s">
        <v>3654</v>
      </c>
      <c r="F823" t="s">
        <v>12</v>
      </c>
      <c r="G823">
        <v>0</v>
      </c>
      <c r="H823" s="413">
        <f>G823*VLOOKUP(E823,GWPs!$B$3:$C$6,2,FALSE)</f>
        <v>0</v>
      </c>
      <c r="I823">
        <v>0</v>
      </c>
      <c r="J823" s="413">
        <f>I823*VLOOKUP(E823,GWPs!$B$3:$C$6,2,FALSE)</f>
        <v>0</v>
      </c>
      <c r="K823">
        <v>0</v>
      </c>
      <c r="L823" s="413">
        <f>K823*VLOOKUP(E823,GWPs!$B$3:$C$6,2,FALSE)</f>
        <v>0</v>
      </c>
      <c r="N823">
        <v>4</v>
      </c>
      <c r="O823">
        <v>2</v>
      </c>
      <c r="P823">
        <v>1</v>
      </c>
      <c r="Q823">
        <v>1</v>
      </c>
      <c r="R823">
        <v>1</v>
      </c>
    </row>
    <row r="824" spans="1:18">
      <c r="A824" t="str">
        <f>_xlfn.IFNA(IF(VLOOKUP(C824,'2016_Detail_Commodity_v1.0'!C:C,1,FALSE)=C824,"No change"),"Name changed")</f>
        <v>No change</v>
      </c>
      <c r="B824" t="s">
        <v>719</v>
      </c>
      <c r="C824" t="s">
        <v>720</v>
      </c>
      <c r="E824" t="s">
        <v>3655</v>
      </c>
      <c r="F824" t="s">
        <v>12</v>
      </c>
      <c r="G824">
        <v>0</v>
      </c>
      <c r="H824" s="413">
        <f>G824*VLOOKUP(E824,GWPs!$B$3:$C$6,2,FALSE)</f>
        <v>0</v>
      </c>
      <c r="I824">
        <v>0</v>
      </c>
      <c r="J824" s="413">
        <f>I824*VLOOKUP(E824,GWPs!$B$3:$C$6,2,FALSE)</f>
        <v>0</v>
      </c>
      <c r="K824">
        <v>0</v>
      </c>
      <c r="L824" s="413">
        <f>K824*VLOOKUP(E824,GWPs!$B$3:$C$6,2,FALSE)</f>
        <v>0</v>
      </c>
      <c r="N824">
        <v>3</v>
      </c>
      <c r="O824">
        <v>2</v>
      </c>
      <c r="P824">
        <v>1</v>
      </c>
      <c r="Q824">
        <v>3</v>
      </c>
      <c r="R824">
        <v>1</v>
      </c>
    </row>
    <row r="825" spans="1:18">
      <c r="A825" t="str">
        <f>_xlfn.IFNA(IF(VLOOKUP(C825,'2016_Detail_Commodity_v1.0'!C:C,1,FALSE)=C825,"No change"),"Name changed")</f>
        <v>No change</v>
      </c>
      <c r="B825" t="s">
        <v>719</v>
      </c>
      <c r="C825" t="s">
        <v>720</v>
      </c>
      <c r="E825" t="s">
        <v>15</v>
      </c>
      <c r="F825" t="s">
        <v>16</v>
      </c>
      <c r="G825">
        <v>2E-3</v>
      </c>
      <c r="H825" s="413">
        <f>G825*VLOOKUP(E825,GWPs!$B$3:$C$6,2,FALSE)</f>
        <v>2E-3</v>
      </c>
      <c r="I825">
        <v>0</v>
      </c>
      <c r="J825" s="413">
        <f>I825*VLOOKUP(E825,GWPs!$B$3:$C$6,2,FALSE)</f>
        <v>0</v>
      </c>
      <c r="K825">
        <v>2E-3</v>
      </c>
      <c r="L825" s="413">
        <f>K825*VLOOKUP(E825,GWPs!$B$3:$C$6,2,FALSE)</f>
        <v>2E-3</v>
      </c>
      <c r="N825">
        <v>3</v>
      </c>
      <c r="O825">
        <v>2</v>
      </c>
      <c r="P825">
        <v>1</v>
      </c>
      <c r="Q825">
        <v>3</v>
      </c>
      <c r="R825">
        <v>1</v>
      </c>
    </row>
    <row r="826" spans="1:18">
      <c r="A826" t="str">
        <f>_xlfn.IFNA(IF(VLOOKUP(C826,'2016_Detail_Commodity_v1.0'!C:C,1,FALSE)=C826,"No change"),"Name changed")</f>
        <v>No change</v>
      </c>
      <c r="B826" t="s">
        <v>721</v>
      </c>
      <c r="C826" t="s">
        <v>722</v>
      </c>
      <c r="E826" t="s">
        <v>3653</v>
      </c>
      <c r="F826" t="s">
        <v>12</v>
      </c>
      <c r="G826">
        <v>0.12</v>
      </c>
      <c r="H826" s="413">
        <f>G826*VLOOKUP(E826,GWPs!$B$3:$C$6,2,FALSE)</f>
        <v>0.12</v>
      </c>
      <c r="I826">
        <v>4.5999999999999999E-2</v>
      </c>
      <c r="J826" s="413">
        <f>I826*VLOOKUP(E826,GWPs!$B$3:$C$6,2,FALSE)</f>
        <v>4.5999999999999999E-2</v>
      </c>
      <c r="K826">
        <v>0.16600000000000001</v>
      </c>
      <c r="L826" s="413">
        <f>K826*VLOOKUP(E826,GWPs!$B$3:$C$6,2,FALSE)</f>
        <v>0.16600000000000001</v>
      </c>
      <c r="N826">
        <v>3</v>
      </c>
      <c r="O826">
        <v>2</v>
      </c>
      <c r="P826">
        <v>1</v>
      </c>
      <c r="Q826">
        <v>3</v>
      </c>
      <c r="R826">
        <v>1</v>
      </c>
    </row>
    <row r="827" spans="1:18">
      <c r="A827" t="str">
        <f>_xlfn.IFNA(IF(VLOOKUP(C827,'2016_Detail_Commodity_v1.0'!C:C,1,FALSE)=C827,"No change"),"Name changed")</f>
        <v>No change</v>
      </c>
      <c r="B827" t="s">
        <v>721</v>
      </c>
      <c r="C827" t="s">
        <v>722</v>
      </c>
      <c r="E827" t="s">
        <v>3654</v>
      </c>
      <c r="F827" t="s">
        <v>12</v>
      </c>
      <c r="G827">
        <v>0</v>
      </c>
      <c r="H827" s="413">
        <f>G827*VLOOKUP(E827,GWPs!$B$3:$C$6,2,FALSE)</f>
        <v>0</v>
      </c>
      <c r="I827">
        <v>0</v>
      </c>
      <c r="J827" s="413">
        <f>I827*VLOOKUP(E827,GWPs!$B$3:$C$6,2,FALSE)</f>
        <v>0</v>
      </c>
      <c r="K827">
        <v>1E-3</v>
      </c>
      <c r="L827" s="413">
        <f>K827*VLOOKUP(E827,GWPs!$B$3:$C$6,2,FALSE)</f>
        <v>2.8000000000000001E-2</v>
      </c>
      <c r="N827">
        <v>4</v>
      </c>
      <c r="O827">
        <v>2</v>
      </c>
      <c r="P827">
        <v>1</v>
      </c>
      <c r="Q827">
        <v>1</v>
      </c>
      <c r="R827">
        <v>1</v>
      </c>
    </row>
    <row r="828" spans="1:18">
      <c r="A828" t="str">
        <f>_xlfn.IFNA(IF(VLOOKUP(C828,'2016_Detail_Commodity_v1.0'!C:C,1,FALSE)=C828,"No change"),"Name changed")</f>
        <v>No change</v>
      </c>
      <c r="B828" t="s">
        <v>721</v>
      </c>
      <c r="C828" t="s">
        <v>722</v>
      </c>
      <c r="E828" t="s">
        <v>3655</v>
      </c>
      <c r="F828" t="s">
        <v>12</v>
      </c>
      <c r="G828">
        <v>0</v>
      </c>
      <c r="H828" s="413">
        <f>G828*VLOOKUP(E828,GWPs!$B$3:$C$6,2,FALSE)</f>
        <v>0</v>
      </c>
      <c r="I828">
        <v>0</v>
      </c>
      <c r="J828" s="413">
        <f>I828*VLOOKUP(E828,GWPs!$B$3:$C$6,2,FALSE)</f>
        <v>0</v>
      </c>
      <c r="K828">
        <v>0</v>
      </c>
      <c r="L828" s="413">
        <f>K828*VLOOKUP(E828,GWPs!$B$3:$C$6,2,FALSE)</f>
        <v>0</v>
      </c>
      <c r="N828">
        <v>3</v>
      </c>
      <c r="O828">
        <v>2</v>
      </c>
      <c r="P828">
        <v>1</v>
      </c>
      <c r="Q828">
        <v>3</v>
      </c>
      <c r="R828">
        <v>1</v>
      </c>
    </row>
    <row r="829" spans="1:18">
      <c r="A829" t="str">
        <f>_xlfn.IFNA(IF(VLOOKUP(C829,'2016_Detail_Commodity_v1.0'!C:C,1,FALSE)=C829,"No change"),"Name changed")</f>
        <v>No change</v>
      </c>
      <c r="B829" t="s">
        <v>721</v>
      </c>
      <c r="C829" t="s">
        <v>722</v>
      </c>
      <c r="E829" t="s">
        <v>15</v>
      </c>
      <c r="F829" t="s">
        <v>16</v>
      </c>
      <c r="G829">
        <v>3.0000000000000001E-3</v>
      </c>
      <c r="H829" s="413">
        <f>G829*VLOOKUP(E829,GWPs!$B$3:$C$6,2,FALSE)</f>
        <v>3.0000000000000001E-3</v>
      </c>
      <c r="I829">
        <v>0</v>
      </c>
      <c r="J829" s="413">
        <f>I829*VLOOKUP(E829,GWPs!$B$3:$C$6,2,FALSE)</f>
        <v>0</v>
      </c>
      <c r="K829">
        <v>3.0000000000000001E-3</v>
      </c>
      <c r="L829" s="413">
        <f>K829*VLOOKUP(E829,GWPs!$B$3:$C$6,2,FALSE)</f>
        <v>3.0000000000000001E-3</v>
      </c>
      <c r="N829">
        <v>3</v>
      </c>
      <c r="O829">
        <v>2</v>
      </c>
      <c r="P829">
        <v>1</v>
      </c>
      <c r="Q829">
        <v>2</v>
      </c>
      <c r="R829">
        <v>1</v>
      </c>
    </row>
    <row r="830" spans="1:18">
      <c r="A830" t="str">
        <f>_xlfn.IFNA(IF(VLOOKUP(C830,'2016_Detail_Commodity_v1.0'!C:C,1,FALSE)=C830,"No change"),"Name changed")</f>
        <v>No change</v>
      </c>
      <c r="B830" t="s">
        <v>723</v>
      </c>
      <c r="C830" t="s">
        <v>724</v>
      </c>
      <c r="E830" t="s">
        <v>3653</v>
      </c>
      <c r="F830" t="s">
        <v>12</v>
      </c>
      <c r="G830">
        <v>3.5000000000000003E-2</v>
      </c>
      <c r="H830" s="413">
        <f>G830*VLOOKUP(E830,GWPs!$B$3:$C$6,2,FALSE)</f>
        <v>3.5000000000000003E-2</v>
      </c>
      <c r="I830">
        <v>7.1999999999999995E-2</v>
      </c>
      <c r="J830" s="413">
        <f>I830*VLOOKUP(E830,GWPs!$B$3:$C$6,2,FALSE)</f>
        <v>7.1999999999999995E-2</v>
      </c>
      <c r="K830">
        <v>0.106</v>
      </c>
      <c r="L830" s="413">
        <f>K830*VLOOKUP(E830,GWPs!$B$3:$C$6,2,FALSE)</f>
        <v>0.106</v>
      </c>
      <c r="N830">
        <v>3</v>
      </c>
      <c r="O830">
        <v>2</v>
      </c>
      <c r="P830">
        <v>1</v>
      </c>
      <c r="Q830">
        <v>3</v>
      </c>
      <c r="R830">
        <v>1</v>
      </c>
    </row>
    <row r="831" spans="1:18">
      <c r="A831" t="str">
        <f>_xlfn.IFNA(IF(VLOOKUP(C831,'2016_Detail_Commodity_v1.0'!C:C,1,FALSE)=C831,"No change"),"Name changed")</f>
        <v>No change</v>
      </c>
      <c r="B831" t="s">
        <v>723</v>
      </c>
      <c r="C831" t="s">
        <v>724</v>
      </c>
      <c r="E831" t="s">
        <v>3654</v>
      </c>
      <c r="F831" t="s">
        <v>12</v>
      </c>
      <c r="G831">
        <v>0</v>
      </c>
      <c r="H831" s="413">
        <f>G831*VLOOKUP(E831,GWPs!$B$3:$C$6,2,FALSE)</f>
        <v>0</v>
      </c>
      <c r="I831">
        <v>0</v>
      </c>
      <c r="J831" s="413">
        <f>I831*VLOOKUP(E831,GWPs!$B$3:$C$6,2,FALSE)</f>
        <v>0</v>
      </c>
      <c r="K831">
        <v>0</v>
      </c>
      <c r="L831" s="413">
        <f>K831*VLOOKUP(E831,GWPs!$B$3:$C$6,2,FALSE)</f>
        <v>0</v>
      </c>
      <c r="N831">
        <v>4</v>
      </c>
      <c r="O831">
        <v>2</v>
      </c>
      <c r="P831">
        <v>1</v>
      </c>
      <c r="Q831">
        <v>1</v>
      </c>
      <c r="R831">
        <v>1</v>
      </c>
    </row>
    <row r="832" spans="1:18">
      <c r="A832" t="str">
        <f>_xlfn.IFNA(IF(VLOOKUP(C832,'2016_Detail_Commodity_v1.0'!C:C,1,FALSE)=C832,"No change"),"Name changed")</f>
        <v>No change</v>
      </c>
      <c r="B832" t="s">
        <v>723</v>
      </c>
      <c r="C832" t="s">
        <v>724</v>
      </c>
      <c r="E832" t="s">
        <v>3655</v>
      </c>
      <c r="F832" t="s">
        <v>12</v>
      </c>
      <c r="G832">
        <v>0</v>
      </c>
      <c r="H832" s="413">
        <f>G832*VLOOKUP(E832,GWPs!$B$3:$C$6,2,FALSE)</f>
        <v>0</v>
      </c>
      <c r="I832">
        <v>0</v>
      </c>
      <c r="J832" s="413">
        <f>I832*VLOOKUP(E832,GWPs!$B$3:$C$6,2,FALSE)</f>
        <v>0</v>
      </c>
      <c r="K832">
        <v>0</v>
      </c>
      <c r="L832" s="413">
        <f>K832*VLOOKUP(E832,GWPs!$B$3:$C$6,2,FALSE)</f>
        <v>0</v>
      </c>
      <c r="N832">
        <v>3</v>
      </c>
      <c r="O832">
        <v>2</v>
      </c>
      <c r="P832">
        <v>1</v>
      </c>
      <c r="Q832">
        <v>3</v>
      </c>
      <c r="R832">
        <v>1</v>
      </c>
    </row>
    <row r="833" spans="1:18">
      <c r="A833" t="str">
        <f>_xlfn.IFNA(IF(VLOOKUP(C833,'2016_Detail_Commodity_v1.0'!C:C,1,FALSE)=C833,"No change"),"Name changed")</f>
        <v>No change</v>
      </c>
      <c r="B833" t="s">
        <v>723</v>
      </c>
      <c r="C833" t="s">
        <v>724</v>
      </c>
      <c r="E833" t="s">
        <v>15</v>
      </c>
      <c r="F833" t="s">
        <v>16</v>
      </c>
      <c r="G833">
        <v>2E-3</v>
      </c>
      <c r="H833" s="413">
        <f>G833*VLOOKUP(E833,GWPs!$B$3:$C$6,2,FALSE)</f>
        <v>2E-3</v>
      </c>
      <c r="I833">
        <v>0</v>
      </c>
      <c r="J833" s="413">
        <f>I833*VLOOKUP(E833,GWPs!$B$3:$C$6,2,FALSE)</f>
        <v>0</v>
      </c>
      <c r="K833">
        <v>2E-3</v>
      </c>
      <c r="L833" s="413">
        <f>K833*VLOOKUP(E833,GWPs!$B$3:$C$6,2,FALSE)</f>
        <v>2E-3</v>
      </c>
      <c r="N833">
        <v>3</v>
      </c>
      <c r="O833">
        <v>2</v>
      </c>
      <c r="P833">
        <v>1</v>
      </c>
      <c r="Q833">
        <v>2</v>
      </c>
      <c r="R833">
        <v>1</v>
      </c>
    </row>
    <row r="834" spans="1:18">
      <c r="A834" t="str">
        <f>_xlfn.IFNA(IF(VLOOKUP(C834,'2016_Detail_Commodity_v1.0'!C:C,1,FALSE)=C834,"No change"),"Name changed")</f>
        <v>No change</v>
      </c>
      <c r="B834" t="s">
        <v>725</v>
      </c>
      <c r="C834" t="s">
        <v>726</v>
      </c>
      <c r="E834" t="s">
        <v>3653</v>
      </c>
      <c r="F834" t="s">
        <v>12</v>
      </c>
      <c r="G834">
        <v>0.10299999999999999</v>
      </c>
      <c r="H834" s="413">
        <f>G834*VLOOKUP(E834,GWPs!$B$3:$C$6,2,FALSE)</f>
        <v>0.10299999999999999</v>
      </c>
      <c r="I834">
        <v>2.5000000000000001E-2</v>
      </c>
      <c r="J834" s="413">
        <f>I834*VLOOKUP(E834,GWPs!$B$3:$C$6,2,FALSE)</f>
        <v>2.5000000000000001E-2</v>
      </c>
      <c r="K834">
        <v>0.128</v>
      </c>
      <c r="L834" s="413">
        <f>K834*VLOOKUP(E834,GWPs!$B$3:$C$6,2,FALSE)</f>
        <v>0.128</v>
      </c>
      <c r="N834">
        <v>3</v>
      </c>
      <c r="O834">
        <v>2</v>
      </c>
      <c r="P834">
        <v>1</v>
      </c>
      <c r="Q834">
        <v>3</v>
      </c>
      <c r="R834">
        <v>1</v>
      </c>
    </row>
    <row r="835" spans="1:18">
      <c r="A835" t="str">
        <f>_xlfn.IFNA(IF(VLOOKUP(C835,'2016_Detail_Commodity_v1.0'!C:C,1,FALSE)=C835,"No change"),"Name changed")</f>
        <v>No change</v>
      </c>
      <c r="B835" t="s">
        <v>725</v>
      </c>
      <c r="C835" t="s">
        <v>726</v>
      </c>
      <c r="E835" t="s">
        <v>3654</v>
      </c>
      <c r="F835" t="s">
        <v>12</v>
      </c>
      <c r="G835">
        <v>0</v>
      </c>
      <c r="H835" s="413">
        <f>G835*VLOOKUP(E835,GWPs!$B$3:$C$6,2,FALSE)</f>
        <v>0</v>
      </c>
      <c r="I835">
        <v>0</v>
      </c>
      <c r="J835" s="413">
        <f>I835*VLOOKUP(E835,GWPs!$B$3:$C$6,2,FALSE)</f>
        <v>0</v>
      </c>
      <c r="K835">
        <v>0</v>
      </c>
      <c r="L835" s="413">
        <f>K835*VLOOKUP(E835,GWPs!$B$3:$C$6,2,FALSE)</f>
        <v>0</v>
      </c>
      <c r="N835">
        <v>4</v>
      </c>
      <c r="O835">
        <v>2</v>
      </c>
      <c r="P835">
        <v>1</v>
      </c>
      <c r="Q835">
        <v>1</v>
      </c>
      <c r="R835">
        <v>1</v>
      </c>
    </row>
    <row r="836" spans="1:18">
      <c r="A836" t="str">
        <f>_xlfn.IFNA(IF(VLOOKUP(C836,'2016_Detail_Commodity_v1.0'!C:C,1,FALSE)=C836,"No change"),"Name changed")</f>
        <v>No change</v>
      </c>
      <c r="B836" t="s">
        <v>725</v>
      </c>
      <c r="C836" t="s">
        <v>726</v>
      </c>
      <c r="E836" t="s">
        <v>3655</v>
      </c>
      <c r="F836" t="s">
        <v>12</v>
      </c>
      <c r="G836">
        <v>0</v>
      </c>
      <c r="H836" s="413">
        <f>G836*VLOOKUP(E836,GWPs!$B$3:$C$6,2,FALSE)</f>
        <v>0</v>
      </c>
      <c r="I836">
        <v>0</v>
      </c>
      <c r="J836" s="413">
        <f>I836*VLOOKUP(E836,GWPs!$B$3:$C$6,2,FALSE)</f>
        <v>0</v>
      </c>
      <c r="K836">
        <v>0</v>
      </c>
      <c r="L836" s="413">
        <f>K836*VLOOKUP(E836,GWPs!$B$3:$C$6,2,FALSE)</f>
        <v>0</v>
      </c>
      <c r="N836">
        <v>3</v>
      </c>
      <c r="O836">
        <v>2</v>
      </c>
      <c r="P836">
        <v>1</v>
      </c>
      <c r="Q836">
        <v>3</v>
      </c>
      <c r="R836">
        <v>1</v>
      </c>
    </row>
    <row r="837" spans="1:18">
      <c r="A837" t="str">
        <f>_xlfn.IFNA(IF(VLOOKUP(C837,'2016_Detail_Commodity_v1.0'!C:C,1,FALSE)=C837,"No change"),"Name changed")</f>
        <v>No change</v>
      </c>
      <c r="B837" t="s">
        <v>725</v>
      </c>
      <c r="C837" t="s">
        <v>726</v>
      </c>
      <c r="E837" t="s">
        <v>15</v>
      </c>
      <c r="F837" t="s">
        <v>16</v>
      </c>
      <c r="G837">
        <v>3.0000000000000001E-3</v>
      </c>
      <c r="H837" s="413">
        <f>G837*VLOOKUP(E837,GWPs!$B$3:$C$6,2,FALSE)</f>
        <v>3.0000000000000001E-3</v>
      </c>
      <c r="I837">
        <v>0</v>
      </c>
      <c r="J837" s="413">
        <f>I837*VLOOKUP(E837,GWPs!$B$3:$C$6,2,FALSE)</f>
        <v>0</v>
      </c>
      <c r="K837">
        <v>3.0000000000000001E-3</v>
      </c>
      <c r="L837" s="413">
        <f>K837*VLOOKUP(E837,GWPs!$B$3:$C$6,2,FALSE)</f>
        <v>3.0000000000000001E-3</v>
      </c>
      <c r="N837">
        <v>3</v>
      </c>
      <c r="O837">
        <v>2</v>
      </c>
      <c r="P837">
        <v>1</v>
      </c>
      <c r="Q837">
        <v>2</v>
      </c>
      <c r="R837">
        <v>1</v>
      </c>
    </row>
    <row r="838" spans="1:18">
      <c r="A838" t="str">
        <f>_xlfn.IFNA(IF(VLOOKUP(C838,'2016_Detail_Commodity_v1.0'!C:C,1,FALSE)=C838,"No change"),"Name changed")</f>
        <v>No change</v>
      </c>
      <c r="B838" t="s">
        <v>727</v>
      </c>
      <c r="C838" t="s">
        <v>728</v>
      </c>
      <c r="E838" t="s">
        <v>3653</v>
      </c>
      <c r="F838" t="s">
        <v>12</v>
      </c>
      <c r="G838">
        <v>0.22700000000000001</v>
      </c>
      <c r="H838" s="413">
        <f>G838*VLOOKUP(E838,GWPs!$B$3:$C$6,2,FALSE)</f>
        <v>0.22700000000000001</v>
      </c>
      <c r="I838">
        <v>9.6000000000000002E-2</v>
      </c>
      <c r="J838" s="413">
        <f>I838*VLOOKUP(E838,GWPs!$B$3:$C$6,2,FALSE)</f>
        <v>9.6000000000000002E-2</v>
      </c>
      <c r="K838">
        <v>0.32300000000000001</v>
      </c>
      <c r="L838" s="413">
        <f>K838*VLOOKUP(E838,GWPs!$B$3:$C$6,2,FALSE)</f>
        <v>0.32300000000000001</v>
      </c>
      <c r="N838">
        <v>3</v>
      </c>
      <c r="O838">
        <v>2</v>
      </c>
      <c r="P838">
        <v>1</v>
      </c>
      <c r="Q838">
        <v>4</v>
      </c>
      <c r="R838">
        <v>1</v>
      </c>
    </row>
    <row r="839" spans="1:18">
      <c r="A839" t="str">
        <f>_xlfn.IFNA(IF(VLOOKUP(C839,'2016_Detail_Commodity_v1.0'!C:C,1,FALSE)=C839,"No change"),"Name changed")</f>
        <v>No change</v>
      </c>
      <c r="B839" t="s">
        <v>727</v>
      </c>
      <c r="C839" t="s">
        <v>728</v>
      </c>
      <c r="E839" t="s">
        <v>3654</v>
      </c>
      <c r="F839" t="s">
        <v>12</v>
      </c>
      <c r="G839">
        <v>1E-3</v>
      </c>
      <c r="H839" s="413">
        <f>G839*VLOOKUP(E839,GWPs!$B$3:$C$6,2,FALSE)</f>
        <v>2.8000000000000001E-2</v>
      </c>
      <c r="I839">
        <v>0</v>
      </c>
      <c r="J839" s="413">
        <f>I839*VLOOKUP(E839,GWPs!$B$3:$C$6,2,FALSE)</f>
        <v>0</v>
      </c>
      <c r="K839">
        <v>1E-3</v>
      </c>
      <c r="L839" s="413">
        <f>K839*VLOOKUP(E839,GWPs!$B$3:$C$6,2,FALSE)</f>
        <v>2.8000000000000001E-2</v>
      </c>
      <c r="N839">
        <v>4</v>
      </c>
      <c r="O839">
        <v>2</v>
      </c>
      <c r="P839">
        <v>1</v>
      </c>
      <c r="Q839">
        <v>1</v>
      </c>
      <c r="R839">
        <v>1</v>
      </c>
    </row>
    <row r="840" spans="1:18">
      <c r="A840" t="str">
        <f>_xlfn.IFNA(IF(VLOOKUP(C840,'2016_Detail_Commodity_v1.0'!C:C,1,FALSE)=C840,"No change"),"Name changed")</f>
        <v>No change</v>
      </c>
      <c r="B840" t="s">
        <v>727</v>
      </c>
      <c r="C840" t="s">
        <v>728</v>
      </c>
      <c r="E840" t="s">
        <v>3655</v>
      </c>
      <c r="F840" t="s">
        <v>12</v>
      </c>
      <c r="G840">
        <v>0</v>
      </c>
      <c r="H840" s="413">
        <f>G840*VLOOKUP(E840,GWPs!$B$3:$C$6,2,FALSE)</f>
        <v>0</v>
      </c>
      <c r="I840">
        <v>0</v>
      </c>
      <c r="J840" s="413">
        <f>I840*VLOOKUP(E840,GWPs!$B$3:$C$6,2,FALSE)</f>
        <v>0</v>
      </c>
      <c r="K840">
        <v>0</v>
      </c>
      <c r="L840" s="413">
        <f>K840*VLOOKUP(E840,GWPs!$B$3:$C$6,2,FALSE)</f>
        <v>0</v>
      </c>
      <c r="N840">
        <v>3</v>
      </c>
      <c r="O840">
        <v>2</v>
      </c>
      <c r="P840">
        <v>1</v>
      </c>
      <c r="Q840">
        <v>3</v>
      </c>
      <c r="R840">
        <v>1</v>
      </c>
    </row>
    <row r="841" spans="1:18">
      <c r="A841" t="str">
        <f>_xlfn.IFNA(IF(VLOOKUP(C841,'2016_Detail_Commodity_v1.0'!C:C,1,FALSE)=C841,"No change"),"Name changed")</f>
        <v>No change</v>
      </c>
      <c r="B841" t="s">
        <v>727</v>
      </c>
      <c r="C841" t="s">
        <v>728</v>
      </c>
      <c r="E841" t="s">
        <v>15</v>
      </c>
      <c r="F841" t="s">
        <v>16</v>
      </c>
      <c r="G841">
        <v>0.01</v>
      </c>
      <c r="H841" s="413">
        <f>G841*VLOOKUP(E841,GWPs!$B$3:$C$6,2,FALSE)</f>
        <v>0.01</v>
      </c>
      <c r="I841">
        <v>0</v>
      </c>
      <c r="J841" s="413">
        <f>I841*VLOOKUP(E841,GWPs!$B$3:$C$6,2,FALSE)</f>
        <v>0</v>
      </c>
      <c r="K841">
        <v>0.01</v>
      </c>
      <c r="L841" s="413">
        <f>K841*VLOOKUP(E841,GWPs!$B$3:$C$6,2,FALSE)</f>
        <v>0.01</v>
      </c>
      <c r="N841">
        <v>3</v>
      </c>
      <c r="O841">
        <v>2</v>
      </c>
      <c r="P841">
        <v>1</v>
      </c>
      <c r="Q841">
        <v>2</v>
      </c>
      <c r="R841">
        <v>1</v>
      </c>
    </row>
    <row r="842" spans="1:18">
      <c r="A842" t="str">
        <f>_xlfn.IFNA(IF(VLOOKUP(C842,'2016_Detail_Commodity_v1.0'!C:C,1,FALSE)=C842,"No change"),"Name changed")</f>
        <v>No change</v>
      </c>
      <c r="B842" t="s">
        <v>729</v>
      </c>
      <c r="C842" t="s">
        <v>730</v>
      </c>
      <c r="E842" t="s">
        <v>3653</v>
      </c>
      <c r="F842" t="s">
        <v>12</v>
      </c>
      <c r="G842">
        <v>0.158</v>
      </c>
      <c r="H842" s="413">
        <f>G842*VLOOKUP(E842,GWPs!$B$3:$C$6,2,FALSE)</f>
        <v>0.158</v>
      </c>
      <c r="I842">
        <v>9.2999999999999999E-2</v>
      </c>
      <c r="J842" s="413">
        <f>I842*VLOOKUP(E842,GWPs!$B$3:$C$6,2,FALSE)</f>
        <v>9.2999999999999999E-2</v>
      </c>
      <c r="K842">
        <v>0.252</v>
      </c>
      <c r="L842" s="413">
        <f>K842*VLOOKUP(E842,GWPs!$B$3:$C$6,2,FALSE)</f>
        <v>0.252</v>
      </c>
      <c r="N842">
        <v>3</v>
      </c>
      <c r="O842">
        <v>2</v>
      </c>
      <c r="P842">
        <v>1</v>
      </c>
      <c r="Q842">
        <v>3</v>
      </c>
      <c r="R842">
        <v>1</v>
      </c>
    </row>
    <row r="843" spans="1:18">
      <c r="A843" t="str">
        <f>_xlfn.IFNA(IF(VLOOKUP(C843,'2016_Detail_Commodity_v1.0'!C:C,1,FALSE)=C843,"No change"),"Name changed")</f>
        <v>No change</v>
      </c>
      <c r="B843" t="s">
        <v>729</v>
      </c>
      <c r="C843" t="s">
        <v>730</v>
      </c>
      <c r="E843" t="s">
        <v>3654</v>
      </c>
      <c r="F843" t="s">
        <v>12</v>
      </c>
      <c r="G843">
        <v>1E-3</v>
      </c>
      <c r="H843" s="413">
        <f>G843*VLOOKUP(E843,GWPs!$B$3:$C$6,2,FALSE)</f>
        <v>2.8000000000000001E-2</v>
      </c>
      <c r="I843">
        <v>1E-3</v>
      </c>
      <c r="J843" s="413">
        <f>I843*VLOOKUP(E843,GWPs!$B$3:$C$6,2,FALSE)</f>
        <v>2.8000000000000001E-2</v>
      </c>
      <c r="K843">
        <v>1E-3</v>
      </c>
      <c r="L843" s="413">
        <f>K843*VLOOKUP(E843,GWPs!$B$3:$C$6,2,FALSE)</f>
        <v>2.8000000000000001E-2</v>
      </c>
      <c r="N843">
        <v>4</v>
      </c>
      <c r="O843">
        <v>2</v>
      </c>
      <c r="P843">
        <v>1</v>
      </c>
      <c r="Q843">
        <v>1</v>
      </c>
      <c r="R843">
        <v>1</v>
      </c>
    </row>
    <row r="844" spans="1:18">
      <c r="A844" t="str">
        <f>_xlfn.IFNA(IF(VLOOKUP(C844,'2016_Detail_Commodity_v1.0'!C:C,1,FALSE)=C844,"No change"),"Name changed")</f>
        <v>No change</v>
      </c>
      <c r="B844" t="s">
        <v>729</v>
      </c>
      <c r="C844" t="s">
        <v>730</v>
      </c>
      <c r="E844" t="s">
        <v>3655</v>
      </c>
      <c r="F844" t="s">
        <v>12</v>
      </c>
      <c r="G844">
        <v>0</v>
      </c>
      <c r="H844" s="413">
        <f>G844*VLOOKUP(E844,GWPs!$B$3:$C$6,2,FALSE)</f>
        <v>0</v>
      </c>
      <c r="I844">
        <v>0</v>
      </c>
      <c r="J844" s="413">
        <f>I844*VLOOKUP(E844,GWPs!$B$3:$C$6,2,FALSE)</f>
        <v>0</v>
      </c>
      <c r="K844">
        <v>0</v>
      </c>
      <c r="L844" s="413">
        <f>K844*VLOOKUP(E844,GWPs!$B$3:$C$6,2,FALSE)</f>
        <v>0</v>
      </c>
      <c r="N844">
        <v>3</v>
      </c>
      <c r="O844">
        <v>2</v>
      </c>
      <c r="P844">
        <v>1</v>
      </c>
      <c r="Q844">
        <v>3</v>
      </c>
      <c r="R844">
        <v>1</v>
      </c>
    </row>
    <row r="845" spans="1:18">
      <c r="A845" t="str">
        <f>_xlfn.IFNA(IF(VLOOKUP(C845,'2016_Detail_Commodity_v1.0'!C:C,1,FALSE)=C845,"No change"),"Name changed")</f>
        <v>No change</v>
      </c>
      <c r="B845" t="s">
        <v>729</v>
      </c>
      <c r="C845" t="s">
        <v>730</v>
      </c>
      <c r="E845" t="s">
        <v>15</v>
      </c>
      <c r="F845" t="s">
        <v>16</v>
      </c>
      <c r="G845">
        <v>1.6E-2</v>
      </c>
      <c r="H845" s="413">
        <f>G845*VLOOKUP(E845,GWPs!$B$3:$C$6,2,FALSE)</f>
        <v>1.6E-2</v>
      </c>
      <c r="I845">
        <v>0</v>
      </c>
      <c r="J845" s="413">
        <f>I845*VLOOKUP(E845,GWPs!$B$3:$C$6,2,FALSE)</f>
        <v>0</v>
      </c>
      <c r="K845">
        <v>1.6E-2</v>
      </c>
      <c r="L845" s="413">
        <f>K845*VLOOKUP(E845,GWPs!$B$3:$C$6,2,FALSE)</f>
        <v>1.6E-2</v>
      </c>
      <c r="N845">
        <v>3</v>
      </c>
      <c r="O845">
        <v>2</v>
      </c>
      <c r="P845">
        <v>1</v>
      </c>
      <c r="Q845">
        <v>4</v>
      </c>
      <c r="R845">
        <v>1</v>
      </c>
    </row>
    <row r="846" spans="1:18">
      <c r="A846" t="str">
        <f>_xlfn.IFNA(IF(VLOOKUP(C846,'2016_Detail_Commodity_v1.0'!C:C,1,FALSE)=C846,"No change"),"Name changed")</f>
        <v>No change</v>
      </c>
      <c r="B846" t="s">
        <v>731</v>
      </c>
      <c r="C846" t="s">
        <v>732</v>
      </c>
      <c r="E846" t="s">
        <v>3653</v>
      </c>
      <c r="F846" t="s">
        <v>12</v>
      </c>
      <c r="G846">
        <v>0.17499999999999999</v>
      </c>
      <c r="H846" s="413">
        <f>G846*VLOOKUP(E846,GWPs!$B$3:$C$6,2,FALSE)</f>
        <v>0.17499999999999999</v>
      </c>
      <c r="I846">
        <v>0.13100000000000001</v>
      </c>
      <c r="J846" s="413">
        <f>I846*VLOOKUP(E846,GWPs!$B$3:$C$6,2,FALSE)</f>
        <v>0.13100000000000001</v>
      </c>
      <c r="K846">
        <v>0.30599999999999999</v>
      </c>
      <c r="L846" s="413">
        <f>K846*VLOOKUP(E846,GWPs!$B$3:$C$6,2,FALSE)</f>
        <v>0.30599999999999999</v>
      </c>
      <c r="N846">
        <v>3</v>
      </c>
      <c r="O846">
        <v>2</v>
      </c>
      <c r="P846">
        <v>1</v>
      </c>
      <c r="Q846">
        <v>3</v>
      </c>
      <c r="R846">
        <v>1</v>
      </c>
    </row>
    <row r="847" spans="1:18">
      <c r="A847" t="str">
        <f>_xlfn.IFNA(IF(VLOOKUP(C847,'2016_Detail_Commodity_v1.0'!C:C,1,FALSE)=C847,"No change"),"Name changed")</f>
        <v>No change</v>
      </c>
      <c r="B847" t="s">
        <v>731</v>
      </c>
      <c r="C847" t="s">
        <v>732</v>
      </c>
      <c r="E847" t="s">
        <v>3654</v>
      </c>
      <c r="F847" t="s">
        <v>12</v>
      </c>
      <c r="G847">
        <v>1E-3</v>
      </c>
      <c r="H847" s="413">
        <f>G847*VLOOKUP(E847,GWPs!$B$3:$C$6,2,FALSE)</f>
        <v>2.8000000000000001E-2</v>
      </c>
      <c r="I847">
        <v>1E-3</v>
      </c>
      <c r="J847" s="413">
        <f>I847*VLOOKUP(E847,GWPs!$B$3:$C$6,2,FALSE)</f>
        <v>2.8000000000000001E-2</v>
      </c>
      <c r="K847">
        <v>2E-3</v>
      </c>
      <c r="L847" s="413">
        <f>K847*VLOOKUP(E847,GWPs!$B$3:$C$6,2,FALSE)</f>
        <v>5.6000000000000001E-2</v>
      </c>
      <c r="N847">
        <v>4</v>
      </c>
      <c r="O847">
        <v>2</v>
      </c>
      <c r="P847">
        <v>1</v>
      </c>
      <c r="Q847">
        <v>1</v>
      </c>
      <c r="R847">
        <v>1</v>
      </c>
    </row>
    <row r="848" spans="1:18">
      <c r="A848" t="str">
        <f>_xlfn.IFNA(IF(VLOOKUP(C848,'2016_Detail_Commodity_v1.0'!C:C,1,FALSE)=C848,"No change"),"Name changed")</f>
        <v>No change</v>
      </c>
      <c r="B848" t="s">
        <v>731</v>
      </c>
      <c r="C848" t="s">
        <v>732</v>
      </c>
      <c r="E848" t="s">
        <v>3655</v>
      </c>
      <c r="F848" t="s">
        <v>12</v>
      </c>
      <c r="G848">
        <v>0</v>
      </c>
      <c r="H848" s="413">
        <f>G848*VLOOKUP(E848,GWPs!$B$3:$C$6,2,FALSE)</f>
        <v>0</v>
      </c>
      <c r="I848">
        <v>0</v>
      </c>
      <c r="J848" s="413">
        <f>I848*VLOOKUP(E848,GWPs!$B$3:$C$6,2,FALSE)</f>
        <v>0</v>
      </c>
      <c r="K848">
        <v>0</v>
      </c>
      <c r="L848" s="413">
        <f>K848*VLOOKUP(E848,GWPs!$B$3:$C$6,2,FALSE)</f>
        <v>0</v>
      </c>
      <c r="N848">
        <v>3</v>
      </c>
      <c r="O848">
        <v>2</v>
      </c>
      <c r="P848">
        <v>1</v>
      </c>
      <c r="Q848">
        <v>3</v>
      </c>
      <c r="R848">
        <v>1</v>
      </c>
    </row>
    <row r="849" spans="1:18">
      <c r="A849" t="str">
        <f>_xlfn.IFNA(IF(VLOOKUP(C849,'2016_Detail_Commodity_v1.0'!C:C,1,FALSE)=C849,"No change"),"Name changed")</f>
        <v>No change</v>
      </c>
      <c r="B849" t="s">
        <v>731</v>
      </c>
      <c r="C849" t="s">
        <v>732</v>
      </c>
      <c r="E849" t="s">
        <v>15</v>
      </c>
      <c r="F849" t="s">
        <v>16</v>
      </c>
      <c r="G849">
        <v>6.0000000000000001E-3</v>
      </c>
      <c r="H849" s="413">
        <f>G849*VLOOKUP(E849,GWPs!$B$3:$C$6,2,FALSE)</f>
        <v>6.0000000000000001E-3</v>
      </c>
      <c r="I849">
        <v>0</v>
      </c>
      <c r="J849" s="413">
        <f>I849*VLOOKUP(E849,GWPs!$B$3:$C$6,2,FALSE)</f>
        <v>0</v>
      </c>
      <c r="K849">
        <v>6.0000000000000001E-3</v>
      </c>
      <c r="L849" s="413">
        <f>K849*VLOOKUP(E849,GWPs!$B$3:$C$6,2,FALSE)</f>
        <v>6.0000000000000001E-3</v>
      </c>
      <c r="N849">
        <v>3</v>
      </c>
      <c r="O849">
        <v>2</v>
      </c>
      <c r="P849">
        <v>1</v>
      </c>
      <c r="Q849">
        <v>2</v>
      </c>
      <c r="R849">
        <v>1</v>
      </c>
    </row>
    <row r="850" spans="1:18">
      <c r="A850" t="str">
        <f>_xlfn.IFNA(IF(VLOOKUP(C850,'2016_Detail_Commodity_v1.0'!C:C,1,FALSE)=C850,"No change"),"Name changed")</f>
        <v>No change</v>
      </c>
      <c r="B850" t="s">
        <v>733</v>
      </c>
      <c r="C850" t="s">
        <v>734</v>
      </c>
      <c r="E850" t="s">
        <v>3653</v>
      </c>
      <c r="F850" t="s">
        <v>12</v>
      </c>
      <c r="G850">
        <v>0.16500000000000001</v>
      </c>
      <c r="H850" s="413">
        <f>G850*VLOOKUP(E850,GWPs!$B$3:$C$6,2,FALSE)</f>
        <v>0.16500000000000001</v>
      </c>
      <c r="I850">
        <v>8.4000000000000005E-2</v>
      </c>
      <c r="J850" s="413">
        <f>I850*VLOOKUP(E850,GWPs!$B$3:$C$6,2,FALSE)</f>
        <v>8.4000000000000005E-2</v>
      </c>
      <c r="K850">
        <v>0.249</v>
      </c>
      <c r="L850" s="413">
        <f>K850*VLOOKUP(E850,GWPs!$B$3:$C$6,2,FALSE)</f>
        <v>0.249</v>
      </c>
      <c r="N850">
        <v>3</v>
      </c>
      <c r="O850">
        <v>2</v>
      </c>
      <c r="P850">
        <v>1</v>
      </c>
      <c r="Q850">
        <v>3</v>
      </c>
      <c r="R850">
        <v>1</v>
      </c>
    </row>
    <row r="851" spans="1:18">
      <c r="A851" t="str">
        <f>_xlfn.IFNA(IF(VLOOKUP(C851,'2016_Detail_Commodity_v1.0'!C:C,1,FALSE)=C851,"No change"),"Name changed")</f>
        <v>No change</v>
      </c>
      <c r="B851" t="s">
        <v>733</v>
      </c>
      <c r="C851" t="s">
        <v>734</v>
      </c>
      <c r="E851" t="s">
        <v>3654</v>
      </c>
      <c r="F851" t="s">
        <v>12</v>
      </c>
      <c r="G851">
        <v>1E-3</v>
      </c>
      <c r="H851" s="413">
        <f>G851*VLOOKUP(E851,GWPs!$B$3:$C$6,2,FALSE)</f>
        <v>2.8000000000000001E-2</v>
      </c>
      <c r="I851">
        <v>0</v>
      </c>
      <c r="J851" s="413">
        <f>I851*VLOOKUP(E851,GWPs!$B$3:$C$6,2,FALSE)</f>
        <v>0</v>
      </c>
      <c r="K851">
        <v>1E-3</v>
      </c>
      <c r="L851" s="413">
        <f>K851*VLOOKUP(E851,GWPs!$B$3:$C$6,2,FALSE)</f>
        <v>2.8000000000000001E-2</v>
      </c>
      <c r="N851">
        <v>4</v>
      </c>
      <c r="O851">
        <v>2</v>
      </c>
      <c r="P851">
        <v>1</v>
      </c>
      <c r="Q851">
        <v>1</v>
      </c>
      <c r="R851">
        <v>1</v>
      </c>
    </row>
    <row r="852" spans="1:18">
      <c r="A852" t="str">
        <f>_xlfn.IFNA(IF(VLOOKUP(C852,'2016_Detail_Commodity_v1.0'!C:C,1,FALSE)=C852,"No change"),"Name changed")</f>
        <v>No change</v>
      </c>
      <c r="B852" t="s">
        <v>733</v>
      </c>
      <c r="C852" t="s">
        <v>734</v>
      </c>
      <c r="E852" t="s">
        <v>3655</v>
      </c>
      <c r="F852" t="s">
        <v>12</v>
      </c>
      <c r="G852">
        <v>0</v>
      </c>
      <c r="H852" s="413">
        <f>G852*VLOOKUP(E852,GWPs!$B$3:$C$6,2,FALSE)</f>
        <v>0</v>
      </c>
      <c r="I852">
        <v>0</v>
      </c>
      <c r="J852" s="413">
        <f>I852*VLOOKUP(E852,GWPs!$B$3:$C$6,2,FALSE)</f>
        <v>0</v>
      </c>
      <c r="K852">
        <v>0</v>
      </c>
      <c r="L852" s="413">
        <f>K852*VLOOKUP(E852,GWPs!$B$3:$C$6,2,FALSE)</f>
        <v>0</v>
      </c>
      <c r="N852">
        <v>3</v>
      </c>
      <c r="O852">
        <v>2</v>
      </c>
      <c r="P852">
        <v>1</v>
      </c>
      <c r="Q852">
        <v>3</v>
      </c>
      <c r="R852">
        <v>1</v>
      </c>
    </row>
    <row r="853" spans="1:18">
      <c r="A853" t="str">
        <f>_xlfn.IFNA(IF(VLOOKUP(C853,'2016_Detail_Commodity_v1.0'!C:C,1,FALSE)=C853,"No change"),"Name changed")</f>
        <v>No change</v>
      </c>
      <c r="B853" t="s">
        <v>733</v>
      </c>
      <c r="C853" t="s">
        <v>734</v>
      </c>
      <c r="E853" t="s">
        <v>15</v>
      </c>
      <c r="F853" t="s">
        <v>16</v>
      </c>
      <c r="G853">
        <v>1.4E-2</v>
      </c>
      <c r="H853" s="413">
        <f>G853*VLOOKUP(E853,GWPs!$B$3:$C$6,2,FALSE)</f>
        <v>1.4E-2</v>
      </c>
      <c r="I853">
        <v>0</v>
      </c>
      <c r="J853" s="413">
        <f>I853*VLOOKUP(E853,GWPs!$B$3:$C$6,2,FALSE)</f>
        <v>0</v>
      </c>
      <c r="K853">
        <v>1.4E-2</v>
      </c>
      <c r="L853" s="413">
        <f>K853*VLOOKUP(E853,GWPs!$B$3:$C$6,2,FALSE)</f>
        <v>1.4E-2</v>
      </c>
      <c r="N853">
        <v>3</v>
      </c>
      <c r="O853">
        <v>2</v>
      </c>
      <c r="P853">
        <v>1</v>
      </c>
      <c r="Q853">
        <v>2</v>
      </c>
      <c r="R853">
        <v>1</v>
      </c>
    </row>
    <row r="854" spans="1:18">
      <c r="A854" t="str">
        <f>_xlfn.IFNA(IF(VLOOKUP(C854,'2016_Detail_Commodity_v1.0'!C:C,1,FALSE)=C854,"No change"),"Name changed")</f>
        <v>No change</v>
      </c>
      <c r="B854" t="s">
        <v>735</v>
      </c>
      <c r="C854" t="s">
        <v>736</v>
      </c>
      <c r="E854" t="s">
        <v>3653</v>
      </c>
      <c r="F854" t="s">
        <v>12</v>
      </c>
      <c r="G854">
        <v>0.152</v>
      </c>
      <c r="H854" s="413">
        <f>G854*VLOOKUP(E854,GWPs!$B$3:$C$6,2,FALSE)</f>
        <v>0.152</v>
      </c>
      <c r="I854">
        <v>8.3000000000000004E-2</v>
      </c>
      <c r="J854" s="413">
        <f>I854*VLOOKUP(E854,GWPs!$B$3:$C$6,2,FALSE)</f>
        <v>8.3000000000000004E-2</v>
      </c>
      <c r="K854">
        <v>0.23499999999999999</v>
      </c>
      <c r="L854" s="413">
        <f>K854*VLOOKUP(E854,GWPs!$B$3:$C$6,2,FALSE)</f>
        <v>0.23499999999999999</v>
      </c>
      <c r="N854">
        <v>3</v>
      </c>
      <c r="O854">
        <v>2</v>
      </c>
      <c r="P854">
        <v>1</v>
      </c>
      <c r="Q854">
        <v>3</v>
      </c>
      <c r="R854">
        <v>1</v>
      </c>
    </row>
    <row r="855" spans="1:18">
      <c r="A855" t="str">
        <f>_xlfn.IFNA(IF(VLOOKUP(C855,'2016_Detail_Commodity_v1.0'!C:C,1,FALSE)=C855,"No change"),"Name changed")</f>
        <v>No change</v>
      </c>
      <c r="B855" t="s">
        <v>735</v>
      </c>
      <c r="C855" t="s">
        <v>736</v>
      </c>
      <c r="E855" t="s">
        <v>3654</v>
      </c>
      <c r="F855" t="s">
        <v>12</v>
      </c>
      <c r="G855">
        <v>1E-3</v>
      </c>
      <c r="H855" s="413">
        <f>G855*VLOOKUP(E855,GWPs!$B$3:$C$6,2,FALSE)</f>
        <v>2.8000000000000001E-2</v>
      </c>
      <c r="I855">
        <v>0</v>
      </c>
      <c r="J855" s="413">
        <f>I855*VLOOKUP(E855,GWPs!$B$3:$C$6,2,FALSE)</f>
        <v>0</v>
      </c>
      <c r="K855">
        <v>1E-3</v>
      </c>
      <c r="L855" s="413">
        <f>K855*VLOOKUP(E855,GWPs!$B$3:$C$6,2,FALSE)</f>
        <v>2.8000000000000001E-2</v>
      </c>
      <c r="N855">
        <v>4</v>
      </c>
      <c r="O855">
        <v>2</v>
      </c>
      <c r="P855">
        <v>1</v>
      </c>
      <c r="Q855">
        <v>1</v>
      </c>
      <c r="R855">
        <v>1</v>
      </c>
    </row>
    <row r="856" spans="1:18">
      <c r="A856" t="str">
        <f>_xlfn.IFNA(IF(VLOOKUP(C856,'2016_Detail_Commodity_v1.0'!C:C,1,FALSE)=C856,"No change"),"Name changed")</f>
        <v>No change</v>
      </c>
      <c r="B856" t="s">
        <v>735</v>
      </c>
      <c r="C856" t="s">
        <v>736</v>
      </c>
      <c r="E856" t="s">
        <v>3655</v>
      </c>
      <c r="F856" t="s">
        <v>12</v>
      </c>
      <c r="G856">
        <v>0</v>
      </c>
      <c r="H856" s="413">
        <f>G856*VLOOKUP(E856,GWPs!$B$3:$C$6,2,FALSE)</f>
        <v>0</v>
      </c>
      <c r="I856">
        <v>0</v>
      </c>
      <c r="J856" s="413">
        <f>I856*VLOOKUP(E856,GWPs!$B$3:$C$6,2,FALSE)</f>
        <v>0</v>
      </c>
      <c r="K856">
        <v>0</v>
      </c>
      <c r="L856" s="413">
        <f>K856*VLOOKUP(E856,GWPs!$B$3:$C$6,2,FALSE)</f>
        <v>0</v>
      </c>
      <c r="N856">
        <v>3</v>
      </c>
      <c r="O856">
        <v>2</v>
      </c>
      <c r="P856">
        <v>1</v>
      </c>
      <c r="Q856">
        <v>3</v>
      </c>
      <c r="R856">
        <v>1</v>
      </c>
    </row>
    <row r="857" spans="1:18">
      <c r="A857" t="str">
        <f>_xlfn.IFNA(IF(VLOOKUP(C857,'2016_Detail_Commodity_v1.0'!C:C,1,FALSE)=C857,"No change"),"Name changed")</f>
        <v>No change</v>
      </c>
      <c r="B857" t="s">
        <v>735</v>
      </c>
      <c r="C857" t="s">
        <v>736</v>
      </c>
      <c r="E857" t="s">
        <v>15</v>
      </c>
      <c r="F857" t="s">
        <v>16</v>
      </c>
      <c r="G857">
        <v>0.111</v>
      </c>
      <c r="H857" s="413">
        <f>G857*VLOOKUP(E857,GWPs!$B$3:$C$6,2,FALSE)</f>
        <v>0.111</v>
      </c>
      <c r="I857">
        <v>0</v>
      </c>
      <c r="J857" s="413">
        <f>I857*VLOOKUP(E857,GWPs!$B$3:$C$6,2,FALSE)</f>
        <v>0</v>
      </c>
      <c r="K857">
        <v>0.111</v>
      </c>
      <c r="L857" s="413">
        <f>K857*VLOOKUP(E857,GWPs!$B$3:$C$6,2,FALSE)</f>
        <v>0.111</v>
      </c>
      <c r="N857">
        <v>4</v>
      </c>
      <c r="O857">
        <v>2</v>
      </c>
      <c r="P857">
        <v>1</v>
      </c>
      <c r="Q857">
        <v>5</v>
      </c>
      <c r="R857">
        <v>1</v>
      </c>
    </row>
    <row r="858" spans="1:18">
      <c r="A858" t="str">
        <f>_xlfn.IFNA(IF(VLOOKUP(C858,'2016_Detail_Commodity_v1.0'!C:C,1,FALSE)=C858,"No change"),"Name changed")</f>
        <v>No change</v>
      </c>
      <c r="B858" t="s">
        <v>737</v>
      </c>
      <c r="C858" t="s">
        <v>738</v>
      </c>
      <c r="E858" t="s">
        <v>3653</v>
      </c>
      <c r="F858" t="s">
        <v>12</v>
      </c>
      <c r="G858">
        <v>0.17199999999999999</v>
      </c>
      <c r="H858" s="413">
        <f>G858*VLOOKUP(E858,GWPs!$B$3:$C$6,2,FALSE)</f>
        <v>0.17199999999999999</v>
      </c>
      <c r="I858">
        <v>8.2000000000000003E-2</v>
      </c>
      <c r="J858" s="413">
        <f>I858*VLOOKUP(E858,GWPs!$B$3:$C$6,2,FALSE)</f>
        <v>8.2000000000000003E-2</v>
      </c>
      <c r="K858">
        <v>0.254</v>
      </c>
      <c r="L858" s="413">
        <f>K858*VLOOKUP(E858,GWPs!$B$3:$C$6,2,FALSE)</f>
        <v>0.254</v>
      </c>
      <c r="N858">
        <v>3</v>
      </c>
      <c r="O858">
        <v>2</v>
      </c>
      <c r="P858">
        <v>1</v>
      </c>
      <c r="Q858">
        <v>3</v>
      </c>
      <c r="R858">
        <v>1</v>
      </c>
    </row>
    <row r="859" spans="1:18">
      <c r="A859" t="str">
        <f>_xlfn.IFNA(IF(VLOOKUP(C859,'2016_Detail_Commodity_v1.0'!C:C,1,FALSE)=C859,"No change"),"Name changed")</f>
        <v>No change</v>
      </c>
      <c r="B859" t="s">
        <v>737</v>
      </c>
      <c r="C859" t="s">
        <v>738</v>
      </c>
      <c r="E859" t="s">
        <v>3654</v>
      </c>
      <c r="F859" t="s">
        <v>12</v>
      </c>
      <c r="G859">
        <v>1E-3</v>
      </c>
      <c r="H859" s="413">
        <f>G859*VLOOKUP(E859,GWPs!$B$3:$C$6,2,FALSE)</f>
        <v>2.8000000000000001E-2</v>
      </c>
      <c r="I859">
        <v>0</v>
      </c>
      <c r="J859" s="413">
        <f>I859*VLOOKUP(E859,GWPs!$B$3:$C$6,2,FALSE)</f>
        <v>0</v>
      </c>
      <c r="K859">
        <v>1E-3</v>
      </c>
      <c r="L859" s="413">
        <f>K859*VLOOKUP(E859,GWPs!$B$3:$C$6,2,FALSE)</f>
        <v>2.8000000000000001E-2</v>
      </c>
      <c r="N859">
        <v>4</v>
      </c>
      <c r="O859">
        <v>2</v>
      </c>
      <c r="P859">
        <v>1</v>
      </c>
      <c r="Q859">
        <v>1</v>
      </c>
      <c r="R859">
        <v>1</v>
      </c>
    </row>
    <row r="860" spans="1:18">
      <c r="A860" t="str">
        <f>_xlfn.IFNA(IF(VLOOKUP(C860,'2016_Detail_Commodity_v1.0'!C:C,1,FALSE)=C860,"No change"),"Name changed")</f>
        <v>No change</v>
      </c>
      <c r="B860" t="s">
        <v>737</v>
      </c>
      <c r="C860" t="s">
        <v>738</v>
      </c>
      <c r="E860" t="s">
        <v>3655</v>
      </c>
      <c r="F860" t="s">
        <v>12</v>
      </c>
      <c r="G860">
        <v>0</v>
      </c>
      <c r="H860" s="413">
        <f>G860*VLOOKUP(E860,GWPs!$B$3:$C$6,2,FALSE)</f>
        <v>0</v>
      </c>
      <c r="I860">
        <v>0</v>
      </c>
      <c r="J860" s="413">
        <f>I860*VLOOKUP(E860,GWPs!$B$3:$C$6,2,FALSE)</f>
        <v>0</v>
      </c>
      <c r="K860">
        <v>0</v>
      </c>
      <c r="L860" s="413">
        <f>K860*VLOOKUP(E860,GWPs!$B$3:$C$6,2,FALSE)</f>
        <v>0</v>
      </c>
      <c r="N860">
        <v>3</v>
      </c>
      <c r="O860">
        <v>2</v>
      </c>
      <c r="P860">
        <v>1</v>
      </c>
      <c r="Q860">
        <v>3</v>
      </c>
      <c r="R860">
        <v>1</v>
      </c>
    </row>
    <row r="861" spans="1:18">
      <c r="A861" t="str">
        <f>_xlfn.IFNA(IF(VLOOKUP(C861,'2016_Detail_Commodity_v1.0'!C:C,1,FALSE)=C861,"No change"),"Name changed")</f>
        <v>No change</v>
      </c>
      <c r="B861" t="s">
        <v>737</v>
      </c>
      <c r="C861" t="s">
        <v>738</v>
      </c>
      <c r="E861" t="s">
        <v>15</v>
      </c>
      <c r="F861" t="s">
        <v>16</v>
      </c>
      <c r="G861">
        <v>8.0000000000000002E-3</v>
      </c>
      <c r="H861" s="413">
        <f>G861*VLOOKUP(E861,GWPs!$B$3:$C$6,2,FALSE)</f>
        <v>8.0000000000000002E-3</v>
      </c>
      <c r="I861">
        <v>0</v>
      </c>
      <c r="J861" s="413">
        <f>I861*VLOOKUP(E861,GWPs!$B$3:$C$6,2,FALSE)</f>
        <v>0</v>
      </c>
      <c r="K861">
        <v>8.0000000000000002E-3</v>
      </c>
      <c r="L861" s="413">
        <f>K861*VLOOKUP(E861,GWPs!$B$3:$C$6,2,FALSE)</f>
        <v>8.0000000000000002E-3</v>
      </c>
      <c r="N861">
        <v>3</v>
      </c>
      <c r="O861">
        <v>2</v>
      </c>
      <c r="P861">
        <v>1</v>
      </c>
      <c r="Q861">
        <v>3</v>
      </c>
      <c r="R861">
        <v>1</v>
      </c>
    </row>
    <row r="862" spans="1:18">
      <c r="A862" t="str">
        <f>_xlfn.IFNA(IF(VLOOKUP(C862,'2016_Detail_Commodity_v1.0'!C:C,1,FALSE)=C862,"No change"),"Name changed")</f>
        <v>No change</v>
      </c>
      <c r="B862" t="s">
        <v>739</v>
      </c>
      <c r="C862" t="s">
        <v>740</v>
      </c>
      <c r="E862" t="s">
        <v>3653</v>
      </c>
      <c r="F862" t="s">
        <v>12</v>
      </c>
      <c r="G862">
        <v>0.16</v>
      </c>
      <c r="H862" s="413">
        <f>G862*VLOOKUP(E862,GWPs!$B$3:$C$6,2,FALSE)</f>
        <v>0.16</v>
      </c>
      <c r="I862">
        <v>0.05</v>
      </c>
      <c r="J862" s="413">
        <f>I862*VLOOKUP(E862,GWPs!$B$3:$C$6,2,FALSE)</f>
        <v>0.05</v>
      </c>
      <c r="K862">
        <v>0.20899999999999999</v>
      </c>
      <c r="L862" s="413">
        <f>K862*VLOOKUP(E862,GWPs!$B$3:$C$6,2,FALSE)</f>
        <v>0.20899999999999999</v>
      </c>
      <c r="N862">
        <v>3</v>
      </c>
      <c r="O862">
        <v>2</v>
      </c>
      <c r="P862">
        <v>1</v>
      </c>
      <c r="Q862">
        <v>3</v>
      </c>
      <c r="R862">
        <v>1</v>
      </c>
    </row>
    <row r="863" spans="1:18">
      <c r="A863" t="str">
        <f>_xlfn.IFNA(IF(VLOOKUP(C863,'2016_Detail_Commodity_v1.0'!C:C,1,FALSE)=C863,"No change"),"Name changed")</f>
        <v>No change</v>
      </c>
      <c r="B863" t="s">
        <v>739</v>
      </c>
      <c r="C863" t="s">
        <v>740</v>
      </c>
      <c r="E863" t="s">
        <v>3654</v>
      </c>
      <c r="F863" t="s">
        <v>12</v>
      </c>
      <c r="G863">
        <v>1E-3</v>
      </c>
      <c r="H863" s="413">
        <f>G863*VLOOKUP(E863,GWPs!$B$3:$C$6,2,FALSE)</f>
        <v>2.8000000000000001E-2</v>
      </c>
      <c r="I863">
        <v>0</v>
      </c>
      <c r="J863" s="413">
        <f>I863*VLOOKUP(E863,GWPs!$B$3:$C$6,2,FALSE)</f>
        <v>0</v>
      </c>
      <c r="K863">
        <v>1E-3</v>
      </c>
      <c r="L863" s="413">
        <f>K863*VLOOKUP(E863,GWPs!$B$3:$C$6,2,FALSE)</f>
        <v>2.8000000000000001E-2</v>
      </c>
      <c r="N863">
        <v>4</v>
      </c>
      <c r="O863">
        <v>2</v>
      </c>
      <c r="P863">
        <v>1</v>
      </c>
      <c r="Q863">
        <v>1</v>
      </c>
      <c r="R863">
        <v>1</v>
      </c>
    </row>
    <row r="864" spans="1:18">
      <c r="A864" t="str">
        <f>_xlfn.IFNA(IF(VLOOKUP(C864,'2016_Detail_Commodity_v1.0'!C:C,1,FALSE)=C864,"No change"),"Name changed")</f>
        <v>No change</v>
      </c>
      <c r="B864" t="s">
        <v>739</v>
      </c>
      <c r="C864" t="s">
        <v>740</v>
      </c>
      <c r="E864" t="s">
        <v>3655</v>
      </c>
      <c r="F864" t="s">
        <v>12</v>
      </c>
      <c r="G864">
        <v>0</v>
      </c>
      <c r="H864" s="413">
        <f>G864*VLOOKUP(E864,GWPs!$B$3:$C$6,2,FALSE)</f>
        <v>0</v>
      </c>
      <c r="I864">
        <v>0</v>
      </c>
      <c r="J864" s="413">
        <f>I864*VLOOKUP(E864,GWPs!$B$3:$C$6,2,FALSE)</f>
        <v>0</v>
      </c>
      <c r="K864">
        <v>0</v>
      </c>
      <c r="L864" s="413">
        <f>K864*VLOOKUP(E864,GWPs!$B$3:$C$6,2,FALSE)</f>
        <v>0</v>
      </c>
      <c r="N864">
        <v>3</v>
      </c>
      <c r="O864">
        <v>2</v>
      </c>
      <c r="P864">
        <v>1</v>
      </c>
      <c r="Q864">
        <v>3</v>
      </c>
      <c r="R864">
        <v>1</v>
      </c>
    </row>
    <row r="865" spans="1:18">
      <c r="A865" t="str">
        <f>_xlfn.IFNA(IF(VLOOKUP(C865,'2016_Detail_Commodity_v1.0'!C:C,1,FALSE)=C865,"No change"),"Name changed")</f>
        <v>No change</v>
      </c>
      <c r="B865" t="s">
        <v>739</v>
      </c>
      <c r="C865" t="s">
        <v>740</v>
      </c>
      <c r="E865" t="s">
        <v>15</v>
      </c>
      <c r="F865" t="s">
        <v>16</v>
      </c>
      <c r="G865">
        <v>7.0000000000000001E-3</v>
      </c>
      <c r="H865" s="413">
        <f>G865*VLOOKUP(E865,GWPs!$B$3:$C$6,2,FALSE)</f>
        <v>7.0000000000000001E-3</v>
      </c>
      <c r="I865">
        <v>0</v>
      </c>
      <c r="J865" s="413">
        <f>I865*VLOOKUP(E865,GWPs!$B$3:$C$6,2,FALSE)</f>
        <v>0</v>
      </c>
      <c r="K865">
        <v>7.0000000000000001E-3</v>
      </c>
      <c r="L865" s="413">
        <f>K865*VLOOKUP(E865,GWPs!$B$3:$C$6,2,FALSE)</f>
        <v>7.0000000000000001E-3</v>
      </c>
      <c r="N865">
        <v>3</v>
      </c>
      <c r="O865">
        <v>2</v>
      </c>
      <c r="P865">
        <v>1</v>
      </c>
      <c r="Q865">
        <v>3</v>
      </c>
      <c r="R865">
        <v>1</v>
      </c>
    </row>
    <row r="866" spans="1:18">
      <c r="A866" t="str">
        <f>_xlfn.IFNA(IF(VLOOKUP(C866,'2016_Detail_Commodity_v1.0'!C:C,1,FALSE)=C866,"No change"),"Name changed")</f>
        <v>No change</v>
      </c>
      <c r="B866" t="s">
        <v>741</v>
      </c>
      <c r="C866" t="s">
        <v>742</v>
      </c>
      <c r="E866" t="s">
        <v>3653</v>
      </c>
      <c r="F866" t="s">
        <v>12</v>
      </c>
      <c r="G866">
        <v>0.25800000000000001</v>
      </c>
      <c r="H866" s="413">
        <f>G866*VLOOKUP(E866,GWPs!$B$3:$C$6,2,FALSE)</f>
        <v>0.25800000000000001</v>
      </c>
      <c r="I866">
        <v>3.3000000000000002E-2</v>
      </c>
      <c r="J866" s="413">
        <f>I866*VLOOKUP(E866,GWPs!$B$3:$C$6,2,FALSE)</f>
        <v>3.3000000000000002E-2</v>
      </c>
      <c r="K866">
        <v>0.28999999999999998</v>
      </c>
      <c r="L866" s="413">
        <f>K866*VLOOKUP(E866,GWPs!$B$3:$C$6,2,FALSE)</f>
        <v>0.28999999999999998</v>
      </c>
      <c r="N866">
        <v>3</v>
      </c>
      <c r="O866">
        <v>2</v>
      </c>
      <c r="P866">
        <v>1</v>
      </c>
      <c r="Q866">
        <v>3</v>
      </c>
      <c r="R866">
        <v>1</v>
      </c>
    </row>
    <row r="867" spans="1:18">
      <c r="A867" t="str">
        <f>_xlfn.IFNA(IF(VLOOKUP(C867,'2016_Detail_Commodity_v1.0'!C:C,1,FALSE)=C867,"No change"),"Name changed")</f>
        <v>No change</v>
      </c>
      <c r="B867" t="s">
        <v>741</v>
      </c>
      <c r="C867" t="s">
        <v>742</v>
      </c>
      <c r="E867" t="s">
        <v>3654</v>
      </c>
      <c r="F867" t="s">
        <v>12</v>
      </c>
      <c r="G867">
        <v>1E-3</v>
      </c>
      <c r="H867" s="413">
        <f>G867*VLOOKUP(E867,GWPs!$B$3:$C$6,2,FALSE)</f>
        <v>2.8000000000000001E-2</v>
      </c>
      <c r="I867">
        <v>0</v>
      </c>
      <c r="J867" s="413">
        <f>I867*VLOOKUP(E867,GWPs!$B$3:$C$6,2,FALSE)</f>
        <v>0</v>
      </c>
      <c r="K867">
        <v>1E-3</v>
      </c>
      <c r="L867" s="413">
        <f>K867*VLOOKUP(E867,GWPs!$B$3:$C$6,2,FALSE)</f>
        <v>2.8000000000000001E-2</v>
      </c>
      <c r="N867">
        <v>4</v>
      </c>
      <c r="O867">
        <v>2</v>
      </c>
      <c r="P867">
        <v>1</v>
      </c>
      <c r="Q867">
        <v>1</v>
      </c>
      <c r="R867">
        <v>1</v>
      </c>
    </row>
    <row r="868" spans="1:18">
      <c r="A868" t="str">
        <f>_xlfn.IFNA(IF(VLOOKUP(C868,'2016_Detail_Commodity_v1.0'!C:C,1,FALSE)=C868,"No change"),"Name changed")</f>
        <v>No change</v>
      </c>
      <c r="B868" t="s">
        <v>741</v>
      </c>
      <c r="C868" t="s">
        <v>742</v>
      </c>
      <c r="E868" t="s">
        <v>3655</v>
      </c>
      <c r="F868" t="s">
        <v>12</v>
      </c>
      <c r="G868">
        <v>0</v>
      </c>
      <c r="H868" s="413">
        <f>G868*VLOOKUP(E868,GWPs!$B$3:$C$6,2,FALSE)</f>
        <v>0</v>
      </c>
      <c r="I868">
        <v>0</v>
      </c>
      <c r="J868" s="413">
        <f>I868*VLOOKUP(E868,GWPs!$B$3:$C$6,2,FALSE)</f>
        <v>0</v>
      </c>
      <c r="K868">
        <v>0</v>
      </c>
      <c r="L868" s="413">
        <f>K868*VLOOKUP(E868,GWPs!$B$3:$C$6,2,FALSE)</f>
        <v>0</v>
      </c>
      <c r="N868">
        <v>3</v>
      </c>
      <c r="O868">
        <v>2</v>
      </c>
      <c r="P868">
        <v>1</v>
      </c>
      <c r="Q868">
        <v>3</v>
      </c>
      <c r="R868">
        <v>1</v>
      </c>
    </row>
    <row r="869" spans="1:18">
      <c r="A869" t="str">
        <f>_xlfn.IFNA(IF(VLOOKUP(C869,'2016_Detail_Commodity_v1.0'!C:C,1,FALSE)=C869,"No change"),"Name changed")</f>
        <v>No change</v>
      </c>
      <c r="B869" t="s">
        <v>741</v>
      </c>
      <c r="C869" t="s">
        <v>742</v>
      </c>
      <c r="E869" t="s">
        <v>15</v>
      </c>
      <c r="F869" t="s">
        <v>16</v>
      </c>
      <c r="G869">
        <v>6.0000000000000001E-3</v>
      </c>
      <c r="H869" s="413">
        <f>G869*VLOOKUP(E869,GWPs!$B$3:$C$6,2,FALSE)</f>
        <v>6.0000000000000001E-3</v>
      </c>
      <c r="I869">
        <v>0</v>
      </c>
      <c r="J869" s="413">
        <f>I869*VLOOKUP(E869,GWPs!$B$3:$C$6,2,FALSE)</f>
        <v>0</v>
      </c>
      <c r="K869">
        <v>6.0000000000000001E-3</v>
      </c>
      <c r="L869" s="413">
        <f>K869*VLOOKUP(E869,GWPs!$B$3:$C$6,2,FALSE)</f>
        <v>6.0000000000000001E-3</v>
      </c>
      <c r="N869">
        <v>3</v>
      </c>
      <c r="O869">
        <v>2</v>
      </c>
      <c r="P869">
        <v>1</v>
      </c>
      <c r="Q869">
        <v>2</v>
      </c>
      <c r="R869">
        <v>1</v>
      </c>
    </row>
    <row r="870" spans="1:18">
      <c r="A870" t="str">
        <f>_xlfn.IFNA(IF(VLOOKUP(C870,'2016_Detail_Commodity_v1.0'!C:C,1,FALSE)=C870,"No change"),"Name changed")</f>
        <v>No change</v>
      </c>
      <c r="B870" t="s">
        <v>743</v>
      </c>
      <c r="C870" t="s">
        <v>744</v>
      </c>
      <c r="E870" t="s">
        <v>3653</v>
      </c>
      <c r="F870" t="s">
        <v>12</v>
      </c>
      <c r="G870">
        <v>0.182</v>
      </c>
      <c r="H870" s="413">
        <f>G870*VLOOKUP(E870,GWPs!$B$3:$C$6,2,FALSE)</f>
        <v>0.182</v>
      </c>
      <c r="I870">
        <v>3.5000000000000003E-2</v>
      </c>
      <c r="J870" s="413">
        <f>I870*VLOOKUP(E870,GWPs!$B$3:$C$6,2,FALSE)</f>
        <v>3.5000000000000003E-2</v>
      </c>
      <c r="K870">
        <v>0.217</v>
      </c>
      <c r="L870" s="413">
        <f>K870*VLOOKUP(E870,GWPs!$B$3:$C$6,2,FALSE)</f>
        <v>0.217</v>
      </c>
      <c r="N870">
        <v>3</v>
      </c>
      <c r="O870">
        <v>2</v>
      </c>
      <c r="P870">
        <v>1</v>
      </c>
      <c r="Q870">
        <v>3</v>
      </c>
      <c r="R870">
        <v>1</v>
      </c>
    </row>
    <row r="871" spans="1:18">
      <c r="A871" t="str">
        <f>_xlfn.IFNA(IF(VLOOKUP(C871,'2016_Detail_Commodity_v1.0'!C:C,1,FALSE)=C871,"No change"),"Name changed")</f>
        <v>No change</v>
      </c>
      <c r="B871" t="s">
        <v>743</v>
      </c>
      <c r="C871" t="s">
        <v>744</v>
      </c>
      <c r="E871" t="s">
        <v>3654</v>
      </c>
      <c r="F871" t="s">
        <v>12</v>
      </c>
      <c r="G871">
        <v>1E-3</v>
      </c>
      <c r="H871" s="413">
        <f>G871*VLOOKUP(E871,GWPs!$B$3:$C$6,2,FALSE)</f>
        <v>2.8000000000000001E-2</v>
      </c>
      <c r="I871">
        <v>0</v>
      </c>
      <c r="J871" s="413">
        <f>I871*VLOOKUP(E871,GWPs!$B$3:$C$6,2,FALSE)</f>
        <v>0</v>
      </c>
      <c r="K871">
        <v>1E-3</v>
      </c>
      <c r="L871" s="413">
        <f>K871*VLOOKUP(E871,GWPs!$B$3:$C$6,2,FALSE)</f>
        <v>2.8000000000000001E-2</v>
      </c>
      <c r="N871">
        <v>4</v>
      </c>
      <c r="O871">
        <v>2</v>
      </c>
      <c r="P871">
        <v>1</v>
      </c>
      <c r="Q871">
        <v>1</v>
      </c>
      <c r="R871">
        <v>1</v>
      </c>
    </row>
    <row r="872" spans="1:18">
      <c r="A872" t="str">
        <f>_xlfn.IFNA(IF(VLOOKUP(C872,'2016_Detail_Commodity_v1.0'!C:C,1,FALSE)=C872,"No change"),"Name changed")</f>
        <v>No change</v>
      </c>
      <c r="B872" t="s">
        <v>743</v>
      </c>
      <c r="C872" t="s">
        <v>744</v>
      </c>
      <c r="E872" t="s">
        <v>3655</v>
      </c>
      <c r="F872" t="s">
        <v>12</v>
      </c>
      <c r="G872">
        <v>0</v>
      </c>
      <c r="H872" s="413">
        <f>G872*VLOOKUP(E872,GWPs!$B$3:$C$6,2,FALSE)</f>
        <v>0</v>
      </c>
      <c r="I872">
        <v>0</v>
      </c>
      <c r="J872" s="413">
        <f>I872*VLOOKUP(E872,GWPs!$B$3:$C$6,2,FALSE)</f>
        <v>0</v>
      </c>
      <c r="K872">
        <v>0</v>
      </c>
      <c r="L872" s="413">
        <f>K872*VLOOKUP(E872,GWPs!$B$3:$C$6,2,FALSE)</f>
        <v>0</v>
      </c>
      <c r="N872">
        <v>3</v>
      </c>
      <c r="O872">
        <v>2</v>
      </c>
      <c r="P872">
        <v>1</v>
      </c>
      <c r="Q872">
        <v>3</v>
      </c>
      <c r="R872">
        <v>1</v>
      </c>
    </row>
    <row r="873" spans="1:18">
      <c r="A873" t="str">
        <f>_xlfn.IFNA(IF(VLOOKUP(C873,'2016_Detail_Commodity_v1.0'!C:C,1,FALSE)=C873,"No change"),"Name changed")</f>
        <v>No change</v>
      </c>
      <c r="B873" t="s">
        <v>743</v>
      </c>
      <c r="C873" t="s">
        <v>744</v>
      </c>
      <c r="E873" t="s">
        <v>15</v>
      </c>
      <c r="F873" t="s">
        <v>16</v>
      </c>
      <c r="G873">
        <v>1.2999999999999999E-2</v>
      </c>
      <c r="H873" s="413">
        <f>G873*VLOOKUP(E873,GWPs!$B$3:$C$6,2,FALSE)</f>
        <v>1.2999999999999999E-2</v>
      </c>
      <c r="I873">
        <v>0</v>
      </c>
      <c r="J873" s="413">
        <f>I873*VLOOKUP(E873,GWPs!$B$3:$C$6,2,FALSE)</f>
        <v>0</v>
      </c>
      <c r="K873">
        <v>1.2999999999999999E-2</v>
      </c>
      <c r="L873" s="413">
        <f>K873*VLOOKUP(E873,GWPs!$B$3:$C$6,2,FALSE)</f>
        <v>1.2999999999999999E-2</v>
      </c>
      <c r="N873">
        <v>3</v>
      </c>
      <c r="O873">
        <v>2</v>
      </c>
      <c r="P873">
        <v>1</v>
      </c>
      <c r="Q873">
        <v>3</v>
      </c>
      <c r="R873">
        <v>1</v>
      </c>
    </row>
    <row r="874" spans="1:18">
      <c r="A874" t="str">
        <f>_xlfn.IFNA(IF(VLOOKUP(C874,'2016_Detail_Commodity_v1.0'!C:C,1,FALSE)=C874,"No change"),"Name changed")</f>
        <v>No change</v>
      </c>
      <c r="B874" t="s">
        <v>745</v>
      </c>
      <c r="C874" t="s">
        <v>746</v>
      </c>
      <c r="E874" t="s">
        <v>3653</v>
      </c>
      <c r="F874" t="s">
        <v>12</v>
      </c>
      <c r="G874">
        <v>0.20399999999999999</v>
      </c>
      <c r="H874" s="413">
        <f>G874*VLOOKUP(E874,GWPs!$B$3:$C$6,2,FALSE)</f>
        <v>0.20399999999999999</v>
      </c>
      <c r="I874">
        <v>3.4000000000000002E-2</v>
      </c>
      <c r="J874" s="413">
        <f>I874*VLOOKUP(E874,GWPs!$B$3:$C$6,2,FALSE)</f>
        <v>3.4000000000000002E-2</v>
      </c>
      <c r="K874">
        <v>0.23799999999999999</v>
      </c>
      <c r="L874" s="413">
        <f>K874*VLOOKUP(E874,GWPs!$B$3:$C$6,2,FALSE)</f>
        <v>0.23799999999999999</v>
      </c>
      <c r="N874">
        <v>3</v>
      </c>
      <c r="O874">
        <v>2</v>
      </c>
      <c r="P874">
        <v>1</v>
      </c>
      <c r="Q874">
        <v>3</v>
      </c>
      <c r="R874">
        <v>1</v>
      </c>
    </row>
    <row r="875" spans="1:18">
      <c r="A875" t="str">
        <f>_xlfn.IFNA(IF(VLOOKUP(C875,'2016_Detail_Commodity_v1.0'!C:C,1,FALSE)=C875,"No change"),"Name changed")</f>
        <v>No change</v>
      </c>
      <c r="B875" t="s">
        <v>745</v>
      </c>
      <c r="C875" t="s">
        <v>746</v>
      </c>
      <c r="E875" t="s">
        <v>3654</v>
      </c>
      <c r="F875" t="s">
        <v>12</v>
      </c>
      <c r="G875">
        <v>1E-3</v>
      </c>
      <c r="H875" s="413">
        <f>G875*VLOOKUP(E875,GWPs!$B$3:$C$6,2,FALSE)</f>
        <v>2.8000000000000001E-2</v>
      </c>
      <c r="I875">
        <v>0</v>
      </c>
      <c r="J875" s="413">
        <f>I875*VLOOKUP(E875,GWPs!$B$3:$C$6,2,FALSE)</f>
        <v>0</v>
      </c>
      <c r="K875">
        <v>1E-3</v>
      </c>
      <c r="L875" s="413">
        <f>K875*VLOOKUP(E875,GWPs!$B$3:$C$6,2,FALSE)</f>
        <v>2.8000000000000001E-2</v>
      </c>
      <c r="N875">
        <v>4</v>
      </c>
      <c r="O875">
        <v>2</v>
      </c>
      <c r="P875">
        <v>1</v>
      </c>
      <c r="Q875">
        <v>1</v>
      </c>
      <c r="R875">
        <v>1</v>
      </c>
    </row>
    <row r="876" spans="1:18">
      <c r="A876" t="str">
        <f>_xlfn.IFNA(IF(VLOOKUP(C876,'2016_Detail_Commodity_v1.0'!C:C,1,FALSE)=C876,"No change"),"Name changed")</f>
        <v>No change</v>
      </c>
      <c r="B876" t="s">
        <v>745</v>
      </c>
      <c r="C876" t="s">
        <v>746</v>
      </c>
      <c r="E876" t="s">
        <v>3655</v>
      </c>
      <c r="F876" t="s">
        <v>12</v>
      </c>
      <c r="G876">
        <v>0</v>
      </c>
      <c r="H876" s="413">
        <f>G876*VLOOKUP(E876,GWPs!$B$3:$C$6,2,FALSE)</f>
        <v>0</v>
      </c>
      <c r="I876">
        <v>0</v>
      </c>
      <c r="J876" s="413">
        <f>I876*VLOOKUP(E876,GWPs!$B$3:$C$6,2,FALSE)</f>
        <v>0</v>
      </c>
      <c r="K876">
        <v>0</v>
      </c>
      <c r="L876" s="413">
        <f>K876*VLOOKUP(E876,GWPs!$B$3:$C$6,2,FALSE)</f>
        <v>0</v>
      </c>
      <c r="N876">
        <v>3</v>
      </c>
      <c r="O876">
        <v>2</v>
      </c>
      <c r="P876">
        <v>1</v>
      </c>
      <c r="Q876">
        <v>3</v>
      </c>
      <c r="R876">
        <v>1</v>
      </c>
    </row>
    <row r="877" spans="1:18">
      <c r="A877" t="str">
        <f>_xlfn.IFNA(IF(VLOOKUP(C877,'2016_Detail_Commodity_v1.0'!C:C,1,FALSE)=C877,"No change"),"Name changed")</f>
        <v>No change</v>
      </c>
      <c r="B877" t="s">
        <v>745</v>
      </c>
      <c r="C877" t="s">
        <v>746</v>
      </c>
      <c r="E877" t="s">
        <v>15</v>
      </c>
      <c r="F877" t="s">
        <v>16</v>
      </c>
      <c r="G877">
        <v>8.0000000000000002E-3</v>
      </c>
      <c r="H877" s="413">
        <f>G877*VLOOKUP(E877,GWPs!$B$3:$C$6,2,FALSE)</f>
        <v>8.0000000000000002E-3</v>
      </c>
      <c r="I877">
        <v>0</v>
      </c>
      <c r="J877" s="413">
        <f>I877*VLOOKUP(E877,GWPs!$B$3:$C$6,2,FALSE)</f>
        <v>0</v>
      </c>
      <c r="K877">
        <v>8.0000000000000002E-3</v>
      </c>
      <c r="L877" s="413">
        <f>K877*VLOOKUP(E877,GWPs!$B$3:$C$6,2,FALSE)</f>
        <v>8.0000000000000002E-3</v>
      </c>
      <c r="N877">
        <v>3</v>
      </c>
      <c r="O877">
        <v>2</v>
      </c>
      <c r="P877">
        <v>1</v>
      </c>
      <c r="Q877">
        <v>2</v>
      </c>
      <c r="R877">
        <v>1</v>
      </c>
    </row>
    <row r="878" spans="1:18">
      <c r="A878" t="str">
        <f>_xlfn.IFNA(IF(VLOOKUP(C878,'2016_Detail_Commodity_v1.0'!C:C,1,FALSE)=C878,"No change"),"Name changed")</f>
        <v>No change</v>
      </c>
      <c r="B878" t="s">
        <v>747</v>
      </c>
      <c r="C878" t="s">
        <v>748</v>
      </c>
      <c r="E878" t="s">
        <v>3653</v>
      </c>
      <c r="F878" t="s">
        <v>12</v>
      </c>
      <c r="G878">
        <v>0.13300000000000001</v>
      </c>
      <c r="H878" s="413">
        <f>G878*VLOOKUP(E878,GWPs!$B$3:$C$6,2,FALSE)</f>
        <v>0.13300000000000001</v>
      </c>
      <c r="I878">
        <v>2.9000000000000001E-2</v>
      </c>
      <c r="J878" s="413">
        <f>I878*VLOOKUP(E878,GWPs!$B$3:$C$6,2,FALSE)</f>
        <v>2.9000000000000001E-2</v>
      </c>
      <c r="K878">
        <v>0.16200000000000001</v>
      </c>
      <c r="L878" s="413">
        <f>K878*VLOOKUP(E878,GWPs!$B$3:$C$6,2,FALSE)</f>
        <v>0.16200000000000001</v>
      </c>
      <c r="N878">
        <v>3</v>
      </c>
      <c r="O878">
        <v>2</v>
      </c>
      <c r="P878">
        <v>1</v>
      </c>
      <c r="Q878">
        <v>3</v>
      </c>
      <c r="R878">
        <v>1</v>
      </c>
    </row>
    <row r="879" spans="1:18">
      <c r="A879" t="str">
        <f>_xlfn.IFNA(IF(VLOOKUP(C879,'2016_Detail_Commodity_v1.0'!C:C,1,FALSE)=C879,"No change"),"Name changed")</f>
        <v>No change</v>
      </c>
      <c r="B879" t="s">
        <v>747</v>
      </c>
      <c r="C879" t="s">
        <v>748</v>
      </c>
      <c r="E879" t="s">
        <v>3654</v>
      </c>
      <c r="F879" t="s">
        <v>12</v>
      </c>
      <c r="G879">
        <v>0</v>
      </c>
      <c r="H879" s="413">
        <f>G879*VLOOKUP(E879,GWPs!$B$3:$C$6,2,FALSE)</f>
        <v>0</v>
      </c>
      <c r="I879">
        <v>0</v>
      </c>
      <c r="J879" s="413">
        <f>I879*VLOOKUP(E879,GWPs!$B$3:$C$6,2,FALSE)</f>
        <v>0</v>
      </c>
      <c r="K879">
        <v>1E-3</v>
      </c>
      <c r="L879" s="413">
        <f>K879*VLOOKUP(E879,GWPs!$B$3:$C$6,2,FALSE)</f>
        <v>2.8000000000000001E-2</v>
      </c>
      <c r="N879">
        <v>4</v>
      </c>
      <c r="O879">
        <v>2</v>
      </c>
      <c r="P879">
        <v>1</v>
      </c>
      <c r="Q879">
        <v>1</v>
      </c>
      <c r="R879">
        <v>1</v>
      </c>
    </row>
    <row r="880" spans="1:18">
      <c r="A880" t="str">
        <f>_xlfn.IFNA(IF(VLOOKUP(C880,'2016_Detail_Commodity_v1.0'!C:C,1,FALSE)=C880,"No change"),"Name changed")</f>
        <v>No change</v>
      </c>
      <c r="B880" t="s">
        <v>747</v>
      </c>
      <c r="C880" t="s">
        <v>748</v>
      </c>
      <c r="E880" t="s">
        <v>3655</v>
      </c>
      <c r="F880" t="s">
        <v>12</v>
      </c>
      <c r="G880">
        <v>0</v>
      </c>
      <c r="H880" s="413">
        <f>G880*VLOOKUP(E880,GWPs!$B$3:$C$6,2,FALSE)</f>
        <v>0</v>
      </c>
      <c r="I880">
        <v>0</v>
      </c>
      <c r="J880" s="413">
        <f>I880*VLOOKUP(E880,GWPs!$B$3:$C$6,2,FALSE)</f>
        <v>0</v>
      </c>
      <c r="K880">
        <v>0</v>
      </c>
      <c r="L880" s="413">
        <f>K880*VLOOKUP(E880,GWPs!$B$3:$C$6,2,FALSE)</f>
        <v>0</v>
      </c>
      <c r="N880">
        <v>3</v>
      </c>
      <c r="O880">
        <v>2</v>
      </c>
      <c r="P880">
        <v>1</v>
      </c>
      <c r="Q880">
        <v>3</v>
      </c>
      <c r="R880">
        <v>1</v>
      </c>
    </row>
    <row r="881" spans="1:18">
      <c r="A881" t="str">
        <f>_xlfn.IFNA(IF(VLOOKUP(C881,'2016_Detail_Commodity_v1.0'!C:C,1,FALSE)=C881,"No change"),"Name changed")</f>
        <v>No change</v>
      </c>
      <c r="B881" t="s">
        <v>747</v>
      </c>
      <c r="C881" t="s">
        <v>748</v>
      </c>
      <c r="E881" t="s">
        <v>15</v>
      </c>
      <c r="F881" t="s">
        <v>16</v>
      </c>
      <c r="G881">
        <v>5.0000000000000001E-3</v>
      </c>
      <c r="H881" s="413">
        <f>G881*VLOOKUP(E881,GWPs!$B$3:$C$6,2,FALSE)</f>
        <v>5.0000000000000001E-3</v>
      </c>
      <c r="I881">
        <v>0</v>
      </c>
      <c r="J881" s="413">
        <f>I881*VLOOKUP(E881,GWPs!$B$3:$C$6,2,FALSE)</f>
        <v>0</v>
      </c>
      <c r="K881">
        <v>5.0000000000000001E-3</v>
      </c>
      <c r="L881" s="413">
        <f>K881*VLOOKUP(E881,GWPs!$B$3:$C$6,2,FALSE)</f>
        <v>5.0000000000000001E-3</v>
      </c>
      <c r="N881">
        <v>3</v>
      </c>
      <c r="O881">
        <v>2</v>
      </c>
      <c r="P881">
        <v>1</v>
      </c>
      <c r="Q881">
        <v>2</v>
      </c>
      <c r="R881">
        <v>1</v>
      </c>
    </row>
    <row r="882" spans="1:18">
      <c r="A882" t="str">
        <f>_xlfn.IFNA(IF(VLOOKUP(C882,'2016_Detail_Commodity_v1.0'!C:C,1,FALSE)=C882,"No change"),"Name changed")</f>
        <v>No change</v>
      </c>
      <c r="B882" t="s">
        <v>749</v>
      </c>
      <c r="C882" t="s">
        <v>750</v>
      </c>
      <c r="E882" t="s">
        <v>3653</v>
      </c>
      <c r="F882" t="s">
        <v>12</v>
      </c>
      <c r="G882">
        <v>0.255</v>
      </c>
      <c r="H882" s="413">
        <f>G882*VLOOKUP(E882,GWPs!$B$3:$C$6,2,FALSE)</f>
        <v>0.255</v>
      </c>
      <c r="I882">
        <v>5.1999999999999998E-2</v>
      </c>
      <c r="J882" s="413">
        <f>I882*VLOOKUP(E882,GWPs!$B$3:$C$6,2,FALSE)</f>
        <v>5.1999999999999998E-2</v>
      </c>
      <c r="K882">
        <v>0.307</v>
      </c>
      <c r="L882" s="413">
        <f>K882*VLOOKUP(E882,GWPs!$B$3:$C$6,2,FALSE)</f>
        <v>0.307</v>
      </c>
      <c r="N882">
        <v>3</v>
      </c>
      <c r="O882">
        <v>2</v>
      </c>
      <c r="P882">
        <v>1</v>
      </c>
      <c r="Q882">
        <v>3</v>
      </c>
      <c r="R882">
        <v>1</v>
      </c>
    </row>
    <row r="883" spans="1:18">
      <c r="A883" t="str">
        <f>_xlfn.IFNA(IF(VLOOKUP(C883,'2016_Detail_Commodity_v1.0'!C:C,1,FALSE)=C883,"No change"),"Name changed")</f>
        <v>No change</v>
      </c>
      <c r="B883" t="s">
        <v>749</v>
      </c>
      <c r="C883" t="s">
        <v>750</v>
      </c>
      <c r="E883" t="s">
        <v>3654</v>
      </c>
      <c r="F883" t="s">
        <v>12</v>
      </c>
      <c r="G883">
        <v>1E-3</v>
      </c>
      <c r="H883" s="413">
        <f>G883*VLOOKUP(E883,GWPs!$B$3:$C$6,2,FALSE)</f>
        <v>2.8000000000000001E-2</v>
      </c>
      <c r="I883">
        <v>0</v>
      </c>
      <c r="J883" s="413">
        <f>I883*VLOOKUP(E883,GWPs!$B$3:$C$6,2,FALSE)</f>
        <v>0</v>
      </c>
      <c r="K883">
        <v>1E-3</v>
      </c>
      <c r="L883" s="413">
        <f>K883*VLOOKUP(E883,GWPs!$B$3:$C$6,2,FALSE)</f>
        <v>2.8000000000000001E-2</v>
      </c>
      <c r="N883">
        <v>4</v>
      </c>
      <c r="O883">
        <v>2</v>
      </c>
      <c r="P883">
        <v>1</v>
      </c>
      <c r="Q883">
        <v>1</v>
      </c>
      <c r="R883">
        <v>1</v>
      </c>
    </row>
    <row r="884" spans="1:18">
      <c r="A884" t="str">
        <f>_xlfn.IFNA(IF(VLOOKUP(C884,'2016_Detail_Commodity_v1.0'!C:C,1,FALSE)=C884,"No change"),"Name changed")</f>
        <v>No change</v>
      </c>
      <c r="B884" t="s">
        <v>749</v>
      </c>
      <c r="C884" t="s">
        <v>750</v>
      </c>
      <c r="E884" t="s">
        <v>3655</v>
      </c>
      <c r="F884" t="s">
        <v>12</v>
      </c>
      <c r="G884">
        <v>0</v>
      </c>
      <c r="H884" s="413">
        <f>G884*VLOOKUP(E884,GWPs!$B$3:$C$6,2,FALSE)</f>
        <v>0</v>
      </c>
      <c r="I884">
        <v>0</v>
      </c>
      <c r="J884" s="413">
        <f>I884*VLOOKUP(E884,GWPs!$B$3:$C$6,2,FALSE)</f>
        <v>0</v>
      </c>
      <c r="K884">
        <v>0</v>
      </c>
      <c r="L884" s="413">
        <f>K884*VLOOKUP(E884,GWPs!$B$3:$C$6,2,FALSE)</f>
        <v>0</v>
      </c>
      <c r="N884">
        <v>3</v>
      </c>
      <c r="O884">
        <v>2</v>
      </c>
      <c r="P884">
        <v>1</v>
      </c>
      <c r="Q884">
        <v>3</v>
      </c>
      <c r="R884">
        <v>1</v>
      </c>
    </row>
    <row r="885" spans="1:18">
      <c r="A885" t="str">
        <f>_xlfn.IFNA(IF(VLOOKUP(C885,'2016_Detail_Commodity_v1.0'!C:C,1,FALSE)=C885,"No change"),"Name changed")</f>
        <v>No change</v>
      </c>
      <c r="B885" t="s">
        <v>749</v>
      </c>
      <c r="C885" t="s">
        <v>750</v>
      </c>
      <c r="E885" t="s">
        <v>15</v>
      </c>
      <c r="F885" t="s">
        <v>16</v>
      </c>
      <c r="G885">
        <v>1.6E-2</v>
      </c>
      <c r="H885" s="413">
        <f>G885*VLOOKUP(E885,GWPs!$B$3:$C$6,2,FALSE)</f>
        <v>1.6E-2</v>
      </c>
      <c r="I885">
        <v>0</v>
      </c>
      <c r="J885" s="413">
        <f>I885*VLOOKUP(E885,GWPs!$B$3:$C$6,2,FALSE)</f>
        <v>0</v>
      </c>
      <c r="K885">
        <v>1.6E-2</v>
      </c>
      <c r="L885" s="413">
        <f>K885*VLOOKUP(E885,GWPs!$B$3:$C$6,2,FALSE)</f>
        <v>1.6E-2</v>
      </c>
      <c r="N885">
        <v>4</v>
      </c>
      <c r="O885">
        <v>2</v>
      </c>
      <c r="P885">
        <v>1</v>
      </c>
      <c r="Q885">
        <v>1</v>
      </c>
      <c r="R885">
        <v>1</v>
      </c>
    </row>
    <row r="886" spans="1:18">
      <c r="A886" t="str">
        <f>_xlfn.IFNA(IF(VLOOKUP(C886,'2016_Detail_Commodity_v1.0'!C:C,1,FALSE)=C886,"No change"),"Name changed")</f>
        <v>No change</v>
      </c>
      <c r="B886" t="s">
        <v>751</v>
      </c>
      <c r="C886" t="s">
        <v>752</v>
      </c>
      <c r="E886" t="s">
        <v>3653</v>
      </c>
      <c r="F886" t="s">
        <v>12</v>
      </c>
      <c r="G886">
        <v>0.13600000000000001</v>
      </c>
      <c r="H886" s="413">
        <f>G886*VLOOKUP(E886,GWPs!$B$3:$C$6,2,FALSE)</f>
        <v>0.13600000000000001</v>
      </c>
      <c r="I886">
        <v>9.7000000000000003E-2</v>
      </c>
      <c r="J886" s="413">
        <f>I886*VLOOKUP(E886,GWPs!$B$3:$C$6,2,FALSE)</f>
        <v>9.7000000000000003E-2</v>
      </c>
      <c r="K886">
        <v>0.23400000000000001</v>
      </c>
      <c r="L886" s="413">
        <f>K886*VLOOKUP(E886,GWPs!$B$3:$C$6,2,FALSE)</f>
        <v>0.23400000000000001</v>
      </c>
      <c r="N886">
        <v>3</v>
      </c>
      <c r="O886">
        <v>2</v>
      </c>
      <c r="P886">
        <v>1</v>
      </c>
      <c r="Q886">
        <v>3</v>
      </c>
      <c r="R886">
        <v>1</v>
      </c>
    </row>
    <row r="887" spans="1:18">
      <c r="A887" t="str">
        <f>_xlfn.IFNA(IF(VLOOKUP(C887,'2016_Detail_Commodity_v1.0'!C:C,1,FALSE)=C887,"No change"),"Name changed")</f>
        <v>No change</v>
      </c>
      <c r="B887" t="s">
        <v>751</v>
      </c>
      <c r="C887" t="s">
        <v>752</v>
      </c>
      <c r="E887" t="s">
        <v>3654</v>
      </c>
      <c r="F887" t="s">
        <v>12</v>
      </c>
      <c r="G887">
        <v>0</v>
      </c>
      <c r="H887" s="413">
        <f>G887*VLOOKUP(E887,GWPs!$B$3:$C$6,2,FALSE)</f>
        <v>0</v>
      </c>
      <c r="I887">
        <v>0</v>
      </c>
      <c r="J887" s="413">
        <f>I887*VLOOKUP(E887,GWPs!$B$3:$C$6,2,FALSE)</f>
        <v>0</v>
      </c>
      <c r="K887">
        <v>1E-3</v>
      </c>
      <c r="L887" s="413">
        <f>K887*VLOOKUP(E887,GWPs!$B$3:$C$6,2,FALSE)</f>
        <v>2.8000000000000001E-2</v>
      </c>
      <c r="N887">
        <v>4</v>
      </c>
      <c r="O887">
        <v>2</v>
      </c>
      <c r="P887">
        <v>1</v>
      </c>
      <c r="Q887">
        <v>1</v>
      </c>
      <c r="R887">
        <v>1</v>
      </c>
    </row>
    <row r="888" spans="1:18">
      <c r="A888" t="str">
        <f>_xlfn.IFNA(IF(VLOOKUP(C888,'2016_Detail_Commodity_v1.0'!C:C,1,FALSE)=C888,"No change"),"Name changed")</f>
        <v>No change</v>
      </c>
      <c r="B888" t="s">
        <v>751</v>
      </c>
      <c r="C888" t="s">
        <v>752</v>
      </c>
      <c r="E888" t="s">
        <v>3655</v>
      </c>
      <c r="F888" t="s">
        <v>12</v>
      </c>
      <c r="G888">
        <v>0</v>
      </c>
      <c r="H888" s="413">
        <f>G888*VLOOKUP(E888,GWPs!$B$3:$C$6,2,FALSE)</f>
        <v>0</v>
      </c>
      <c r="I888">
        <v>0</v>
      </c>
      <c r="J888" s="413">
        <f>I888*VLOOKUP(E888,GWPs!$B$3:$C$6,2,FALSE)</f>
        <v>0</v>
      </c>
      <c r="K888">
        <v>0</v>
      </c>
      <c r="L888" s="413">
        <f>K888*VLOOKUP(E888,GWPs!$B$3:$C$6,2,FALSE)</f>
        <v>0</v>
      </c>
      <c r="N888">
        <v>3</v>
      </c>
      <c r="O888">
        <v>2</v>
      </c>
      <c r="P888">
        <v>1</v>
      </c>
      <c r="Q888">
        <v>3</v>
      </c>
      <c r="R888">
        <v>1</v>
      </c>
    </row>
    <row r="889" spans="1:18">
      <c r="A889" t="str">
        <f>_xlfn.IFNA(IF(VLOOKUP(C889,'2016_Detail_Commodity_v1.0'!C:C,1,FALSE)=C889,"No change"),"Name changed")</f>
        <v>No change</v>
      </c>
      <c r="B889" t="s">
        <v>751</v>
      </c>
      <c r="C889" t="s">
        <v>752</v>
      </c>
      <c r="E889" t="s">
        <v>15</v>
      </c>
      <c r="F889" t="s">
        <v>16</v>
      </c>
      <c r="G889">
        <v>1.0999999999999999E-2</v>
      </c>
      <c r="H889" s="413">
        <f>G889*VLOOKUP(E889,GWPs!$B$3:$C$6,2,FALSE)</f>
        <v>1.0999999999999999E-2</v>
      </c>
      <c r="I889">
        <v>0</v>
      </c>
      <c r="J889" s="413">
        <f>I889*VLOOKUP(E889,GWPs!$B$3:$C$6,2,FALSE)</f>
        <v>0</v>
      </c>
      <c r="K889">
        <v>1.0999999999999999E-2</v>
      </c>
      <c r="L889" s="413">
        <f>K889*VLOOKUP(E889,GWPs!$B$3:$C$6,2,FALSE)</f>
        <v>1.0999999999999999E-2</v>
      </c>
      <c r="N889">
        <v>4</v>
      </c>
      <c r="O889">
        <v>2</v>
      </c>
      <c r="P889">
        <v>1</v>
      </c>
      <c r="Q889">
        <v>2</v>
      </c>
      <c r="R889">
        <v>1</v>
      </c>
    </row>
    <row r="890" spans="1:18">
      <c r="A890" t="str">
        <f>_xlfn.IFNA(IF(VLOOKUP(C890,'2016_Detail_Commodity_v1.0'!C:C,1,FALSE)=C890,"No change"),"Name changed")</f>
        <v>No change</v>
      </c>
      <c r="B890" t="s">
        <v>753</v>
      </c>
      <c r="C890" t="s">
        <v>754</v>
      </c>
      <c r="E890" t="s">
        <v>3653</v>
      </c>
      <c r="F890" t="s">
        <v>12</v>
      </c>
      <c r="G890">
        <v>0.39</v>
      </c>
      <c r="H890" s="413">
        <f>G890*VLOOKUP(E890,GWPs!$B$3:$C$6,2,FALSE)</f>
        <v>0.39</v>
      </c>
      <c r="I890">
        <v>3.2000000000000001E-2</v>
      </c>
      <c r="J890" s="413">
        <f>I890*VLOOKUP(E890,GWPs!$B$3:$C$6,2,FALSE)</f>
        <v>3.2000000000000001E-2</v>
      </c>
      <c r="K890">
        <v>0.42299999999999999</v>
      </c>
      <c r="L890" s="413">
        <f>K890*VLOOKUP(E890,GWPs!$B$3:$C$6,2,FALSE)</f>
        <v>0.42299999999999999</v>
      </c>
      <c r="N890">
        <v>3</v>
      </c>
      <c r="O890">
        <v>2</v>
      </c>
      <c r="P890">
        <v>1</v>
      </c>
      <c r="Q890">
        <v>3</v>
      </c>
      <c r="R890">
        <v>1</v>
      </c>
    </row>
    <row r="891" spans="1:18">
      <c r="A891" t="str">
        <f>_xlfn.IFNA(IF(VLOOKUP(C891,'2016_Detail_Commodity_v1.0'!C:C,1,FALSE)=C891,"No change"),"Name changed")</f>
        <v>No change</v>
      </c>
      <c r="B891" t="s">
        <v>753</v>
      </c>
      <c r="C891" t="s">
        <v>754</v>
      </c>
      <c r="E891" t="s">
        <v>3654</v>
      </c>
      <c r="F891" t="s">
        <v>12</v>
      </c>
      <c r="G891">
        <v>1E-3</v>
      </c>
      <c r="H891" s="413">
        <f>G891*VLOOKUP(E891,GWPs!$B$3:$C$6,2,FALSE)</f>
        <v>2.8000000000000001E-2</v>
      </c>
      <c r="I891">
        <v>0</v>
      </c>
      <c r="J891" s="413">
        <f>I891*VLOOKUP(E891,GWPs!$B$3:$C$6,2,FALSE)</f>
        <v>0</v>
      </c>
      <c r="K891">
        <v>1E-3</v>
      </c>
      <c r="L891" s="413">
        <f>K891*VLOOKUP(E891,GWPs!$B$3:$C$6,2,FALSE)</f>
        <v>2.8000000000000001E-2</v>
      </c>
      <c r="N891">
        <v>4</v>
      </c>
      <c r="O891">
        <v>2</v>
      </c>
      <c r="P891">
        <v>1</v>
      </c>
      <c r="Q891">
        <v>1</v>
      </c>
      <c r="R891">
        <v>1</v>
      </c>
    </row>
    <row r="892" spans="1:18">
      <c r="A892" t="str">
        <f>_xlfn.IFNA(IF(VLOOKUP(C892,'2016_Detail_Commodity_v1.0'!C:C,1,FALSE)=C892,"No change"),"Name changed")</f>
        <v>No change</v>
      </c>
      <c r="B892" t="s">
        <v>753</v>
      </c>
      <c r="C892" t="s">
        <v>754</v>
      </c>
      <c r="E892" t="s">
        <v>3655</v>
      </c>
      <c r="F892" t="s">
        <v>12</v>
      </c>
      <c r="G892">
        <v>0</v>
      </c>
      <c r="H892" s="413">
        <f>G892*VLOOKUP(E892,GWPs!$B$3:$C$6,2,FALSE)</f>
        <v>0</v>
      </c>
      <c r="I892">
        <v>0</v>
      </c>
      <c r="J892" s="413">
        <f>I892*VLOOKUP(E892,GWPs!$B$3:$C$6,2,FALSE)</f>
        <v>0</v>
      </c>
      <c r="K892">
        <v>0</v>
      </c>
      <c r="L892" s="413">
        <f>K892*VLOOKUP(E892,GWPs!$B$3:$C$6,2,FALSE)</f>
        <v>0</v>
      </c>
      <c r="N892">
        <v>3</v>
      </c>
      <c r="O892">
        <v>2</v>
      </c>
      <c r="P892">
        <v>1</v>
      </c>
      <c r="Q892">
        <v>3</v>
      </c>
      <c r="R892">
        <v>1</v>
      </c>
    </row>
    <row r="893" spans="1:18">
      <c r="A893" t="str">
        <f>_xlfn.IFNA(IF(VLOOKUP(C893,'2016_Detail_Commodity_v1.0'!C:C,1,FALSE)=C893,"No change"),"Name changed")</f>
        <v>No change</v>
      </c>
      <c r="B893" t="s">
        <v>753</v>
      </c>
      <c r="C893" t="s">
        <v>754</v>
      </c>
      <c r="E893" t="s">
        <v>15</v>
      </c>
      <c r="F893" t="s">
        <v>16</v>
      </c>
      <c r="G893">
        <v>1.2999999999999999E-2</v>
      </c>
      <c r="H893" s="413">
        <f>G893*VLOOKUP(E893,GWPs!$B$3:$C$6,2,FALSE)</f>
        <v>1.2999999999999999E-2</v>
      </c>
      <c r="I893">
        <v>0</v>
      </c>
      <c r="J893" s="413">
        <f>I893*VLOOKUP(E893,GWPs!$B$3:$C$6,2,FALSE)</f>
        <v>0</v>
      </c>
      <c r="K893">
        <v>1.2999999999999999E-2</v>
      </c>
      <c r="L893" s="413">
        <f>K893*VLOOKUP(E893,GWPs!$B$3:$C$6,2,FALSE)</f>
        <v>1.2999999999999999E-2</v>
      </c>
      <c r="N893">
        <v>3</v>
      </c>
      <c r="O893">
        <v>2</v>
      </c>
      <c r="P893">
        <v>1</v>
      </c>
      <c r="Q893">
        <v>2</v>
      </c>
      <c r="R893">
        <v>1</v>
      </c>
    </row>
    <row r="894" spans="1:18">
      <c r="A894" t="str">
        <f>_xlfn.IFNA(IF(VLOOKUP(C894,'2016_Detail_Commodity_v1.0'!C:C,1,FALSE)=C894,"No change"),"Name changed")</f>
        <v>No change</v>
      </c>
      <c r="B894" t="s">
        <v>755</v>
      </c>
      <c r="C894" t="s">
        <v>756</v>
      </c>
      <c r="E894" t="s">
        <v>3653</v>
      </c>
      <c r="F894" t="s">
        <v>12</v>
      </c>
      <c r="G894">
        <v>0.223</v>
      </c>
      <c r="H894" s="413">
        <f>G894*VLOOKUP(E894,GWPs!$B$3:$C$6,2,FALSE)</f>
        <v>0.223</v>
      </c>
      <c r="I894">
        <v>5.8000000000000003E-2</v>
      </c>
      <c r="J894" s="413">
        <f>I894*VLOOKUP(E894,GWPs!$B$3:$C$6,2,FALSE)</f>
        <v>5.8000000000000003E-2</v>
      </c>
      <c r="K894">
        <v>0.28100000000000003</v>
      </c>
      <c r="L894" s="413">
        <f>K894*VLOOKUP(E894,GWPs!$B$3:$C$6,2,FALSE)</f>
        <v>0.28100000000000003</v>
      </c>
      <c r="N894">
        <v>3</v>
      </c>
      <c r="O894">
        <v>2</v>
      </c>
      <c r="P894">
        <v>1</v>
      </c>
      <c r="Q894">
        <v>3</v>
      </c>
      <c r="R894">
        <v>1</v>
      </c>
    </row>
    <row r="895" spans="1:18">
      <c r="A895" t="str">
        <f>_xlfn.IFNA(IF(VLOOKUP(C895,'2016_Detail_Commodity_v1.0'!C:C,1,FALSE)=C895,"No change"),"Name changed")</f>
        <v>No change</v>
      </c>
      <c r="B895" t="s">
        <v>755</v>
      </c>
      <c r="C895" t="s">
        <v>756</v>
      </c>
      <c r="E895" t="s">
        <v>3654</v>
      </c>
      <c r="F895" t="s">
        <v>12</v>
      </c>
      <c r="G895">
        <v>1E-3</v>
      </c>
      <c r="H895" s="413">
        <f>G895*VLOOKUP(E895,GWPs!$B$3:$C$6,2,FALSE)</f>
        <v>2.8000000000000001E-2</v>
      </c>
      <c r="I895">
        <v>0</v>
      </c>
      <c r="J895" s="413">
        <f>I895*VLOOKUP(E895,GWPs!$B$3:$C$6,2,FALSE)</f>
        <v>0</v>
      </c>
      <c r="K895">
        <v>1E-3</v>
      </c>
      <c r="L895" s="413">
        <f>K895*VLOOKUP(E895,GWPs!$B$3:$C$6,2,FALSE)</f>
        <v>2.8000000000000001E-2</v>
      </c>
      <c r="N895">
        <v>4</v>
      </c>
      <c r="O895">
        <v>2</v>
      </c>
      <c r="P895">
        <v>1</v>
      </c>
      <c r="Q895">
        <v>1</v>
      </c>
      <c r="R895">
        <v>1</v>
      </c>
    </row>
    <row r="896" spans="1:18">
      <c r="A896" t="str">
        <f>_xlfn.IFNA(IF(VLOOKUP(C896,'2016_Detail_Commodity_v1.0'!C:C,1,FALSE)=C896,"No change"),"Name changed")</f>
        <v>No change</v>
      </c>
      <c r="B896" t="s">
        <v>755</v>
      </c>
      <c r="C896" t="s">
        <v>756</v>
      </c>
      <c r="E896" t="s">
        <v>3655</v>
      </c>
      <c r="F896" t="s">
        <v>12</v>
      </c>
      <c r="G896">
        <v>0</v>
      </c>
      <c r="H896" s="413">
        <f>G896*VLOOKUP(E896,GWPs!$B$3:$C$6,2,FALSE)</f>
        <v>0</v>
      </c>
      <c r="I896">
        <v>0</v>
      </c>
      <c r="J896" s="413">
        <f>I896*VLOOKUP(E896,GWPs!$B$3:$C$6,2,FALSE)</f>
        <v>0</v>
      </c>
      <c r="K896">
        <v>0</v>
      </c>
      <c r="L896" s="413">
        <f>K896*VLOOKUP(E896,GWPs!$B$3:$C$6,2,FALSE)</f>
        <v>0</v>
      </c>
      <c r="N896">
        <v>3</v>
      </c>
      <c r="O896">
        <v>2</v>
      </c>
      <c r="P896">
        <v>1</v>
      </c>
      <c r="Q896">
        <v>3</v>
      </c>
      <c r="R896">
        <v>1</v>
      </c>
    </row>
    <row r="897" spans="1:18">
      <c r="A897" t="str">
        <f>_xlfn.IFNA(IF(VLOOKUP(C897,'2016_Detail_Commodity_v1.0'!C:C,1,FALSE)=C897,"No change"),"Name changed")</f>
        <v>No change</v>
      </c>
      <c r="B897" t="s">
        <v>755</v>
      </c>
      <c r="C897" t="s">
        <v>756</v>
      </c>
      <c r="E897" t="s">
        <v>15</v>
      </c>
      <c r="F897" t="s">
        <v>16</v>
      </c>
      <c r="G897">
        <v>8.0000000000000002E-3</v>
      </c>
      <c r="H897" s="413">
        <f>G897*VLOOKUP(E897,GWPs!$B$3:$C$6,2,FALSE)</f>
        <v>8.0000000000000002E-3</v>
      </c>
      <c r="I897">
        <v>0</v>
      </c>
      <c r="J897" s="413">
        <f>I897*VLOOKUP(E897,GWPs!$B$3:$C$6,2,FALSE)</f>
        <v>0</v>
      </c>
      <c r="K897">
        <v>8.0000000000000002E-3</v>
      </c>
      <c r="L897" s="413">
        <f>K897*VLOOKUP(E897,GWPs!$B$3:$C$6,2,FALSE)</f>
        <v>8.0000000000000002E-3</v>
      </c>
      <c r="N897">
        <v>3</v>
      </c>
      <c r="O897">
        <v>2</v>
      </c>
      <c r="P897">
        <v>1</v>
      </c>
      <c r="Q897">
        <v>2</v>
      </c>
      <c r="R897">
        <v>1</v>
      </c>
    </row>
    <row r="898" spans="1:18">
      <c r="A898" t="str">
        <f>_xlfn.IFNA(IF(VLOOKUP(C898,'2016_Detail_Commodity_v1.0'!C:C,1,FALSE)=C898,"No change"),"Name changed")</f>
        <v>No change</v>
      </c>
      <c r="B898" t="s">
        <v>757</v>
      </c>
      <c r="C898" t="s">
        <v>758</v>
      </c>
      <c r="E898" t="s">
        <v>3653</v>
      </c>
      <c r="F898" t="s">
        <v>12</v>
      </c>
      <c r="G898">
        <v>0.27700000000000002</v>
      </c>
      <c r="H898" s="413">
        <f>G898*VLOOKUP(E898,GWPs!$B$3:$C$6,2,FALSE)</f>
        <v>0.27700000000000002</v>
      </c>
      <c r="I898">
        <v>1.2999999999999999E-2</v>
      </c>
      <c r="J898" s="413">
        <f>I898*VLOOKUP(E898,GWPs!$B$3:$C$6,2,FALSE)</f>
        <v>1.2999999999999999E-2</v>
      </c>
      <c r="K898">
        <v>0.28999999999999998</v>
      </c>
      <c r="L898" s="413">
        <f>K898*VLOOKUP(E898,GWPs!$B$3:$C$6,2,FALSE)</f>
        <v>0.28999999999999998</v>
      </c>
      <c r="N898">
        <v>3</v>
      </c>
      <c r="O898">
        <v>2</v>
      </c>
      <c r="P898">
        <v>1</v>
      </c>
      <c r="Q898">
        <v>3</v>
      </c>
      <c r="R898">
        <v>1</v>
      </c>
    </row>
    <row r="899" spans="1:18">
      <c r="A899" t="str">
        <f>_xlfn.IFNA(IF(VLOOKUP(C899,'2016_Detail_Commodity_v1.0'!C:C,1,FALSE)=C899,"No change"),"Name changed")</f>
        <v>No change</v>
      </c>
      <c r="B899" t="s">
        <v>757</v>
      </c>
      <c r="C899" t="s">
        <v>758</v>
      </c>
      <c r="E899" t="s">
        <v>3654</v>
      </c>
      <c r="F899" t="s">
        <v>12</v>
      </c>
      <c r="G899">
        <v>2E-3</v>
      </c>
      <c r="H899" s="413">
        <f>G899*VLOOKUP(E899,GWPs!$B$3:$C$6,2,FALSE)</f>
        <v>5.6000000000000001E-2</v>
      </c>
      <c r="I899">
        <v>0</v>
      </c>
      <c r="J899" s="413">
        <f>I899*VLOOKUP(E899,GWPs!$B$3:$C$6,2,FALSE)</f>
        <v>0</v>
      </c>
      <c r="K899">
        <v>2E-3</v>
      </c>
      <c r="L899" s="413">
        <f>K899*VLOOKUP(E899,GWPs!$B$3:$C$6,2,FALSE)</f>
        <v>5.6000000000000001E-2</v>
      </c>
      <c r="N899">
        <v>4</v>
      </c>
      <c r="O899">
        <v>2</v>
      </c>
      <c r="P899">
        <v>1</v>
      </c>
      <c r="Q899">
        <v>1</v>
      </c>
      <c r="R899">
        <v>1</v>
      </c>
    </row>
    <row r="900" spans="1:18">
      <c r="A900" t="str">
        <f>_xlfn.IFNA(IF(VLOOKUP(C900,'2016_Detail_Commodity_v1.0'!C:C,1,FALSE)=C900,"No change"),"Name changed")</f>
        <v>No change</v>
      </c>
      <c r="B900" t="s">
        <v>757</v>
      </c>
      <c r="C900" t="s">
        <v>758</v>
      </c>
      <c r="E900" t="s">
        <v>3655</v>
      </c>
      <c r="F900" t="s">
        <v>12</v>
      </c>
      <c r="G900">
        <v>0</v>
      </c>
      <c r="H900" s="413">
        <f>G900*VLOOKUP(E900,GWPs!$B$3:$C$6,2,FALSE)</f>
        <v>0</v>
      </c>
      <c r="I900">
        <v>0</v>
      </c>
      <c r="J900" s="413">
        <f>I900*VLOOKUP(E900,GWPs!$B$3:$C$6,2,FALSE)</f>
        <v>0</v>
      </c>
      <c r="K900">
        <v>0</v>
      </c>
      <c r="L900" s="413">
        <f>K900*VLOOKUP(E900,GWPs!$B$3:$C$6,2,FALSE)</f>
        <v>0</v>
      </c>
      <c r="N900">
        <v>3</v>
      </c>
      <c r="O900">
        <v>2</v>
      </c>
      <c r="P900">
        <v>1</v>
      </c>
      <c r="Q900">
        <v>3</v>
      </c>
      <c r="R900">
        <v>1</v>
      </c>
    </row>
    <row r="901" spans="1:18">
      <c r="A901" t="str">
        <f>_xlfn.IFNA(IF(VLOOKUP(C901,'2016_Detail_Commodity_v1.0'!C:C,1,FALSE)=C901,"No change"),"Name changed")</f>
        <v>No change</v>
      </c>
      <c r="B901" t="s">
        <v>757</v>
      </c>
      <c r="C901" t="s">
        <v>758</v>
      </c>
      <c r="E901" t="s">
        <v>15</v>
      </c>
      <c r="F901" t="s">
        <v>16</v>
      </c>
      <c r="G901">
        <v>5.0000000000000001E-3</v>
      </c>
      <c r="H901" s="413">
        <f>G901*VLOOKUP(E901,GWPs!$B$3:$C$6,2,FALSE)</f>
        <v>5.0000000000000001E-3</v>
      </c>
      <c r="I901">
        <v>0</v>
      </c>
      <c r="J901" s="413">
        <f>I901*VLOOKUP(E901,GWPs!$B$3:$C$6,2,FALSE)</f>
        <v>0</v>
      </c>
      <c r="K901">
        <v>5.0000000000000001E-3</v>
      </c>
      <c r="L901" s="413">
        <f>K901*VLOOKUP(E901,GWPs!$B$3:$C$6,2,FALSE)</f>
        <v>5.0000000000000001E-3</v>
      </c>
      <c r="N901">
        <v>3</v>
      </c>
      <c r="O901">
        <v>2</v>
      </c>
      <c r="P901">
        <v>1</v>
      </c>
      <c r="Q901">
        <v>3</v>
      </c>
      <c r="R901">
        <v>1</v>
      </c>
    </row>
    <row r="902" spans="1:18">
      <c r="A902" t="str">
        <f>_xlfn.IFNA(IF(VLOOKUP(C902,'2016_Detail_Commodity_v1.0'!C:C,1,FALSE)=C902,"No change"),"Name changed")</f>
        <v>No change</v>
      </c>
      <c r="B902" t="s">
        <v>759</v>
      </c>
      <c r="C902" t="s">
        <v>760</v>
      </c>
      <c r="E902" t="s">
        <v>3653</v>
      </c>
      <c r="F902" t="s">
        <v>12</v>
      </c>
      <c r="G902">
        <v>0.151</v>
      </c>
      <c r="H902" s="413">
        <f>G902*VLOOKUP(E902,GWPs!$B$3:$C$6,2,FALSE)</f>
        <v>0.151</v>
      </c>
      <c r="I902">
        <v>3.1E-2</v>
      </c>
      <c r="J902" s="413">
        <f>I902*VLOOKUP(E902,GWPs!$B$3:$C$6,2,FALSE)</f>
        <v>3.1E-2</v>
      </c>
      <c r="K902">
        <v>0.182</v>
      </c>
      <c r="L902" s="413">
        <f>K902*VLOOKUP(E902,GWPs!$B$3:$C$6,2,FALSE)</f>
        <v>0.182</v>
      </c>
      <c r="N902">
        <v>3</v>
      </c>
      <c r="O902">
        <v>2</v>
      </c>
      <c r="P902">
        <v>1</v>
      </c>
      <c r="Q902">
        <v>3</v>
      </c>
      <c r="R902">
        <v>1</v>
      </c>
    </row>
    <row r="903" spans="1:18">
      <c r="A903" t="str">
        <f>_xlfn.IFNA(IF(VLOOKUP(C903,'2016_Detail_Commodity_v1.0'!C:C,1,FALSE)=C903,"No change"),"Name changed")</f>
        <v>No change</v>
      </c>
      <c r="B903" t="s">
        <v>759</v>
      </c>
      <c r="C903" t="s">
        <v>760</v>
      </c>
      <c r="E903" t="s">
        <v>3654</v>
      </c>
      <c r="F903" t="s">
        <v>12</v>
      </c>
      <c r="G903">
        <v>1E-3</v>
      </c>
      <c r="H903" s="413">
        <f>G903*VLOOKUP(E903,GWPs!$B$3:$C$6,2,FALSE)</f>
        <v>2.8000000000000001E-2</v>
      </c>
      <c r="I903">
        <v>0</v>
      </c>
      <c r="J903" s="413">
        <f>I903*VLOOKUP(E903,GWPs!$B$3:$C$6,2,FALSE)</f>
        <v>0</v>
      </c>
      <c r="K903">
        <v>1E-3</v>
      </c>
      <c r="L903" s="413">
        <f>K903*VLOOKUP(E903,GWPs!$B$3:$C$6,2,FALSE)</f>
        <v>2.8000000000000001E-2</v>
      </c>
      <c r="N903">
        <v>3</v>
      </c>
      <c r="O903">
        <v>2</v>
      </c>
      <c r="P903">
        <v>1</v>
      </c>
      <c r="Q903">
        <v>1</v>
      </c>
      <c r="R903">
        <v>1</v>
      </c>
    </row>
    <row r="904" spans="1:18">
      <c r="A904" t="str">
        <f>_xlfn.IFNA(IF(VLOOKUP(C904,'2016_Detail_Commodity_v1.0'!C:C,1,FALSE)=C904,"No change"),"Name changed")</f>
        <v>No change</v>
      </c>
      <c r="B904" t="s">
        <v>759</v>
      </c>
      <c r="C904" t="s">
        <v>760</v>
      </c>
      <c r="E904" t="s">
        <v>3655</v>
      </c>
      <c r="F904" t="s">
        <v>12</v>
      </c>
      <c r="G904">
        <v>0</v>
      </c>
      <c r="H904" s="413">
        <f>G904*VLOOKUP(E904,GWPs!$B$3:$C$6,2,FALSE)</f>
        <v>0</v>
      </c>
      <c r="I904">
        <v>0</v>
      </c>
      <c r="J904" s="413">
        <f>I904*VLOOKUP(E904,GWPs!$B$3:$C$6,2,FALSE)</f>
        <v>0</v>
      </c>
      <c r="K904">
        <v>0</v>
      </c>
      <c r="L904" s="413">
        <f>K904*VLOOKUP(E904,GWPs!$B$3:$C$6,2,FALSE)</f>
        <v>0</v>
      </c>
      <c r="N904">
        <v>3</v>
      </c>
      <c r="O904">
        <v>2</v>
      </c>
      <c r="P904">
        <v>1</v>
      </c>
      <c r="Q904">
        <v>3</v>
      </c>
      <c r="R904">
        <v>1</v>
      </c>
    </row>
    <row r="905" spans="1:18">
      <c r="A905" t="str">
        <f>_xlfn.IFNA(IF(VLOOKUP(C905,'2016_Detail_Commodity_v1.0'!C:C,1,FALSE)=C905,"No change"),"Name changed")</f>
        <v>No change</v>
      </c>
      <c r="B905" t="s">
        <v>759</v>
      </c>
      <c r="C905" t="s">
        <v>760</v>
      </c>
      <c r="E905" t="s">
        <v>15</v>
      </c>
      <c r="F905" t="s">
        <v>16</v>
      </c>
      <c r="G905">
        <v>8.0000000000000002E-3</v>
      </c>
      <c r="H905" s="413">
        <f>G905*VLOOKUP(E905,GWPs!$B$3:$C$6,2,FALSE)</f>
        <v>8.0000000000000002E-3</v>
      </c>
      <c r="I905">
        <v>0</v>
      </c>
      <c r="J905" s="413">
        <f>I905*VLOOKUP(E905,GWPs!$B$3:$C$6,2,FALSE)</f>
        <v>0</v>
      </c>
      <c r="K905">
        <v>8.0000000000000002E-3</v>
      </c>
      <c r="L905" s="413">
        <f>K905*VLOOKUP(E905,GWPs!$B$3:$C$6,2,FALSE)</f>
        <v>8.0000000000000002E-3</v>
      </c>
      <c r="N905">
        <v>3</v>
      </c>
      <c r="O905">
        <v>2</v>
      </c>
      <c r="P905">
        <v>1</v>
      </c>
      <c r="Q905">
        <v>2</v>
      </c>
      <c r="R905">
        <v>1</v>
      </c>
    </row>
    <row r="906" spans="1:18">
      <c r="A906" t="str">
        <f>_xlfn.IFNA(IF(VLOOKUP(C906,'2016_Detail_Commodity_v1.0'!C:C,1,FALSE)=C906,"No change"),"Name changed")</f>
        <v>No change</v>
      </c>
      <c r="B906" t="s">
        <v>761</v>
      </c>
      <c r="C906" t="s">
        <v>762</v>
      </c>
      <c r="E906" t="s">
        <v>3653</v>
      </c>
      <c r="F906" t="s">
        <v>12</v>
      </c>
      <c r="G906">
        <v>0.19</v>
      </c>
      <c r="H906" s="413">
        <f>G906*VLOOKUP(E906,GWPs!$B$3:$C$6,2,FALSE)</f>
        <v>0.19</v>
      </c>
      <c r="I906">
        <v>6.4000000000000001E-2</v>
      </c>
      <c r="J906" s="413">
        <f>I906*VLOOKUP(E906,GWPs!$B$3:$C$6,2,FALSE)</f>
        <v>6.4000000000000001E-2</v>
      </c>
      <c r="K906">
        <v>0.253</v>
      </c>
      <c r="L906" s="413">
        <f>K906*VLOOKUP(E906,GWPs!$B$3:$C$6,2,FALSE)</f>
        <v>0.253</v>
      </c>
      <c r="N906">
        <v>3</v>
      </c>
      <c r="O906">
        <v>2</v>
      </c>
      <c r="P906">
        <v>1</v>
      </c>
      <c r="Q906">
        <v>3</v>
      </c>
      <c r="R906">
        <v>1</v>
      </c>
    </row>
    <row r="907" spans="1:18">
      <c r="A907" t="str">
        <f>_xlfn.IFNA(IF(VLOOKUP(C907,'2016_Detail_Commodity_v1.0'!C:C,1,FALSE)=C907,"No change"),"Name changed")</f>
        <v>No change</v>
      </c>
      <c r="B907" t="s">
        <v>761</v>
      </c>
      <c r="C907" t="s">
        <v>762</v>
      </c>
      <c r="E907" t="s">
        <v>3654</v>
      </c>
      <c r="F907" t="s">
        <v>12</v>
      </c>
      <c r="G907">
        <v>1E-3</v>
      </c>
      <c r="H907" s="413">
        <f>G907*VLOOKUP(E907,GWPs!$B$3:$C$6,2,FALSE)</f>
        <v>2.8000000000000001E-2</v>
      </c>
      <c r="I907">
        <v>0</v>
      </c>
      <c r="J907" s="413">
        <f>I907*VLOOKUP(E907,GWPs!$B$3:$C$6,2,FALSE)</f>
        <v>0</v>
      </c>
      <c r="K907">
        <v>1E-3</v>
      </c>
      <c r="L907" s="413">
        <f>K907*VLOOKUP(E907,GWPs!$B$3:$C$6,2,FALSE)</f>
        <v>2.8000000000000001E-2</v>
      </c>
      <c r="N907">
        <v>4</v>
      </c>
      <c r="O907">
        <v>2</v>
      </c>
      <c r="P907">
        <v>1</v>
      </c>
      <c r="Q907">
        <v>1</v>
      </c>
      <c r="R907">
        <v>1</v>
      </c>
    </row>
    <row r="908" spans="1:18">
      <c r="A908" t="str">
        <f>_xlfn.IFNA(IF(VLOOKUP(C908,'2016_Detail_Commodity_v1.0'!C:C,1,FALSE)=C908,"No change"),"Name changed")</f>
        <v>No change</v>
      </c>
      <c r="B908" t="s">
        <v>761</v>
      </c>
      <c r="C908" t="s">
        <v>762</v>
      </c>
      <c r="E908" t="s">
        <v>3655</v>
      </c>
      <c r="F908" t="s">
        <v>12</v>
      </c>
      <c r="G908">
        <v>0</v>
      </c>
      <c r="H908" s="413">
        <f>G908*VLOOKUP(E908,GWPs!$B$3:$C$6,2,FALSE)</f>
        <v>0</v>
      </c>
      <c r="I908">
        <v>0</v>
      </c>
      <c r="J908" s="413">
        <f>I908*VLOOKUP(E908,GWPs!$B$3:$C$6,2,FALSE)</f>
        <v>0</v>
      </c>
      <c r="K908">
        <v>0</v>
      </c>
      <c r="L908" s="413">
        <f>K908*VLOOKUP(E908,GWPs!$B$3:$C$6,2,FALSE)</f>
        <v>0</v>
      </c>
      <c r="N908">
        <v>3</v>
      </c>
      <c r="O908">
        <v>2</v>
      </c>
      <c r="P908">
        <v>1</v>
      </c>
      <c r="Q908">
        <v>3</v>
      </c>
      <c r="R908">
        <v>1</v>
      </c>
    </row>
    <row r="909" spans="1:18">
      <c r="A909" t="str">
        <f>_xlfn.IFNA(IF(VLOOKUP(C909,'2016_Detail_Commodity_v1.0'!C:C,1,FALSE)=C909,"No change"),"Name changed")</f>
        <v>No change</v>
      </c>
      <c r="B909" t="s">
        <v>761</v>
      </c>
      <c r="C909" t="s">
        <v>762</v>
      </c>
      <c r="E909" t="s">
        <v>15</v>
      </c>
      <c r="F909" t="s">
        <v>16</v>
      </c>
      <c r="G909">
        <v>2.1000000000000001E-2</v>
      </c>
      <c r="H909" s="413">
        <f>G909*VLOOKUP(E909,GWPs!$B$3:$C$6,2,FALSE)</f>
        <v>2.1000000000000001E-2</v>
      </c>
      <c r="I909">
        <v>0</v>
      </c>
      <c r="J909" s="413">
        <f>I909*VLOOKUP(E909,GWPs!$B$3:$C$6,2,FALSE)</f>
        <v>0</v>
      </c>
      <c r="K909">
        <v>2.1000000000000001E-2</v>
      </c>
      <c r="L909" s="413">
        <f>K909*VLOOKUP(E909,GWPs!$B$3:$C$6,2,FALSE)</f>
        <v>2.1000000000000001E-2</v>
      </c>
      <c r="N909">
        <v>4</v>
      </c>
      <c r="O909">
        <v>2</v>
      </c>
      <c r="P909">
        <v>1</v>
      </c>
      <c r="Q909">
        <v>4</v>
      </c>
      <c r="R909">
        <v>1</v>
      </c>
    </row>
    <row r="910" spans="1:18">
      <c r="A910" t="str">
        <f>_xlfn.IFNA(IF(VLOOKUP(C910,'2016_Detail_Commodity_v1.0'!C:C,1,FALSE)=C910,"No change"),"Name changed")</f>
        <v>No change</v>
      </c>
      <c r="B910" t="s">
        <v>763</v>
      </c>
      <c r="C910" t="s">
        <v>764</v>
      </c>
      <c r="E910" t="s">
        <v>3653</v>
      </c>
      <c r="F910" t="s">
        <v>12</v>
      </c>
      <c r="G910">
        <v>0.254</v>
      </c>
      <c r="H910" s="413">
        <f>G910*VLOOKUP(E910,GWPs!$B$3:$C$6,2,FALSE)</f>
        <v>0.254</v>
      </c>
      <c r="I910">
        <v>2.8000000000000001E-2</v>
      </c>
      <c r="J910" s="413">
        <f>I910*VLOOKUP(E910,GWPs!$B$3:$C$6,2,FALSE)</f>
        <v>2.8000000000000001E-2</v>
      </c>
      <c r="K910">
        <v>0.28199999999999997</v>
      </c>
      <c r="L910" s="413">
        <f>K910*VLOOKUP(E910,GWPs!$B$3:$C$6,2,FALSE)</f>
        <v>0.28199999999999997</v>
      </c>
      <c r="N910">
        <v>3</v>
      </c>
      <c r="O910">
        <v>2</v>
      </c>
      <c r="P910">
        <v>1</v>
      </c>
      <c r="Q910">
        <v>3</v>
      </c>
      <c r="R910">
        <v>1</v>
      </c>
    </row>
    <row r="911" spans="1:18">
      <c r="A911" t="str">
        <f>_xlfn.IFNA(IF(VLOOKUP(C911,'2016_Detail_Commodity_v1.0'!C:C,1,FALSE)=C911,"No change"),"Name changed")</f>
        <v>No change</v>
      </c>
      <c r="B911" t="s">
        <v>763</v>
      </c>
      <c r="C911" t="s">
        <v>764</v>
      </c>
      <c r="E911" t="s">
        <v>3654</v>
      </c>
      <c r="F911" t="s">
        <v>12</v>
      </c>
      <c r="G911">
        <v>1E-3</v>
      </c>
      <c r="H911" s="413">
        <f>G911*VLOOKUP(E911,GWPs!$B$3:$C$6,2,FALSE)</f>
        <v>2.8000000000000001E-2</v>
      </c>
      <c r="I911">
        <v>0</v>
      </c>
      <c r="J911" s="413">
        <f>I911*VLOOKUP(E911,GWPs!$B$3:$C$6,2,FALSE)</f>
        <v>0</v>
      </c>
      <c r="K911">
        <v>1E-3</v>
      </c>
      <c r="L911" s="413">
        <f>K911*VLOOKUP(E911,GWPs!$B$3:$C$6,2,FALSE)</f>
        <v>2.8000000000000001E-2</v>
      </c>
      <c r="N911">
        <v>4</v>
      </c>
      <c r="O911">
        <v>2</v>
      </c>
      <c r="P911">
        <v>1</v>
      </c>
      <c r="Q911">
        <v>1</v>
      </c>
      <c r="R911">
        <v>1</v>
      </c>
    </row>
    <row r="912" spans="1:18">
      <c r="A912" t="str">
        <f>_xlfn.IFNA(IF(VLOOKUP(C912,'2016_Detail_Commodity_v1.0'!C:C,1,FALSE)=C912,"No change"),"Name changed")</f>
        <v>No change</v>
      </c>
      <c r="B912" t="s">
        <v>763</v>
      </c>
      <c r="C912" t="s">
        <v>764</v>
      </c>
      <c r="E912" t="s">
        <v>3655</v>
      </c>
      <c r="F912" t="s">
        <v>12</v>
      </c>
      <c r="G912">
        <v>0</v>
      </c>
      <c r="H912" s="413">
        <f>G912*VLOOKUP(E912,GWPs!$B$3:$C$6,2,FALSE)</f>
        <v>0</v>
      </c>
      <c r="I912">
        <v>0</v>
      </c>
      <c r="J912" s="413">
        <f>I912*VLOOKUP(E912,GWPs!$B$3:$C$6,2,FALSE)</f>
        <v>0</v>
      </c>
      <c r="K912">
        <v>0</v>
      </c>
      <c r="L912" s="413">
        <f>K912*VLOOKUP(E912,GWPs!$B$3:$C$6,2,FALSE)</f>
        <v>0</v>
      </c>
      <c r="N912">
        <v>3</v>
      </c>
      <c r="O912">
        <v>2</v>
      </c>
      <c r="P912">
        <v>1</v>
      </c>
      <c r="Q912">
        <v>3</v>
      </c>
      <c r="R912">
        <v>1</v>
      </c>
    </row>
    <row r="913" spans="1:18">
      <c r="A913" t="str">
        <f>_xlfn.IFNA(IF(VLOOKUP(C913,'2016_Detail_Commodity_v1.0'!C:C,1,FALSE)=C913,"No change"),"Name changed")</f>
        <v>No change</v>
      </c>
      <c r="B913" t="s">
        <v>763</v>
      </c>
      <c r="C913" t="s">
        <v>764</v>
      </c>
      <c r="E913" t="s">
        <v>15</v>
      </c>
      <c r="F913" t="s">
        <v>16</v>
      </c>
      <c r="G913">
        <v>0.02</v>
      </c>
      <c r="H913" s="413">
        <f>G913*VLOOKUP(E913,GWPs!$B$3:$C$6,2,FALSE)</f>
        <v>0.02</v>
      </c>
      <c r="I913">
        <v>0</v>
      </c>
      <c r="J913" s="413">
        <f>I913*VLOOKUP(E913,GWPs!$B$3:$C$6,2,FALSE)</f>
        <v>0</v>
      </c>
      <c r="K913">
        <v>0.02</v>
      </c>
      <c r="L913" s="413">
        <f>K913*VLOOKUP(E913,GWPs!$B$3:$C$6,2,FALSE)</f>
        <v>0.02</v>
      </c>
      <c r="N913">
        <v>4</v>
      </c>
      <c r="O913">
        <v>2</v>
      </c>
      <c r="P913">
        <v>1</v>
      </c>
      <c r="Q913">
        <v>4</v>
      </c>
      <c r="R913">
        <v>1</v>
      </c>
    </row>
    <row r="914" spans="1:18">
      <c r="A914" t="str">
        <f>_xlfn.IFNA(IF(VLOOKUP(C914,'2016_Detail_Commodity_v1.0'!C:C,1,FALSE)=C914,"No change"),"Name changed")</f>
        <v>No change</v>
      </c>
      <c r="B914" t="s">
        <v>765</v>
      </c>
      <c r="C914" t="s">
        <v>766</v>
      </c>
      <c r="E914" t="s">
        <v>3653</v>
      </c>
      <c r="F914" t="s">
        <v>12</v>
      </c>
      <c r="G914">
        <v>0.255</v>
      </c>
      <c r="H914" s="413">
        <f>G914*VLOOKUP(E914,GWPs!$B$3:$C$6,2,FALSE)</f>
        <v>0.255</v>
      </c>
      <c r="I914">
        <v>1.2E-2</v>
      </c>
      <c r="J914" s="413">
        <f>I914*VLOOKUP(E914,GWPs!$B$3:$C$6,2,FALSE)</f>
        <v>1.2E-2</v>
      </c>
      <c r="K914">
        <v>0.26700000000000002</v>
      </c>
      <c r="L914" s="413">
        <f>K914*VLOOKUP(E914,GWPs!$B$3:$C$6,2,FALSE)</f>
        <v>0.26700000000000002</v>
      </c>
      <c r="N914">
        <v>3</v>
      </c>
      <c r="O914">
        <v>2</v>
      </c>
      <c r="P914">
        <v>1</v>
      </c>
      <c r="Q914">
        <v>3</v>
      </c>
      <c r="R914">
        <v>1</v>
      </c>
    </row>
    <row r="915" spans="1:18">
      <c r="A915" t="str">
        <f>_xlfn.IFNA(IF(VLOOKUP(C915,'2016_Detail_Commodity_v1.0'!C:C,1,FALSE)=C915,"No change"),"Name changed")</f>
        <v>No change</v>
      </c>
      <c r="B915" t="s">
        <v>765</v>
      </c>
      <c r="C915" t="s">
        <v>766</v>
      </c>
      <c r="E915" t="s">
        <v>3654</v>
      </c>
      <c r="F915" t="s">
        <v>12</v>
      </c>
      <c r="G915">
        <v>1E-3</v>
      </c>
      <c r="H915" s="413">
        <f>G915*VLOOKUP(E915,GWPs!$B$3:$C$6,2,FALSE)</f>
        <v>2.8000000000000001E-2</v>
      </c>
      <c r="I915">
        <v>0</v>
      </c>
      <c r="J915" s="413">
        <f>I915*VLOOKUP(E915,GWPs!$B$3:$C$6,2,FALSE)</f>
        <v>0</v>
      </c>
      <c r="K915">
        <v>1E-3</v>
      </c>
      <c r="L915" s="413">
        <f>K915*VLOOKUP(E915,GWPs!$B$3:$C$6,2,FALSE)</f>
        <v>2.8000000000000001E-2</v>
      </c>
      <c r="N915">
        <v>4</v>
      </c>
      <c r="O915">
        <v>2</v>
      </c>
      <c r="P915">
        <v>1</v>
      </c>
      <c r="Q915">
        <v>1</v>
      </c>
      <c r="R915">
        <v>1</v>
      </c>
    </row>
    <row r="916" spans="1:18">
      <c r="A916" t="str">
        <f>_xlfn.IFNA(IF(VLOOKUP(C916,'2016_Detail_Commodity_v1.0'!C:C,1,FALSE)=C916,"No change"),"Name changed")</f>
        <v>No change</v>
      </c>
      <c r="B916" t="s">
        <v>765</v>
      </c>
      <c r="C916" t="s">
        <v>766</v>
      </c>
      <c r="E916" t="s">
        <v>3655</v>
      </c>
      <c r="F916" t="s">
        <v>12</v>
      </c>
      <c r="G916">
        <v>0</v>
      </c>
      <c r="H916" s="413">
        <f>G916*VLOOKUP(E916,GWPs!$B$3:$C$6,2,FALSE)</f>
        <v>0</v>
      </c>
      <c r="I916">
        <v>0</v>
      </c>
      <c r="J916" s="413">
        <f>I916*VLOOKUP(E916,GWPs!$B$3:$C$6,2,FALSE)</f>
        <v>0</v>
      </c>
      <c r="K916">
        <v>0</v>
      </c>
      <c r="L916" s="413">
        <f>K916*VLOOKUP(E916,GWPs!$B$3:$C$6,2,FALSE)</f>
        <v>0</v>
      </c>
      <c r="N916">
        <v>3</v>
      </c>
      <c r="O916">
        <v>2</v>
      </c>
      <c r="P916">
        <v>1</v>
      </c>
      <c r="Q916">
        <v>3</v>
      </c>
      <c r="R916">
        <v>1</v>
      </c>
    </row>
    <row r="917" spans="1:18">
      <c r="A917" t="str">
        <f>_xlfn.IFNA(IF(VLOOKUP(C917,'2016_Detail_Commodity_v1.0'!C:C,1,FALSE)=C917,"No change"),"Name changed")</f>
        <v>No change</v>
      </c>
      <c r="B917" t="s">
        <v>765</v>
      </c>
      <c r="C917" t="s">
        <v>766</v>
      </c>
      <c r="E917" t="s">
        <v>15</v>
      </c>
      <c r="F917" t="s">
        <v>16</v>
      </c>
      <c r="G917">
        <v>4.2999999999999997E-2</v>
      </c>
      <c r="H917" s="413">
        <f>G917*VLOOKUP(E917,GWPs!$B$3:$C$6,2,FALSE)</f>
        <v>4.2999999999999997E-2</v>
      </c>
      <c r="I917">
        <v>0</v>
      </c>
      <c r="J917" s="413">
        <f>I917*VLOOKUP(E917,GWPs!$B$3:$C$6,2,FALSE)</f>
        <v>0</v>
      </c>
      <c r="K917">
        <v>4.2999999999999997E-2</v>
      </c>
      <c r="L917" s="413">
        <f>K917*VLOOKUP(E917,GWPs!$B$3:$C$6,2,FALSE)</f>
        <v>4.2999999999999997E-2</v>
      </c>
      <c r="N917">
        <v>4</v>
      </c>
      <c r="O917">
        <v>2</v>
      </c>
      <c r="P917">
        <v>1</v>
      </c>
      <c r="Q917">
        <v>5</v>
      </c>
      <c r="R917">
        <v>1</v>
      </c>
    </row>
    <row r="918" spans="1:18">
      <c r="A918" t="str">
        <f>_xlfn.IFNA(IF(VLOOKUP(C918,'2016_Detail_Commodity_v1.0'!C:C,1,FALSE)=C918,"No change"),"Name changed")</f>
        <v>No change</v>
      </c>
      <c r="B918" t="s">
        <v>767</v>
      </c>
      <c r="C918" t="s">
        <v>768</v>
      </c>
      <c r="E918" t="s">
        <v>3653</v>
      </c>
      <c r="F918" t="s">
        <v>12</v>
      </c>
      <c r="G918">
        <v>0.192</v>
      </c>
      <c r="H918" s="413">
        <f>G918*VLOOKUP(E918,GWPs!$B$3:$C$6,2,FALSE)</f>
        <v>0.192</v>
      </c>
      <c r="I918">
        <v>0.04</v>
      </c>
      <c r="J918" s="413">
        <f>I918*VLOOKUP(E918,GWPs!$B$3:$C$6,2,FALSE)</f>
        <v>0.04</v>
      </c>
      <c r="K918">
        <v>0.23200000000000001</v>
      </c>
      <c r="L918" s="413">
        <f>K918*VLOOKUP(E918,GWPs!$B$3:$C$6,2,FALSE)</f>
        <v>0.23200000000000001</v>
      </c>
      <c r="N918">
        <v>3</v>
      </c>
      <c r="O918">
        <v>2</v>
      </c>
      <c r="P918">
        <v>1</v>
      </c>
      <c r="Q918">
        <v>3</v>
      </c>
      <c r="R918">
        <v>1</v>
      </c>
    </row>
    <row r="919" spans="1:18">
      <c r="A919" t="str">
        <f>_xlfn.IFNA(IF(VLOOKUP(C919,'2016_Detail_Commodity_v1.0'!C:C,1,FALSE)=C919,"No change"),"Name changed")</f>
        <v>No change</v>
      </c>
      <c r="B919" t="s">
        <v>767</v>
      </c>
      <c r="C919" t="s">
        <v>768</v>
      </c>
      <c r="E919" t="s">
        <v>3654</v>
      </c>
      <c r="F919" t="s">
        <v>12</v>
      </c>
      <c r="G919">
        <v>1E-3</v>
      </c>
      <c r="H919" s="413">
        <f>G919*VLOOKUP(E919,GWPs!$B$3:$C$6,2,FALSE)</f>
        <v>2.8000000000000001E-2</v>
      </c>
      <c r="I919">
        <v>0</v>
      </c>
      <c r="J919" s="413">
        <f>I919*VLOOKUP(E919,GWPs!$B$3:$C$6,2,FALSE)</f>
        <v>0</v>
      </c>
      <c r="K919">
        <v>1E-3</v>
      </c>
      <c r="L919" s="413">
        <f>K919*VLOOKUP(E919,GWPs!$B$3:$C$6,2,FALSE)</f>
        <v>2.8000000000000001E-2</v>
      </c>
      <c r="N919">
        <v>4</v>
      </c>
      <c r="O919">
        <v>2</v>
      </c>
      <c r="P919">
        <v>1</v>
      </c>
      <c r="Q919">
        <v>1</v>
      </c>
      <c r="R919">
        <v>1</v>
      </c>
    </row>
    <row r="920" spans="1:18">
      <c r="A920" t="str">
        <f>_xlfn.IFNA(IF(VLOOKUP(C920,'2016_Detail_Commodity_v1.0'!C:C,1,FALSE)=C920,"No change"),"Name changed")</f>
        <v>No change</v>
      </c>
      <c r="B920" t="s">
        <v>767</v>
      </c>
      <c r="C920" t="s">
        <v>768</v>
      </c>
      <c r="E920" t="s">
        <v>3655</v>
      </c>
      <c r="F920" t="s">
        <v>12</v>
      </c>
      <c r="G920">
        <v>0</v>
      </c>
      <c r="H920" s="413">
        <f>G920*VLOOKUP(E920,GWPs!$B$3:$C$6,2,FALSE)</f>
        <v>0</v>
      </c>
      <c r="I920">
        <v>0</v>
      </c>
      <c r="J920" s="413">
        <f>I920*VLOOKUP(E920,GWPs!$B$3:$C$6,2,FALSE)</f>
        <v>0</v>
      </c>
      <c r="K920">
        <v>0</v>
      </c>
      <c r="L920" s="413">
        <f>K920*VLOOKUP(E920,GWPs!$B$3:$C$6,2,FALSE)</f>
        <v>0</v>
      </c>
      <c r="N920">
        <v>3</v>
      </c>
      <c r="O920">
        <v>2</v>
      </c>
      <c r="P920">
        <v>1</v>
      </c>
      <c r="Q920">
        <v>3</v>
      </c>
      <c r="R920">
        <v>1</v>
      </c>
    </row>
    <row r="921" spans="1:18">
      <c r="A921" t="str">
        <f>_xlfn.IFNA(IF(VLOOKUP(C921,'2016_Detail_Commodity_v1.0'!C:C,1,FALSE)=C921,"No change"),"Name changed")</f>
        <v>No change</v>
      </c>
      <c r="B921" t="s">
        <v>767</v>
      </c>
      <c r="C921" t="s">
        <v>768</v>
      </c>
      <c r="E921" t="s">
        <v>15</v>
      </c>
      <c r="F921" t="s">
        <v>16</v>
      </c>
      <c r="G921">
        <v>1.4999999999999999E-2</v>
      </c>
      <c r="H921" s="413">
        <f>G921*VLOOKUP(E921,GWPs!$B$3:$C$6,2,FALSE)</f>
        <v>1.4999999999999999E-2</v>
      </c>
      <c r="I921">
        <v>0</v>
      </c>
      <c r="J921" s="413">
        <f>I921*VLOOKUP(E921,GWPs!$B$3:$C$6,2,FALSE)</f>
        <v>0</v>
      </c>
      <c r="K921">
        <v>1.4999999999999999E-2</v>
      </c>
      <c r="L921" s="413">
        <f>K921*VLOOKUP(E921,GWPs!$B$3:$C$6,2,FALSE)</f>
        <v>1.4999999999999999E-2</v>
      </c>
      <c r="N921">
        <v>4</v>
      </c>
      <c r="O921">
        <v>2</v>
      </c>
      <c r="P921">
        <v>1</v>
      </c>
      <c r="Q921">
        <v>4</v>
      </c>
      <c r="R921">
        <v>1</v>
      </c>
    </row>
    <row r="922" spans="1:18">
      <c r="A922" t="str">
        <f>_xlfn.IFNA(IF(VLOOKUP(C922,'2016_Detail_Commodity_v1.0'!C:C,1,FALSE)=C922,"No change"),"Name changed")</f>
        <v>No change</v>
      </c>
      <c r="B922" t="s">
        <v>769</v>
      </c>
      <c r="C922" t="s">
        <v>770</v>
      </c>
      <c r="E922" t="s">
        <v>3653</v>
      </c>
      <c r="F922" t="s">
        <v>12</v>
      </c>
      <c r="G922">
        <v>0.23</v>
      </c>
      <c r="H922" s="413">
        <f>G922*VLOOKUP(E922,GWPs!$B$3:$C$6,2,FALSE)</f>
        <v>0.23</v>
      </c>
      <c r="I922">
        <v>3.4000000000000002E-2</v>
      </c>
      <c r="J922" s="413">
        <f>I922*VLOOKUP(E922,GWPs!$B$3:$C$6,2,FALSE)</f>
        <v>3.4000000000000002E-2</v>
      </c>
      <c r="K922">
        <v>0.26400000000000001</v>
      </c>
      <c r="L922" s="413">
        <f>K922*VLOOKUP(E922,GWPs!$B$3:$C$6,2,FALSE)</f>
        <v>0.26400000000000001</v>
      </c>
      <c r="N922">
        <v>3</v>
      </c>
      <c r="O922">
        <v>2</v>
      </c>
      <c r="P922">
        <v>1</v>
      </c>
      <c r="Q922">
        <v>3</v>
      </c>
      <c r="R922">
        <v>1</v>
      </c>
    </row>
    <row r="923" spans="1:18">
      <c r="A923" t="str">
        <f>_xlfn.IFNA(IF(VLOOKUP(C923,'2016_Detail_Commodity_v1.0'!C:C,1,FALSE)=C923,"No change"),"Name changed")</f>
        <v>No change</v>
      </c>
      <c r="B923" t="s">
        <v>769</v>
      </c>
      <c r="C923" t="s">
        <v>770</v>
      </c>
      <c r="E923" t="s">
        <v>3654</v>
      </c>
      <c r="F923" t="s">
        <v>12</v>
      </c>
      <c r="G923">
        <v>1E-3</v>
      </c>
      <c r="H923" s="413">
        <f>G923*VLOOKUP(E923,GWPs!$B$3:$C$6,2,FALSE)</f>
        <v>2.8000000000000001E-2</v>
      </c>
      <c r="I923">
        <v>0</v>
      </c>
      <c r="J923" s="413">
        <f>I923*VLOOKUP(E923,GWPs!$B$3:$C$6,2,FALSE)</f>
        <v>0</v>
      </c>
      <c r="K923">
        <v>1E-3</v>
      </c>
      <c r="L923" s="413">
        <f>K923*VLOOKUP(E923,GWPs!$B$3:$C$6,2,FALSE)</f>
        <v>2.8000000000000001E-2</v>
      </c>
      <c r="N923">
        <v>4</v>
      </c>
      <c r="O923">
        <v>2</v>
      </c>
      <c r="P923">
        <v>1</v>
      </c>
      <c r="Q923">
        <v>1</v>
      </c>
      <c r="R923">
        <v>1</v>
      </c>
    </row>
    <row r="924" spans="1:18">
      <c r="A924" t="str">
        <f>_xlfn.IFNA(IF(VLOOKUP(C924,'2016_Detail_Commodity_v1.0'!C:C,1,FALSE)=C924,"No change"),"Name changed")</f>
        <v>No change</v>
      </c>
      <c r="B924" t="s">
        <v>769</v>
      </c>
      <c r="C924" t="s">
        <v>770</v>
      </c>
      <c r="E924" t="s">
        <v>3655</v>
      </c>
      <c r="F924" t="s">
        <v>12</v>
      </c>
      <c r="G924">
        <v>0</v>
      </c>
      <c r="H924" s="413">
        <f>G924*VLOOKUP(E924,GWPs!$B$3:$C$6,2,FALSE)</f>
        <v>0</v>
      </c>
      <c r="I924">
        <v>0</v>
      </c>
      <c r="J924" s="413">
        <f>I924*VLOOKUP(E924,GWPs!$B$3:$C$6,2,FALSE)</f>
        <v>0</v>
      </c>
      <c r="K924">
        <v>0</v>
      </c>
      <c r="L924" s="413">
        <f>K924*VLOOKUP(E924,GWPs!$B$3:$C$6,2,FALSE)</f>
        <v>0</v>
      </c>
      <c r="N924">
        <v>3</v>
      </c>
      <c r="O924">
        <v>2</v>
      </c>
      <c r="P924">
        <v>1</v>
      </c>
      <c r="Q924">
        <v>3</v>
      </c>
      <c r="R924">
        <v>1</v>
      </c>
    </row>
    <row r="925" spans="1:18">
      <c r="A925" t="str">
        <f>_xlfn.IFNA(IF(VLOOKUP(C925,'2016_Detail_Commodity_v1.0'!C:C,1,FALSE)=C925,"No change"),"Name changed")</f>
        <v>No change</v>
      </c>
      <c r="B925" t="s">
        <v>769</v>
      </c>
      <c r="C925" t="s">
        <v>770</v>
      </c>
      <c r="E925" t="s">
        <v>15</v>
      </c>
      <c r="F925" t="s">
        <v>16</v>
      </c>
      <c r="G925">
        <v>4.7E-2</v>
      </c>
      <c r="H925" s="413">
        <f>G925*VLOOKUP(E925,GWPs!$B$3:$C$6,2,FALSE)</f>
        <v>4.7E-2</v>
      </c>
      <c r="I925">
        <v>0</v>
      </c>
      <c r="J925" s="413">
        <f>I925*VLOOKUP(E925,GWPs!$B$3:$C$6,2,FALSE)</f>
        <v>0</v>
      </c>
      <c r="K925">
        <v>4.7E-2</v>
      </c>
      <c r="L925" s="413">
        <f>K925*VLOOKUP(E925,GWPs!$B$3:$C$6,2,FALSE)</f>
        <v>4.7E-2</v>
      </c>
      <c r="N925">
        <v>4</v>
      </c>
      <c r="O925">
        <v>2</v>
      </c>
      <c r="P925">
        <v>1</v>
      </c>
      <c r="Q925">
        <v>4</v>
      </c>
      <c r="R925">
        <v>1</v>
      </c>
    </row>
    <row r="926" spans="1:18">
      <c r="A926" t="str">
        <f>_xlfn.IFNA(IF(VLOOKUP(C926,'2016_Detail_Commodity_v1.0'!C:C,1,FALSE)=C926,"No change"),"Name changed")</f>
        <v>No change</v>
      </c>
      <c r="B926" t="s">
        <v>771</v>
      </c>
      <c r="C926" t="s">
        <v>772</v>
      </c>
      <c r="E926" t="s">
        <v>3653</v>
      </c>
      <c r="F926" t="s">
        <v>12</v>
      </c>
      <c r="G926">
        <v>0.14199999999999999</v>
      </c>
      <c r="H926" s="413">
        <f>G926*VLOOKUP(E926,GWPs!$B$3:$C$6,2,FALSE)</f>
        <v>0.14199999999999999</v>
      </c>
      <c r="I926">
        <v>7.0000000000000007E-2</v>
      </c>
      <c r="J926" s="413">
        <f>I926*VLOOKUP(E926,GWPs!$B$3:$C$6,2,FALSE)</f>
        <v>7.0000000000000007E-2</v>
      </c>
      <c r="K926">
        <v>0.21199999999999999</v>
      </c>
      <c r="L926" s="413">
        <f>K926*VLOOKUP(E926,GWPs!$B$3:$C$6,2,FALSE)</f>
        <v>0.21199999999999999</v>
      </c>
      <c r="N926">
        <v>3</v>
      </c>
      <c r="O926">
        <v>2</v>
      </c>
      <c r="P926">
        <v>1</v>
      </c>
      <c r="Q926">
        <v>3</v>
      </c>
      <c r="R926">
        <v>1</v>
      </c>
    </row>
    <row r="927" spans="1:18">
      <c r="A927" t="str">
        <f>_xlfn.IFNA(IF(VLOOKUP(C927,'2016_Detail_Commodity_v1.0'!C:C,1,FALSE)=C927,"No change"),"Name changed")</f>
        <v>No change</v>
      </c>
      <c r="B927" t="s">
        <v>771</v>
      </c>
      <c r="C927" t="s">
        <v>772</v>
      </c>
      <c r="E927" t="s">
        <v>3654</v>
      </c>
      <c r="F927" t="s">
        <v>12</v>
      </c>
      <c r="G927">
        <v>1E-3</v>
      </c>
      <c r="H927" s="413">
        <f>G927*VLOOKUP(E927,GWPs!$B$3:$C$6,2,FALSE)</f>
        <v>2.8000000000000001E-2</v>
      </c>
      <c r="I927">
        <v>0</v>
      </c>
      <c r="J927" s="413">
        <f>I927*VLOOKUP(E927,GWPs!$B$3:$C$6,2,FALSE)</f>
        <v>0</v>
      </c>
      <c r="K927">
        <v>1E-3</v>
      </c>
      <c r="L927" s="413">
        <f>K927*VLOOKUP(E927,GWPs!$B$3:$C$6,2,FALSE)</f>
        <v>2.8000000000000001E-2</v>
      </c>
      <c r="N927">
        <v>4</v>
      </c>
      <c r="O927">
        <v>2</v>
      </c>
      <c r="P927">
        <v>1</v>
      </c>
      <c r="Q927">
        <v>1</v>
      </c>
      <c r="R927">
        <v>1</v>
      </c>
    </row>
    <row r="928" spans="1:18">
      <c r="A928" t="str">
        <f>_xlfn.IFNA(IF(VLOOKUP(C928,'2016_Detail_Commodity_v1.0'!C:C,1,FALSE)=C928,"No change"),"Name changed")</f>
        <v>No change</v>
      </c>
      <c r="B928" t="s">
        <v>771</v>
      </c>
      <c r="C928" t="s">
        <v>772</v>
      </c>
      <c r="E928" t="s">
        <v>3655</v>
      </c>
      <c r="F928" t="s">
        <v>12</v>
      </c>
      <c r="G928">
        <v>0</v>
      </c>
      <c r="H928" s="413">
        <f>G928*VLOOKUP(E928,GWPs!$B$3:$C$6,2,FALSE)</f>
        <v>0</v>
      </c>
      <c r="I928">
        <v>0</v>
      </c>
      <c r="J928" s="413">
        <f>I928*VLOOKUP(E928,GWPs!$B$3:$C$6,2,FALSE)</f>
        <v>0</v>
      </c>
      <c r="K928">
        <v>0</v>
      </c>
      <c r="L928" s="413">
        <f>K928*VLOOKUP(E928,GWPs!$B$3:$C$6,2,FALSE)</f>
        <v>0</v>
      </c>
      <c r="N928">
        <v>4</v>
      </c>
      <c r="O928">
        <v>2</v>
      </c>
      <c r="P928">
        <v>1</v>
      </c>
      <c r="Q928">
        <v>2</v>
      </c>
      <c r="R928">
        <v>1</v>
      </c>
    </row>
    <row r="929" spans="1:18">
      <c r="A929" t="str">
        <f>_xlfn.IFNA(IF(VLOOKUP(C929,'2016_Detail_Commodity_v1.0'!C:C,1,FALSE)=C929,"No change"),"Name changed")</f>
        <v>No change</v>
      </c>
      <c r="B929" t="s">
        <v>771</v>
      </c>
      <c r="C929" t="s">
        <v>772</v>
      </c>
      <c r="E929" t="s">
        <v>15</v>
      </c>
      <c r="F929" t="s">
        <v>16</v>
      </c>
      <c r="G929">
        <v>3.4000000000000002E-2</v>
      </c>
      <c r="H929" s="413">
        <f>G929*VLOOKUP(E929,GWPs!$B$3:$C$6,2,FALSE)</f>
        <v>3.4000000000000002E-2</v>
      </c>
      <c r="I929">
        <v>0</v>
      </c>
      <c r="J929" s="413">
        <f>I929*VLOOKUP(E929,GWPs!$B$3:$C$6,2,FALSE)</f>
        <v>0</v>
      </c>
      <c r="K929">
        <v>3.4000000000000002E-2</v>
      </c>
      <c r="L929" s="413">
        <f>K929*VLOOKUP(E929,GWPs!$B$3:$C$6,2,FALSE)</f>
        <v>3.4000000000000002E-2</v>
      </c>
      <c r="N929">
        <v>4</v>
      </c>
      <c r="O929">
        <v>2</v>
      </c>
      <c r="P929">
        <v>1</v>
      </c>
      <c r="Q929">
        <v>4</v>
      </c>
      <c r="R929">
        <v>1</v>
      </c>
    </row>
    <row r="930" spans="1:18">
      <c r="A930" t="str">
        <f>_xlfn.IFNA(IF(VLOOKUP(C930,'2016_Detail_Commodity_v1.0'!C:C,1,FALSE)=C930,"No change"),"Name changed")</f>
        <v>No change</v>
      </c>
      <c r="B930" t="s">
        <v>773</v>
      </c>
      <c r="C930" t="s">
        <v>774</v>
      </c>
      <c r="E930" t="s">
        <v>3653</v>
      </c>
      <c r="F930" t="s">
        <v>12</v>
      </c>
      <c r="G930">
        <v>0.22</v>
      </c>
      <c r="H930" s="413">
        <f>G930*VLOOKUP(E930,GWPs!$B$3:$C$6,2,FALSE)</f>
        <v>0.22</v>
      </c>
      <c r="I930">
        <v>4.9000000000000002E-2</v>
      </c>
      <c r="J930" s="413">
        <f>I930*VLOOKUP(E930,GWPs!$B$3:$C$6,2,FALSE)</f>
        <v>4.9000000000000002E-2</v>
      </c>
      <c r="K930">
        <v>0.26900000000000002</v>
      </c>
      <c r="L930" s="413">
        <f>K930*VLOOKUP(E930,GWPs!$B$3:$C$6,2,FALSE)</f>
        <v>0.26900000000000002</v>
      </c>
      <c r="N930">
        <v>3</v>
      </c>
      <c r="O930">
        <v>2</v>
      </c>
      <c r="P930">
        <v>1</v>
      </c>
      <c r="Q930">
        <v>3</v>
      </c>
      <c r="R930">
        <v>1</v>
      </c>
    </row>
    <row r="931" spans="1:18">
      <c r="A931" t="str">
        <f>_xlfn.IFNA(IF(VLOOKUP(C931,'2016_Detail_Commodity_v1.0'!C:C,1,FALSE)=C931,"No change"),"Name changed")</f>
        <v>No change</v>
      </c>
      <c r="B931" t="s">
        <v>773</v>
      </c>
      <c r="C931" t="s">
        <v>774</v>
      </c>
      <c r="E931" t="s">
        <v>3654</v>
      </c>
      <c r="F931" t="s">
        <v>12</v>
      </c>
      <c r="G931">
        <v>1E-3</v>
      </c>
      <c r="H931" s="413">
        <f>G931*VLOOKUP(E931,GWPs!$B$3:$C$6,2,FALSE)</f>
        <v>2.8000000000000001E-2</v>
      </c>
      <c r="I931">
        <v>0</v>
      </c>
      <c r="J931" s="413">
        <f>I931*VLOOKUP(E931,GWPs!$B$3:$C$6,2,FALSE)</f>
        <v>0</v>
      </c>
      <c r="K931">
        <v>1E-3</v>
      </c>
      <c r="L931" s="413">
        <f>K931*VLOOKUP(E931,GWPs!$B$3:$C$6,2,FALSE)</f>
        <v>2.8000000000000001E-2</v>
      </c>
      <c r="N931">
        <v>4</v>
      </c>
      <c r="O931">
        <v>2</v>
      </c>
      <c r="P931">
        <v>1</v>
      </c>
      <c r="Q931">
        <v>1</v>
      </c>
      <c r="R931">
        <v>1</v>
      </c>
    </row>
    <row r="932" spans="1:18">
      <c r="A932" t="str">
        <f>_xlfn.IFNA(IF(VLOOKUP(C932,'2016_Detail_Commodity_v1.0'!C:C,1,FALSE)=C932,"No change"),"Name changed")</f>
        <v>No change</v>
      </c>
      <c r="B932" t="s">
        <v>773</v>
      </c>
      <c r="C932" t="s">
        <v>774</v>
      </c>
      <c r="E932" t="s">
        <v>3655</v>
      </c>
      <c r="F932" t="s">
        <v>12</v>
      </c>
      <c r="G932">
        <v>0</v>
      </c>
      <c r="H932" s="413">
        <f>G932*VLOOKUP(E932,GWPs!$B$3:$C$6,2,FALSE)</f>
        <v>0</v>
      </c>
      <c r="I932">
        <v>0</v>
      </c>
      <c r="J932" s="413">
        <f>I932*VLOOKUP(E932,GWPs!$B$3:$C$6,2,FALSE)</f>
        <v>0</v>
      </c>
      <c r="K932">
        <v>0</v>
      </c>
      <c r="L932" s="413">
        <f>K932*VLOOKUP(E932,GWPs!$B$3:$C$6,2,FALSE)</f>
        <v>0</v>
      </c>
      <c r="N932">
        <v>4</v>
      </c>
      <c r="O932">
        <v>2</v>
      </c>
      <c r="P932">
        <v>1</v>
      </c>
      <c r="Q932">
        <v>2</v>
      </c>
      <c r="R932">
        <v>1</v>
      </c>
    </row>
    <row r="933" spans="1:18">
      <c r="A933" t="str">
        <f>_xlfn.IFNA(IF(VLOOKUP(C933,'2016_Detail_Commodity_v1.0'!C:C,1,FALSE)=C933,"No change"),"Name changed")</f>
        <v>No change</v>
      </c>
      <c r="B933" t="s">
        <v>773</v>
      </c>
      <c r="C933" t="s">
        <v>774</v>
      </c>
      <c r="E933" t="s">
        <v>15</v>
      </c>
      <c r="F933" t="s">
        <v>16</v>
      </c>
      <c r="G933">
        <v>3.7999999999999999E-2</v>
      </c>
      <c r="H933" s="413">
        <f>G933*VLOOKUP(E933,GWPs!$B$3:$C$6,2,FALSE)</f>
        <v>3.7999999999999999E-2</v>
      </c>
      <c r="I933">
        <v>0</v>
      </c>
      <c r="J933" s="413">
        <f>I933*VLOOKUP(E933,GWPs!$B$3:$C$6,2,FALSE)</f>
        <v>0</v>
      </c>
      <c r="K933">
        <v>3.7999999999999999E-2</v>
      </c>
      <c r="L933" s="413">
        <f>K933*VLOOKUP(E933,GWPs!$B$3:$C$6,2,FALSE)</f>
        <v>3.7999999999999999E-2</v>
      </c>
      <c r="N933">
        <v>3</v>
      </c>
      <c r="O933">
        <v>2</v>
      </c>
      <c r="P933">
        <v>1</v>
      </c>
      <c r="Q933">
        <v>4</v>
      </c>
      <c r="R933">
        <v>1</v>
      </c>
    </row>
    <row r="934" spans="1:18">
      <c r="A934" t="str">
        <f>_xlfn.IFNA(IF(VLOOKUP(C934,'2016_Detail_Commodity_v1.0'!C:C,1,FALSE)=C934,"No change"),"Name changed")</f>
        <v>No change</v>
      </c>
      <c r="B934" t="s">
        <v>775</v>
      </c>
      <c r="C934" t="s">
        <v>776</v>
      </c>
      <c r="E934" t="s">
        <v>3653</v>
      </c>
      <c r="F934" t="s">
        <v>12</v>
      </c>
      <c r="G934">
        <v>0.28299999999999997</v>
      </c>
      <c r="H934" s="413">
        <f>G934*VLOOKUP(E934,GWPs!$B$3:$C$6,2,FALSE)</f>
        <v>0.28299999999999997</v>
      </c>
      <c r="I934">
        <v>3.6999999999999998E-2</v>
      </c>
      <c r="J934" s="413">
        <f>I934*VLOOKUP(E934,GWPs!$B$3:$C$6,2,FALSE)</f>
        <v>3.6999999999999998E-2</v>
      </c>
      <c r="K934">
        <v>0.31900000000000001</v>
      </c>
      <c r="L934" s="413">
        <f>K934*VLOOKUP(E934,GWPs!$B$3:$C$6,2,FALSE)</f>
        <v>0.31900000000000001</v>
      </c>
      <c r="N934">
        <v>3</v>
      </c>
      <c r="O934">
        <v>2</v>
      </c>
      <c r="P934">
        <v>1</v>
      </c>
      <c r="Q934">
        <v>3</v>
      </c>
      <c r="R934">
        <v>1</v>
      </c>
    </row>
    <row r="935" spans="1:18">
      <c r="A935" t="str">
        <f>_xlfn.IFNA(IF(VLOOKUP(C935,'2016_Detail_Commodity_v1.0'!C:C,1,FALSE)=C935,"No change"),"Name changed")</f>
        <v>No change</v>
      </c>
      <c r="B935" t="s">
        <v>775</v>
      </c>
      <c r="C935" t="s">
        <v>776</v>
      </c>
      <c r="E935" t="s">
        <v>3654</v>
      </c>
      <c r="F935" t="s">
        <v>12</v>
      </c>
      <c r="G935">
        <v>1E-3</v>
      </c>
      <c r="H935" s="413">
        <f>G935*VLOOKUP(E935,GWPs!$B$3:$C$6,2,FALSE)</f>
        <v>2.8000000000000001E-2</v>
      </c>
      <c r="I935">
        <v>0</v>
      </c>
      <c r="J935" s="413">
        <f>I935*VLOOKUP(E935,GWPs!$B$3:$C$6,2,FALSE)</f>
        <v>0</v>
      </c>
      <c r="K935">
        <v>1E-3</v>
      </c>
      <c r="L935" s="413">
        <f>K935*VLOOKUP(E935,GWPs!$B$3:$C$6,2,FALSE)</f>
        <v>2.8000000000000001E-2</v>
      </c>
      <c r="N935">
        <v>4</v>
      </c>
      <c r="O935">
        <v>2</v>
      </c>
      <c r="P935">
        <v>1</v>
      </c>
      <c r="Q935">
        <v>1</v>
      </c>
      <c r="R935">
        <v>1</v>
      </c>
    </row>
    <row r="936" spans="1:18">
      <c r="A936" t="str">
        <f>_xlfn.IFNA(IF(VLOOKUP(C936,'2016_Detail_Commodity_v1.0'!C:C,1,FALSE)=C936,"No change"),"Name changed")</f>
        <v>No change</v>
      </c>
      <c r="B936" t="s">
        <v>775</v>
      </c>
      <c r="C936" t="s">
        <v>776</v>
      </c>
      <c r="E936" t="s">
        <v>3655</v>
      </c>
      <c r="F936" t="s">
        <v>12</v>
      </c>
      <c r="G936">
        <v>0</v>
      </c>
      <c r="H936" s="413">
        <f>G936*VLOOKUP(E936,GWPs!$B$3:$C$6,2,FALSE)</f>
        <v>0</v>
      </c>
      <c r="I936">
        <v>0</v>
      </c>
      <c r="J936" s="413">
        <f>I936*VLOOKUP(E936,GWPs!$B$3:$C$6,2,FALSE)</f>
        <v>0</v>
      </c>
      <c r="K936">
        <v>0</v>
      </c>
      <c r="L936" s="413">
        <f>K936*VLOOKUP(E936,GWPs!$B$3:$C$6,2,FALSE)</f>
        <v>0</v>
      </c>
      <c r="N936">
        <v>3</v>
      </c>
      <c r="O936">
        <v>2</v>
      </c>
      <c r="P936">
        <v>1</v>
      </c>
      <c r="Q936">
        <v>3</v>
      </c>
      <c r="R936">
        <v>1</v>
      </c>
    </row>
    <row r="937" spans="1:18">
      <c r="A937" t="str">
        <f>_xlfn.IFNA(IF(VLOOKUP(C937,'2016_Detail_Commodity_v1.0'!C:C,1,FALSE)=C937,"No change"),"Name changed")</f>
        <v>No change</v>
      </c>
      <c r="B937" t="s">
        <v>775</v>
      </c>
      <c r="C937" t="s">
        <v>776</v>
      </c>
      <c r="E937" t="s">
        <v>15</v>
      </c>
      <c r="F937" t="s">
        <v>16</v>
      </c>
      <c r="G937">
        <v>1.0999999999999999E-2</v>
      </c>
      <c r="H937" s="413">
        <f>G937*VLOOKUP(E937,GWPs!$B$3:$C$6,2,FALSE)</f>
        <v>1.0999999999999999E-2</v>
      </c>
      <c r="I937">
        <v>0</v>
      </c>
      <c r="J937" s="413">
        <f>I937*VLOOKUP(E937,GWPs!$B$3:$C$6,2,FALSE)</f>
        <v>0</v>
      </c>
      <c r="K937">
        <v>1.0999999999999999E-2</v>
      </c>
      <c r="L937" s="413">
        <f>K937*VLOOKUP(E937,GWPs!$B$3:$C$6,2,FALSE)</f>
        <v>1.0999999999999999E-2</v>
      </c>
      <c r="N937">
        <v>3</v>
      </c>
      <c r="O937">
        <v>2</v>
      </c>
      <c r="P937">
        <v>1</v>
      </c>
      <c r="Q937">
        <v>2</v>
      </c>
      <c r="R937">
        <v>1</v>
      </c>
    </row>
    <row r="938" spans="1:18">
      <c r="A938" t="str">
        <f>_xlfn.IFNA(IF(VLOOKUP(C938,'2016_Detail_Commodity_v1.0'!C:C,1,FALSE)=C938,"No change"),"Name changed")</f>
        <v>No change</v>
      </c>
      <c r="B938" t="s">
        <v>777</v>
      </c>
      <c r="C938" t="s">
        <v>778</v>
      </c>
      <c r="E938" t="s">
        <v>3653</v>
      </c>
      <c r="F938" t="s">
        <v>12</v>
      </c>
      <c r="G938">
        <v>0.22800000000000001</v>
      </c>
      <c r="H938" s="413">
        <f>G938*VLOOKUP(E938,GWPs!$B$3:$C$6,2,FALSE)</f>
        <v>0.22800000000000001</v>
      </c>
      <c r="I938">
        <v>4.3999999999999997E-2</v>
      </c>
      <c r="J938" s="413">
        <f>I938*VLOOKUP(E938,GWPs!$B$3:$C$6,2,FALSE)</f>
        <v>4.3999999999999997E-2</v>
      </c>
      <c r="K938">
        <v>0.27200000000000002</v>
      </c>
      <c r="L938" s="413">
        <f>K938*VLOOKUP(E938,GWPs!$B$3:$C$6,2,FALSE)</f>
        <v>0.27200000000000002</v>
      </c>
      <c r="N938">
        <v>3</v>
      </c>
      <c r="O938">
        <v>2</v>
      </c>
      <c r="P938">
        <v>1</v>
      </c>
      <c r="Q938">
        <v>3</v>
      </c>
      <c r="R938">
        <v>1</v>
      </c>
    </row>
    <row r="939" spans="1:18">
      <c r="A939" t="str">
        <f>_xlfn.IFNA(IF(VLOOKUP(C939,'2016_Detail_Commodity_v1.0'!C:C,1,FALSE)=C939,"No change"),"Name changed")</f>
        <v>No change</v>
      </c>
      <c r="B939" t="s">
        <v>777</v>
      </c>
      <c r="C939" t="s">
        <v>778</v>
      </c>
      <c r="E939" t="s">
        <v>3654</v>
      </c>
      <c r="F939" t="s">
        <v>12</v>
      </c>
      <c r="G939">
        <v>1E-3</v>
      </c>
      <c r="H939" s="413">
        <f>G939*VLOOKUP(E939,GWPs!$B$3:$C$6,2,FALSE)</f>
        <v>2.8000000000000001E-2</v>
      </c>
      <c r="I939">
        <v>0</v>
      </c>
      <c r="J939" s="413">
        <f>I939*VLOOKUP(E939,GWPs!$B$3:$C$6,2,FALSE)</f>
        <v>0</v>
      </c>
      <c r="K939">
        <v>1E-3</v>
      </c>
      <c r="L939" s="413">
        <f>K939*VLOOKUP(E939,GWPs!$B$3:$C$6,2,FALSE)</f>
        <v>2.8000000000000001E-2</v>
      </c>
      <c r="N939">
        <v>4</v>
      </c>
      <c r="O939">
        <v>2</v>
      </c>
      <c r="P939">
        <v>1</v>
      </c>
      <c r="Q939">
        <v>1</v>
      </c>
      <c r="R939">
        <v>1</v>
      </c>
    </row>
    <row r="940" spans="1:18">
      <c r="A940" t="str">
        <f>_xlfn.IFNA(IF(VLOOKUP(C940,'2016_Detail_Commodity_v1.0'!C:C,1,FALSE)=C940,"No change"),"Name changed")</f>
        <v>No change</v>
      </c>
      <c r="B940" t="s">
        <v>777</v>
      </c>
      <c r="C940" t="s">
        <v>778</v>
      </c>
      <c r="E940" t="s">
        <v>3655</v>
      </c>
      <c r="F940" t="s">
        <v>12</v>
      </c>
      <c r="G940">
        <v>0</v>
      </c>
      <c r="H940" s="413">
        <f>G940*VLOOKUP(E940,GWPs!$B$3:$C$6,2,FALSE)</f>
        <v>0</v>
      </c>
      <c r="I940">
        <v>0</v>
      </c>
      <c r="J940" s="413">
        <f>I940*VLOOKUP(E940,GWPs!$B$3:$C$6,2,FALSE)</f>
        <v>0</v>
      </c>
      <c r="K940">
        <v>0</v>
      </c>
      <c r="L940" s="413">
        <f>K940*VLOOKUP(E940,GWPs!$B$3:$C$6,2,FALSE)</f>
        <v>0</v>
      </c>
      <c r="N940">
        <v>3</v>
      </c>
      <c r="O940">
        <v>2</v>
      </c>
      <c r="P940">
        <v>1</v>
      </c>
      <c r="Q940">
        <v>3</v>
      </c>
      <c r="R940">
        <v>1</v>
      </c>
    </row>
    <row r="941" spans="1:18">
      <c r="A941" t="str">
        <f>_xlfn.IFNA(IF(VLOOKUP(C941,'2016_Detail_Commodity_v1.0'!C:C,1,FALSE)=C941,"No change"),"Name changed")</f>
        <v>No change</v>
      </c>
      <c r="B941" t="s">
        <v>777</v>
      </c>
      <c r="C941" t="s">
        <v>778</v>
      </c>
      <c r="E941" t="s">
        <v>15</v>
      </c>
      <c r="F941" t="s">
        <v>16</v>
      </c>
      <c r="G941">
        <v>1.2999999999999999E-2</v>
      </c>
      <c r="H941" s="413">
        <f>G941*VLOOKUP(E941,GWPs!$B$3:$C$6,2,FALSE)</f>
        <v>1.2999999999999999E-2</v>
      </c>
      <c r="I941">
        <v>0</v>
      </c>
      <c r="J941" s="413">
        <f>I941*VLOOKUP(E941,GWPs!$B$3:$C$6,2,FALSE)</f>
        <v>0</v>
      </c>
      <c r="K941">
        <v>1.2999999999999999E-2</v>
      </c>
      <c r="L941" s="413">
        <f>K941*VLOOKUP(E941,GWPs!$B$3:$C$6,2,FALSE)</f>
        <v>1.2999999999999999E-2</v>
      </c>
      <c r="N941">
        <v>3</v>
      </c>
      <c r="O941">
        <v>2</v>
      </c>
      <c r="P941">
        <v>1</v>
      </c>
      <c r="Q941">
        <v>2</v>
      </c>
      <c r="R941">
        <v>1</v>
      </c>
    </row>
    <row r="942" spans="1:18">
      <c r="A942" t="str">
        <f>_xlfn.IFNA(IF(VLOOKUP(C942,'2016_Detail_Commodity_v1.0'!C:C,1,FALSE)=C942,"No change"),"Name changed")</f>
        <v>No change</v>
      </c>
      <c r="B942" t="s">
        <v>779</v>
      </c>
      <c r="C942" t="s">
        <v>780</v>
      </c>
      <c r="E942" t="s">
        <v>3653</v>
      </c>
      <c r="F942" t="s">
        <v>12</v>
      </c>
      <c r="G942">
        <v>0.30599999999999999</v>
      </c>
      <c r="H942" s="413">
        <f>G942*VLOOKUP(E942,GWPs!$B$3:$C$6,2,FALSE)</f>
        <v>0.30599999999999999</v>
      </c>
      <c r="I942">
        <v>3.4000000000000002E-2</v>
      </c>
      <c r="J942" s="413">
        <f>I942*VLOOKUP(E942,GWPs!$B$3:$C$6,2,FALSE)</f>
        <v>3.4000000000000002E-2</v>
      </c>
      <c r="K942">
        <v>0.34</v>
      </c>
      <c r="L942" s="413">
        <f>K942*VLOOKUP(E942,GWPs!$B$3:$C$6,2,FALSE)</f>
        <v>0.34</v>
      </c>
      <c r="N942">
        <v>3</v>
      </c>
      <c r="O942">
        <v>2</v>
      </c>
      <c r="P942">
        <v>1</v>
      </c>
      <c r="Q942">
        <v>3</v>
      </c>
      <c r="R942">
        <v>1</v>
      </c>
    </row>
    <row r="943" spans="1:18">
      <c r="A943" t="str">
        <f>_xlfn.IFNA(IF(VLOOKUP(C943,'2016_Detail_Commodity_v1.0'!C:C,1,FALSE)=C943,"No change"),"Name changed")</f>
        <v>No change</v>
      </c>
      <c r="B943" t="s">
        <v>779</v>
      </c>
      <c r="C943" t="s">
        <v>780</v>
      </c>
      <c r="E943" t="s">
        <v>3654</v>
      </c>
      <c r="F943" t="s">
        <v>12</v>
      </c>
      <c r="G943">
        <v>1E-3</v>
      </c>
      <c r="H943" s="413">
        <f>G943*VLOOKUP(E943,GWPs!$B$3:$C$6,2,FALSE)</f>
        <v>2.8000000000000001E-2</v>
      </c>
      <c r="I943">
        <v>0</v>
      </c>
      <c r="J943" s="413">
        <f>I943*VLOOKUP(E943,GWPs!$B$3:$C$6,2,FALSE)</f>
        <v>0</v>
      </c>
      <c r="K943">
        <v>1E-3</v>
      </c>
      <c r="L943" s="413">
        <f>K943*VLOOKUP(E943,GWPs!$B$3:$C$6,2,FALSE)</f>
        <v>2.8000000000000001E-2</v>
      </c>
      <c r="N943">
        <v>4</v>
      </c>
      <c r="O943">
        <v>2</v>
      </c>
      <c r="P943">
        <v>1</v>
      </c>
      <c r="Q943">
        <v>1</v>
      </c>
      <c r="R943">
        <v>1</v>
      </c>
    </row>
    <row r="944" spans="1:18">
      <c r="A944" t="str">
        <f>_xlfn.IFNA(IF(VLOOKUP(C944,'2016_Detail_Commodity_v1.0'!C:C,1,FALSE)=C944,"No change"),"Name changed")</f>
        <v>No change</v>
      </c>
      <c r="B944" t="s">
        <v>779</v>
      </c>
      <c r="C944" t="s">
        <v>780</v>
      </c>
      <c r="E944" t="s">
        <v>3655</v>
      </c>
      <c r="F944" t="s">
        <v>12</v>
      </c>
      <c r="G944">
        <v>0</v>
      </c>
      <c r="H944" s="413">
        <f>G944*VLOOKUP(E944,GWPs!$B$3:$C$6,2,FALSE)</f>
        <v>0</v>
      </c>
      <c r="I944">
        <v>0</v>
      </c>
      <c r="J944" s="413">
        <f>I944*VLOOKUP(E944,GWPs!$B$3:$C$6,2,FALSE)</f>
        <v>0</v>
      </c>
      <c r="K944">
        <v>0</v>
      </c>
      <c r="L944" s="413">
        <f>K944*VLOOKUP(E944,GWPs!$B$3:$C$6,2,FALSE)</f>
        <v>0</v>
      </c>
      <c r="N944">
        <v>3</v>
      </c>
      <c r="O944">
        <v>2</v>
      </c>
      <c r="P944">
        <v>1</v>
      </c>
      <c r="Q944">
        <v>3</v>
      </c>
      <c r="R944">
        <v>1</v>
      </c>
    </row>
    <row r="945" spans="1:18">
      <c r="A945" t="str">
        <f>_xlfn.IFNA(IF(VLOOKUP(C945,'2016_Detail_Commodity_v1.0'!C:C,1,FALSE)=C945,"No change"),"Name changed")</f>
        <v>No change</v>
      </c>
      <c r="B945" t="s">
        <v>779</v>
      </c>
      <c r="C945" t="s">
        <v>780</v>
      </c>
      <c r="E945" t="s">
        <v>15</v>
      </c>
      <c r="F945" t="s">
        <v>16</v>
      </c>
      <c r="G945">
        <v>1.0999999999999999E-2</v>
      </c>
      <c r="H945" s="413">
        <f>G945*VLOOKUP(E945,GWPs!$B$3:$C$6,2,FALSE)</f>
        <v>1.0999999999999999E-2</v>
      </c>
      <c r="I945">
        <v>0</v>
      </c>
      <c r="J945" s="413">
        <f>I945*VLOOKUP(E945,GWPs!$B$3:$C$6,2,FALSE)</f>
        <v>0</v>
      </c>
      <c r="K945">
        <v>1.0999999999999999E-2</v>
      </c>
      <c r="L945" s="413">
        <f>K945*VLOOKUP(E945,GWPs!$B$3:$C$6,2,FALSE)</f>
        <v>1.0999999999999999E-2</v>
      </c>
      <c r="N945">
        <v>3</v>
      </c>
      <c r="O945">
        <v>2</v>
      </c>
      <c r="P945">
        <v>1</v>
      </c>
      <c r="Q945">
        <v>2</v>
      </c>
      <c r="R945">
        <v>1</v>
      </c>
    </row>
    <row r="946" spans="1:18">
      <c r="A946" t="str">
        <f>_xlfn.IFNA(IF(VLOOKUP(C946,'2016_Detail_Commodity_v1.0'!C:C,1,FALSE)=C946,"No change"),"Name changed")</f>
        <v>No change</v>
      </c>
      <c r="B946" t="s">
        <v>781</v>
      </c>
      <c r="C946" t="s">
        <v>782</v>
      </c>
      <c r="E946" t="s">
        <v>3653</v>
      </c>
      <c r="F946" t="s">
        <v>12</v>
      </c>
      <c r="G946">
        <v>0.315</v>
      </c>
      <c r="H946" s="413">
        <f>G946*VLOOKUP(E946,GWPs!$B$3:$C$6,2,FALSE)</f>
        <v>0.315</v>
      </c>
      <c r="I946">
        <v>1.9E-2</v>
      </c>
      <c r="J946" s="413">
        <f>I946*VLOOKUP(E946,GWPs!$B$3:$C$6,2,FALSE)</f>
        <v>1.9E-2</v>
      </c>
      <c r="K946">
        <v>0.33500000000000002</v>
      </c>
      <c r="L946" s="413">
        <f>K946*VLOOKUP(E946,GWPs!$B$3:$C$6,2,FALSE)</f>
        <v>0.33500000000000002</v>
      </c>
      <c r="N946">
        <v>3</v>
      </c>
      <c r="O946">
        <v>2</v>
      </c>
      <c r="P946">
        <v>1</v>
      </c>
      <c r="Q946">
        <v>3</v>
      </c>
      <c r="R946">
        <v>1</v>
      </c>
    </row>
    <row r="947" spans="1:18">
      <c r="A947" t="str">
        <f>_xlfn.IFNA(IF(VLOOKUP(C947,'2016_Detail_Commodity_v1.0'!C:C,1,FALSE)=C947,"No change"),"Name changed")</f>
        <v>No change</v>
      </c>
      <c r="B947" t="s">
        <v>781</v>
      </c>
      <c r="C947" t="s">
        <v>782</v>
      </c>
      <c r="E947" t="s">
        <v>3654</v>
      </c>
      <c r="F947" t="s">
        <v>12</v>
      </c>
      <c r="G947">
        <v>2E-3</v>
      </c>
      <c r="H947" s="413">
        <f>G947*VLOOKUP(E947,GWPs!$B$3:$C$6,2,FALSE)</f>
        <v>5.6000000000000001E-2</v>
      </c>
      <c r="I947">
        <v>0</v>
      </c>
      <c r="J947" s="413">
        <f>I947*VLOOKUP(E947,GWPs!$B$3:$C$6,2,FALSE)</f>
        <v>0</v>
      </c>
      <c r="K947">
        <v>2E-3</v>
      </c>
      <c r="L947" s="413">
        <f>K947*VLOOKUP(E947,GWPs!$B$3:$C$6,2,FALSE)</f>
        <v>5.6000000000000001E-2</v>
      </c>
      <c r="N947">
        <v>4</v>
      </c>
      <c r="O947">
        <v>2</v>
      </c>
      <c r="P947">
        <v>1</v>
      </c>
      <c r="Q947">
        <v>1</v>
      </c>
      <c r="R947">
        <v>1</v>
      </c>
    </row>
    <row r="948" spans="1:18">
      <c r="A948" t="str">
        <f>_xlfn.IFNA(IF(VLOOKUP(C948,'2016_Detail_Commodity_v1.0'!C:C,1,FALSE)=C948,"No change"),"Name changed")</f>
        <v>No change</v>
      </c>
      <c r="B948" t="s">
        <v>781</v>
      </c>
      <c r="C948" t="s">
        <v>782</v>
      </c>
      <c r="E948" t="s">
        <v>3655</v>
      </c>
      <c r="F948" t="s">
        <v>12</v>
      </c>
      <c r="G948">
        <v>0</v>
      </c>
      <c r="H948" s="413">
        <f>G948*VLOOKUP(E948,GWPs!$B$3:$C$6,2,FALSE)</f>
        <v>0</v>
      </c>
      <c r="I948">
        <v>0</v>
      </c>
      <c r="J948" s="413">
        <f>I948*VLOOKUP(E948,GWPs!$B$3:$C$6,2,FALSE)</f>
        <v>0</v>
      </c>
      <c r="K948">
        <v>0</v>
      </c>
      <c r="L948" s="413">
        <f>K948*VLOOKUP(E948,GWPs!$B$3:$C$6,2,FALSE)</f>
        <v>0</v>
      </c>
      <c r="N948">
        <v>4</v>
      </c>
      <c r="O948">
        <v>2</v>
      </c>
      <c r="P948">
        <v>1</v>
      </c>
      <c r="Q948">
        <v>3</v>
      </c>
      <c r="R948">
        <v>1</v>
      </c>
    </row>
    <row r="949" spans="1:18">
      <c r="A949" t="str">
        <f>_xlfn.IFNA(IF(VLOOKUP(C949,'2016_Detail_Commodity_v1.0'!C:C,1,FALSE)=C949,"No change"),"Name changed")</f>
        <v>No change</v>
      </c>
      <c r="B949" t="s">
        <v>781</v>
      </c>
      <c r="C949" t="s">
        <v>782</v>
      </c>
      <c r="E949" t="s">
        <v>15</v>
      </c>
      <c r="F949" t="s">
        <v>16</v>
      </c>
      <c r="G949">
        <v>2.1000000000000001E-2</v>
      </c>
      <c r="H949" s="413">
        <f>G949*VLOOKUP(E949,GWPs!$B$3:$C$6,2,FALSE)</f>
        <v>2.1000000000000001E-2</v>
      </c>
      <c r="I949">
        <v>0</v>
      </c>
      <c r="J949" s="413">
        <f>I949*VLOOKUP(E949,GWPs!$B$3:$C$6,2,FALSE)</f>
        <v>0</v>
      </c>
      <c r="K949">
        <v>2.1000000000000001E-2</v>
      </c>
      <c r="L949" s="413">
        <f>K949*VLOOKUP(E949,GWPs!$B$3:$C$6,2,FALSE)</f>
        <v>2.1000000000000001E-2</v>
      </c>
      <c r="N949">
        <v>4</v>
      </c>
      <c r="O949">
        <v>2</v>
      </c>
      <c r="P949">
        <v>1</v>
      </c>
      <c r="Q949">
        <v>4</v>
      </c>
      <c r="R949">
        <v>1</v>
      </c>
    </row>
    <row r="950" spans="1:18">
      <c r="A950" t="str">
        <f>_xlfn.IFNA(IF(VLOOKUP(C950,'2016_Detail_Commodity_v1.0'!C:C,1,FALSE)=C950,"No change"),"Name changed")</f>
        <v>No change</v>
      </c>
      <c r="B950" t="s">
        <v>783</v>
      </c>
      <c r="C950" t="s">
        <v>784</v>
      </c>
      <c r="E950" t="s">
        <v>3653</v>
      </c>
      <c r="F950" t="s">
        <v>12</v>
      </c>
      <c r="G950">
        <v>0.51900000000000002</v>
      </c>
      <c r="H950" s="413">
        <f>G950*VLOOKUP(E950,GWPs!$B$3:$C$6,2,FALSE)</f>
        <v>0.51900000000000002</v>
      </c>
      <c r="I950">
        <v>2.1999999999999999E-2</v>
      </c>
      <c r="J950" s="413">
        <f>I950*VLOOKUP(E950,GWPs!$B$3:$C$6,2,FALSE)</f>
        <v>2.1999999999999999E-2</v>
      </c>
      <c r="K950">
        <v>0.54100000000000004</v>
      </c>
      <c r="L950" s="413">
        <f>K950*VLOOKUP(E950,GWPs!$B$3:$C$6,2,FALSE)</f>
        <v>0.54100000000000004</v>
      </c>
      <c r="N950">
        <v>3</v>
      </c>
      <c r="O950">
        <v>2</v>
      </c>
      <c r="P950">
        <v>1</v>
      </c>
      <c r="Q950">
        <v>2</v>
      </c>
      <c r="R950">
        <v>1</v>
      </c>
    </row>
    <row r="951" spans="1:18">
      <c r="A951" t="str">
        <f>_xlfn.IFNA(IF(VLOOKUP(C951,'2016_Detail_Commodity_v1.0'!C:C,1,FALSE)=C951,"No change"),"Name changed")</f>
        <v>No change</v>
      </c>
      <c r="B951" t="s">
        <v>783</v>
      </c>
      <c r="C951" t="s">
        <v>784</v>
      </c>
      <c r="E951" t="s">
        <v>3654</v>
      </c>
      <c r="F951" t="s">
        <v>12</v>
      </c>
      <c r="G951">
        <v>2E-3</v>
      </c>
      <c r="H951" s="413">
        <f>G951*VLOOKUP(E951,GWPs!$B$3:$C$6,2,FALSE)</f>
        <v>5.6000000000000001E-2</v>
      </c>
      <c r="I951">
        <v>0</v>
      </c>
      <c r="J951" s="413">
        <f>I951*VLOOKUP(E951,GWPs!$B$3:$C$6,2,FALSE)</f>
        <v>0</v>
      </c>
      <c r="K951">
        <v>2E-3</v>
      </c>
      <c r="L951" s="413">
        <f>K951*VLOOKUP(E951,GWPs!$B$3:$C$6,2,FALSE)</f>
        <v>5.6000000000000001E-2</v>
      </c>
      <c r="N951">
        <v>4</v>
      </c>
      <c r="O951">
        <v>2</v>
      </c>
      <c r="P951">
        <v>1</v>
      </c>
      <c r="Q951">
        <v>1</v>
      </c>
      <c r="R951">
        <v>1</v>
      </c>
    </row>
    <row r="952" spans="1:18">
      <c r="A952" t="str">
        <f>_xlfn.IFNA(IF(VLOOKUP(C952,'2016_Detail_Commodity_v1.0'!C:C,1,FALSE)=C952,"No change"),"Name changed")</f>
        <v>No change</v>
      </c>
      <c r="B952" t="s">
        <v>783</v>
      </c>
      <c r="C952" t="s">
        <v>784</v>
      </c>
      <c r="E952" t="s">
        <v>3655</v>
      </c>
      <c r="F952" t="s">
        <v>12</v>
      </c>
      <c r="G952">
        <v>0</v>
      </c>
      <c r="H952" s="413">
        <f>G952*VLOOKUP(E952,GWPs!$B$3:$C$6,2,FALSE)</f>
        <v>0</v>
      </c>
      <c r="I952">
        <v>0</v>
      </c>
      <c r="J952" s="413">
        <f>I952*VLOOKUP(E952,GWPs!$B$3:$C$6,2,FALSE)</f>
        <v>0</v>
      </c>
      <c r="K952">
        <v>0</v>
      </c>
      <c r="L952" s="413">
        <f>K952*VLOOKUP(E952,GWPs!$B$3:$C$6,2,FALSE)</f>
        <v>0</v>
      </c>
      <c r="N952">
        <v>3</v>
      </c>
      <c r="O952">
        <v>2</v>
      </c>
      <c r="P952">
        <v>1</v>
      </c>
      <c r="Q952">
        <v>3</v>
      </c>
      <c r="R952">
        <v>1</v>
      </c>
    </row>
    <row r="953" spans="1:18">
      <c r="A953" t="str">
        <f>_xlfn.IFNA(IF(VLOOKUP(C953,'2016_Detail_Commodity_v1.0'!C:C,1,FALSE)=C953,"No change"),"Name changed")</f>
        <v>No change</v>
      </c>
      <c r="B953" t="s">
        <v>783</v>
      </c>
      <c r="C953" t="s">
        <v>784</v>
      </c>
      <c r="E953" t="s">
        <v>15</v>
      </c>
      <c r="F953" t="s">
        <v>16</v>
      </c>
      <c r="G953">
        <v>1.0999999999999999E-2</v>
      </c>
      <c r="H953" s="413">
        <f>G953*VLOOKUP(E953,GWPs!$B$3:$C$6,2,FALSE)</f>
        <v>1.0999999999999999E-2</v>
      </c>
      <c r="I953">
        <v>0</v>
      </c>
      <c r="J953" s="413">
        <f>I953*VLOOKUP(E953,GWPs!$B$3:$C$6,2,FALSE)</f>
        <v>0</v>
      </c>
      <c r="K953">
        <v>1.0999999999999999E-2</v>
      </c>
      <c r="L953" s="413">
        <f>K953*VLOOKUP(E953,GWPs!$B$3:$C$6,2,FALSE)</f>
        <v>1.0999999999999999E-2</v>
      </c>
      <c r="N953">
        <v>3</v>
      </c>
      <c r="O953">
        <v>2</v>
      </c>
      <c r="P953">
        <v>1</v>
      </c>
      <c r="Q953">
        <v>3</v>
      </c>
      <c r="R953">
        <v>1</v>
      </c>
    </row>
    <row r="954" spans="1:18">
      <c r="A954" t="str">
        <f>_xlfn.IFNA(IF(VLOOKUP(C954,'2016_Detail_Commodity_v1.0'!C:C,1,FALSE)=C954,"No change"),"Name changed")</f>
        <v>No change</v>
      </c>
      <c r="B954" t="s">
        <v>785</v>
      </c>
      <c r="C954" t="s">
        <v>786</v>
      </c>
      <c r="E954" t="s">
        <v>3653</v>
      </c>
      <c r="F954" t="s">
        <v>12</v>
      </c>
      <c r="G954">
        <v>0.317</v>
      </c>
      <c r="H954" s="413">
        <f>G954*VLOOKUP(E954,GWPs!$B$3:$C$6,2,FALSE)</f>
        <v>0.317</v>
      </c>
      <c r="I954">
        <v>4.2999999999999997E-2</v>
      </c>
      <c r="J954" s="413">
        <f>I954*VLOOKUP(E954,GWPs!$B$3:$C$6,2,FALSE)</f>
        <v>4.2999999999999997E-2</v>
      </c>
      <c r="K954">
        <v>0.36</v>
      </c>
      <c r="L954" s="413">
        <f>K954*VLOOKUP(E954,GWPs!$B$3:$C$6,2,FALSE)</f>
        <v>0.36</v>
      </c>
      <c r="N954">
        <v>3</v>
      </c>
      <c r="O954">
        <v>2</v>
      </c>
      <c r="P954">
        <v>1</v>
      </c>
      <c r="Q954">
        <v>3</v>
      </c>
      <c r="R954">
        <v>1</v>
      </c>
    </row>
    <row r="955" spans="1:18">
      <c r="A955" t="str">
        <f>_xlfn.IFNA(IF(VLOOKUP(C955,'2016_Detail_Commodity_v1.0'!C:C,1,FALSE)=C955,"No change"),"Name changed")</f>
        <v>No change</v>
      </c>
      <c r="B955" t="s">
        <v>785</v>
      </c>
      <c r="C955" t="s">
        <v>786</v>
      </c>
      <c r="E955" t="s">
        <v>3654</v>
      </c>
      <c r="F955" t="s">
        <v>12</v>
      </c>
      <c r="G955">
        <v>1E-3</v>
      </c>
      <c r="H955" s="413">
        <f>G955*VLOOKUP(E955,GWPs!$B$3:$C$6,2,FALSE)</f>
        <v>2.8000000000000001E-2</v>
      </c>
      <c r="I955">
        <v>0</v>
      </c>
      <c r="J955" s="413">
        <f>I955*VLOOKUP(E955,GWPs!$B$3:$C$6,2,FALSE)</f>
        <v>0</v>
      </c>
      <c r="K955">
        <v>1E-3</v>
      </c>
      <c r="L955" s="413">
        <f>K955*VLOOKUP(E955,GWPs!$B$3:$C$6,2,FALSE)</f>
        <v>2.8000000000000001E-2</v>
      </c>
      <c r="N955">
        <v>4</v>
      </c>
      <c r="O955">
        <v>2</v>
      </c>
      <c r="P955">
        <v>1</v>
      </c>
      <c r="Q955">
        <v>1</v>
      </c>
      <c r="R955">
        <v>1</v>
      </c>
    </row>
    <row r="956" spans="1:18">
      <c r="A956" t="str">
        <f>_xlfn.IFNA(IF(VLOOKUP(C956,'2016_Detail_Commodity_v1.0'!C:C,1,FALSE)=C956,"No change"),"Name changed")</f>
        <v>No change</v>
      </c>
      <c r="B956" t="s">
        <v>785</v>
      </c>
      <c r="C956" t="s">
        <v>786</v>
      </c>
      <c r="E956" t="s">
        <v>3655</v>
      </c>
      <c r="F956" t="s">
        <v>12</v>
      </c>
      <c r="G956">
        <v>0</v>
      </c>
      <c r="H956" s="413">
        <f>G956*VLOOKUP(E956,GWPs!$B$3:$C$6,2,FALSE)</f>
        <v>0</v>
      </c>
      <c r="I956">
        <v>0</v>
      </c>
      <c r="J956" s="413">
        <f>I956*VLOOKUP(E956,GWPs!$B$3:$C$6,2,FALSE)</f>
        <v>0</v>
      </c>
      <c r="K956">
        <v>0</v>
      </c>
      <c r="L956" s="413">
        <f>K956*VLOOKUP(E956,GWPs!$B$3:$C$6,2,FALSE)</f>
        <v>0</v>
      </c>
      <c r="N956">
        <v>3</v>
      </c>
      <c r="O956">
        <v>2</v>
      </c>
      <c r="P956">
        <v>1</v>
      </c>
      <c r="Q956">
        <v>3</v>
      </c>
      <c r="R956">
        <v>1</v>
      </c>
    </row>
    <row r="957" spans="1:18">
      <c r="A957" t="str">
        <f>_xlfn.IFNA(IF(VLOOKUP(C957,'2016_Detail_Commodity_v1.0'!C:C,1,FALSE)=C957,"No change"),"Name changed")</f>
        <v>No change</v>
      </c>
      <c r="B957" t="s">
        <v>785</v>
      </c>
      <c r="C957" t="s">
        <v>786</v>
      </c>
      <c r="E957" t="s">
        <v>15</v>
      </c>
      <c r="F957" t="s">
        <v>16</v>
      </c>
      <c r="G957">
        <v>1.4999999999999999E-2</v>
      </c>
      <c r="H957" s="413">
        <f>G957*VLOOKUP(E957,GWPs!$B$3:$C$6,2,FALSE)</f>
        <v>1.4999999999999999E-2</v>
      </c>
      <c r="I957">
        <v>0</v>
      </c>
      <c r="J957" s="413">
        <f>I957*VLOOKUP(E957,GWPs!$B$3:$C$6,2,FALSE)</f>
        <v>0</v>
      </c>
      <c r="K957">
        <v>1.4999999999999999E-2</v>
      </c>
      <c r="L957" s="413">
        <f>K957*VLOOKUP(E957,GWPs!$B$3:$C$6,2,FALSE)</f>
        <v>1.4999999999999999E-2</v>
      </c>
      <c r="N957">
        <v>3</v>
      </c>
      <c r="O957">
        <v>2</v>
      </c>
      <c r="P957">
        <v>1</v>
      </c>
      <c r="Q957">
        <v>4</v>
      </c>
      <c r="R957">
        <v>1</v>
      </c>
    </row>
    <row r="958" spans="1:18">
      <c r="A958" t="str">
        <f>_xlfn.IFNA(IF(VLOOKUP(C958,'2016_Detail_Commodity_v1.0'!C:C,1,FALSE)=C958,"No change"),"Name changed")</f>
        <v>No change</v>
      </c>
      <c r="B958" t="s">
        <v>787</v>
      </c>
      <c r="C958" t="s">
        <v>788</v>
      </c>
      <c r="E958" t="s">
        <v>3653</v>
      </c>
      <c r="F958" t="s">
        <v>12</v>
      </c>
      <c r="G958">
        <v>0.314</v>
      </c>
      <c r="H958" s="413">
        <f>G958*VLOOKUP(E958,GWPs!$B$3:$C$6,2,FALSE)</f>
        <v>0.314</v>
      </c>
      <c r="I958">
        <v>4.3999999999999997E-2</v>
      </c>
      <c r="J958" s="413">
        <f>I958*VLOOKUP(E958,GWPs!$B$3:$C$6,2,FALSE)</f>
        <v>4.3999999999999997E-2</v>
      </c>
      <c r="K958">
        <v>0.35799999999999998</v>
      </c>
      <c r="L958" s="413">
        <f>K958*VLOOKUP(E958,GWPs!$B$3:$C$6,2,FALSE)</f>
        <v>0.35799999999999998</v>
      </c>
      <c r="N958">
        <v>3</v>
      </c>
      <c r="O958">
        <v>2</v>
      </c>
      <c r="P958">
        <v>1</v>
      </c>
      <c r="Q958">
        <v>3</v>
      </c>
      <c r="R958">
        <v>1</v>
      </c>
    </row>
    <row r="959" spans="1:18">
      <c r="A959" t="str">
        <f>_xlfn.IFNA(IF(VLOOKUP(C959,'2016_Detail_Commodity_v1.0'!C:C,1,FALSE)=C959,"No change"),"Name changed")</f>
        <v>No change</v>
      </c>
      <c r="B959" t="s">
        <v>787</v>
      </c>
      <c r="C959" t="s">
        <v>788</v>
      </c>
      <c r="E959" t="s">
        <v>3654</v>
      </c>
      <c r="F959" t="s">
        <v>12</v>
      </c>
      <c r="G959">
        <v>1E-3</v>
      </c>
      <c r="H959" s="413">
        <f>G959*VLOOKUP(E959,GWPs!$B$3:$C$6,2,FALSE)</f>
        <v>2.8000000000000001E-2</v>
      </c>
      <c r="I959">
        <v>0</v>
      </c>
      <c r="J959" s="413">
        <f>I959*VLOOKUP(E959,GWPs!$B$3:$C$6,2,FALSE)</f>
        <v>0</v>
      </c>
      <c r="K959">
        <v>1E-3</v>
      </c>
      <c r="L959" s="413">
        <f>K959*VLOOKUP(E959,GWPs!$B$3:$C$6,2,FALSE)</f>
        <v>2.8000000000000001E-2</v>
      </c>
      <c r="N959">
        <v>4</v>
      </c>
      <c r="O959">
        <v>2</v>
      </c>
      <c r="P959">
        <v>1</v>
      </c>
      <c r="Q959">
        <v>1</v>
      </c>
      <c r="R959">
        <v>1</v>
      </c>
    </row>
    <row r="960" spans="1:18">
      <c r="A960" t="str">
        <f>_xlfn.IFNA(IF(VLOOKUP(C960,'2016_Detail_Commodity_v1.0'!C:C,1,FALSE)=C960,"No change"),"Name changed")</f>
        <v>No change</v>
      </c>
      <c r="B960" t="s">
        <v>787</v>
      </c>
      <c r="C960" t="s">
        <v>788</v>
      </c>
      <c r="E960" t="s">
        <v>3655</v>
      </c>
      <c r="F960" t="s">
        <v>12</v>
      </c>
      <c r="G960">
        <v>0</v>
      </c>
      <c r="H960" s="413">
        <f>G960*VLOOKUP(E960,GWPs!$B$3:$C$6,2,FALSE)</f>
        <v>0</v>
      </c>
      <c r="I960">
        <v>0</v>
      </c>
      <c r="J960" s="413">
        <f>I960*VLOOKUP(E960,GWPs!$B$3:$C$6,2,FALSE)</f>
        <v>0</v>
      </c>
      <c r="K960">
        <v>0</v>
      </c>
      <c r="L960" s="413">
        <f>K960*VLOOKUP(E960,GWPs!$B$3:$C$6,2,FALSE)</f>
        <v>0</v>
      </c>
      <c r="N960">
        <v>3</v>
      </c>
      <c r="O960">
        <v>2</v>
      </c>
      <c r="P960">
        <v>1</v>
      </c>
      <c r="Q960">
        <v>3</v>
      </c>
      <c r="R960">
        <v>1</v>
      </c>
    </row>
    <row r="961" spans="1:18">
      <c r="A961" t="str">
        <f>_xlfn.IFNA(IF(VLOOKUP(C961,'2016_Detail_Commodity_v1.0'!C:C,1,FALSE)=C961,"No change"),"Name changed")</f>
        <v>No change</v>
      </c>
      <c r="B961" t="s">
        <v>787</v>
      </c>
      <c r="C961" t="s">
        <v>788</v>
      </c>
      <c r="E961" t="s">
        <v>15</v>
      </c>
      <c r="F961" t="s">
        <v>16</v>
      </c>
      <c r="G961">
        <v>8.9999999999999993E-3</v>
      </c>
      <c r="H961" s="413">
        <f>G961*VLOOKUP(E961,GWPs!$B$3:$C$6,2,FALSE)</f>
        <v>8.9999999999999993E-3</v>
      </c>
      <c r="I961">
        <v>0</v>
      </c>
      <c r="J961" s="413">
        <f>I961*VLOOKUP(E961,GWPs!$B$3:$C$6,2,FALSE)</f>
        <v>0</v>
      </c>
      <c r="K961">
        <v>8.9999999999999993E-3</v>
      </c>
      <c r="L961" s="413">
        <f>K961*VLOOKUP(E961,GWPs!$B$3:$C$6,2,FALSE)</f>
        <v>8.9999999999999993E-3</v>
      </c>
      <c r="N961">
        <v>3</v>
      </c>
      <c r="O961">
        <v>2</v>
      </c>
      <c r="P961">
        <v>1</v>
      </c>
      <c r="Q961">
        <v>2</v>
      </c>
      <c r="R961">
        <v>1</v>
      </c>
    </row>
    <row r="962" spans="1:18">
      <c r="A962" t="str">
        <f>_xlfn.IFNA(IF(VLOOKUP(C962,'2016_Detail_Commodity_v1.0'!C:C,1,FALSE)=C962,"No change"),"Name changed")</f>
        <v>No change</v>
      </c>
      <c r="B962" t="s">
        <v>789</v>
      </c>
      <c r="C962" t="s">
        <v>17</v>
      </c>
      <c r="E962" t="s">
        <v>3653</v>
      </c>
      <c r="F962" t="s">
        <v>12</v>
      </c>
      <c r="G962">
        <v>0.125</v>
      </c>
      <c r="H962" s="413">
        <f>G962*VLOOKUP(E962,GWPs!$B$3:$C$6,2,FALSE)</f>
        <v>0.125</v>
      </c>
      <c r="I962">
        <v>1.0999999999999999E-2</v>
      </c>
      <c r="J962" s="413">
        <f>I962*VLOOKUP(E962,GWPs!$B$3:$C$6,2,FALSE)</f>
        <v>1.0999999999999999E-2</v>
      </c>
      <c r="K962">
        <v>0.13600000000000001</v>
      </c>
      <c r="L962" s="413">
        <f>K962*VLOOKUP(E962,GWPs!$B$3:$C$6,2,FALSE)</f>
        <v>0.13600000000000001</v>
      </c>
      <c r="N962">
        <v>3</v>
      </c>
      <c r="O962">
        <v>2</v>
      </c>
      <c r="P962">
        <v>1</v>
      </c>
      <c r="Q962">
        <v>3</v>
      </c>
      <c r="R962">
        <v>1</v>
      </c>
    </row>
    <row r="963" spans="1:18">
      <c r="A963" t="str">
        <f>_xlfn.IFNA(IF(VLOOKUP(C963,'2016_Detail_Commodity_v1.0'!C:C,1,FALSE)=C963,"No change"),"Name changed")</f>
        <v>No change</v>
      </c>
      <c r="B963" t="s">
        <v>789</v>
      </c>
      <c r="C963" t="s">
        <v>17</v>
      </c>
      <c r="E963" t="s">
        <v>3654</v>
      </c>
      <c r="F963" t="s">
        <v>12</v>
      </c>
      <c r="G963">
        <v>0</v>
      </c>
      <c r="H963" s="413">
        <f>G963*VLOOKUP(E963,GWPs!$B$3:$C$6,2,FALSE)</f>
        <v>0</v>
      </c>
      <c r="I963">
        <v>0</v>
      </c>
      <c r="J963" s="413">
        <f>I963*VLOOKUP(E963,GWPs!$B$3:$C$6,2,FALSE)</f>
        <v>0</v>
      </c>
      <c r="K963">
        <v>1E-3</v>
      </c>
      <c r="L963" s="413">
        <f>K963*VLOOKUP(E963,GWPs!$B$3:$C$6,2,FALSE)</f>
        <v>2.8000000000000001E-2</v>
      </c>
      <c r="N963">
        <v>4</v>
      </c>
      <c r="O963">
        <v>2</v>
      </c>
      <c r="P963">
        <v>1</v>
      </c>
      <c r="Q963">
        <v>1</v>
      </c>
      <c r="R963">
        <v>1</v>
      </c>
    </row>
    <row r="964" spans="1:18">
      <c r="A964" t="str">
        <f>_xlfn.IFNA(IF(VLOOKUP(C964,'2016_Detail_Commodity_v1.0'!C:C,1,FALSE)=C964,"No change"),"Name changed")</f>
        <v>No change</v>
      </c>
      <c r="B964" t="s">
        <v>789</v>
      </c>
      <c r="C964" t="s">
        <v>17</v>
      </c>
      <c r="E964" t="s">
        <v>3655</v>
      </c>
      <c r="F964" t="s">
        <v>12</v>
      </c>
      <c r="G964">
        <v>0</v>
      </c>
      <c r="H964" s="413">
        <f>G964*VLOOKUP(E964,GWPs!$B$3:$C$6,2,FALSE)</f>
        <v>0</v>
      </c>
      <c r="I964">
        <v>0</v>
      </c>
      <c r="J964" s="413">
        <f>I964*VLOOKUP(E964,GWPs!$B$3:$C$6,2,FALSE)</f>
        <v>0</v>
      </c>
      <c r="K964">
        <v>0</v>
      </c>
      <c r="L964" s="413">
        <f>K964*VLOOKUP(E964,GWPs!$B$3:$C$6,2,FALSE)</f>
        <v>0</v>
      </c>
      <c r="N964">
        <v>3</v>
      </c>
      <c r="O964">
        <v>2</v>
      </c>
      <c r="P964">
        <v>1</v>
      </c>
      <c r="Q964">
        <v>3</v>
      </c>
      <c r="R964">
        <v>1</v>
      </c>
    </row>
    <row r="965" spans="1:18">
      <c r="A965" t="str">
        <f>_xlfn.IFNA(IF(VLOOKUP(C965,'2016_Detail_Commodity_v1.0'!C:C,1,FALSE)=C965,"No change"),"Name changed")</f>
        <v>No change</v>
      </c>
      <c r="B965" t="s">
        <v>789</v>
      </c>
      <c r="C965" t="s">
        <v>17</v>
      </c>
      <c r="E965" t="s">
        <v>15</v>
      </c>
      <c r="F965" t="s">
        <v>16</v>
      </c>
      <c r="G965">
        <v>5.0000000000000001E-3</v>
      </c>
      <c r="H965" s="413">
        <f>G965*VLOOKUP(E965,GWPs!$B$3:$C$6,2,FALSE)</f>
        <v>5.0000000000000001E-3</v>
      </c>
      <c r="I965">
        <v>0</v>
      </c>
      <c r="J965" s="413">
        <f>I965*VLOOKUP(E965,GWPs!$B$3:$C$6,2,FALSE)</f>
        <v>0</v>
      </c>
      <c r="K965">
        <v>5.0000000000000001E-3</v>
      </c>
      <c r="L965" s="413">
        <f>K965*VLOOKUP(E965,GWPs!$B$3:$C$6,2,FALSE)</f>
        <v>5.0000000000000001E-3</v>
      </c>
      <c r="N965">
        <v>3</v>
      </c>
      <c r="O965">
        <v>2</v>
      </c>
      <c r="P965">
        <v>1</v>
      </c>
      <c r="Q965">
        <v>2</v>
      </c>
      <c r="R965">
        <v>1</v>
      </c>
    </row>
    <row r="966" spans="1:18">
      <c r="A966" t="str">
        <f>_xlfn.IFNA(IF(VLOOKUP(C966,'2016_Detail_Commodity_v1.0'!C:C,1,FALSE)=C966,"No change"),"Name changed")</f>
        <v>No change</v>
      </c>
      <c r="B966" t="s">
        <v>790</v>
      </c>
      <c r="C966" t="s">
        <v>791</v>
      </c>
      <c r="E966" t="s">
        <v>3653</v>
      </c>
      <c r="F966" t="s">
        <v>12</v>
      </c>
      <c r="G966">
        <v>9.6000000000000002E-2</v>
      </c>
      <c r="H966" s="413">
        <f>G966*VLOOKUP(E966,GWPs!$B$3:$C$6,2,FALSE)</f>
        <v>9.6000000000000002E-2</v>
      </c>
      <c r="I966">
        <v>8.9999999999999993E-3</v>
      </c>
      <c r="J966" s="413">
        <f>I966*VLOOKUP(E966,GWPs!$B$3:$C$6,2,FALSE)</f>
        <v>8.9999999999999993E-3</v>
      </c>
      <c r="K966">
        <v>0.105</v>
      </c>
      <c r="L966" s="413">
        <f>K966*VLOOKUP(E966,GWPs!$B$3:$C$6,2,FALSE)</f>
        <v>0.105</v>
      </c>
      <c r="N966">
        <v>3</v>
      </c>
      <c r="O966">
        <v>2</v>
      </c>
      <c r="P966">
        <v>1</v>
      </c>
      <c r="Q966">
        <v>3</v>
      </c>
      <c r="R966">
        <v>1</v>
      </c>
    </row>
    <row r="967" spans="1:18">
      <c r="A967" t="str">
        <f>_xlfn.IFNA(IF(VLOOKUP(C967,'2016_Detail_Commodity_v1.0'!C:C,1,FALSE)=C967,"No change"),"Name changed")</f>
        <v>No change</v>
      </c>
      <c r="B967" t="s">
        <v>790</v>
      </c>
      <c r="C967" t="s">
        <v>791</v>
      </c>
      <c r="E967" t="s">
        <v>3654</v>
      </c>
      <c r="F967" t="s">
        <v>12</v>
      </c>
      <c r="G967">
        <v>0</v>
      </c>
      <c r="H967" s="413">
        <f>G967*VLOOKUP(E967,GWPs!$B$3:$C$6,2,FALSE)</f>
        <v>0</v>
      </c>
      <c r="I967">
        <v>0</v>
      </c>
      <c r="J967" s="413">
        <f>I967*VLOOKUP(E967,GWPs!$B$3:$C$6,2,FALSE)</f>
        <v>0</v>
      </c>
      <c r="K967">
        <v>0</v>
      </c>
      <c r="L967" s="413">
        <f>K967*VLOOKUP(E967,GWPs!$B$3:$C$6,2,FALSE)</f>
        <v>0</v>
      </c>
      <c r="N967">
        <v>3</v>
      </c>
      <c r="O967">
        <v>2</v>
      </c>
      <c r="P967">
        <v>1</v>
      </c>
      <c r="Q967">
        <v>1</v>
      </c>
      <c r="R967">
        <v>1</v>
      </c>
    </row>
    <row r="968" spans="1:18">
      <c r="A968" t="str">
        <f>_xlfn.IFNA(IF(VLOOKUP(C968,'2016_Detail_Commodity_v1.0'!C:C,1,FALSE)=C968,"No change"),"Name changed")</f>
        <v>No change</v>
      </c>
      <c r="B968" t="s">
        <v>790</v>
      </c>
      <c r="C968" t="s">
        <v>791</v>
      </c>
      <c r="E968" t="s">
        <v>3655</v>
      </c>
      <c r="F968" t="s">
        <v>12</v>
      </c>
      <c r="G968">
        <v>0</v>
      </c>
      <c r="H968" s="413">
        <f>G968*VLOOKUP(E968,GWPs!$B$3:$C$6,2,FALSE)</f>
        <v>0</v>
      </c>
      <c r="I968">
        <v>0</v>
      </c>
      <c r="J968" s="413">
        <f>I968*VLOOKUP(E968,GWPs!$B$3:$C$6,2,FALSE)</f>
        <v>0</v>
      </c>
      <c r="K968">
        <v>0</v>
      </c>
      <c r="L968" s="413">
        <f>K968*VLOOKUP(E968,GWPs!$B$3:$C$6,2,FALSE)</f>
        <v>0</v>
      </c>
      <c r="N968">
        <v>3</v>
      </c>
      <c r="O968">
        <v>2</v>
      </c>
      <c r="P968">
        <v>1</v>
      </c>
      <c r="Q968">
        <v>3</v>
      </c>
      <c r="R968">
        <v>1</v>
      </c>
    </row>
    <row r="969" spans="1:18">
      <c r="A969" t="str">
        <f>_xlfn.IFNA(IF(VLOOKUP(C969,'2016_Detail_Commodity_v1.0'!C:C,1,FALSE)=C969,"No change"),"Name changed")</f>
        <v>No change</v>
      </c>
      <c r="B969" t="s">
        <v>790</v>
      </c>
      <c r="C969" t="s">
        <v>791</v>
      </c>
      <c r="E969" t="s">
        <v>15</v>
      </c>
      <c r="F969" t="s">
        <v>16</v>
      </c>
      <c r="G969">
        <v>2E-3</v>
      </c>
      <c r="H969" s="413">
        <f>G969*VLOOKUP(E969,GWPs!$B$3:$C$6,2,FALSE)</f>
        <v>2E-3</v>
      </c>
      <c r="I969">
        <v>0</v>
      </c>
      <c r="J969" s="413">
        <f>I969*VLOOKUP(E969,GWPs!$B$3:$C$6,2,FALSE)</f>
        <v>0</v>
      </c>
      <c r="K969">
        <v>2E-3</v>
      </c>
      <c r="L969" s="413">
        <f>K969*VLOOKUP(E969,GWPs!$B$3:$C$6,2,FALSE)</f>
        <v>2E-3</v>
      </c>
      <c r="N969">
        <v>3</v>
      </c>
      <c r="O969">
        <v>2</v>
      </c>
      <c r="P969">
        <v>1</v>
      </c>
      <c r="Q969">
        <v>3</v>
      </c>
      <c r="R969">
        <v>1</v>
      </c>
    </row>
    <row r="970" spans="1:18">
      <c r="A970" t="str">
        <f>_xlfn.IFNA(IF(VLOOKUP(C970,'2016_Detail_Commodity_v1.0'!C:C,1,FALSE)=C970,"No change"),"Name changed")</f>
        <v>No change</v>
      </c>
      <c r="B970" t="s">
        <v>792</v>
      </c>
      <c r="C970" t="s">
        <v>793</v>
      </c>
      <c r="E970" t="s">
        <v>3653</v>
      </c>
      <c r="F970" t="s">
        <v>12</v>
      </c>
      <c r="G970">
        <v>0.185</v>
      </c>
      <c r="H970" s="413">
        <f>G970*VLOOKUP(E970,GWPs!$B$3:$C$6,2,FALSE)</f>
        <v>0.185</v>
      </c>
      <c r="I970">
        <v>0.01</v>
      </c>
      <c r="J970" s="413">
        <f>I970*VLOOKUP(E970,GWPs!$B$3:$C$6,2,FALSE)</f>
        <v>0.01</v>
      </c>
      <c r="K970">
        <v>0.19500000000000001</v>
      </c>
      <c r="L970" s="413">
        <f>K970*VLOOKUP(E970,GWPs!$B$3:$C$6,2,FALSE)</f>
        <v>0.19500000000000001</v>
      </c>
      <c r="N970">
        <v>3</v>
      </c>
      <c r="O970">
        <v>2</v>
      </c>
      <c r="P970">
        <v>1</v>
      </c>
      <c r="Q970">
        <v>3</v>
      </c>
      <c r="R970">
        <v>1</v>
      </c>
    </row>
    <row r="971" spans="1:18">
      <c r="A971" t="str">
        <f>_xlfn.IFNA(IF(VLOOKUP(C971,'2016_Detail_Commodity_v1.0'!C:C,1,FALSE)=C971,"No change"),"Name changed")</f>
        <v>No change</v>
      </c>
      <c r="B971" t="s">
        <v>792</v>
      </c>
      <c r="C971" t="s">
        <v>793</v>
      </c>
      <c r="E971" t="s">
        <v>3654</v>
      </c>
      <c r="F971" t="s">
        <v>12</v>
      </c>
      <c r="G971">
        <v>1E-3</v>
      </c>
      <c r="H971" s="413">
        <f>G971*VLOOKUP(E971,GWPs!$B$3:$C$6,2,FALSE)</f>
        <v>2.8000000000000001E-2</v>
      </c>
      <c r="I971">
        <v>0</v>
      </c>
      <c r="J971" s="413">
        <f>I971*VLOOKUP(E971,GWPs!$B$3:$C$6,2,FALSE)</f>
        <v>0</v>
      </c>
      <c r="K971">
        <v>1E-3</v>
      </c>
      <c r="L971" s="413">
        <f>K971*VLOOKUP(E971,GWPs!$B$3:$C$6,2,FALSE)</f>
        <v>2.8000000000000001E-2</v>
      </c>
      <c r="N971">
        <v>4</v>
      </c>
      <c r="O971">
        <v>2</v>
      </c>
      <c r="P971">
        <v>1</v>
      </c>
      <c r="Q971">
        <v>1</v>
      </c>
      <c r="R971">
        <v>1</v>
      </c>
    </row>
    <row r="972" spans="1:18">
      <c r="A972" t="str">
        <f>_xlfn.IFNA(IF(VLOOKUP(C972,'2016_Detail_Commodity_v1.0'!C:C,1,FALSE)=C972,"No change"),"Name changed")</f>
        <v>No change</v>
      </c>
      <c r="B972" t="s">
        <v>792</v>
      </c>
      <c r="C972" t="s">
        <v>793</v>
      </c>
      <c r="E972" t="s">
        <v>3655</v>
      </c>
      <c r="F972" t="s">
        <v>12</v>
      </c>
      <c r="G972">
        <v>0</v>
      </c>
      <c r="H972" s="413">
        <f>G972*VLOOKUP(E972,GWPs!$B$3:$C$6,2,FALSE)</f>
        <v>0</v>
      </c>
      <c r="I972">
        <v>0</v>
      </c>
      <c r="J972" s="413">
        <f>I972*VLOOKUP(E972,GWPs!$B$3:$C$6,2,FALSE)</f>
        <v>0</v>
      </c>
      <c r="K972">
        <v>0</v>
      </c>
      <c r="L972" s="413">
        <f>K972*VLOOKUP(E972,GWPs!$B$3:$C$6,2,FALSE)</f>
        <v>0</v>
      </c>
      <c r="N972">
        <v>3</v>
      </c>
      <c r="O972">
        <v>2</v>
      </c>
      <c r="P972">
        <v>1</v>
      </c>
      <c r="Q972">
        <v>3</v>
      </c>
      <c r="R972">
        <v>1</v>
      </c>
    </row>
    <row r="973" spans="1:18">
      <c r="A973" t="str">
        <f>_xlfn.IFNA(IF(VLOOKUP(C973,'2016_Detail_Commodity_v1.0'!C:C,1,FALSE)=C973,"No change"),"Name changed")</f>
        <v>No change</v>
      </c>
      <c r="B973" t="s">
        <v>792</v>
      </c>
      <c r="C973" t="s">
        <v>793</v>
      </c>
      <c r="E973" t="s">
        <v>15</v>
      </c>
      <c r="F973" t="s">
        <v>16</v>
      </c>
      <c r="G973">
        <v>5.0000000000000001E-3</v>
      </c>
      <c r="H973" s="413">
        <f>G973*VLOOKUP(E973,GWPs!$B$3:$C$6,2,FALSE)</f>
        <v>5.0000000000000001E-3</v>
      </c>
      <c r="I973">
        <v>0</v>
      </c>
      <c r="J973" s="413">
        <f>I973*VLOOKUP(E973,GWPs!$B$3:$C$6,2,FALSE)</f>
        <v>0</v>
      </c>
      <c r="K973">
        <v>5.0000000000000001E-3</v>
      </c>
      <c r="L973" s="413">
        <f>K973*VLOOKUP(E973,GWPs!$B$3:$C$6,2,FALSE)</f>
        <v>5.0000000000000001E-3</v>
      </c>
      <c r="N973">
        <v>3</v>
      </c>
      <c r="O973">
        <v>2</v>
      </c>
      <c r="P973">
        <v>1</v>
      </c>
      <c r="Q973">
        <v>2</v>
      </c>
      <c r="R973">
        <v>1</v>
      </c>
    </row>
    <row r="974" spans="1:18">
      <c r="A974" t="str">
        <f>_xlfn.IFNA(IF(VLOOKUP(C974,'2016_Detail_Commodity_v1.0'!C:C,1,FALSE)=C974,"No change"),"Name changed")</f>
        <v>No change</v>
      </c>
      <c r="B974" t="s">
        <v>794</v>
      </c>
      <c r="C974" t="s">
        <v>795</v>
      </c>
      <c r="E974" t="s">
        <v>3653</v>
      </c>
      <c r="F974" t="s">
        <v>12</v>
      </c>
      <c r="G974">
        <v>0.13600000000000001</v>
      </c>
      <c r="H974" s="413">
        <f>G974*VLOOKUP(E974,GWPs!$B$3:$C$6,2,FALSE)</f>
        <v>0.13600000000000001</v>
      </c>
      <c r="I974">
        <v>0.01</v>
      </c>
      <c r="J974" s="413">
        <f>I974*VLOOKUP(E974,GWPs!$B$3:$C$6,2,FALSE)</f>
        <v>0.01</v>
      </c>
      <c r="K974">
        <v>0.14599999999999999</v>
      </c>
      <c r="L974" s="413">
        <f>K974*VLOOKUP(E974,GWPs!$B$3:$C$6,2,FALSE)</f>
        <v>0.14599999999999999</v>
      </c>
      <c r="N974">
        <v>3</v>
      </c>
      <c r="O974">
        <v>2</v>
      </c>
      <c r="P974">
        <v>1</v>
      </c>
      <c r="Q974">
        <v>3</v>
      </c>
      <c r="R974">
        <v>1</v>
      </c>
    </row>
    <row r="975" spans="1:18">
      <c r="A975" t="str">
        <f>_xlfn.IFNA(IF(VLOOKUP(C975,'2016_Detail_Commodity_v1.0'!C:C,1,FALSE)=C975,"No change"),"Name changed")</f>
        <v>No change</v>
      </c>
      <c r="B975" t="s">
        <v>794</v>
      </c>
      <c r="C975" t="s">
        <v>795</v>
      </c>
      <c r="E975" t="s">
        <v>3654</v>
      </c>
      <c r="F975" t="s">
        <v>12</v>
      </c>
      <c r="G975">
        <v>0</v>
      </c>
      <c r="H975" s="413">
        <f>G975*VLOOKUP(E975,GWPs!$B$3:$C$6,2,FALSE)</f>
        <v>0</v>
      </c>
      <c r="I975">
        <v>0</v>
      </c>
      <c r="J975" s="413">
        <f>I975*VLOOKUP(E975,GWPs!$B$3:$C$6,2,FALSE)</f>
        <v>0</v>
      </c>
      <c r="K975">
        <v>0</v>
      </c>
      <c r="L975" s="413">
        <f>K975*VLOOKUP(E975,GWPs!$B$3:$C$6,2,FALSE)</f>
        <v>0</v>
      </c>
      <c r="N975">
        <v>4</v>
      </c>
      <c r="O975">
        <v>2</v>
      </c>
      <c r="P975">
        <v>1</v>
      </c>
      <c r="Q975">
        <v>1</v>
      </c>
      <c r="R975">
        <v>1</v>
      </c>
    </row>
    <row r="976" spans="1:18">
      <c r="A976" t="str">
        <f>_xlfn.IFNA(IF(VLOOKUP(C976,'2016_Detail_Commodity_v1.0'!C:C,1,FALSE)=C976,"No change"),"Name changed")</f>
        <v>No change</v>
      </c>
      <c r="B976" t="s">
        <v>794</v>
      </c>
      <c r="C976" t="s">
        <v>795</v>
      </c>
      <c r="E976" t="s">
        <v>3655</v>
      </c>
      <c r="F976" t="s">
        <v>12</v>
      </c>
      <c r="G976">
        <v>0</v>
      </c>
      <c r="H976" s="413">
        <f>G976*VLOOKUP(E976,GWPs!$B$3:$C$6,2,FALSE)</f>
        <v>0</v>
      </c>
      <c r="I976">
        <v>0</v>
      </c>
      <c r="J976" s="413">
        <f>I976*VLOOKUP(E976,GWPs!$B$3:$C$6,2,FALSE)</f>
        <v>0</v>
      </c>
      <c r="K976">
        <v>0</v>
      </c>
      <c r="L976" s="413">
        <f>K976*VLOOKUP(E976,GWPs!$B$3:$C$6,2,FALSE)</f>
        <v>0</v>
      </c>
      <c r="N976">
        <v>3</v>
      </c>
      <c r="O976">
        <v>2</v>
      </c>
      <c r="P976">
        <v>1</v>
      </c>
      <c r="Q976">
        <v>3</v>
      </c>
      <c r="R976">
        <v>1</v>
      </c>
    </row>
    <row r="977" spans="1:18">
      <c r="A977" t="str">
        <f>_xlfn.IFNA(IF(VLOOKUP(C977,'2016_Detail_Commodity_v1.0'!C:C,1,FALSE)=C977,"No change"),"Name changed")</f>
        <v>No change</v>
      </c>
      <c r="B977" t="s">
        <v>794</v>
      </c>
      <c r="C977" t="s">
        <v>795</v>
      </c>
      <c r="E977" t="s">
        <v>15</v>
      </c>
      <c r="F977" t="s">
        <v>16</v>
      </c>
      <c r="G977">
        <v>4.0000000000000001E-3</v>
      </c>
      <c r="H977" s="413">
        <f>G977*VLOOKUP(E977,GWPs!$B$3:$C$6,2,FALSE)</f>
        <v>4.0000000000000001E-3</v>
      </c>
      <c r="I977">
        <v>0</v>
      </c>
      <c r="J977" s="413">
        <f>I977*VLOOKUP(E977,GWPs!$B$3:$C$6,2,FALSE)</f>
        <v>0</v>
      </c>
      <c r="K977">
        <v>4.0000000000000001E-3</v>
      </c>
      <c r="L977" s="413">
        <f>K977*VLOOKUP(E977,GWPs!$B$3:$C$6,2,FALSE)</f>
        <v>4.0000000000000001E-3</v>
      </c>
      <c r="N977">
        <v>3</v>
      </c>
      <c r="O977">
        <v>2</v>
      </c>
      <c r="P977">
        <v>1</v>
      </c>
      <c r="Q977">
        <v>2</v>
      </c>
      <c r="R977">
        <v>1</v>
      </c>
    </row>
    <row r="978" spans="1:18">
      <c r="A978" t="str">
        <f>_xlfn.IFNA(IF(VLOOKUP(C978,'2016_Detail_Commodity_v1.0'!C:C,1,FALSE)=C978,"No change"),"Name changed")</f>
        <v>No change</v>
      </c>
      <c r="B978" t="s">
        <v>796</v>
      </c>
      <c r="C978" t="s">
        <v>797</v>
      </c>
      <c r="E978" t="s">
        <v>3653</v>
      </c>
      <c r="F978" t="s">
        <v>12</v>
      </c>
      <c r="G978">
        <v>0.13800000000000001</v>
      </c>
      <c r="H978" s="413">
        <f>G978*VLOOKUP(E978,GWPs!$B$3:$C$6,2,FALSE)</f>
        <v>0.13800000000000001</v>
      </c>
      <c r="I978">
        <v>0.01</v>
      </c>
      <c r="J978" s="413">
        <f>I978*VLOOKUP(E978,GWPs!$B$3:$C$6,2,FALSE)</f>
        <v>0.01</v>
      </c>
      <c r="K978">
        <v>0.14899999999999999</v>
      </c>
      <c r="L978" s="413">
        <f>K978*VLOOKUP(E978,GWPs!$B$3:$C$6,2,FALSE)</f>
        <v>0.14899999999999999</v>
      </c>
      <c r="N978">
        <v>3</v>
      </c>
      <c r="O978">
        <v>2</v>
      </c>
      <c r="P978">
        <v>1</v>
      </c>
      <c r="Q978">
        <v>4</v>
      </c>
      <c r="R978">
        <v>1</v>
      </c>
    </row>
    <row r="979" spans="1:18">
      <c r="A979" t="str">
        <f>_xlfn.IFNA(IF(VLOOKUP(C979,'2016_Detail_Commodity_v1.0'!C:C,1,FALSE)=C979,"No change"),"Name changed")</f>
        <v>No change</v>
      </c>
      <c r="B979" t="s">
        <v>796</v>
      </c>
      <c r="C979" t="s">
        <v>797</v>
      </c>
      <c r="E979" t="s">
        <v>3654</v>
      </c>
      <c r="F979" t="s">
        <v>12</v>
      </c>
      <c r="G979">
        <v>0</v>
      </c>
      <c r="H979" s="413">
        <f>G979*VLOOKUP(E979,GWPs!$B$3:$C$6,2,FALSE)</f>
        <v>0</v>
      </c>
      <c r="I979">
        <v>0</v>
      </c>
      <c r="J979" s="413">
        <f>I979*VLOOKUP(E979,GWPs!$B$3:$C$6,2,FALSE)</f>
        <v>0</v>
      </c>
      <c r="K979">
        <v>0</v>
      </c>
      <c r="L979" s="413">
        <f>K979*VLOOKUP(E979,GWPs!$B$3:$C$6,2,FALSE)</f>
        <v>0</v>
      </c>
      <c r="N979">
        <v>3</v>
      </c>
      <c r="O979">
        <v>2</v>
      </c>
      <c r="P979">
        <v>1</v>
      </c>
      <c r="Q979">
        <v>1</v>
      </c>
      <c r="R979">
        <v>1</v>
      </c>
    </row>
    <row r="980" spans="1:18">
      <c r="A980" t="str">
        <f>_xlfn.IFNA(IF(VLOOKUP(C980,'2016_Detail_Commodity_v1.0'!C:C,1,FALSE)=C980,"No change"),"Name changed")</f>
        <v>No change</v>
      </c>
      <c r="B980" t="s">
        <v>796</v>
      </c>
      <c r="C980" t="s">
        <v>797</v>
      </c>
      <c r="E980" t="s">
        <v>3655</v>
      </c>
      <c r="F980" t="s">
        <v>12</v>
      </c>
      <c r="G980">
        <v>0</v>
      </c>
      <c r="H980" s="413">
        <f>G980*VLOOKUP(E980,GWPs!$B$3:$C$6,2,FALSE)</f>
        <v>0</v>
      </c>
      <c r="I980">
        <v>0</v>
      </c>
      <c r="J980" s="413">
        <f>I980*VLOOKUP(E980,GWPs!$B$3:$C$6,2,FALSE)</f>
        <v>0</v>
      </c>
      <c r="K980">
        <v>0</v>
      </c>
      <c r="L980" s="413">
        <f>K980*VLOOKUP(E980,GWPs!$B$3:$C$6,2,FALSE)</f>
        <v>0</v>
      </c>
      <c r="N980">
        <v>3</v>
      </c>
      <c r="O980">
        <v>2</v>
      </c>
      <c r="P980">
        <v>1</v>
      </c>
      <c r="Q980">
        <v>3</v>
      </c>
      <c r="R980">
        <v>1</v>
      </c>
    </row>
    <row r="981" spans="1:18">
      <c r="A981" t="str">
        <f>_xlfn.IFNA(IF(VLOOKUP(C981,'2016_Detail_Commodity_v1.0'!C:C,1,FALSE)=C981,"No change"),"Name changed")</f>
        <v>No change</v>
      </c>
      <c r="B981" t="s">
        <v>796</v>
      </c>
      <c r="C981" t="s">
        <v>797</v>
      </c>
      <c r="E981" t="s">
        <v>15</v>
      </c>
      <c r="F981" t="s">
        <v>16</v>
      </c>
      <c r="G981">
        <v>3.0000000000000001E-3</v>
      </c>
      <c r="H981" s="413">
        <f>G981*VLOOKUP(E981,GWPs!$B$3:$C$6,2,FALSE)</f>
        <v>3.0000000000000001E-3</v>
      </c>
      <c r="I981">
        <v>0</v>
      </c>
      <c r="J981" s="413">
        <f>I981*VLOOKUP(E981,GWPs!$B$3:$C$6,2,FALSE)</f>
        <v>0</v>
      </c>
      <c r="K981">
        <v>3.0000000000000001E-3</v>
      </c>
      <c r="L981" s="413">
        <f>K981*VLOOKUP(E981,GWPs!$B$3:$C$6,2,FALSE)</f>
        <v>3.0000000000000001E-3</v>
      </c>
      <c r="N981">
        <v>3</v>
      </c>
      <c r="O981">
        <v>2</v>
      </c>
      <c r="P981">
        <v>1</v>
      </c>
      <c r="Q981">
        <v>3</v>
      </c>
      <c r="R981">
        <v>1</v>
      </c>
    </row>
    <row r="982" spans="1:18">
      <c r="A982" t="str">
        <f>_xlfn.IFNA(IF(VLOOKUP(C982,'2016_Detail_Commodity_v1.0'!C:C,1,FALSE)=C982,"No change"),"Name changed")</f>
        <v>No change</v>
      </c>
      <c r="B982" t="s">
        <v>798</v>
      </c>
      <c r="C982" t="s">
        <v>799</v>
      </c>
      <c r="E982" t="s">
        <v>3653</v>
      </c>
      <c r="F982" t="s">
        <v>12</v>
      </c>
      <c r="G982">
        <v>0.307</v>
      </c>
      <c r="H982" s="413">
        <f>G982*VLOOKUP(E982,GWPs!$B$3:$C$6,2,FALSE)</f>
        <v>0.307</v>
      </c>
      <c r="I982">
        <v>2.3E-2</v>
      </c>
      <c r="J982" s="413">
        <f>I982*VLOOKUP(E982,GWPs!$B$3:$C$6,2,FALSE)</f>
        <v>2.3E-2</v>
      </c>
      <c r="K982">
        <v>0.33100000000000002</v>
      </c>
      <c r="L982" s="413">
        <f>K982*VLOOKUP(E982,GWPs!$B$3:$C$6,2,FALSE)</f>
        <v>0.33100000000000002</v>
      </c>
      <c r="N982">
        <v>3</v>
      </c>
      <c r="O982">
        <v>2</v>
      </c>
      <c r="P982">
        <v>1</v>
      </c>
      <c r="Q982">
        <v>3</v>
      </c>
      <c r="R982">
        <v>1</v>
      </c>
    </row>
    <row r="983" spans="1:18">
      <c r="A983" t="str">
        <f>_xlfn.IFNA(IF(VLOOKUP(C983,'2016_Detail_Commodity_v1.0'!C:C,1,FALSE)=C983,"No change"),"Name changed")</f>
        <v>No change</v>
      </c>
      <c r="B983" t="s">
        <v>798</v>
      </c>
      <c r="C983" t="s">
        <v>799</v>
      </c>
      <c r="E983" t="s">
        <v>3654</v>
      </c>
      <c r="F983" t="s">
        <v>12</v>
      </c>
      <c r="G983">
        <v>1E-3</v>
      </c>
      <c r="H983" s="413">
        <f>G983*VLOOKUP(E983,GWPs!$B$3:$C$6,2,FALSE)</f>
        <v>2.8000000000000001E-2</v>
      </c>
      <c r="I983">
        <v>0</v>
      </c>
      <c r="J983" s="413">
        <f>I983*VLOOKUP(E983,GWPs!$B$3:$C$6,2,FALSE)</f>
        <v>0</v>
      </c>
      <c r="K983">
        <v>1E-3</v>
      </c>
      <c r="L983" s="413">
        <f>K983*VLOOKUP(E983,GWPs!$B$3:$C$6,2,FALSE)</f>
        <v>2.8000000000000001E-2</v>
      </c>
      <c r="N983">
        <v>4</v>
      </c>
      <c r="O983">
        <v>2</v>
      </c>
      <c r="P983">
        <v>1</v>
      </c>
      <c r="Q983">
        <v>1</v>
      </c>
      <c r="R983">
        <v>1</v>
      </c>
    </row>
    <row r="984" spans="1:18">
      <c r="A984" t="str">
        <f>_xlfn.IFNA(IF(VLOOKUP(C984,'2016_Detail_Commodity_v1.0'!C:C,1,FALSE)=C984,"No change"),"Name changed")</f>
        <v>No change</v>
      </c>
      <c r="B984" t="s">
        <v>798</v>
      </c>
      <c r="C984" t="s">
        <v>799</v>
      </c>
      <c r="E984" t="s">
        <v>3655</v>
      </c>
      <c r="F984" t="s">
        <v>12</v>
      </c>
      <c r="G984">
        <v>0</v>
      </c>
      <c r="H984" s="413">
        <f>G984*VLOOKUP(E984,GWPs!$B$3:$C$6,2,FALSE)</f>
        <v>0</v>
      </c>
      <c r="I984">
        <v>0</v>
      </c>
      <c r="J984" s="413">
        <f>I984*VLOOKUP(E984,GWPs!$B$3:$C$6,2,FALSE)</f>
        <v>0</v>
      </c>
      <c r="K984">
        <v>0</v>
      </c>
      <c r="L984" s="413">
        <f>K984*VLOOKUP(E984,GWPs!$B$3:$C$6,2,FALSE)</f>
        <v>0</v>
      </c>
      <c r="N984">
        <v>3</v>
      </c>
      <c r="O984">
        <v>2</v>
      </c>
      <c r="P984">
        <v>1</v>
      </c>
      <c r="Q984">
        <v>3</v>
      </c>
      <c r="R984">
        <v>1</v>
      </c>
    </row>
    <row r="985" spans="1:18">
      <c r="A985" t="str">
        <f>_xlfn.IFNA(IF(VLOOKUP(C985,'2016_Detail_Commodity_v1.0'!C:C,1,FALSE)=C985,"No change"),"Name changed")</f>
        <v>No change</v>
      </c>
      <c r="B985" t="s">
        <v>798</v>
      </c>
      <c r="C985" t="s">
        <v>799</v>
      </c>
      <c r="E985" t="s">
        <v>15</v>
      </c>
      <c r="F985" t="s">
        <v>16</v>
      </c>
      <c r="G985">
        <v>7.0000000000000001E-3</v>
      </c>
      <c r="H985" s="413">
        <f>G985*VLOOKUP(E985,GWPs!$B$3:$C$6,2,FALSE)</f>
        <v>7.0000000000000001E-3</v>
      </c>
      <c r="I985">
        <v>0</v>
      </c>
      <c r="J985" s="413">
        <f>I985*VLOOKUP(E985,GWPs!$B$3:$C$6,2,FALSE)</f>
        <v>0</v>
      </c>
      <c r="K985">
        <v>7.0000000000000001E-3</v>
      </c>
      <c r="L985" s="413">
        <f>K985*VLOOKUP(E985,GWPs!$B$3:$C$6,2,FALSE)</f>
        <v>7.0000000000000001E-3</v>
      </c>
      <c r="N985">
        <v>3</v>
      </c>
      <c r="O985">
        <v>2</v>
      </c>
      <c r="P985">
        <v>1</v>
      </c>
      <c r="Q985">
        <v>3</v>
      </c>
      <c r="R985">
        <v>1</v>
      </c>
    </row>
    <row r="986" spans="1:18">
      <c r="A986" t="str">
        <f>_xlfn.IFNA(IF(VLOOKUP(C986,'2016_Detail_Commodity_v1.0'!C:C,1,FALSE)=C986,"No change"),"Name changed")</f>
        <v>No change</v>
      </c>
      <c r="B986" t="s">
        <v>800</v>
      </c>
      <c r="C986" t="s">
        <v>801</v>
      </c>
      <c r="E986" t="s">
        <v>3653</v>
      </c>
      <c r="F986" t="s">
        <v>12</v>
      </c>
      <c r="G986">
        <v>0.2</v>
      </c>
      <c r="H986" s="413">
        <f>G986*VLOOKUP(E986,GWPs!$B$3:$C$6,2,FALSE)</f>
        <v>0.2</v>
      </c>
      <c r="I986">
        <v>1.0999999999999999E-2</v>
      </c>
      <c r="J986" s="413">
        <f>I986*VLOOKUP(E986,GWPs!$B$3:$C$6,2,FALSE)</f>
        <v>1.0999999999999999E-2</v>
      </c>
      <c r="K986">
        <v>0.21199999999999999</v>
      </c>
      <c r="L986" s="413">
        <f>K986*VLOOKUP(E986,GWPs!$B$3:$C$6,2,FALSE)</f>
        <v>0.21199999999999999</v>
      </c>
      <c r="N986">
        <v>3</v>
      </c>
      <c r="O986">
        <v>2</v>
      </c>
      <c r="P986">
        <v>1</v>
      </c>
      <c r="Q986">
        <v>3</v>
      </c>
      <c r="R986">
        <v>1</v>
      </c>
    </row>
    <row r="987" spans="1:18">
      <c r="A987" t="str">
        <f>_xlfn.IFNA(IF(VLOOKUP(C987,'2016_Detail_Commodity_v1.0'!C:C,1,FALSE)=C987,"No change"),"Name changed")</f>
        <v>No change</v>
      </c>
      <c r="B987" t="s">
        <v>800</v>
      </c>
      <c r="C987" t="s">
        <v>801</v>
      </c>
      <c r="E987" t="s">
        <v>3654</v>
      </c>
      <c r="F987" t="s">
        <v>12</v>
      </c>
      <c r="G987">
        <v>1E-3</v>
      </c>
      <c r="H987" s="413">
        <f>G987*VLOOKUP(E987,GWPs!$B$3:$C$6,2,FALSE)</f>
        <v>2.8000000000000001E-2</v>
      </c>
      <c r="I987">
        <v>0</v>
      </c>
      <c r="J987" s="413">
        <f>I987*VLOOKUP(E987,GWPs!$B$3:$C$6,2,FALSE)</f>
        <v>0</v>
      </c>
      <c r="K987">
        <v>1E-3</v>
      </c>
      <c r="L987" s="413">
        <f>K987*VLOOKUP(E987,GWPs!$B$3:$C$6,2,FALSE)</f>
        <v>2.8000000000000001E-2</v>
      </c>
      <c r="N987">
        <v>3</v>
      </c>
      <c r="O987">
        <v>2</v>
      </c>
      <c r="P987">
        <v>1</v>
      </c>
      <c r="Q987">
        <v>1</v>
      </c>
      <c r="R987">
        <v>1</v>
      </c>
    </row>
    <row r="988" spans="1:18">
      <c r="A988" t="str">
        <f>_xlfn.IFNA(IF(VLOOKUP(C988,'2016_Detail_Commodity_v1.0'!C:C,1,FALSE)=C988,"No change"),"Name changed")</f>
        <v>No change</v>
      </c>
      <c r="B988" t="s">
        <v>800</v>
      </c>
      <c r="C988" t="s">
        <v>801</v>
      </c>
      <c r="E988" t="s">
        <v>3655</v>
      </c>
      <c r="F988" t="s">
        <v>12</v>
      </c>
      <c r="G988">
        <v>0</v>
      </c>
      <c r="H988" s="413">
        <f>G988*VLOOKUP(E988,GWPs!$B$3:$C$6,2,FALSE)</f>
        <v>0</v>
      </c>
      <c r="I988">
        <v>0</v>
      </c>
      <c r="J988" s="413">
        <f>I988*VLOOKUP(E988,GWPs!$B$3:$C$6,2,FALSE)</f>
        <v>0</v>
      </c>
      <c r="K988">
        <v>0</v>
      </c>
      <c r="L988" s="413">
        <f>K988*VLOOKUP(E988,GWPs!$B$3:$C$6,2,FALSE)</f>
        <v>0</v>
      </c>
      <c r="N988">
        <v>3</v>
      </c>
      <c r="O988">
        <v>2</v>
      </c>
      <c r="P988">
        <v>1</v>
      </c>
      <c r="Q988">
        <v>3</v>
      </c>
      <c r="R988">
        <v>1</v>
      </c>
    </row>
    <row r="989" spans="1:18">
      <c r="A989" t="str">
        <f>_xlfn.IFNA(IF(VLOOKUP(C989,'2016_Detail_Commodity_v1.0'!C:C,1,FALSE)=C989,"No change"),"Name changed")</f>
        <v>No change</v>
      </c>
      <c r="B989" t="s">
        <v>800</v>
      </c>
      <c r="C989" t="s">
        <v>801</v>
      </c>
      <c r="E989" t="s">
        <v>15</v>
      </c>
      <c r="F989" t="s">
        <v>16</v>
      </c>
      <c r="G989">
        <v>6.0000000000000001E-3</v>
      </c>
      <c r="H989" s="413">
        <f>G989*VLOOKUP(E989,GWPs!$B$3:$C$6,2,FALSE)</f>
        <v>6.0000000000000001E-3</v>
      </c>
      <c r="I989">
        <v>0</v>
      </c>
      <c r="J989" s="413">
        <f>I989*VLOOKUP(E989,GWPs!$B$3:$C$6,2,FALSE)</f>
        <v>0</v>
      </c>
      <c r="K989">
        <v>6.0000000000000001E-3</v>
      </c>
      <c r="L989" s="413">
        <f>K989*VLOOKUP(E989,GWPs!$B$3:$C$6,2,FALSE)</f>
        <v>6.0000000000000001E-3</v>
      </c>
      <c r="N989">
        <v>3</v>
      </c>
      <c r="O989">
        <v>2</v>
      </c>
      <c r="P989">
        <v>1</v>
      </c>
      <c r="Q989">
        <v>3</v>
      </c>
      <c r="R989">
        <v>1</v>
      </c>
    </row>
    <row r="990" spans="1:18">
      <c r="A990" t="str">
        <f>_xlfn.IFNA(IF(VLOOKUP(C990,'2016_Detail_Commodity_v1.0'!C:C,1,FALSE)=C990,"No change"),"Name changed")</f>
        <v>No change</v>
      </c>
      <c r="B990" t="s">
        <v>802</v>
      </c>
      <c r="C990" t="s">
        <v>803</v>
      </c>
      <c r="E990" t="s">
        <v>3653</v>
      </c>
      <c r="F990" t="s">
        <v>12</v>
      </c>
      <c r="G990">
        <v>0.13300000000000001</v>
      </c>
      <c r="H990" s="413">
        <f>G990*VLOOKUP(E990,GWPs!$B$3:$C$6,2,FALSE)</f>
        <v>0.13300000000000001</v>
      </c>
      <c r="I990">
        <v>6.8000000000000005E-2</v>
      </c>
      <c r="J990" s="413">
        <f>I990*VLOOKUP(E990,GWPs!$B$3:$C$6,2,FALSE)</f>
        <v>6.8000000000000005E-2</v>
      </c>
      <c r="K990">
        <v>0.20100000000000001</v>
      </c>
      <c r="L990" s="413">
        <f>K990*VLOOKUP(E990,GWPs!$B$3:$C$6,2,FALSE)</f>
        <v>0.20100000000000001</v>
      </c>
      <c r="N990">
        <v>3</v>
      </c>
      <c r="O990">
        <v>2</v>
      </c>
      <c r="P990">
        <v>1</v>
      </c>
      <c r="Q990">
        <v>3</v>
      </c>
      <c r="R990">
        <v>1</v>
      </c>
    </row>
    <row r="991" spans="1:18">
      <c r="A991" t="str">
        <f>_xlfn.IFNA(IF(VLOOKUP(C991,'2016_Detail_Commodity_v1.0'!C:C,1,FALSE)=C991,"No change"),"Name changed")</f>
        <v>No change</v>
      </c>
      <c r="B991" t="s">
        <v>802</v>
      </c>
      <c r="C991" t="s">
        <v>803</v>
      </c>
      <c r="E991" t="s">
        <v>3654</v>
      </c>
      <c r="F991" t="s">
        <v>12</v>
      </c>
      <c r="G991">
        <v>0</v>
      </c>
      <c r="H991" s="413">
        <f>G991*VLOOKUP(E991,GWPs!$B$3:$C$6,2,FALSE)</f>
        <v>0</v>
      </c>
      <c r="I991">
        <v>0</v>
      </c>
      <c r="J991" s="413">
        <f>I991*VLOOKUP(E991,GWPs!$B$3:$C$6,2,FALSE)</f>
        <v>0</v>
      </c>
      <c r="K991">
        <v>1E-3</v>
      </c>
      <c r="L991" s="413">
        <f>K991*VLOOKUP(E991,GWPs!$B$3:$C$6,2,FALSE)</f>
        <v>2.8000000000000001E-2</v>
      </c>
      <c r="N991">
        <v>4</v>
      </c>
      <c r="O991">
        <v>2</v>
      </c>
      <c r="P991">
        <v>1</v>
      </c>
      <c r="Q991">
        <v>1</v>
      </c>
      <c r="R991">
        <v>1</v>
      </c>
    </row>
    <row r="992" spans="1:18">
      <c r="A992" t="str">
        <f>_xlfn.IFNA(IF(VLOOKUP(C992,'2016_Detail_Commodity_v1.0'!C:C,1,FALSE)=C992,"No change"),"Name changed")</f>
        <v>No change</v>
      </c>
      <c r="B992" t="s">
        <v>802</v>
      </c>
      <c r="C992" t="s">
        <v>803</v>
      </c>
      <c r="E992" t="s">
        <v>3655</v>
      </c>
      <c r="F992" t="s">
        <v>12</v>
      </c>
      <c r="G992">
        <v>0</v>
      </c>
      <c r="H992" s="413">
        <f>G992*VLOOKUP(E992,GWPs!$B$3:$C$6,2,FALSE)</f>
        <v>0</v>
      </c>
      <c r="I992">
        <v>0</v>
      </c>
      <c r="J992" s="413">
        <f>I992*VLOOKUP(E992,GWPs!$B$3:$C$6,2,FALSE)</f>
        <v>0</v>
      </c>
      <c r="K992">
        <v>0</v>
      </c>
      <c r="L992" s="413">
        <f>K992*VLOOKUP(E992,GWPs!$B$3:$C$6,2,FALSE)</f>
        <v>0</v>
      </c>
      <c r="N992">
        <v>3</v>
      </c>
      <c r="O992">
        <v>2</v>
      </c>
      <c r="P992">
        <v>1</v>
      </c>
      <c r="Q992">
        <v>3</v>
      </c>
      <c r="R992">
        <v>1</v>
      </c>
    </row>
    <row r="993" spans="1:18">
      <c r="A993" t="str">
        <f>_xlfn.IFNA(IF(VLOOKUP(C993,'2016_Detail_Commodity_v1.0'!C:C,1,FALSE)=C993,"No change"),"Name changed")</f>
        <v>No change</v>
      </c>
      <c r="B993" t="s">
        <v>802</v>
      </c>
      <c r="C993" t="s">
        <v>803</v>
      </c>
      <c r="E993" t="s">
        <v>15</v>
      </c>
      <c r="F993" t="s">
        <v>16</v>
      </c>
      <c r="G993">
        <v>7.0000000000000001E-3</v>
      </c>
      <c r="H993" s="413">
        <f>G993*VLOOKUP(E993,GWPs!$B$3:$C$6,2,FALSE)</f>
        <v>7.0000000000000001E-3</v>
      </c>
      <c r="I993">
        <v>0</v>
      </c>
      <c r="J993" s="413">
        <f>I993*VLOOKUP(E993,GWPs!$B$3:$C$6,2,FALSE)</f>
        <v>0</v>
      </c>
      <c r="K993">
        <v>7.0000000000000001E-3</v>
      </c>
      <c r="L993" s="413">
        <f>K993*VLOOKUP(E993,GWPs!$B$3:$C$6,2,FALSE)</f>
        <v>7.0000000000000001E-3</v>
      </c>
      <c r="N993">
        <v>3</v>
      </c>
      <c r="O993">
        <v>2</v>
      </c>
      <c r="P993">
        <v>1</v>
      </c>
      <c r="Q993">
        <v>2</v>
      </c>
      <c r="R993">
        <v>1</v>
      </c>
    </row>
    <row r="994" spans="1:18">
      <c r="A994" t="str">
        <f>_xlfn.IFNA(IF(VLOOKUP(C994,'2016_Detail_Commodity_v1.0'!C:C,1,FALSE)=C994,"No change"),"Name changed")</f>
        <v>No change</v>
      </c>
      <c r="B994" t="s">
        <v>804</v>
      </c>
      <c r="C994" t="s">
        <v>805</v>
      </c>
      <c r="E994" t="s">
        <v>3653</v>
      </c>
      <c r="F994" t="s">
        <v>12</v>
      </c>
      <c r="G994">
        <v>0.15</v>
      </c>
      <c r="H994" s="413">
        <f>G994*VLOOKUP(E994,GWPs!$B$3:$C$6,2,FALSE)</f>
        <v>0.15</v>
      </c>
      <c r="I994">
        <v>7.0000000000000007E-2</v>
      </c>
      <c r="J994" s="413">
        <f>I994*VLOOKUP(E994,GWPs!$B$3:$C$6,2,FALSE)</f>
        <v>7.0000000000000007E-2</v>
      </c>
      <c r="K994">
        <v>0.22</v>
      </c>
      <c r="L994" s="413">
        <f>K994*VLOOKUP(E994,GWPs!$B$3:$C$6,2,FALSE)</f>
        <v>0.22</v>
      </c>
      <c r="N994">
        <v>3</v>
      </c>
      <c r="O994">
        <v>2</v>
      </c>
      <c r="P994">
        <v>1</v>
      </c>
      <c r="Q994">
        <v>3</v>
      </c>
      <c r="R994">
        <v>1</v>
      </c>
    </row>
    <row r="995" spans="1:18">
      <c r="A995" t="str">
        <f>_xlfn.IFNA(IF(VLOOKUP(C995,'2016_Detail_Commodity_v1.0'!C:C,1,FALSE)=C995,"No change"),"Name changed")</f>
        <v>No change</v>
      </c>
      <c r="B995" t="s">
        <v>804</v>
      </c>
      <c r="C995" t="s">
        <v>805</v>
      </c>
      <c r="E995" t="s">
        <v>3654</v>
      </c>
      <c r="F995" t="s">
        <v>12</v>
      </c>
      <c r="G995">
        <v>1E-3</v>
      </c>
      <c r="H995" s="413">
        <f>G995*VLOOKUP(E995,GWPs!$B$3:$C$6,2,FALSE)</f>
        <v>2.8000000000000001E-2</v>
      </c>
      <c r="I995">
        <v>0</v>
      </c>
      <c r="J995" s="413">
        <f>I995*VLOOKUP(E995,GWPs!$B$3:$C$6,2,FALSE)</f>
        <v>0</v>
      </c>
      <c r="K995">
        <v>1E-3</v>
      </c>
      <c r="L995" s="413">
        <f>K995*VLOOKUP(E995,GWPs!$B$3:$C$6,2,FALSE)</f>
        <v>2.8000000000000001E-2</v>
      </c>
      <c r="N995">
        <v>4</v>
      </c>
      <c r="O995">
        <v>2</v>
      </c>
      <c r="P995">
        <v>1</v>
      </c>
      <c r="Q995">
        <v>1</v>
      </c>
      <c r="R995">
        <v>1</v>
      </c>
    </row>
    <row r="996" spans="1:18">
      <c r="A996" t="str">
        <f>_xlfn.IFNA(IF(VLOOKUP(C996,'2016_Detail_Commodity_v1.0'!C:C,1,FALSE)=C996,"No change"),"Name changed")</f>
        <v>No change</v>
      </c>
      <c r="B996" t="s">
        <v>804</v>
      </c>
      <c r="C996" t="s">
        <v>805</v>
      </c>
      <c r="E996" t="s">
        <v>3655</v>
      </c>
      <c r="F996" t="s">
        <v>12</v>
      </c>
      <c r="G996">
        <v>0</v>
      </c>
      <c r="H996" s="413">
        <f>G996*VLOOKUP(E996,GWPs!$B$3:$C$6,2,FALSE)</f>
        <v>0</v>
      </c>
      <c r="I996">
        <v>0</v>
      </c>
      <c r="J996" s="413">
        <f>I996*VLOOKUP(E996,GWPs!$B$3:$C$6,2,FALSE)</f>
        <v>0</v>
      </c>
      <c r="K996">
        <v>0</v>
      </c>
      <c r="L996" s="413">
        <f>K996*VLOOKUP(E996,GWPs!$B$3:$C$6,2,FALSE)</f>
        <v>0</v>
      </c>
      <c r="N996">
        <v>3</v>
      </c>
      <c r="O996">
        <v>2</v>
      </c>
      <c r="P996">
        <v>1</v>
      </c>
      <c r="Q996">
        <v>3</v>
      </c>
      <c r="R996">
        <v>1</v>
      </c>
    </row>
    <row r="997" spans="1:18">
      <c r="A997" t="str">
        <f>_xlfn.IFNA(IF(VLOOKUP(C997,'2016_Detail_Commodity_v1.0'!C:C,1,FALSE)=C997,"No change"),"Name changed")</f>
        <v>No change</v>
      </c>
      <c r="B997" t="s">
        <v>804</v>
      </c>
      <c r="C997" t="s">
        <v>805</v>
      </c>
      <c r="E997" t="s">
        <v>15</v>
      </c>
      <c r="F997" t="s">
        <v>16</v>
      </c>
      <c r="G997">
        <v>8.9999999999999993E-3</v>
      </c>
      <c r="H997" s="413">
        <f>G997*VLOOKUP(E997,GWPs!$B$3:$C$6,2,FALSE)</f>
        <v>8.9999999999999993E-3</v>
      </c>
      <c r="I997">
        <v>0</v>
      </c>
      <c r="J997" s="413">
        <f>I997*VLOOKUP(E997,GWPs!$B$3:$C$6,2,FALSE)</f>
        <v>0</v>
      </c>
      <c r="K997">
        <v>8.9999999999999993E-3</v>
      </c>
      <c r="L997" s="413">
        <f>K997*VLOOKUP(E997,GWPs!$B$3:$C$6,2,FALSE)</f>
        <v>8.9999999999999993E-3</v>
      </c>
      <c r="N997">
        <v>2</v>
      </c>
      <c r="O997">
        <v>2</v>
      </c>
      <c r="P997">
        <v>1</v>
      </c>
      <c r="Q997">
        <v>1</v>
      </c>
      <c r="R997">
        <v>1</v>
      </c>
    </row>
    <row r="998" spans="1:18">
      <c r="A998" t="str">
        <f>_xlfn.IFNA(IF(VLOOKUP(C998,'2016_Detail_Commodity_v1.0'!C:C,1,FALSE)=C998,"No change"),"Name changed")</f>
        <v>No change</v>
      </c>
      <c r="B998" t="s">
        <v>806</v>
      </c>
      <c r="C998" t="s">
        <v>807</v>
      </c>
      <c r="E998" t="s">
        <v>3653</v>
      </c>
      <c r="F998" t="s">
        <v>12</v>
      </c>
      <c r="G998">
        <v>0.30299999999999999</v>
      </c>
      <c r="H998" s="413">
        <f>G998*VLOOKUP(E998,GWPs!$B$3:$C$6,2,FALSE)</f>
        <v>0.30299999999999999</v>
      </c>
      <c r="I998">
        <v>1.2E-2</v>
      </c>
      <c r="J998" s="413">
        <f>I998*VLOOKUP(E998,GWPs!$B$3:$C$6,2,FALSE)</f>
        <v>1.2E-2</v>
      </c>
      <c r="K998">
        <v>0.316</v>
      </c>
      <c r="L998" s="413">
        <f>K998*VLOOKUP(E998,GWPs!$B$3:$C$6,2,FALSE)</f>
        <v>0.316</v>
      </c>
      <c r="N998">
        <v>3</v>
      </c>
      <c r="O998">
        <v>2</v>
      </c>
      <c r="P998">
        <v>1</v>
      </c>
      <c r="Q998">
        <v>3</v>
      </c>
      <c r="R998">
        <v>1</v>
      </c>
    </row>
    <row r="999" spans="1:18">
      <c r="A999" t="str">
        <f>_xlfn.IFNA(IF(VLOOKUP(C999,'2016_Detail_Commodity_v1.0'!C:C,1,FALSE)=C999,"No change"),"Name changed")</f>
        <v>No change</v>
      </c>
      <c r="B999" t="s">
        <v>806</v>
      </c>
      <c r="C999" t="s">
        <v>807</v>
      </c>
      <c r="E999" t="s">
        <v>3654</v>
      </c>
      <c r="F999" t="s">
        <v>12</v>
      </c>
      <c r="G999">
        <v>1E-3</v>
      </c>
      <c r="H999" s="413">
        <f>G999*VLOOKUP(E999,GWPs!$B$3:$C$6,2,FALSE)</f>
        <v>2.8000000000000001E-2</v>
      </c>
      <c r="I999">
        <v>0</v>
      </c>
      <c r="J999" s="413">
        <f>I999*VLOOKUP(E999,GWPs!$B$3:$C$6,2,FALSE)</f>
        <v>0</v>
      </c>
      <c r="K999">
        <v>1E-3</v>
      </c>
      <c r="L999" s="413">
        <f>K999*VLOOKUP(E999,GWPs!$B$3:$C$6,2,FALSE)</f>
        <v>2.8000000000000001E-2</v>
      </c>
      <c r="N999">
        <v>4</v>
      </c>
      <c r="O999">
        <v>2</v>
      </c>
      <c r="P999">
        <v>1</v>
      </c>
      <c r="Q999">
        <v>1</v>
      </c>
      <c r="R999">
        <v>1</v>
      </c>
    </row>
    <row r="1000" spans="1:18">
      <c r="A1000" t="str">
        <f>_xlfn.IFNA(IF(VLOOKUP(C1000,'2016_Detail_Commodity_v1.0'!C:C,1,FALSE)=C1000,"No change"),"Name changed")</f>
        <v>No change</v>
      </c>
      <c r="B1000" t="s">
        <v>806</v>
      </c>
      <c r="C1000" t="s">
        <v>807</v>
      </c>
      <c r="E1000" t="s">
        <v>3655</v>
      </c>
      <c r="F1000" t="s">
        <v>12</v>
      </c>
      <c r="G1000">
        <v>0</v>
      </c>
      <c r="H1000" s="413">
        <f>G1000*VLOOKUP(E1000,GWPs!$B$3:$C$6,2,FALSE)</f>
        <v>0</v>
      </c>
      <c r="I1000">
        <v>0</v>
      </c>
      <c r="J1000" s="413">
        <f>I1000*VLOOKUP(E1000,GWPs!$B$3:$C$6,2,FALSE)</f>
        <v>0</v>
      </c>
      <c r="K1000">
        <v>0</v>
      </c>
      <c r="L1000" s="413">
        <f>K1000*VLOOKUP(E1000,GWPs!$B$3:$C$6,2,FALSE)</f>
        <v>0</v>
      </c>
      <c r="N1000">
        <v>3</v>
      </c>
      <c r="O1000">
        <v>2</v>
      </c>
      <c r="P1000">
        <v>1</v>
      </c>
      <c r="Q1000">
        <v>3</v>
      </c>
      <c r="R1000">
        <v>1</v>
      </c>
    </row>
    <row r="1001" spans="1:18">
      <c r="A1001" t="str">
        <f>_xlfn.IFNA(IF(VLOOKUP(C1001,'2016_Detail_Commodity_v1.0'!C:C,1,FALSE)=C1001,"No change"),"Name changed")</f>
        <v>No change</v>
      </c>
      <c r="B1001" t="s">
        <v>806</v>
      </c>
      <c r="C1001" t="s">
        <v>807</v>
      </c>
      <c r="E1001" t="s">
        <v>15</v>
      </c>
      <c r="F1001" t="s">
        <v>16</v>
      </c>
      <c r="G1001">
        <v>0.01</v>
      </c>
      <c r="H1001" s="413">
        <f>G1001*VLOOKUP(E1001,GWPs!$B$3:$C$6,2,FALSE)</f>
        <v>0.01</v>
      </c>
      <c r="I1001">
        <v>0</v>
      </c>
      <c r="J1001" s="413">
        <f>I1001*VLOOKUP(E1001,GWPs!$B$3:$C$6,2,FALSE)</f>
        <v>0</v>
      </c>
      <c r="K1001">
        <v>0.01</v>
      </c>
      <c r="L1001" s="413">
        <f>K1001*VLOOKUP(E1001,GWPs!$B$3:$C$6,2,FALSE)</f>
        <v>0.01</v>
      </c>
      <c r="N1001">
        <v>3</v>
      </c>
      <c r="O1001">
        <v>2</v>
      </c>
      <c r="P1001">
        <v>1</v>
      </c>
      <c r="Q1001">
        <v>2</v>
      </c>
      <c r="R1001">
        <v>1</v>
      </c>
    </row>
    <row r="1002" spans="1:18">
      <c r="A1002" t="str">
        <f>_xlfn.IFNA(IF(VLOOKUP(C1002,'2016_Detail_Commodity_v1.0'!C:C,1,FALSE)=C1002,"No change"),"Name changed")</f>
        <v>No change</v>
      </c>
      <c r="B1002" t="s">
        <v>808</v>
      </c>
      <c r="C1002" t="s">
        <v>18</v>
      </c>
      <c r="E1002" t="s">
        <v>3653</v>
      </c>
      <c r="F1002" t="s">
        <v>12</v>
      </c>
      <c r="G1002">
        <v>0.22500000000000001</v>
      </c>
      <c r="H1002" s="413">
        <f>G1002*VLOOKUP(E1002,GWPs!$B$3:$C$6,2,FALSE)</f>
        <v>0.22500000000000001</v>
      </c>
      <c r="I1002">
        <v>6.2E-2</v>
      </c>
      <c r="J1002" s="413">
        <f>I1002*VLOOKUP(E1002,GWPs!$B$3:$C$6,2,FALSE)</f>
        <v>6.2E-2</v>
      </c>
      <c r="K1002">
        <v>0.28699999999999998</v>
      </c>
      <c r="L1002" s="413">
        <f>K1002*VLOOKUP(E1002,GWPs!$B$3:$C$6,2,FALSE)</f>
        <v>0.28699999999999998</v>
      </c>
      <c r="N1002">
        <v>3</v>
      </c>
      <c r="O1002">
        <v>2</v>
      </c>
      <c r="P1002">
        <v>1</v>
      </c>
      <c r="Q1002">
        <v>3</v>
      </c>
      <c r="R1002">
        <v>1</v>
      </c>
    </row>
    <row r="1003" spans="1:18">
      <c r="A1003" t="str">
        <f>_xlfn.IFNA(IF(VLOOKUP(C1003,'2016_Detail_Commodity_v1.0'!C:C,1,FALSE)=C1003,"No change"),"Name changed")</f>
        <v>No change</v>
      </c>
      <c r="B1003" t="s">
        <v>808</v>
      </c>
      <c r="C1003" t="s">
        <v>18</v>
      </c>
      <c r="E1003" t="s">
        <v>3654</v>
      </c>
      <c r="F1003" t="s">
        <v>12</v>
      </c>
      <c r="G1003">
        <v>1E-3</v>
      </c>
      <c r="H1003" s="413">
        <f>G1003*VLOOKUP(E1003,GWPs!$B$3:$C$6,2,FALSE)</f>
        <v>2.8000000000000001E-2</v>
      </c>
      <c r="I1003">
        <v>0</v>
      </c>
      <c r="J1003" s="413">
        <f>I1003*VLOOKUP(E1003,GWPs!$B$3:$C$6,2,FALSE)</f>
        <v>0</v>
      </c>
      <c r="K1003">
        <v>1E-3</v>
      </c>
      <c r="L1003" s="413">
        <f>K1003*VLOOKUP(E1003,GWPs!$B$3:$C$6,2,FALSE)</f>
        <v>2.8000000000000001E-2</v>
      </c>
      <c r="N1003">
        <v>4</v>
      </c>
      <c r="O1003">
        <v>2</v>
      </c>
      <c r="P1003">
        <v>1</v>
      </c>
      <c r="Q1003">
        <v>1</v>
      </c>
      <c r="R1003">
        <v>1</v>
      </c>
    </row>
    <row r="1004" spans="1:18">
      <c r="A1004" t="str">
        <f>_xlfn.IFNA(IF(VLOOKUP(C1004,'2016_Detail_Commodity_v1.0'!C:C,1,FALSE)=C1004,"No change"),"Name changed")</f>
        <v>No change</v>
      </c>
      <c r="B1004" t="s">
        <v>808</v>
      </c>
      <c r="C1004" t="s">
        <v>18</v>
      </c>
      <c r="E1004" t="s">
        <v>3655</v>
      </c>
      <c r="F1004" t="s">
        <v>12</v>
      </c>
      <c r="G1004">
        <v>0</v>
      </c>
      <c r="H1004" s="413">
        <f>G1004*VLOOKUP(E1004,GWPs!$B$3:$C$6,2,FALSE)</f>
        <v>0</v>
      </c>
      <c r="I1004">
        <v>0</v>
      </c>
      <c r="J1004" s="413">
        <f>I1004*VLOOKUP(E1004,GWPs!$B$3:$C$6,2,FALSE)</f>
        <v>0</v>
      </c>
      <c r="K1004">
        <v>0</v>
      </c>
      <c r="L1004" s="413">
        <f>K1004*VLOOKUP(E1004,GWPs!$B$3:$C$6,2,FALSE)</f>
        <v>0</v>
      </c>
      <c r="N1004">
        <v>3</v>
      </c>
      <c r="O1004">
        <v>2</v>
      </c>
      <c r="P1004">
        <v>1</v>
      </c>
      <c r="Q1004">
        <v>3</v>
      </c>
      <c r="R1004">
        <v>1</v>
      </c>
    </row>
    <row r="1005" spans="1:18">
      <c r="A1005" t="str">
        <f>_xlfn.IFNA(IF(VLOOKUP(C1005,'2016_Detail_Commodity_v1.0'!C:C,1,FALSE)=C1005,"No change"),"Name changed")</f>
        <v>No change</v>
      </c>
      <c r="B1005" t="s">
        <v>808</v>
      </c>
      <c r="C1005" t="s">
        <v>18</v>
      </c>
      <c r="E1005" t="s">
        <v>15</v>
      </c>
      <c r="F1005" t="s">
        <v>16</v>
      </c>
      <c r="G1005">
        <v>8.9999999999999993E-3</v>
      </c>
      <c r="H1005" s="413">
        <f>G1005*VLOOKUP(E1005,GWPs!$B$3:$C$6,2,FALSE)</f>
        <v>8.9999999999999993E-3</v>
      </c>
      <c r="I1005">
        <v>0</v>
      </c>
      <c r="J1005" s="413">
        <f>I1005*VLOOKUP(E1005,GWPs!$B$3:$C$6,2,FALSE)</f>
        <v>0</v>
      </c>
      <c r="K1005">
        <v>8.9999999999999993E-3</v>
      </c>
      <c r="L1005" s="413">
        <f>K1005*VLOOKUP(E1005,GWPs!$B$3:$C$6,2,FALSE)</f>
        <v>8.9999999999999993E-3</v>
      </c>
      <c r="N1005">
        <v>3</v>
      </c>
      <c r="O1005">
        <v>2</v>
      </c>
      <c r="P1005">
        <v>1</v>
      </c>
      <c r="Q1005">
        <v>3</v>
      </c>
      <c r="R1005">
        <v>1</v>
      </c>
    </row>
    <row r="1006" spans="1:18">
      <c r="A1006" t="str">
        <f>_xlfn.IFNA(IF(VLOOKUP(C1006,'2016_Detail_Commodity_v1.0'!C:C,1,FALSE)=C1006,"No change"),"Name changed")</f>
        <v>No change</v>
      </c>
      <c r="B1006" t="s">
        <v>809</v>
      </c>
      <c r="C1006" t="s">
        <v>810</v>
      </c>
      <c r="E1006" t="s">
        <v>3653</v>
      </c>
      <c r="F1006" t="s">
        <v>12</v>
      </c>
      <c r="G1006">
        <v>0.13300000000000001</v>
      </c>
      <c r="H1006" s="413">
        <f>G1006*VLOOKUP(E1006,GWPs!$B$3:$C$6,2,FALSE)</f>
        <v>0.13300000000000001</v>
      </c>
      <c r="I1006">
        <v>8.5000000000000006E-2</v>
      </c>
      <c r="J1006" s="413">
        <f>I1006*VLOOKUP(E1006,GWPs!$B$3:$C$6,2,FALSE)</f>
        <v>8.5000000000000006E-2</v>
      </c>
      <c r="K1006">
        <v>0.218</v>
      </c>
      <c r="L1006" s="413">
        <f>K1006*VLOOKUP(E1006,GWPs!$B$3:$C$6,2,FALSE)</f>
        <v>0.218</v>
      </c>
      <c r="N1006">
        <v>3</v>
      </c>
      <c r="O1006">
        <v>2</v>
      </c>
      <c r="P1006">
        <v>1</v>
      </c>
      <c r="Q1006">
        <v>3</v>
      </c>
      <c r="R1006">
        <v>1</v>
      </c>
    </row>
    <row r="1007" spans="1:18">
      <c r="A1007" t="str">
        <f>_xlfn.IFNA(IF(VLOOKUP(C1007,'2016_Detail_Commodity_v1.0'!C:C,1,FALSE)=C1007,"No change"),"Name changed")</f>
        <v>No change</v>
      </c>
      <c r="B1007" t="s">
        <v>809</v>
      </c>
      <c r="C1007" t="s">
        <v>810</v>
      </c>
      <c r="E1007" t="s">
        <v>3654</v>
      </c>
      <c r="F1007" t="s">
        <v>12</v>
      </c>
      <c r="G1007">
        <v>1E-3</v>
      </c>
      <c r="H1007" s="413">
        <f>G1007*VLOOKUP(E1007,GWPs!$B$3:$C$6,2,FALSE)</f>
        <v>2.8000000000000001E-2</v>
      </c>
      <c r="I1007">
        <v>0</v>
      </c>
      <c r="J1007" s="413">
        <f>I1007*VLOOKUP(E1007,GWPs!$B$3:$C$6,2,FALSE)</f>
        <v>0</v>
      </c>
      <c r="K1007">
        <v>1E-3</v>
      </c>
      <c r="L1007" s="413">
        <f>K1007*VLOOKUP(E1007,GWPs!$B$3:$C$6,2,FALSE)</f>
        <v>2.8000000000000001E-2</v>
      </c>
      <c r="N1007">
        <v>3</v>
      </c>
      <c r="O1007">
        <v>2</v>
      </c>
      <c r="P1007">
        <v>1</v>
      </c>
      <c r="Q1007">
        <v>1</v>
      </c>
      <c r="R1007">
        <v>1</v>
      </c>
    </row>
    <row r="1008" spans="1:18">
      <c r="A1008" t="str">
        <f>_xlfn.IFNA(IF(VLOOKUP(C1008,'2016_Detail_Commodity_v1.0'!C:C,1,FALSE)=C1008,"No change"),"Name changed")</f>
        <v>No change</v>
      </c>
      <c r="B1008" t="s">
        <v>809</v>
      </c>
      <c r="C1008" t="s">
        <v>810</v>
      </c>
      <c r="E1008" t="s">
        <v>3655</v>
      </c>
      <c r="F1008" t="s">
        <v>12</v>
      </c>
      <c r="G1008">
        <v>0</v>
      </c>
      <c r="H1008" s="413">
        <f>G1008*VLOOKUP(E1008,GWPs!$B$3:$C$6,2,FALSE)</f>
        <v>0</v>
      </c>
      <c r="I1008">
        <v>0</v>
      </c>
      <c r="J1008" s="413">
        <f>I1008*VLOOKUP(E1008,GWPs!$B$3:$C$6,2,FALSE)</f>
        <v>0</v>
      </c>
      <c r="K1008">
        <v>0</v>
      </c>
      <c r="L1008" s="413">
        <f>K1008*VLOOKUP(E1008,GWPs!$B$3:$C$6,2,FALSE)</f>
        <v>0</v>
      </c>
      <c r="N1008">
        <v>3</v>
      </c>
      <c r="O1008">
        <v>2</v>
      </c>
      <c r="P1008">
        <v>1</v>
      </c>
      <c r="Q1008">
        <v>3</v>
      </c>
      <c r="R1008">
        <v>1</v>
      </c>
    </row>
    <row r="1009" spans="1:18">
      <c r="A1009" t="str">
        <f>_xlfn.IFNA(IF(VLOOKUP(C1009,'2016_Detail_Commodity_v1.0'!C:C,1,FALSE)=C1009,"No change"),"Name changed")</f>
        <v>No change</v>
      </c>
      <c r="B1009" t="s">
        <v>809</v>
      </c>
      <c r="C1009" t="s">
        <v>810</v>
      </c>
      <c r="E1009" t="s">
        <v>15</v>
      </c>
      <c r="F1009" t="s">
        <v>16</v>
      </c>
      <c r="G1009">
        <v>6.0000000000000001E-3</v>
      </c>
      <c r="H1009" s="413">
        <f>G1009*VLOOKUP(E1009,GWPs!$B$3:$C$6,2,FALSE)</f>
        <v>6.0000000000000001E-3</v>
      </c>
      <c r="I1009">
        <v>0</v>
      </c>
      <c r="J1009" s="413">
        <f>I1009*VLOOKUP(E1009,GWPs!$B$3:$C$6,2,FALSE)</f>
        <v>0</v>
      </c>
      <c r="K1009">
        <v>6.0000000000000001E-3</v>
      </c>
      <c r="L1009" s="413">
        <f>K1009*VLOOKUP(E1009,GWPs!$B$3:$C$6,2,FALSE)</f>
        <v>6.0000000000000001E-3</v>
      </c>
      <c r="N1009">
        <v>3</v>
      </c>
      <c r="O1009">
        <v>2</v>
      </c>
      <c r="P1009">
        <v>1</v>
      </c>
      <c r="Q1009">
        <v>3</v>
      </c>
      <c r="R1009">
        <v>1</v>
      </c>
    </row>
    <row r="1010" spans="1:18">
      <c r="A1010" t="str">
        <f>_xlfn.IFNA(IF(VLOOKUP(C1010,'2016_Detail_Commodity_v1.0'!C:C,1,FALSE)=C1010,"No change"),"Name changed")</f>
        <v>No change</v>
      </c>
      <c r="B1010" t="s">
        <v>811</v>
      </c>
      <c r="C1010" t="s">
        <v>812</v>
      </c>
      <c r="E1010" t="s">
        <v>3653</v>
      </c>
      <c r="F1010" t="s">
        <v>12</v>
      </c>
      <c r="G1010">
        <v>0.152</v>
      </c>
      <c r="H1010" s="413">
        <f>G1010*VLOOKUP(E1010,GWPs!$B$3:$C$6,2,FALSE)</f>
        <v>0.152</v>
      </c>
      <c r="I1010">
        <v>0.112</v>
      </c>
      <c r="J1010" s="413">
        <f>I1010*VLOOKUP(E1010,GWPs!$B$3:$C$6,2,FALSE)</f>
        <v>0.112</v>
      </c>
      <c r="K1010">
        <v>0.26400000000000001</v>
      </c>
      <c r="L1010" s="413">
        <f>K1010*VLOOKUP(E1010,GWPs!$B$3:$C$6,2,FALSE)</f>
        <v>0.26400000000000001</v>
      </c>
      <c r="N1010">
        <v>3</v>
      </c>
      <c r="O1010">
        <v>2</v>
      </c>
      <c r="P1010">
        <v>1</v>
      </c>
      <c r="Q1010">
        <v>3</v>
      </c>
      <c r="R1010">
        <v>1</v>
      </c>
    </row>
    <row r="1011" spans="1:18">
      <c r="A1011" t="str">
        <f>_xlfn.IFNA(IF(VLOOKUP(C1011,'2016_Detail_Commodity_v1.0'!C:C,1,FALSE)=C1011,"No change"),"Name changed")</f>
        <v>No change</v>
      </c>
      <c r="B1011" t="s">
        <v>811</v>
      </c>
      <c r="C1011" t="s">
        <v>812</v>
      </c>
      <c r="E1011" t="s">
        <v>3654</v>
      </c>
      <c r="F1011" t="s">
        <v>12</v>
      </c>
      <c r="G1011">
        <v>1E-3</v>
      </c>
      <c r="H1011" s="413">
        <f>G1011*VLOOKUP(E1011,GWPs!$B$3:$C$6,2,FALSE)</f>
        <v>2.8000000000000001E-2</v>
      </c>
      <c r="I1011">
        <v>1E-3</v>
      </c>
      <c r="J1011" s="413">
        <f>I1011*VLOOKUP(E1011,GWPs!$B$3:$C$6,2,FALSE)</f>
        <v>2.8000000000000001E-2</v>
      </c>
      <c r="K1011">
        <v>1E-3</v>
      </c>
      <c r="L1011" s="413">
        <f>K1011*VLOOKUP(E1011,GWPs!$B$3:$C$6,2,FALSE)</f>
        <v>2.8000000000000001E-2</v>
      </c>
      <c r="N1011">
        <v>3</v>
      </c>
      <c r="O1011">
        <v>2</v>
      </c>
      <c r="P1011">
        <v>1</v>
      </c>
      <c r="Q1011">
        <v>1</v>
      </c>
      <c r="R1011">
        <v>1</v>
      </c>
    </row>
    <row r="1012" spans="1:18">
      <c r="A1012" t="str">
        <f>_xlfn.IFNA(IF(VLOOKUP(C1012,'2016_Detail_Commodity_v1.0'!C:C,1,FALSE)=C1012,"No change"),"Name changed")</f>
        <v>No change</v>
      </c>
      <c r="B1012" t="s">
        <v>811</v>
      </c>
      <c r="C1012" t="s">
        <v>812</v>
      </c>
      <c r="E1012" t="s">
        <v>3655</v>
      </c>
      <c r="F1012" t="s">
        <v>12</v>
      </c>
      <c r="G1012">
        <v>0</v>
      </c>
      <c r="H1012" s="413">
        <f>G1012*VLOOKUP(E1012,GWPs!$B$3:$C$6,2,FALSE)</f>
        <v>0</v>
      </c>
      <c r="I1012">
        <v>0</v>
      </c>
      <c r="J1012" s="413">
        <f>I1012*VLOOKUP(E1012,GWPs!$B$3:$C$6,2,FALSE)</f>
        <v>0</v>
      </c>
      <c r="K1012">
        <v>0</v>
      </c>
      <c r="L1012" s="413">
        <f>K1012*VLOOKUP(E1012,GWPs!$B$3:$C$6,2,FALSE)</f>
        <v>0</v>
      </c>
      <c r="N1012">
        <v>4</v>
      </c>
      <c r="O1012">
        <v>2</v>
      </c>
      <c r="P1012">
        <v>1</v>
      </c>
      <c r="Q1012">
        <v>3</v>
      </c>
      <c r="R1012">
        <v>1</v>
      </c>
    </row>
    <row r="1013" spans="1:18">
      <c r="A1013" t="str">
        <f>_xlfn.IFNA(IF(VLOOKUP(C1013,'2016_Detail_Commodity_v1.0'!C:C,1,FALSE)=C1013,"No change"),"Name changed")</f>
        <v>No change</v>
      </c>
      <c r="B1013" t="s">
        <v>811</v>
      </c>
      <c r="C1013" t="s">
        <v>812</v>
      </c>
      <c r="E1013" t="s">
        <v>15</v>
      </c>
      <c r="F1013" t="s">
        <v>16</v>
      </c>
      <c r="G1013">
        <v>4.3999999999999997E-2</v>
      </c>
      <c r="H1013" s="413">
        <f>G1013*VLOOKUP(E1013,GWPs!$B$3:$C$6,2,FALSE)</f>
        <v>4.3999999999999997E-2</v>
      </c>
      <c r="I1013">
        <v>0</v>
      </c>
      <c r="J1013" s="413">
        <f>I1013*VLOOKUP(E1013,GWPs!$B$3:$C$6,2,FALSE)</f>
        <v>0</v>
      </c>
      <c r="K1013">
        <v>4.3999999999999997E-2</v>
      </c>
      <c r="L1013" s="413">
        <f>K1013*VLOOKUP(E1013,GWPs!$B$3:$C$6,2,FALSE)</f>
        <v>4.3999999999999997E-2</v>
      </c>
      <c r="N1013">
        <v>4</v>
      </c>
      <c r="O1013">
        <v>2</v>
      </c>
      <c r="P1013">
        <v>1</v>
      </c>
      <c r="Q1013">
        <v>5</v>
      </c>
      <c r="R1013">
        <v>1</v>
      </c>
    </row>
    <row r="1014" spans="1:18">
      <c r="A1014" t="str">
        <f>_xlfn.IFNA(IF(VLOOKUP(C1014,'2016_Detail_Commodity_v1.0'!C:C,1,FALSE)=C1014,"No change"),"Name changed")</f>
        <v>No change</v>
      </c>
      <c r="B1014" t="s">
        <v>813</v>
      </c>
      <c r="C1014" t="s">
        <v>814</v>
      </c>
      <c r="E1014" t="s">
        <v>3653</v>
      </c>
      <c r="F1014" t="s">
        <v>12</v>
      </c>
      <c r="G1014">
        <v>0.126</v>
      </c>
      <c r="H1014" s="413">
        <f>G1014*VLOOKUP(E1014,GWPs!$B$3:$C$6,2,FALSE)</f>
        <v>0.126</v>
      </c>
      <c r="I1014">
        <v>0.11600000000000001</v>
      </c>
      <c r="J1014" s="413">
        <f>I1014*VLOOKUP(E1014,GWPs!$B$3:$C$6,2,FALSE)</f>
        <v>0.11600000000000001</v>
      </c>
      <c r="K1014">
        <v>0.24099999999999999</v>
      </c>
      <c r="L1014" s="413">
        <f>K1014*VLOOKUP(E1014,GWPs!$B$3:$C$6,2,FALSE)</f>
        <v>0.24099999999999999</v>
      </c>
      <c r="N1014">
        <v>3</v>
      </c>
      <c r="O1014">
        <v>2</v>
      </c>
      <c r="P1014">
        <v>1</v>
      </c>
      <c r="Q1014">
        <v>3</v>
      </c>
      <c r="R1014">
        <v>1</v>
      </c>
    </row>
    <row r="1015" spans="1:18">
      <c r="A1015" t="str">
        <f>_xlfn.IFNA(IF(VLOOKUP(C1015,'2016_Detail_Commodity_v1.0'!C:C,1,FALSE)=C1015,"No change"),"Name changed")</f>
        <v>No change</v>
      </c>
      <c r="B1015" t="s">
        <v>813</v>
      </c>
      <c r="C1015" t="s">
        <v>814</v>
      </c>
      <c r="E1015" t="s">
        <v>3654</v>
      </c>
      <c r="F1015" t="s">
        <v>12</v>
      </c>
      <c r="G1015">
        <v>0</v>
      </c>
      <c r="H1015" s="413">
        <f>G1015*VLOOKUP(E1015,GWPs!$B$3:$C$6,2,FALSE)</f>
        <v>0</v>
      </c>
      <c r="I1015">
        <v>1E-3</v>
      </c>
      <c r="J1015" s="413">
        <f>I1015*VLOOKUP(E1015,GWPs!$B$3:$C$6,2,FALSE)</f>
        <v>2.8000000000000001E-2</v>
      </c>
      <c r="K1015">
        <v>1E-3</v>
      </c>
      <c r="L1015" s="413">
        <f>K1015*VLOOKUP(E1015,GWPs!$B$3:$C$6,2,FALSE)</f>
        <v>2.8000000000000001E-2</v>
      </c>
      <c r="N1015">
        <v>4</v>
      </c>
      <c r="O1015">
        <v>2</v>
      </c>
      <c r="P1015">
        <v>1</v>
      </c>
      <c r="Q1015">
        <v>1</v>
      </c>
      <c r="R1015">
        <v>1</v>
      </c>
    </row>
    <row r="1016" spans="1:18">
      <c r="A1016" t="str">
        <f>_xlfn.IFNA(IF(VLOOKUP(C1016,'2016_Detail_Commodity_v1.0'!C:C,1,FALSE)=C1016,"No change"),"Name changed")</f>
        <v>No change</v>
      </c>
      <c r="B1016" t="s">
        <v>813</v>
      </c>
      <c r="C1016" t="s">
        <v>814</v>
      </c>
      <c r="E1016" t="s">
        <v>3655</v>
      </c>
      <c r="F1016" t="s">
        <v>12</v>
      </c>
      <c r="G1016">
        <v>0</v>
      </c>
      <c r="H1016" s="413">
        <f>G1016*VLOOKUP(E1016,GWPs!$B$3:$C$6,2,FALSE)</f>
        <v>0</v>
      </c>
      <c r="I1016">
        <v>0</v>
      </c>
      <c r="J1016" s="413">
        <f>I1016*VLOOKUP(E1016,GWPs!$B$3:$C$6,2,FALSE)</f>
        <v>0</v>
      </c>
      <c r="K1016">
        <v>0</v>
      </c>
      <c r="L1016" s="413">
        <f>K1016*VLOOKUP(E1016,GWPs!$B$3:$C$6,2,FALSE)</f>
        <v>0</v>
      </c>
      <c r="N1016">
        <v>3</v>
      </c>
      <c r="O1016">
        <v>2</v>
      </c>
      <c r="P1016">
        <v>1</v>
      </c>
      <c r="Q1016">
        <v>3</v>
      </c>
      <c r="R1016">
        <v>1</v>
      </c>
    </row>
    <row r="1017" spans="1:18">
      <c r="A1017" t="str">
        <f>_xlfn.IFNA(IF(VLOOKUP(C1017,'2016_Detail_Commodity_v1.0'!C:C,1,FALSE)=C1017,"No change"),"Name changed")</f>
        <v>No change</v>
      </c>
      <c r="B1017" t="s">
        <v>813</v>
      </c>
      <c r="C1017" t="s">
        <v>814</v>
      </c>
      <c r="E1017" t="s">
        <v>15</v>
      </c>
      <c r="F1017" t="s">
        <v>16</v>
      </c>
      <c r="G1017">
        <v>1.4E-2</v>
      </c>
      <c r="H1017" s="413">
        <f>G1017*VLOOKUP(E1017,GWPs!$B$3:$C$6,2,FALSE)</f>
        <v>1.4E-2</v>
      </c>
      <c r="I1017">
        <v>0</v>
      </c>
      <c r="J1017" s="413">
        <f>I1017*VLOOKUP(E1017,GWPs!$B$3:$C$6,2,FALSE)</f>
        <v>0</v>
      </c>
      <c r="K1017">
        <v>1.4E-2</v>
      </c>
      <c r="L1017" s="413">
        <f>K1017*VLOOKUP(E1017,GWPs!$B$3:$C$6,2,FALSE)</f>
        <v>1.4E-2</v>
      </c>
      <c r="N1017">
        <v>4</v>
      </c>
      <c r="O1017">
        <v>2</v>
      </c>
      <c r="P1017">
        <v>1</v>
      </c>
      <c r="Q1017">
        <v>4</v>
      </c>
      <c r="R1017">
        <v>1</v>
      </c>
    </row>
    <row r="1018" spans="1:18">
      <c r="A1018" t="str">
        <f>_xlfn.IFNA(IF(VLOOKUP(C1018,'2016_Detail_Commodity_v1.0'!C:C,1,FALSE)=C1018,"No change"),"Name changed")</f>
        <v>No change</v>
      </c>
      <c r="B1018" t="s">
        <v>815</v>
      </c>
      <c r="C1018" t="s">
        <v>816</v>
      </c>
      <c r="E1018" t="s">
        <v>3653</v>
      </c>
      <c r="F1018" t="s">
        <v>12</v>
      </c>
      <c r="G1018">
        <v>0.221</v>
      </c>
      <c r="H1018" s="413">
        <f>G1018*VLOOKUP(E1018,GWPs!$B$3:$C$6,2,FALSE)</f>
        <v>0.221</v>
      </c>
      <c r="I1018">
        <v>8.3000000000000004E-2</v>
      </c>
      <c r="J1018" s="413">
        <f>I1018*VLOOKUP(E1018,GWPs!$B$3:$C$6,2,FALSE)</f>
        <v>8.3000000000000004E-2</v>
      </c>
      <c r="K1018">
        <v>0.30399999999999999</v>
      </c>
      <c r="L1018" s="413">
        <f>K1018*VLOOKUP(E1018,GWPs!$B$3:$C$6,2,FALSE)</f>
        <v>0.30399999999999999</v>
      </c>
      <c r="N1018">
        <v>3</v>
      </c>
      <c r="O1018">
        <v>2</v>
      </c>
      <c r="P1018">
        <v>1</v>
      </c>
      <c r="Q1018">
        <v>3</v>
      </c>
      <c r="R1018">
        <v>1</v>
      </c>
    </row>
    <row r="1019" spans="1:18">
      <c r="A1019" t="str">
        <f>_xlfn.IFNA(IF(VLOOKUP(C1019,'2016_Detail_Commodity_v1.0'!C:C,1,FALSE)=C1019,"No change"),"Name changed")</f>
        <v>No change</v>
      </c>
      <c r="B1019" t="s">
        <v>815</v>
      </c>
      <c r="C1019" t="s">
        <v>816</v>
      </c>
      <c r="E1019" t="s">
        <v>3654</v>
      </c>
      <c r="F1019" t="s">
        <v>12</v>
      </c>
      <c r="G1019">
        <v>1E-3</v>
      </c>
      <c r="H1019" s="413">
        <f>G1019*VLOOKUP(E1019,GWPs!$B$3:$C$6,2,FALSE)</f>
        <v>2.8000000000000001E-2</v>
      </c>
      <c r="I1019">
        <v>1E-3</v>
      </c>
      <c r="J1019" s="413">
        <f>I1019*VLOOKUP(E1019,GWPs!$B$3:$C$6,2,FALSE)</f>
        <v>2.8000000000000001E-2</v>
      </c>
      <c r="K1019">
        <v>2E-3</v>
      </c>
      <c r="L1019" s="413">
        <f>K1019*VLOOKUP(E1019,GWPs!$B$3:$C$6,2,FALSE)</f>
        <v>5.6000000000000001E-2</v>
      </c>
      <c r="N1019">
        <v>4</v>
      </c>
      <c r="O1019">
        <v>2</v>
      </c>
      <c r="P1019">
        <v>1</v>
      </c>
      <c r="Q1019">
        <v>1</v>
      </c>
      <c r="R1019">
        <v>1</v>
      </c>
    </row>
    <row r="1020" spans="1:18">
      <c r="A1020" t="str">
        <f>_xlfn.IFNA(IF(VLOOKUP(C1020,'2016_Detail_Commodity_v1.0'!C:C,1,FALSE)=C1020,"No change"),"Name changed")</f>
        <v>No change</v>
      </c>
      <c r="B1020" t="s">
        <v>815</v>
      </c>
      <c r="C1020" t="s">
        <v>816</v>
      </c>
      <c r="E1020" t="s">
        <v>3655</v>
      </c>
      <c r="F1020" t="s">
        <v>12</v>
      </c>
      <c r="G1020">
        <v>0</v>
      </c>
      <c r="H1020" s="413">
        <f>G1020*VLOOKUP(E1020,GWPs!$B$3:$C$6,2,FALSE)</f>
        <v>0</v>
      </c>
      <c r="I1020">
        <v>0</v>
      </c>
      <c r="J1020" s="413">
        <f>I1020*VLOOKUP(E1020,GWPs!$B$3:$C$6,2,FALSE)</f>
        <v>0</v>
      </c>
      <c r="K1020">
        <v>0</v>
      </c>
      <c r="L1020" s="413">
        <f>K1020*VLOOKUP(E1020,GWPs!$B$3:$C$6,2,FALSE)</f>
        <v>0</v>
      </c>
      <c r="N1020">
        <v>3</v>
      </c>
      <c r="O1020">
        <v>2</v>
      </c>
      <c r="P1020">
        <v>1</v>
      </c>
      <c r="Q1020">
        <v>3</v>
      </c>
      <c r="R1020">
        <v>1</v>
      </c>
    </row>
    <row r="1021" spans="1:18">
      <c r="A1021" t="str">
        <f>_xlfn.IFNA(IF(VLOOKUP(C1021,'2016_Detail_Commodity_v1.0'!C:C,1,FALSE)=C1021,"No change"),"Name changed")</f>
        <v>No change</v>
      </c>
      <c r="B1021" t="s">
        <v>815</v>
      </c>
      <c r="C1021" t="s">
        <v>816</v>
      </c>
      <c r="E1021" t="s">
        <v>15</v>
      </c>
      <c r="F1021" t="s">
        <v>16</v>
      </c>
      <c r="G1021">
        <v>1.4999999999999999E-2</v>
      </c>
      <c r="H1021" s="413">
        <f>G1021*VLOOKUP(E1021,GWPs!$B$3:$C$6,2,FALSE)</f>
        <v>1.4999999999999999E-2</v>
      </c>
      <c r="I1021">
        <v>0</v>
      </c>
      <c r="J1021" s="413">
        <f>I1021*VLOOKUP(E1021,GWPs!$B$3:$C$6,2,FALSE)</f>
        <v>0</v>
      </c>
      <c r="K1021">
        <v>1.4999999999999999E-2</v>
      </c>
      <c r="L1021" s="413">
        <f>K1021*VLOOKUP(E1021,GWPs!$B$3:$C$6,2,FALSE)</f>
        <v>1.4999999999999999E-2</v>
      </c>
      <c r="N1021">
        <v>3</v>
      </c>
      <c r="O1021">
        <v>2</v>
      </c>
      <c r="P1021">
        <v>1</v>
      </c>
      <c r="Q1021">
        <v>3</v>
      </c>
      <c r="R1021">
        <v>1</v>
      </c>
    </row>
    <row r="1022" spans="1:18">
      <c r="A1022" t="str">
        <f>_xlfn.IFNA(IF(VLOOKUP(C1022,'2016_Detail_Commodity_v1.0'!C:C,1,FALSE)=C1022,"No change"),"Name changed")</f>
        <v>Name changed</v>
      </c>
      <c r="B1022" t="s">
        <v>817</v>
      </c>
      <c r="C1022" t="s">
        <v>1402</v>
      </c>
      <c r="D1022" t="s">
        <v>818</v>
      </c>
      <c r="E1022" t="s">
        <v>3653</v>
      </c>
      <c r="F1022" t="s">
        <v>12</v>
      </c>
      <c r="G1022">
        <v>0.182</v>
      </c>
      <c r="H1022" s="413">
        <f>G1022*VLOOKUP(E1022,GWPs!$B$3:$C$6,2,FALSE)</f>
        <v>0.182</v>
      </c>
      <c r="I1022">
        <v>0.125</v>
      </c>
      <c r="J1022" s="413">
        <f>I1022*VLOOKUP(E1022,GWPs!$B$3:$C$6,2,FALSE)</f>
        <v>0.125</v>
      </c>
      <c r="K1022">
        <v>0.307</v>
      </c>
      <c r="L1022" s="413">
        <f>K1022*VLOOKUP(E1022,GWPs!$B$3:$C$6,2,FALSE)</f>
        <v>0.307</v>
      </c>
      <c r="N1022">
        <v>3</v>
      </c>
      <c r="O1022">
        <v>2</v>
      </c>
      <c r="P1022">
        <v>1</v>
      </c>
      <c r="Q1022">
        <v>3</v>
      </c>
      <c r="R1022">
        <v>1</v>
      </c>
    </row>
    <row r="1023" spans="1:18">
      <c r="A1023" t="str">
        <f>_xlfn.IFNA(IF(VLOOKUP(C1023,'2016_Detail_Commodity_v1.0'!C:C,1,FALSE)=C1023,"No change"),"Name changed")</f>
        <v>Name changed</v>
      </c>
      <c r="B1023" t="s">
        <v>817</v>
      </c>
      <c r="C1023" t="s">
        <v>1402</v>
      </c>
      <c r="D1023" t="s">
        <v>818</v>
      </c>
      <c r="E1023" t="s">
        <v>3654</v>
      </c>
      <c r="F1023" t="s">
        <v>12</v>
      </c>
      <c r="G1023">
        <v>1E-3</v>
      </c>
      <c r="H1023" s="413">
        <f>G1023*VLOOKUP(E1023,GWPs!$B$3:$C$6,2,FALSE)</f>
        <v>2.8000000000000001E-2</v>
      </c>
      <c r="I1023">
        <v>1E-3</v>
      </c>
      <c r="J1023" s="413">
        <f>I1023*VLOOKUP(E1023,GWPs!$B$3:$C$6,2,FALSE)</f>
        <v>2.8000000000000001E-2</v>
      </c>
      <c r="K1023">
        <v>1E-3</v>
      </c>
      <c r="L1023" s="413">
        <f>K1023*VLOOKUP(E1023,GWPs!$B$3:$C$6,2,FALSE)</f>
        <v>2.8000000000000001E-2</v>
      </c>
      <c r="N1023">
        <v>4</v>
      </c>
      <c r="O1023">
        <v>2</v>
      </c>
      <c r="P1023">
        <v>1</v>
      </c>
      <c r="Q1023">
        <v>1</v>
      </c>
      <c r="R1023">
        <v>1</v>
      </c>
    </row>
    <row r="1024" spans="1:18">
      <c r="A1024" t="str">
        <f>_xlfn.IFNA(IF(VLOOKUP(C1024,'2016_Detail_Commodity_v1.0'!C:C,1,FALSE)=C1024,"No change"),"Name changed")</f>
        <v>Name changed</v>
      </c>
      <c r="B1024" t="s">
        <v>817</v>
      </c>
      <c r="C1024" t="s">
        <v>1402</v>
      </c>
      <c r="D1024" t="s">
        <v>818</v>
      </c>
      <c r="E1024" t="s">
        <v>3655</v>
      </c>
      <c r="F1024" t="s">
        <v>12</v>
      </c>
      <c r="G1024">
        <v>0</v>
      </c>
      <c r="H1024" s="413">
        <f>G1024*VLOOKUP(E1024,GWPs!$B$3:$C$6,2,FALSE)</f>
        <v>0</v>
      </c>
      <c r="I1024">
        <v>0</v>
      </c>
      <c r="J1024" s="413">
        <f>I1024*VLOOKUP(E1024,GWPs!$B$3:$C$6,2,FALSE)</f>
        <v>0</v>
      </c>
      <c r="K1024">
        <v>0</v>
      </c>
      <c r="L1024" s="413">
        <f>K1024*VLOOKUP(E1024,GWPs!$B$3:$C$6,2,FALSE)</f>
        <v>0</v>
      </c>
      <c r="N1024">
        <v>3</v>
      </c>
      <c r="O1024">
        <v>2</v>
      </c>
      <c r="P1024">
        <v>1</v>
      </c>
      <c r="Q1024">
        <v>3</v>
      </c>
      <c r="R1024">
        <v>1</v>
      </c>
    </row>
    <row r="1025" spans="1:18">
      <c r="A1025" t="str">
        <f>_xlfn.IFNA(IF(VLOOKUP(C1025,'2016_Detail_Commodity_v1.0'!C:C,1,FALSE)=C1025,"No change"),"Name changed")</f>
        <v>Name changed</v>
      </c>
      <c r="B1025" t="s">
        <v>817</v>
      </c>
      <c r="C1025" t="s">
        <v>1402</v>
      </c>
      <c r="D1025" t="s">
        <v>818</v>
      </c>
      <c r="E1025" t="s">
        <v>15</v>
      </c>
      <c r="F1025" t="s">
        <v>16</v>
      </c>
      <c r="G1025">
        <v>2.7E-2</v>
      </c>
      <c r="H1025" s="413">
        <f>G1025*VLOOKUP(E1025,GWPs!$B$3:$C$6,2,FALSE)</f>
        <v>2.7E-2</v>
      </c>
      <c r="I1025">
        <v>0</v>
      </c>
      <c r="J1025" s="413">
        <f>I1025*VLOOKUP(E1025,GWPs!$B$3:$C$6,2,FALSE)</f>
        <v>0</v>
      </c>
      <c r="K1025">
        <v>2.7E-2</v>
      </c>
      <c r="L1025" s="413">
        <f>K1025*VLOOKUP(E1025,GWPs!$B$3:$C$6,2,FALSE)</f>
        <v>2.7E-2</v>
      </c>
      <c r="N1025">
        <v>3</v>
      </c>
      <c r="O1025">
        <v>2</v>
      </c>
      <c r="P1025">
        <v>1</v>
      </c>
      <c r="Q1025">
        <v>3</v>
      </c>
      <c r="R1025">
        <v>1</v>
      </c>
    </row>
    <row r="1026" spans="1:18">
      <c r="A1026" t="str">
        <f>_xlfn.IFNA(IF(VLOOKUP(C1026,'2016_Detail_Commodity_v1.0'!C:C,1,FALSE)=C1026,"No change"),"Name changed")</f>
        <v>No change</v>
      </c>
      <c r="B1026" t="s">
        <v>819</v>
      </c>
      <c r="C1026" t="s">
        <v>820</v>
      </c>
      <c r="E1026" t="s">
        <v>3653</v>
      </c>
      <c r="F1026" t="s">
        <v>12</v>
      </c>
      <c r="G1026">
        <v>0.26300000000000001</v>
      </c>
      <c r="H1026" s="413">
        <f>G1026*VLOOKUP(E1026,GWPs!$B$3:$C$6,2,FALSE)</f>
        <v>0.26300000000000001</v>
      </c>
      <c r="I1026">
        <v>8.6999999999999994E-2</v>
      </c>
      <c r="J1026" s="413">
        <f>I1026*VLOOKUP(E1026,GWPs!$B$3:$C$6,2,FALSE)</f>
        <v>8.6999999999999994E-2</v>
      </c>
      <c r="K1026">
        <v>0.34899999999999998</v>
      </c>
      <c r="L1026" s="413">
        <f>K1026*VLOOKUP(E1026,GWPs!$B$3:$C$6,2,FALSE)</f>
        <v>0.34899999999999998</v>
      </c>
      <c r="N1026">
        <v>3</v>
      </c>
      <c r="O1026">
        <v>2</v>
      </c>
      <c r="P1026">
        <v>1</v>
      </c>
      <c r="Q1026">
        <v>3</v>
      </c>
      <c r="R1026">
        <v>1</v>
      </c>
    </row>
    <row r="1027" spans="1:18">
      <c r="A1027" t="str">
        <f>_xlfn.IFNA(IF(VLOOKUP(C1027,'2016_Detail_Commodity_v1.0'!C:C,1,FALSE)=C1027,"No change"),"Name changed")</f>
        <v>No change</v>
      </c>
      <c r="B1027" t="s">
        <v>819</v>
      </c>
      <c r="C1027" t="s">
        <v>820</v>
      </c>
      <c r="E1027" t="s">
        <v>3654</v>
      </c>
      <c r="F1027" t="s">
        <v>12</v>
      </c>
      <c r="G1027">
        <v>1E-3</v>
      </c>
      <c r="H1027" s="413">
        <f>G1027*VLOOKUP(E1027,GWPs!$B$3:$C$6,2,FALSE)</f>
        <v>2.8000000000000001E-2</v>
      </c>
      <c r="I1027">
        <v>1E-3</v>
      </c>
      <c r="J1027" s="413">
        <f>I1027*VLOOKUP(E1027,GWPs!$B$3:$C$6,2,FALSE)</f>
        <v>2.8000000000000001E-2</v>
      </c>
      <c r="K1027">
        <v>2E-3</v>
      </c>
      <c r="L1027" s="413">
        <f>K1027*VLOOKUP(E1027,GWPs!$B$3:$C$6,2,FALSE)</f>
        <v>5.6000000000000001E-2</v>
      </c>
      <c r="N1027">
        <v>4</v>
      </c>
      <c r="O1027">
        <v>2</v>
      </c>
      <c r="P1027">
        <v>1</v>
      </c>
      <c r="Q1027">
        <v>1</v>
      </c>
      <c r="R1027">
        <v>1</v>
      </c>
    </row>
    <row r="1028" spans="1:18">
      <c r="A1028" t="str">
        <f>_xlfn.IFNA(IF(VLOOKUP(C1028,'2016_Detail_Commodity_v1.0'!C:C,1,FALSE)=C1028,"No change"),"Name changed")</f>
        <v>No change</v>
      </c>
      <c r="B1028" t="s">
        <v>819</v>
      </c>
      <c r="C1028" t="s">
        <v>820</v>
      </c>
      <c r="E1028" t="s">
        <v>3655</v>
      </c>
      <c r="F1028" t="s">
        <v>12</v>
      </c>
      <c r="G1028">
        <v>0</v>
      </c>
      <c r="H1028" s="413">
        <f>G1028*VLOOKUP(E1028,GWPs!$B$3:$C$6,2,FALSE)</f>
        <v>0</v>
      </c>
      <c r="I1028">
        <v>0</v>
      </c>
      <c r="J1028" s="413">
        <f>I1028*VLOOKUP(E1028,GWPs!$B$3:$C$6,2,FALSE)</f>
        <v>0</v>
      </c>
      <c r="K1028">
        <v>0</v>
      </c>
      <c r="L1028" s="413">
        <f>K1028*VLOOKUP(E1028,GWPs!$B$3:$C$6,2,FALSE)</f>
        <v>0</v>
      </c>
      <c r="N1028">
        <v>3</v>
      </c>
      <c r="O1028">
        <v>2</v>
      </c>
      <c r="P1028">
        <v>1</v>
      </c>
      <c r="Q1028">
        <v>3</v>
      </c>
      <c r="R1028">
        <v>1</v>
      </c>
    </row>
    <row r="1029" spans="1:18">
      <c r="A1029" t="str">
        <f>_xlfn.IFNA(IF(VLOOKUP(C1029,'2016_Detail_Commodity_v1.0'!C:C,1,FALSE)=C1029,"No change"),"Name changed")</f>
        <v>No change</v>
      </c>
      <c r="B1029" t="s">
        <v>819</v>
      </c>
      <c r="C1029" t="s">
        <v>820</v>
      </c>
      <c r="E1029" t="s">
        <v>15</v>
      </c>
      <c r="F1029" t="s">
        <v>16</v>
      </c>
      <c r="G1029">
        <v>1.2E-2</v>
      </c>
      <c r="H1029" s="413">
        <f>G1029*VLOOKUP(E1029,GWPs!$B$3:$C$6,2,FALSE)</f>
        <v>1.2E-2</v>
      </c>
      <c r="I1029">
        <v>0</v>
      </c>
      <c r="J1029" s="413">
        <f>I1029*VLOOKUP(E1029,GWPs!$B$3:$C$6,2,FALSE)</f>
        <v>0</v>
      </c>
      <c r="K1029">
        <v>1.2E-2</v>
      </c>
      <c r="L1029" s="413">
        <f>K1029*VLOOKUP(E1029,GWPs!$B$3:$C$6,2,FALSE)</f>
        <v>1.2E-2</v>
      </c>
      <c r="N1029">
        <v>3</v>
      </c>
      <c r="O1029">
        <v>2</v>
      </c>
      <c r="P1029">
        <v>1</v>
      </c>
      <c r="Q1029">
        <v>3</v>
      </c>
      <c r="R1029">
        <v>1</v>
      </c>
    </row>
    <row r="1030" spans="1:18">
      <c r="A1030" t="str">
        <f>_xlfn.IFNA(IF(VLOOKUP(C1030,'2016_Detail_Commodity_v1.0'!C:C,1,FALSE)=C1030,"No change"),"Name changed")</f>
        <v>No change</v>
      </c>
      <c r="B1030" t="s">
        <v>821</v>
      </c>
      <c r="C1030" t="s">
        <v>822</v>
      </c>
      <c r="E1030" t="s">
        <v>3653</v>
      </c>
      <c r="F1030" t="s">
        <v>12</v>
      </c>
      <c r="G1030">
        <v>0.222</v>
      </c>
      <c r="H1030" s="413">
        <f>G1030*VLOOKUP(E1030,GWPs!$B$3:$C$6,2,FALSE)</f>
        <v>0.222</v>
      </c>
      <c r="I1030">
        <v>8.1000000000000003E-2</v>
      </c>
      <c r="J1030" s="413">
        <f>I1030*VLOOKUP(E1030,GWPs!$B$3:$C$6,2,FALSE)</f>
        <v>8.1000000000000003E-2</v>
      </c>
      <c r="K1030">
        <v>0.30299999999999999</v>
      </c>
      <c r="L1030" s="413">
        <f>K1030*VLOOKUP(E1030,GWPs!$B$3:$C$6,2,FALSE)</f>
        <v>0.30299999999999999</v>
      </c>
      <c r="N1030">
        <v>3</v>
      </c>
      <c r="O1030">
        <v>2</v>
      </c>
      <c r="P1030">
        <v>1</v>
      </c>
      <c r="Q1030">
        <v>3</v>
      </c>
      <c r="R1030">
        <v>1</v>
      </c>
    </row>
    <row r="1031" spans="1:18">
      <c r="A1031" t="str">
        <f>_xlfn.IFNA(IF(VLOOKUP(C1031,'2016_Detail_Commodity_v1.0'!C:C,1,FALSE)=C1031,"No change"),"Name changed")</f>
        <v>No change</v>
      </c>
      <c r="B1031" t="s">
        <v>821</v>
      </c>
      <c r="C1031" t="s">
        <v>822</v>
      </c>
      <c r="E1031" t="s">
        <v>3654</v>
      </c>
      <c r="F1031" t="s">
        <v>12</v>
      </c>
      <c r="G1031">
        <v>1E-3</v>
      </c>
      <c r="H1031" s="413">
        <f>G1031*VLOOKUP(E1031,GWPs!$B$3:$C$6,2,FALSE)</f>
        <v>2.8000000000000001E-2</v>
      </c>
      <c r="I1031">
        <v>1E-3</v>
      </c>
      <c r="J1031" s="413">
        <f>I1031*VLOOKUP(E1031,GWPs!$B$3:$C$6,2,FALSE)</f>
        <v>2.8000000000000001E-2</v>
      </c>
      <c r="K1031">
        <v>2E-3</v>
      </c>
      <c r="L1031" s="413">
        <f>K1031*VLOOKUP(E1031,GWPs!$B$3:$C$6,2,FALSE)</f>
        <v>5.6000000000000001E-2</v>
      </c>
      <c r="N1031">
        <v>4</v>
      </c>
      <c r="O1031">
        <v>2</v>
      </c>
      <c r="P1031">
        <v>1</v>
      </c>
      <c r="Q1031">
        <v>1</v>
      </c>
      <c r="R1031">
        <v>1</v>
      </c>
    </row>
    <row r="1032" spans="1:18">
      <c r="A1032" t="str">
        <f>_xlfn.IFNA(IF(VLOOKUP(C1032,'2016_Detail_Commodity_v1.0'!C:C,1,FALSE)=C1032,"No change"),"Name changed")</f>
        <v>No change</v>
      </c>
      <c r="B1032" t="s">
        <v>821</v>
      </c>
      <c r="C1032" t="s">
        <v>822</v>
      </c>
      <c r="E1032" t="s">
        <v>3655</v>
      </c>
      <c r="F1032" t="s">
        <v>12</v>
      </c>
      <c r="G1032">
        <v>0</v>
      </c>
      <c r="H1032" s="413">
        <f>G1032*VLOOKUP(E1032,GWPs!$B$3:$C$6,2,FALSE)</f>
        <v>0</v>
      </c>
      <c r="I1032">
        <v>0</v>
      </c>
      <c r="J1032" s="413">
        <f>I1032*VLOOKUP(E1032,GWPs!$B$3:$C$6,2,FALSE)</f>
        <v>0</v>
      </c>
      <c r="K1032">
        <v>0</v>
      </c>
      <c r="L1032" s="413">
        <f>K1032*VLOOKUP(E1032,GWPs!$B$3:$C$6,2,FALSE)</f>
        <v>0</v>
      </c>
      <c r="N1032">
        <v>3</v>
      </c>
      <c r="O1032">
        <v>2</v>
      </c>
      <c r="P1032">
        <v>1</v>
      </c>
      <c r="Q1032">
        <v>3</v>
      </c>
      <c r="R1032">
        <v>1</v>
      </c>
    </row>
    <row r="1033" spans="1:18">
      <c r="A1033" t="str">
        <f>_xlfn.IFNA(IF(VLOOKUP(C1033,'2016_Detail_Commodity_v1.0'!C:C,1,FALSE)=C1033,"No change"),"Name changed")</f>
        <v>No change</v>
      </c>
      <c r="B1033" t="s">
        <v>821</v>
      </c>
      <c r="C1033" t="s">
        <v>822</v>
      </c>
      <c r="E1033" t="s">
        <v>15</v>
      </c>
      <c r="F1033" t="s">
        <v>16</v>
      </c>
      <c r="G1033">
        <v>1.2E-2</v>
      </c>
      <c r="H1033" s="413">
        <f>G1033*VLOOKUP(E1033,GWPs!$B$3:$C$6,2,FALSE)</f>
        <v>1.2E-2</v>
      </c>
      <c r="I1033">
        <v>0</v>
      </c>
      <c r="J1033" s="413">
        <f>I1033*VLOOKUP(E1033,GWPs!$B$3:$C$6,2,FALSE)</f>
        <v>0</v>
      </c>
      <c r="K1033">
        <v>1.2E-2</v>
      </c>
      <c r="L1033" s="413">
        <f>K1033*VLOOKUP(E1033,GWPs!$B$3:$C$6,2,FALSE)</f>
        <v>1.2E-2</v>
      </c>
      <c r="N1033">
        <v>3</v>
      </c>
      <c r="O1033">
        <v>2</v>
      </c>
      <c r="P1033">
        <v>1</v>
      </c>
      <c r="Q1033">
        <v>4</v>
      </c>
      <c r="R1033">
        <v>1</v>
      </c>
    </row>
    <row r="1034" spans="1:18">
      <c r="A1034" t="str">
        <f>_xlfn.IFNA(IF(VLOOKUP(C1034,'2016_Detail_Commodity_v1.0'!C:C,1,FALSE)=C1034,"No change"),"Name changed")</f>
        <v>No change</v>
      </c>
      <c r="B1034" t="s">
        <v>823</v>
      </c>
      <c r="C1034" t="s">
        <v>824</v>
      </c>
      <c r="E1034" t="s">
        <v>3653</v>
      </c>
      <c r="F1034" t="s">
        <v>12</v>
      </c>
      <c r="G1034">
        <v>0.108</v>
      </c>
      <c r="H1034" s="413">
        <f>G1034*VLOOKUP(E1034,GWPs!$B$3:$C$6,2,FALSE)</f>
        <v>0.108</v>
      </c>
      <c r="I1034">
        <v>0.122</v>
      </c>
      <c r="J1034" s="413">
        <f>I1034*VLOOKUP(E1034,GWPs!$B$3:$C$6,2,FALSE)</f>
        <v>0.122</v>
      </c>
      <c r="K1034">
        <v>0.23</v>
      </c>
      <c r="L1034" s="413">
        <f>K1034*VLOOKUP(E1034,GWPs!$B$3:$C$6,2,FALSE)</f>
        <v>0.23</v>
      </c>
      <c r="N1034">
        <v>3</v>
      </c>
      <c r="O1034">
        <v>2</v>
      </c>
      <c r="P1034">
        <v>1</v>
      </c>
      <c r="Q1034">
        <v>3</v>
      </c>
      <c r="R1034">
        <v>1</v>
      </c>
    </row>
    <row r="1035" spans="1:18">
      <c r="A1035" t="str">
        <f>_xlfn.IFNA(IF(VLOOKUP(C1035,'2016_Detail_Commodity_v1.0'!C:C,1,FALSE)=C1035,"No change"),"Name changed")</f>
        <v>No change</v>
      </c>
      <c r="B1035" t="s">
        <v>823</v>
      </c>
      <c r="C1035" t="s">
        <v>824</v>
      </c>
      <c r="E1035" t="s">
        <v>3654</v>
      </c>
      <c r="F1035" t="s">
        <v>12</v>
      </c>
      <c r="G1035">
        <v>0</v>
      </c>
      <c r="H1035" s="413">
        <f>G1035*VLOOKUP(E1035,GWPs!$B$3:$C$6,2,FALSE)</f>
        <v>0</v>
      </c>
      <c r="I1035">
        <v>1E-3</v>
      </c>
      <c r="J1035" s="413">
        <f>I1035*VLOOKUP(E1035,GWPs!$B$3:$C$6,2,FALSE)</f>
        <v>2.8000000000000001E-2</v>
      </c>
      <c r="K1035">
        <v>1E-3</v>
      </c>
      <c r="L1035" s="413">
        <f>K1035*VLOOKUP(E1035,GWPs!$B$3:$C$6,2,FALSE)</f>
        <v>2.8000000000000001E-2</v>
      </c>
      <c r="N1035">
        <v>3</v>
      </c>
      <c r="O1035">
        <v>2</v>
      </c>
      <c r="P1035">
        <v>1</v>
      </c>
      <c r="Q1035">
        <v>1</v>
      </c>
      <c r="R1035">
        <v>1</v>
      </c>
    </row>
    <row r="1036" spans="1:18">
      <c r="A1036" t="str">
        <f>_xlfn.IFNA(IF(VLOOKUP(C1036,'2016_Detail_Commodity_v1.0'!C:C,1,FALSE)=C1036,"No change"),"Name changed")</f>
        <v>No change</v>
      </c>
      <c r="B1036" t="s">
        <v>823</v>
      </c>
      <c r="C1036" t="s">
        <v>824</v>
      </c>
      <c r="E1036" t="s">
        <v>3655</v>
      </c>
      <c r="F1036" t="s">
        <v>12</v>
      </c>
      <c r="G1036">
        <v>0</v>
      </c>
      <c r="H1036" s="413">
        <f>G1036*VLOOKUP(E1036,GWPs!$B$3:$C$6,2,FALSE)</f>
        <v>0</v>
      </c>
      <c r="I1036">
        <v>0</v>
      </c>
      <c r="J1036" s="413">
        <f>I1036*VLOOKUP(E1036,GWPs!$B$3:$C$6,2,FALSE)</f>
        <v>0</v>
      </c>
      <c r="K1036">
        <v>0</v>
      </c>
      <c r="L1036" s="413">
        <f>K1036*VLOOKUP(E1036,GWPs!$B$3:$C$6,2,FALSE)</f>
        <v>0</v>
      </c>
      <c r="N1036">
        <v>4</v>
      </c>
      <c r="O1036">
        <v>2</v>
      </c>
      <c r="P1036">
        <v>1</v>
      </c>
      <c r="Q1036">
        <v>3</v>
      </c>
      <c r="R1036">
        <v>1</v>
      </c>
    </row>
    <row r="1037" spans="1:18">
      <c r="A1037" t="str">
        <f>_xlfn.IFNA(IF(VLOOKUP(C1037,'2016_Detail_Commodity_v1.0'!C:C,1,FALSE)=C1037,"No change"),"Name changed")</f>
        <v>No change</v>
      </c>
      <c r="B1037" t="s">
        <v>823</v>
      </c>
      <c r="C1037" t="s">
        <v>824</v>
      </c>
      <c r="E1037" t="s">
        <v>15</v>
      </c>
      <c r="F1037" t="s">
        <v>16</v>
      </c>
      <c r="G1037">
        <v>7.4999999999999997E-2</v>
      </c>
      <c r="H1037" s="413">
        <f>G1037*VLOOKUP(E1037,GWPs!$B$3:$C$6,2,FALSE)</f>
        <v>7.4999999999999997E-2</v>
      </c>
      <c r="I1037">
        <v>0</v>
      </c>
      <c r="J1037" s="413">
        <f>I1037*VLOOKUP(E1037,GWPs!$B$3:$C$6,2,FALSE)</f>
        <v>0</v>
      </c>
      <c r="K1037">
        <v>7.4999999999999997E-2</v>
      </c>
      <c r="L1037" s="413">
        <f>K1037*VLOOKUP(E1037,GWPs!$B$3:$C$6,2,FALSE)</f>
        <v>7.4999999999999997E-2</v>
      </c>
      <c r="N1037">
        <v>4</v>
      </c>
      <c r="O1037">
        <v>2</v>
      </c>
      <c r="P1037">
        <v>1</v>
      </c>
      <c r="Q1037">
        <v>5</v>
      </c>
      <c r="R1037">
        <v>1</v>
      </c>
    </row>
    <row r="1038" spans="1:18">
      <c r="A1038" t="str">
        <f>_xlfn.IFNA(IF(VLOOKUP(C1038,'2016_Detail_Commodity_v1.0'!C:C,1,FALSE)=C1038,"No change"),"Name changed")</f>
        <v>No change</v>
      </c>
      <c r="B1038" t="s">
        <v>825</v>
      </c>
      <c r="C1038" t="s">
        <v>826</v>
      </c>
      <c r="E1038" t="s">
        <v>3653</v>
      </c>
      <c r="F1038" t="s">
        <v>12</v>
      </c>
      <c r="G1038">
        <v>0.13900000000000001</v>
      </c>
      <c r="H1038" s="413">
        <f>G1038*VLOOKUP(E1038,GWPs!$B$3:$C$6,2,FALSE)</f>
        <v>0.13900000000000001</v>
      </c>
      <c r="I1038">
        <v>3.6999999999999998E-2</v>
      </c>
      <c r="J1038" s="413">
        <f>I1038*VLOOKUP(E1038,GWPs!$B$3:$C$6,2,FALSE)</f>
        <v>3.6999999999999998E-2</v>
      </c>
      <c r="K1038">
        <v>0.17599999999999999</v>
      </c>
      <c r="L1038" s="413">
        <f>K1038*VLOOKUP(E1038,GWPs!$B$3:$C$6,2,FALSE)</f>
        <v>0.17599999999999999</v>
      </c>
      <c r="N1038">
        <v>3</v>
      </c>
      <c r="O1038">
        <v>2</v>
      </c>
      <c r="P1038">
        <v>1</v>
      </c>
      <c r="Q1038">
        <v>3</v>
      </c>
      <c r="R1038">
        <v>1</v>
      </c>
    </row>
    <row r="1039" spans="1:18">
      <c r="A1039" t="str">
        <f>_xlfn.IFNA(IF(VLOOKUP(C1039,'2016_Detail_Commodity_v1.0'!C:C,1,FALSE)=C1039,"No change"),"Name changed")</f>
        <v>No change</v>
      </c>
      <c r="B1039" t="s">
        <v>825</v>
      </c>
      <c r="C1039" t="s">
        <v>826</v>
      </c>
      <c r="E1039" t="s">
        <v>3654</v>
      </c>
      <c r="F1039" t="s">
        <v>12</v>
      </c>
      <c r="G1039">
        <v>1E-3</v>
      </c>
      <c r="H1039" s="413">
        <f>G1039*VLOOKUP(E1039,GWPs!$B$3:$C$6,2,FALSE)</f>
        <v>2.8000000000000001E-2</v>
      </c>
      <c r="I1039">
        <v>0</v>
      </c>
      <c r="J1039" s="413">
        <f>I1039*VLOOKUP(E1039,GWPs!$B$3:$C$6,2,FALSE)</f>
        <v>0</v>
      </c>
      <c r="K1039">
        <v>1E-3</v>
      </c>
      <c r="L1039" s="413">
        <f>K1039*VLOOKUP(E1039,GWPs!$B$3:$C$6,2,FALSE)</f>
        <v>2.8000000000000001E-2</v>
      </c>
      <c r="N1039">
        <v>3</v>
      </c>
      <c r="O1039">
        <v>2</v>
      </c>
      <c r="P1039">
        <v>1</v>
      </c>
      <c r="Q1039">
        <v>1</v>
      </c>
      <c r="R1039">
        <v>1</v>
      </c>
    </row>
    <row r="1040" spans="1:18">
      <c r="A1040" t="str">
        <f>_xlfn.IFNA(IF(VLOOKUP(C1040,'2016_Detail_Commodity_v1.0'!C:C,1,FALSE)=C1040,"No change"),"Name changed")</f>
        <v>No change</v>
      </c>
      <c r="B1040" t="s">
        <v>825</v>
      </c>
      <c r="C1040" t="s">
        <v>826</v>
      </c>
      <c r="E1040" t="s">
        <v>3655</v>
      </c>
      <c r="F1040" t="s">
        <v>12</v>
      </c>
      <c r="G1040">
        <v>0</v>
      </c>
      <c r="H1040" s="413">
        <f>G1040*VLOOKUP(E1040,GWPs!$B$3:$C$6,2,FALSE)</f>
        <v>0</v>
      </c>
      <c r="I1040">
        <v>0</v>
      </c>
      <c r="J1040" s="413">
        <f>I1040*VLOOKUP(E1040,GWPs!$B$3:$C$6,2,FALSE)</f>
        <v>0</v>
      </c>
      <c r="K1040">
        <v>0</v>
      </c>
      <c r="L1040" s="413">
        <f>K1040*VLOOKUP(E1040,GWPs!$B$3:$C$6,2,FALSE)</f>
        <v>0</v>
      </c>
      <c r="N1040">
        <v>4</v>
      </c>
      <c r="O1040">
        <v>2</v>
      </c>
      <c r="P1040">
        <v>1</v>
      </c>
      <c r="Q1040">
        <v>3</v>
      </c>
      <c r="R1040">
        <v>1</v>
      </c>
    </row>
    <row r="1041" spans="1:18">
      <c r="A1041" t="str">
        <f>_xlfn.IFNA(IF(VLOOKUP(C1041,'2016_Detail_Commodity_v1.0'!C:C,1,FALSE)=C1041,"No change"),"Name changed")</f>
        <v>No change</v>
      </c>
      <c r="B1041" t="s">
        <v>825</v>
      </c>
      <c r="C1041" t="s">
        <v>826</v>
      </c>
      <c r="E1041" t="s">
        <v>15</v>
      </c>
      <c r="F1041" t="s">
        <v>16</v>
      </c>
      <c r="G1041">
        <v>4.0000000000000001E-3</v>
      </c>
      <c r="H1041" s="413">
        <f>G1041*VLOOKUP(E1041,GWPs!$B$3:$C$6,2,FALSE)</f>
        <v>4.0000000000000001E-3</v>
      </c>
      <c r="I1041">
        <v>0</v>
      </c>
      <c r="J1041" s="413">
        <f>I1041*VLOOKUP(E1041,GWPs!$B$3:$C$6,2,FALSE)</f>
        <v>0</v>
      </c>
      <c r="K1041">
        <v>4.0000000000000001E-3</v>
      </c>
      <c r="L1041" s="413">
        <f>K1041*VLOOKUP(E1041,GWPs!$B$3:$C$6,2,FALSE)</f>
        <v>4.0000000000000001E-3</v>
      </c>
      <c r="N1041">
        <v>3</v>
      </c>
      <c r="O1041">
        <v>2</v>
      </c>
      <c r="P1041">
        <v>1</v>
      </c>
      <c r="Q1041">
        <v>4</v>
      </c>
      <c r="R1041">
        <v>1</v>
      </c>
    </row>
    <row r="1042" spans="1:18">
      <c r="A1042" t="str">
        <f>_xlfn.IFNA(IF(VLOOKUP(C1042,'2016_Detail_Commodity_v1.0'!C:C,1,FALSE)=C1042,"No change"),"Name changed")</f>
        <v>No change</v>
      </c>
      <c r="B1042" t="s">
        <v>827</v>
      </c>
      <c r="C1042" t="s">
        <v>828</v>
      </c>
      <c r="E1042" t="s">
        <v>3653</v>
      </c>
      <c r="F1042" t="s">
        <v>12</v>
      </c>
      <c r="G1042">
        <v>0.112</v>
      </c>
      <c r="H1042" s="413">
        <f>G1042*VLOOKUP(E1042,GWPs!$B$3:$C$6,2,FALSE)</f>
        <v>0.112</v>
      </c>
      <c r="I1042">
        <v>6.0999999999999999E-2</v>
      </c>
      <c r="J1042" s="413">
        <f>I1042*VLOOKUP(E1042,GWPs!$B$3:$C$6,2,FALSE)</f>
        <v>6.0999999999999999E-2</v>
      </c>
      <c r="K1042">
        <v>0.17299999999999999</v>
      </c>
      <c r="L1042" s="413">
        <f>K1042*VLOOKUP(E1042,GWPs!$B$3:$C$6,2,FALSE)</f>
        <v>0.17299999999999999</v>
      </c>
      <c r="N1042">
        <v>3</v>
      </c>
      <c r="O1042">
        <v>2</v>
      </c>
      <c r="P1042">
        <v>1</v>
      </c>
      <c r="Q1042">
        <v>3</v>
      </c>
      <c r="R1042">
        <v>1</v>
      </c>
    </row>
    <row r="1043" spans="1:18">
      <c r="A1043" t="str">
        <f>_xlfn.IFNA(IF(VLOOKUP(C1043,'2016_Detail_Commodity_v1.0'!C:C,1,FALSE)=C1043,"No change"),"Name changed")</f>
        <v>No change</v>
      </c>
      <c r="B1043" t="s">
        <v>827</v>
      </c>
      <c r="C1043" t="s">
        <v>828</v>
      </c>
      <c r="E1043" t="s">
        <v>3654</v>
      </c>
      <c r="F1043" t="s">
        <v>12</v>
      </c>
      <c r="G1043">
        <v>0</v>
      </c>
      <c r="H1043" s="413">
        <f>G1043*VLOOKUP(E1043,GWPs!$B$3:$C$6,2,FALSE)</f>
        <v>0</v>
      </c>
      <c r="I1043">
        <v>0</v>
      </c>
      <c r="J1043" s="413">
        <f>I1043*VLOOKUP(E1043,GWPs!$B$3:$C$6,2,FALSE)</f>
        <v>0</v>
      </c>
      <c r="K1043">
        <v>1E-3</v>
      </c>
      <c r="L1043" s="413">
        <f>K1043*VLOOKUP(E1043,GWPs!$B$3:$C$6,2,FALSE)</f>
        <v>2.8000000000000001E-2</v>
      </c>
      <c r="N1043">
        <v>4</v>
      </c>
      <c r="O1043">
        <v>2</v>
      </c>
      <c r="P1043">
        <v>1</v>
      </c>
      <c r="Q1043">
        <v>1</v>
      </c>
      <c r="R1043">
        <v>1</v>
      </c>
    </row>
    <row r="1044" spans="1:18">
      <c r="A1044" t="str">
        <f>_xlfn.IFNA(IF(VLOOKUP(C1044,'2016_Detail_Commodity_v1.0'!C:C,1,FALSE)=C1044,"No change"),"Name changed")</f>
        <v>No change</v>
      </c>
      <c r="B1044" t="s">
        <v>827</v>
      </c>
      <c r="C1044" t="s">
        <v>828</v>
      </c>
      <c r="E1044" t="s">
        <v>3655</v>
      </c>
      <c r="F1044" t="s">
        <v>12</v>
      </c>
      <c r="G1044">
        <v>0</v>
      </c>
      <c r="H1044" s="413">
        <f>G1044*VLOOKUP(E1044,GWPs!$B$3:$C$6,2,FALSE)</f>
        <v>0</v>
      </c>
      <c r="I1044">
        <v>0</v>
      </c>
      <c r="J1044" s="413">
        <f>I1044*VLOOKUP(E1044,GWPs!$B$3:$C$6,2,FALSE)</f>
        <v>0</v>
      </c>
      <c r="K1044">
        <v>0</v>
      </c>
      <c r="L1044" s="413">
        <f>K1044*VLOOKUP(E1044,GWPs!$B$3:$C$6,2,FALSE)</f>
        <v>0</v>
      </c>
      <c r="N1044">
        <v>3</v>
      </c>
      <c r="O1044">
        <v>2</v>
      </c>
      <c r="P1044">
        <v>1</v>
      </c>
      <c r="Q1044">
        <v>3</v>
      </c>
      <c r="R1044">
        <v>1</v>
      </c>
    </row>
    <row r="1045" spans="1:18">
      <c r="A1045" t="str">
        <f>_xlfn.IFNA(IF(VLOOKUP(C1045,'2016_Detail_Commodity_v1.0'!C:C,1,FALSE)=C1045,"No change"),"Name changed")</f>
        <v>No change</v>
      </c>
      <c r="B1045" t="s">
        <v>827</v>
      </c>
      <c r="C1045" t="s">
        <v>828</v>
      </c>
      <c r="E1045" t="s">
        <v>15</v>
      </c>
      <c r="F1045" t="s">
        <v>16</v>
      </c>
      <c r="G1045">
        <v>5.0000000000000001E-3</v>
      </c>
      <c r="H1045" s="413">
        <f>G1045*VLOOKUP(E1045,GWPs!$B$3:$C$6,2,FALSE)</f>
        <v>5.0000000000000001E-3</v>
      </c>
      <c r="I1045">
        <v>0</v>
      </c>
      <c r="J1045" s="413">
        <f>I1045*VLOOKUP(E1045,GWPs!$B$3:$C$6,2,FALSE)</f>
        <v>0</v>
      </c>
      <c r="K1045">
        <v>5.0000000000000001E-3</v>
      </c>
      <c r="L1045" s="413">
        <f>K1045*VLOOKUP(E1045,GWPs!$B$3:$C$6,2,FALSE)</f>
        <v>5.0000000000000001E-3</v>
      </c>
      <c r="N1045">
        <v>3</v>
      </c>
      <c r="O1045">
        <v>2</v>
      </c>
      <c r="P1045">
        <v>1</v>
      </c>
      <c r="Q1045">
        <v>4</v>
      </c>
      <c r="R1045">
        <v>1</v>
      </c>
    </row>
    <row r="1046" spans="1:18">
      <c r="A1046" t="str">
        <f>_xlfn.IFNA(IF(VLOOKUP(C1046,'2016_Detail_Commodity_v1.0'!C:C,1,FALSE)=C1046,"No change"),"Name changed")</f>
        <v>No change</v>
      </c>
      <c r="B1046" t="s">
        <v>829</v>
      </c>
      <c r="C1046" t="s">
        <v>830</v>
      </c>
      <c r="E1046" t="s">
        <v>3653</v>
      </c>
      <c r="F1046" t="s">
        <v>12</v>
      </c>
      <c r="G1046">
        <v>0.15</v>
      </c>
      <c r="H1046" s="413">
        <f>G1046*VLOOKUP(E1046,GWPs!$B$3:$C$6,2,FALSE)</f>
        <v>0.15</v>
      </c>
      <c r="I1046">
        <v>0.03</v>
      </c>
      <c r="J1046" s="413">
        <f>I1046*VLOOKUP(E1046,GWPs!$B$3:$C$6,2,FALSE)</f>
        <v>0.03</v>
      </c>
      <c r="K1046">
        <v>0.18</v>
      </c>
      <c r="L1046" s="413">
        <f>K1046*VLOOKUP(E1046,GWPs!$B$3:$C$6,2,FALSE)</f>
        <v>0.18</v>
      </c>
      <c r="N1046">
        <v>3</v>
      </c>
      <c r="O1046">
        <v>2</v>
      </c>
      <c r="P1046">
        <v>1</v>
      </c>
      <c r="Q1046">
        <v>3</v>
      </c>
      <c r="R1046">
        <v>1</v>
      </c>
    </row>
    <row r="1047" spans="1:18">
      <c r="A1047" t="str">
        <f>_xlfn.IFNA(IF(VLOOKUP(C1047,'2016_Detail_Commodity_v1.0'!C:C,1,FALSE)=C1047,"No change"),"Name changed")</f>
        <v>No change</v>
      </c>
      <c r="B1047" t="s">
        <v>829</v>
      </c>
      <c r="C1047" t="s">
        <v>830</v>
      </c>
      <c r="E1047" t="s">
        <v>3654</v>
      </c>
      <c r="F1047" t="s">
        <v>12</v>
      </c>
      <c r="G1047">
        <v>0</v>
      </c>
      <c r="H1047" s="413">
        <f>G1047*VLOOKUP(E1047,GWPs!$B$3:$C$6,2,FALSE)</f>
        <v>0</v>
      </c>
      <c r="I1047">
        <v>0</v>
      </c>
      <c r="J1047" s="413">
        <f>I1047*VLOOKUP(E1047,GWPs!$B$3:$C$6,2,FALSE)</f>
        <v>0</v>
      </c>
      <c r="K1047">
        <v>1E-3</v>
      </c>
      <c r="L1047" s="413">
        <f>K1047*VLOOKUP(E1047,GWPs!$B$3:$C$6,2,FALSE)</f>
        <v>2.8000000000000001E-2</v>
      </c>
      <c r="N1047">
        <v>4</v>
      </c>
      <c r="O1047">
        <v>2</v>
      </c>
      <c r="P1047">
        <v>1</v>
      </c>
      <c r="Q1047">
        <v>1</v>
      </c>
      <c r="R1047">
        <v>1</v>
      </c>
    </row>
    <row r="1048" spans="1:18">
      <c r="A1048" t="str">
        <f>_xlfn.IFNA(IF(VLOOKUP(C1048,'2016_Detail_Commodity_v1.0'!C:C,1,FALSE)=C1048,"No change"),"Name changed")</f>
        <v>No change</v>
      </c>
      <c r="B1048" t="s">
        <v>829</v>
      </c>
      <c r="C1048" t="s">
        <v>830</v>
      </c>
      <c r="E1048" t="s">
        <v>3655</v>
      </c>
      <c r="F1048" t="s">
        <v>12</v>
      </c>
      <c r="G1048">
        <v>0</v>
      </c>
      <c r="H1048" s="413">
        <f>G1048*VLOOKUP(E1048,GWPs!$B$3:$C$6,2,FALSE)</f>
        <v>0</v>
      </c>
      <c r="I1048">
        <v>0</v>
      </c>
      <c r="J1048" s="413">
        <f>I1048*VLOOKUP(E1048,GWPs!$B$3:$C$6,2,FALSE)</f>
        <v>0</v>
      </c>
      <c r="K1048">
        <v>0</v>
      </c>
      <c r="L1048" s="413">
        <f>K1048*VLOOKUP(E1048,GWPs!$B$3:$C$6,2,FALSE)</f>
        <v>0</v>
      </c>
      <c r="N1048">
        <v>3</v>
      </c>
      <c r="O1048">
        <v>2</v>
      </c>
      <c r="P1048">
        <v>1</v>
      </c>
      <c r="Q1048">
        <v>3</v>
      </c>
      <c r="R1048">
        <v>1</v>
      </c>
    </row>
    <row r="1049" spans="1:18">
      <c r="A1049" t="str">
        <f>_xlfn.IFNA(IF(VLOOKUP(C1049,'2016_Detail_Commodity_v1.0'!C:C,1,FALSE)=C1049,"No change"),"Name changed")</f>
        <v>No change</v>
      </c>
      <c r="B1049" t="s">
        <v>829</v>
      </c>
      <c r="C1049" t="s">
        <v>830</v>
      </c>
      <c r="E1049" t="s">
        <v>15</v>
      </c>
      <c r="F1049" t="s">
        <v>16</v>
      </c>
      <c r="G1049">
        <v>8.9999999999999993E-3</v>
      </c>
      <c r="H1049" s="413">
        <f>G1049*VLOOKUP(E1049,GWPs!$B$3:$C$6,2,FALSE)</f>
        <v>8.9999999999999993E-3</v>
      </c>
      <c r="I1049">
        <v>0</v>
      </c>
      <c r="J1049" s="413">
        <f>I1049*VLOOKUP(E1049,GWPs!$B$3:$C$6,2,FALSE)</f>
        <v>0</v>
      </c>
      <c r="K1049">
        <v>8.9999999999999993E-3</v>
      </c>
      <c r="L1049" s="413">
        <f>K1049*VLOOKUP(E1049,GWPs!$B$3:$C$6,2,FALSE)</f>
        <v>8.9999999999999993E-3</v>
      </c>
      <c r="N1049">
        <v>4</v>
      </c>
      <c r="O1049">
        <v>2</v>
      </c>
      <c r="P1049">
        <v>1</v>
      </c>
      <c r="Q1049">
        <v>2</v>
      </c>
      <c r="R1049">
        <v>1</v>
      </c>
    </row>
    <row r="1050" spans="1:18">
      <c r="A1050" t="str">
        <f>_xlfn.IFNA(IF(VLOOKUP(C1050,'2016_Detail_Commodity_v1.0'!C:C,1,FALSE)=C1050,"No change"),"Name changed")</f>
        <v>No change</v>
      </c>
      <c r="B1050" t="s">
        <v>831</v>
      </c>
      <c r="C1050" t="s">
        <v>832</v>
      </c>
      <c r="E1050" t="s">
        <v>3653</v>
      </c>
      <c r="F1050" t="s">
        <v>12</v>
      </c>
      <c r="G1050">
        <v>6.4000000000000001E-2</v>
      </c>
      <c r="H1050" s="413">
        <f>G1050*VLOOKUP(E1050,GWPs!$B$3:$C$6,2,FALSE)</f>
        <v>6.4000000000000001E-2</v>
      </c>
      <c r="I1050">
        <v>9.7000000000000003E-2</v>
      </c>
      <c r="J1050" s="413">
        <f>I1050*VLOOKUP(E1050,GWPs!$B$3:$C$6,2,FALSE)</f>
        <v>9.7000000000000003E-2</v>
      </c>
      <c r="K1050">
        <v>0.16200000000000001</v>
      </c>
      <c r="L1050" s="413">
        <f>K1050*VLOOKUP(E1050,GWPs!$B$3:$C$6,2,FALSE)</f>
        <v>0.16200000000000001</v>
      </c>
      <c r="N1050">
        <v>3</v>
      </c>
      <c r="O1050">
        <v>2</v>
      </c>
      <c r="P1050">
        <v>1</v>
      </c>
      <c r="Q1050">
        <v>3</v>
      </c>
      <c r="R1050">
        <v>1</v>
      </c>
    </row>
    <row r="1051" spans="1:18">
      <c r="A1051" t="str">
        <f>_xlfn.IFNA(IF(VLOOKUP(C1051,'2016_Detail_Commodity_v1.0'!C:C,1,FALSE)=C1051,"No change"),"Name changed")</f>
        <v>No change</v>
      </c>
      <c r="B1051" t="s">
        <v>831</v>
      </c>
      <c r="C1051" t="s">
        <v>832</v>
      </c>
      <c r="E1051" t="s">
        <v>3654</v>
      </c>
      <c r="F1051" t="s">
        <v>12</v>
      </c>
      <c r="G1051">
        <v>0</v>
      </c>
      <c r="H1051" s="413">
        <f>G1051*VLOOKUP(E1051,GWPs!$B$3:$C$6,2,FALSE)</f>
        <v>0</v>
      </c>
      <c r="I1051">
        <v>0</v>
      </c>
      <c r="J1051" s="413">
        <f>I1051*VLOOKUP(E1051,GWPs!$B$3:$C$6,2,FALSE)</f>
        <v>0</v>
      </c>
      <c r="K1051">
        <v>1E-3</v>
      </c>
      <c r="L1051" s="413">
        <f>K1051*VLOOKUP(E1051,GWPs!$B$3:$C$6,2,FALSE)</f>
        <v>2.8000000000000001E-2</v>
      </c>
      <c r="N1051">
        <v>3</v>
      </c>
      <c r="O1051">
        <v>2</v>
      </c>
      <c r="P1051">
        <v>1</v>
      </c>
      <c r="Q1051">
        <v>1</v>
      </c>
      <c r="R1051">
        <v>1</v>
      </c>
    </row>
    <row r="1052" spans="1:18">
      <c r="A1052" t="str">
        <f>_xlfn.IFNA(IF(VLOOKUP(C1052,'2016_Detail_Commodity_v1.0'!C:C,1,FALSE)=C1052,"No change"),"Name changed")</f>
        <v>No change</v>
      </c>
      <c r="B1052" t="s">
        <v>831</v>
      </c>
      <c r="C1052" t="s">
        <v>832</v>
      </c>
      <c r="E1052" t="s">
        <v>3655</v>
      </c>
      <c r="F1052" t="s">
        <v>12</v>
      </c>
      <c r="G1052">
        <v>0</v>
      </c>
      <c r="H1052" s="413">
        <f>G1052*VLOOKUP(E1052,GWPs!$B$3:$C$6,2,FALSE)</f>
        <v>0</v>
      </c>
      <c r="I1052">
        <v>0</v>
      </c>
      <c r="J1052" s="413">
        <f>I1052*VLOOKUP(E1052,GWPs!$B$3:$C$6,2,FALSE)</f>
        <v>0</v>
      </c>
      <c r="K1052">
        <v>0</v>
      </c>
      <c r="L1052" s="413">
        <f>K1052*VLOOKUP(E1052,GWPs!$B$3:$C$6,2,FALSE)</f>
        <v>0</v>
      </c>
      <c r="N1052">
        <v>3</v>
      </c>
      <c r="O1052">
        <v>2</v>
      </c>
      <c r="P1052">
        <v>1</v>
      </c>
      <c r="Q1052">
        <v>3</v>
      </c>
      <c r="R1052">
        <v>1</v>
      </c>
    </row>
    <row r="1053" spans="1:18">
      <c r="A1053" t="str">
        <f>_xlfn.IFNA(IF(VLOOKUP(C1053,'2016_Detail_Commodity_v1.0'!C:C,1,FALSE)=C1053,"No change"),"Name changed")</f>
        <v>No change</v>
      </c>
      <c r="B1053" t="s">
        <v>831</v>
      </c>
      <c r="C1053" t="s">
        <v>832</v>
      </c>
      <c r="E1053" t="s">
        <v>15</v>
      </c>
      <c r="F1053" t="s">
        <v>16</v>
      </c>
      <c r="G1053">
        <v>2E-3</v>
      </c>
      <c r="H1053" s="413">
        <f>G1053*VLOOKUP(E1053,GWPs!$B$3:$C$6,2,FALSE)</f>
        <v>2E-3</v>
      </c>
      <c r="I1053">
        <v>0</v>
      </c>
      <c r="J1053" s="413">
        <f>I1053*VLOOKUP(E1053,GWPs!$B$3:$C$6,2,FALSE)</f>
        <v>0</v>
      </c>
      <c r="K1053">
        <v>2E-3</v>
      </c>
      <c r="L1053" s="413">
        <f>K1053*VLOOKUP(E1053,GWPs!$B$3:$C$6,2,FALSE)</f>
        <v>2E-3</v>
      </c>
      <c r="N1053">
        <v>3</v>
      </c>
      <c r="O1053">
        <v>2</v>
      </c>
      <c r="P1053">
        <v>1</v>
      </c>
      <c r="Q1053">
        <v>3</v>
      </c>
      <c r="R1053">
        <v>1</v>
      </c>
    </row>
    <row r="1054" spans="1:18">
      <c r="A1054" t="str">
        <f>_xlfn.IFNA(IF(VLOOKUP(C1054,'2016_Detail_Commodity_v1.0'!C:C,1,FALSE)=C1054,"No change"),"Name changed")</f>
        <v>No change</v>
      </c>
      <c r="B1054" t="s">
        <v>833</v>
      </c>
      <c r="C1054" t="s">
        <v>834</v>
      </c>
      <c r="E1054" t="s">
        <v>3653</v>
      </c>
      <c r="F1054" t="s">
        <v>12</v>
      </c>
      <c r="G1054">
        <v>8.7999999999999995E-2</v>
      </c>
      <c r="H1054" s="413">
        <f>G1054*VLOOKUP(E1054,GWPs!$B$3:$C$6,2,FALSE)</f>
        <v>8.7999999999999995E-2</v>
      </c>
      <c r="I1054">
        <v>2.8000000000000001E-2</v>
      </c>
      <c r="J1054" s="413">
        <f>I1054*VLOOKUP(E1054,GWPs!$B$3:$C$6,2,FALSE)</f>
        <v>2.8000000000000001E-2</v>
      </c>
      <c r="K1054">
        <v>0.11700000000000001</v>
      </c>
      <c r="L1054" s="413">
        <f>K1054*VLOOKUP(E1054,GWPs!$B$3:$C$6,2,FALSE)</f>
        <v>0.11700000000000001</v>
      </c>
      <c r="N1054">
        <v>3</v>
      </c>
      <c r="O1054">
        <v>2</v>
      </c>
      <c r="P1054">
        <v>1</v>
      </c>
      <c r="Q1054">
        <v>3</v>
      </c>
      <c r="R1054">
        <v>1</v>
      </c>
    </row>
    <row r="1055" spans="1:18">
      <c r="A1055" t="str">
        <f>_xlfn.IFNA(IF(VLOOKUP(C1055,'2016_Detail_Commodity_v1.0'!C:C,1,FALSE)=C1055,"No change"),"Name changed")</f>
        <v>No change</v>
      </c>
      <c r="B1055" t="s">
        <v>833</v>
      </c>
      <c r="C1055" t="s">
        <v>834</v>
      </c>
      <c r="E1055" t="s">
        <v>3654</v>
      </c>
      <c r="F1055" t="s">
        <v>12</v>
      </c>
      <c r="G1055">
        <v>0</v>
      </c>
      <c r="H1055" s="413">
        <f>G1055*VLOOKUP(E1055,GWPs!$B$3:$C$6,2,FALSE)</f>
        <v>0</v>
      </c>
      <c r="I1055">
        <v>0</v>
      </c>
      <c r="J1055" s="413">
        <f>I1055*VLOOKUP(E1055,GWPs!$B$3:$C$6,2,FALSE)</f>
        <v>0</v>
      </c>
      <c r="K1055">
        <v>0</v>
      </c>
      <c r="L1055" s="413">
        <f>K1055*VLOOKUP(E1055,GWPs!$B$3:$C$6,2,FALSE)</f>
        <v>0</v>
      </c>
      <c r="N1055">
        <v>3</v>
      </c>
      <c r="O1055">
        <v>2</v>
      </c>
      <c r="P1055">
        <v>1</v>
      </c>
      <c r="Q1055">
        <v>1</v>
      </c>
      <c r="R1055">
        <v>1</v>
      </c>
    </row>
    <row r="1056" spans="1:18">
      <c r="A1056" t="str">
        <f>_xlfn.IFNA(IF(VLOOKUP(C1056,'2016_Detail_Commodity_v1.0'!C:C,1,FALSE)=C1056,"No change"),"Name changed")</f>
        <v>No change</v>
      </c>
      <c r="B1056" t="s">
        <v>833</v>
      </c>
      <c r="C1056" t="s">
        <v>834</v>
      </c>
      <c r="E1056" t="s">
        <v>3655</v>
      </c>
      <c r="F1056" t="s">
        <v>12</v>
      </c>
      <c r="G1056">
        <v>0</v>
      </c>
      <c r="H1056" s="413">
        <f>G1056*VLOOKUP(E1056,GWPs!$B$3:$C$6,2,FALSE)</f>
        <v>0</v>
      </c>
      <c r="I1056">
        <v>0</v>
      </c>
      <c r="J1056" s="413">
        <f>I1056*VLOOKUP(E1056,GWPs!$B$3:$C$6,2,FALSE)</f>
        <v>0</v>
      </c>
      <c r="K1056">
        <v>0</v>
      </c>
      <c r="L1056" s="413">
        <f>K1056*VLOOKUP(E1056,GWPs!$B$3:$C$6,2,FALSE)</f>
        <v>0</v>
      </c>
      <c r="N1056">
        <v>3</v>
      </c>
      <c r="O1056">
        <v>2</v>
      </c>
      <c r="P1056">
        <v>1</v>
      </c>
      <c r="Q1056">
        <v>3</v>
      </c>
      <c r="R1056">
        <v>1</v>
      </c>
    </row>
    <row r="1057" spans="1:18">
      <c r="A1057" t="str">
        <f>_xlfn.IFNA(IF(VLOOKUP(C1057,'2016_Detail_Commodity_v1.0'!C:C,1,FALSE)=C1057,"No change"),"Name changed")</f>
        <v>No change</v>
      </c>
      <c r="B1057" t="s">
        <v>833</v>
      </c>
      <c r="C1057" t="s">
        <v>834</v>
      </c>
      <c r="E1057" t="s">
        <v>15</v>
      </c>
      <c r="F1057" t="s">
        <v>16</v>
      </c>
      <c r="G1057">
        <v>5.0000000000000001E-3</v>
      </c>
      <c r="H1057" s="413">
        <f>G1057*VLOOKUP(E1057,GWPs!$B$3:$C$6,2,FALSE)</f>
        <v>5.0000000000000001E-3</v>
      </c>
      <c r="I1057">
        <v>0</v>
      </c>
      <c r="J1057" s="413">
        <f>I1057*VLOOKUP(E1057,GWPs!$B$3:$C$6,2,FALSE)</f>
        <v>0</v>
      </c>
      <c r="K1057">
        <v>5.0000000000000001E-3</v>
      </c>
      <c r="L1057" s="413">
        <f>K1057*VLOOKUP(E1057,GWPs!$B$3:$C$6,2,FALSE)</f>
        <v>5.0000000000000001E-3</v>
      </c>
      <c r="N1057">
        <v>4</v>
      </c>
      <c r="O1057">
        <v>2</v>
      </c>
      <c r="P1057">
        <v>1</v>
      </c>
      <c r="Q1057">
        <v>2</v>
      </c>
      <c r="R1057">
        <v>1</v>
      </c>
    </row>
    <row r="1058" spans="1:18">
      <c r="A1058" t="str">
        <f>_xlfn.IFNA(IF(VLOOKUP(C1058,'2016_Detail_Commodity_v1.0'!C:C,1,FALSE)=C1058,"No change"),"Name changed")</f>
        <v>No change</v>
      </c>
      <c r="B1058" t="s">
        <v>835</v>
      </c>
      <c r="C1058" t="s">
        <v>836</v>
      </c>
      <c r="E1058" t="s">
        <v>3653</v>
      </c>
      <c r="F1058" t="s">
        <v>12</v>
      </c>
      <c r="G1058">
        <v>8.7999999999999995E-2</v>
      </c>
      <c r="H1058" s="413">
        <f>G1058*VLOOKUP(E1058,GWPs!$B$3:$C$6,2,FALSE)</f>
        <v>8.7999999999999995E-2</v>
      </c>
      <c r="I1058">
        <v>0.106</v>
      </c>
      <c r="J1058" s="413">
        <f>I1058*VLOOKUP(E1058,GWPs!$B$3:$C$6,2,FALSE)</f>
        <v>0.106</v>
      </c>
      <c r="K1058">
        <v>0.19400000000000001</v>
      </c>
      <c r="L1058" s="413">
        <f>K1058*VLOOKUP(E1058,GWPs!$B$3:$C$6,2,FALSE)</f>
        <v>0.19400000000000001</v>
      </c>
      <c r="N1058">
        <v>3</v>
      </c>
      <c r="O1058">
        <v>2</v>
      </c>
      <c r="P1058">
        <v>1</v>
      </c>
      <c r="Q1058">
        <v>3</v>
      </c>
      <c r="R1058">
        <v>1</v>
      </c>
    </row>
    <row r="1059" spans="1:18">
      <c r="A1059" t="str">
        <f>_xlfn.IFNA(IF(VLOOKUP(C1059,'2016_Detail_Commodity_v1.0'!C:C,1,FALSE)=C1059,"No change"),"Name changed")</f>
        <v>No change</v>
      </c>
      <c r="B1059" t="s">
        <v>835</v>
      </c>
      <c r="C1059" t="s">
        <v>836</v>
      </c>
      <c r="E1059" t="s">
        <v>3654</v>
      </c>
      <c r="F1059" t="s">
        <v>12</v>
      </c>
      <c r="G1059">
        <v>0</v>
      </c>
      <c r="H1059" s="413">
        <f>G1059*VLOOKUP(E1059,GWPs!$B$3:$C$6,2,FALSE)</f>
        <v>0</v>
      </c>
      <c r="I1059">
        <v>0</v>
      </c>
      <c r="J1059" s="413">
        <f>I1059*VLOOKUP(E1059,GWPs!$B$3:$C$6,2,FALSE)</f>
        <v>0</v>
      </c>
      <c r="K1059">
        <v>1E-3</v>
      </c>
      <c r="L1059" s="413">
        <f>K1059*VLOOKUP(E1059,GWPs!$B$3:$C$6,2,FALSE)</f>
        <v>2.8000000000000001E-2</v>
      </c>
      <c r="N1059">
        <v>3</v>
      </c>
      <c r="O1059">
        <v>2</v>
      </c>
      <c r="P1059">
        <v>1</v>
      </c>
      <c r="Q1059">
        <v>1</v>
      </c>
      <c r="R1059">
        <v>1</v>
      </c>
    </row>
    <row r="1060" spans="1:18">
      <c r="A1060" t="str">
        <f>_xlfn.IFNA(IF(VLOOKUP(C1060,'2016_Detail_Commodity_v1.0'!C:C,1,FALSE)=C1060,"No change"),"Name changed")</f>
        <v>No change</v>
      </c>
      <c r="B1060" t="s">
        <v>835</v>
      </c>
      <c r="C1060" t="s">
        <v>836</v>
      </c>
      <c r="E1060" t="s">
        <v>3655</v>
      </c>
      <c r="F1060" t="s">
        <v>12</v>
      </c>
      <c r="G1060">
        <v>0</v>
      </c>
      <c r="H1060" s="413">
        <f>G1060*VLOOKUP(E1060,GWPs!$B$3:$C$6,2,FALSE)</f>
        <v>0</v>
      </c>
      <c r="I1060">
        <v>0</v>
      </c>
      <c r="J1060" s="413">
        <f>I1060*VLOOKUP(E1060,GWPs!$B$3:$C$6,2,FALSE)</f>
        <v>0</v>
      </c>
      <c r="K1060">
        <v>0</v>
      </c>
      <c r="L1060" s="413">
        <f>K1060*VLOOKUP(E1060,GWPs!$B$3:$C$6,2,FALSE)</f>
        <v>0</v>
      </c>
      <c r="N1060">
        <v>3</v>
      </c>
      <c r="O1060">
        <v>2</v>
      </c>
      <c r="P1060">
        <v>1</v>
      </c>
      <c r="Q1060">
        <v>3</v>
      </c>
      <c r="R1060">
        <v>1</v>
      </c>
    </row>
    <row r="1061" spans="1:18">
      <c r="A1061" t="str">
        <f>_xlfn.IFNA(IF(VLOOKUP(C1061,'2016_Detail_Commodity_v1.0'!C:C,1,FALSE)=C1061,"No change"),"Name changed")</f>
        <v>No change</v>
      </c>
      <c r="B1061" t="s">
        <v>835</v>
      </c>
      <c r="C1061" t="s">
        <v>836</v>
      </c>
      <c r="E1061" t="s">
        <v>15</v>
      </c>
      <c r="F1061" t="s">
        <v>16</v>
      </c>
      <c r="G1061">
        <v>8.9999999999999993E-3</v>
      </c>
      <c r="H1061" s="413">
        <f>G1061*VLOOKUP(E1061,GWPs!$B$3:$C$6,2,FALSE)</f>
        <v>8.9999999999999993E-3</v>
      </c>
      <c r="I1061">
        <v>0</v>
      </c>
      <c r="J1061" s="413">
        <f>I1061*VLOOKUP(E1061,GWPs!$B$3:$C$6,2,FALSE)</f>
        <v>0</v>
      </c>
      <c r="K1061">
        <v>8.9999999999999993E-3</v>
      </c>
      <c r="L1061" s="413">
        <f>K1061*VLOOKUP(E1061,GWPs!$B$3:$C$6,2,FALSE)</f>
        <v>8.9999999999999993E-3</v>
      </c>
      <c r="N1061">
        <v>4</v>
      </c>
      <c r="O1061">
        <v>2</v>
      </c>
      <c r="P1061">
        <v>1</v>
      </c>
      <c r="Q1061">
        <v>2</v>
      </c>
      <c r="R1061">
        <v>1</v>
      </c>
    </row>
    <row r="1062" spans="1:18">
      <c r="A1062" t="str">
        <f>_xlfn.IFNA(IF(VLOOKUP(C1062,'2016_Detail_Commodity_v1.0'!C:C,1,FALSE)=C1062,"No change"),"Name changed")</f>
        <v>No change</v>
      </c>
      <c r="B1062" t="s">
        <v>837</v>
      </c>
      <c r="C1062" t="s">
        <v>838</v>
      </c>
      <c r="E1062" t="s">
        <v>3653</v>
      </c>
      <c r="F1062" t="s">
        <v>12</v>
      </c>
      <c r="G1062">
        <v>0.13300000000000001</v>
      </c>
      <c r="H1062" s="413">
        <f>G1062*VLOOKUP(E1062,GWPs!$B$3:$C$6,2,FALSE)</f>
        <v>0.13300000000000001</v>
      </c>
      <c r="I1062">
        <v>0.12</v>
      </c>
      <c r="J1062" s="413">
        <f>I1062*VLOOKUP(E1062,GWPs!$B$3:$C$6,2,FALSE)</f>
        <v>0.12</v>
      </c>
      <c r="K1062">
        <v>0.252</v>
      </c>
      <c r="L1062" s="413">
        <f>K1062*VLOOKUP(E1062,GWPs!$B$3:$C$6,2,FALSE)</f>
        <v>0.252</v>
      </c>
      <c r="N1062">
        <v>3</v>
      </c>
      <c r="O1062">
        <v>2</v>
      </c>
      <c r="P1062">
        <v>1</v>
      </c>
      <c r="Q1062">
        <v>3</v>
      </c>
      <c r="R1062">
        <v>1</v>
      </c>
    </row>
    <row r="1063" spans="1:18">
      <c r="A1063" t="str">
        <f>_xlfn.IFNA(IF(VLOOKUP(C1063,'2016_Detail_Commodity_v1.0'!C:C,1,FALSE)=C1063,"No change"),"Name changed")</f>
        <v>No change</v>
      </c>
      <c r="B1063" t="s">
        <v>837</v>
      </c>
      <c r="C1063" t="s">
        <v>838</v>
      </c>
      <c r="E1063" t="s">
        <v>3654</v>
      </c>
      <c r="F1063" t="s">
        <v>12</v>
      </c>
      <c r="G1063">
        <v>0</v>
      </c>
      <c r="H1063" s="413">
        <f>G1063*VLOOKUP(E1063,GWPs!$B$3:$C$6,2,FALSE)</f>
        <v>0</v>
      </c>
      <c r="I1063">
        <v>1E-3</v>
      </c>
      <c r="J1063" s="413">
        <f>I1063*VLOOKUP(E1063,GWPs!$B$3:$C$6,2,FALSE)</f>
        <v>2.8000000000000001E-2</v>
      </c>
      <c r="K1063">
        <v>1E-3</v>
      </c>
      <c r="L1063" s="413">
        <f>K1063*VLOOKUP(E1063,GWPs!$B$3:$C$6,2,FALSE)</f>
        <v>2.8000000000000001E-2</v>
      </c>
      <c r="N1063">
        <v>4</v>
      </c>
      <c r="O1063">
        <v>2</v>
      </c>
      <c r="P1063">
        <v>1</v>
      </c>
      <c r="Q1063">
        <v>1</v>
      </c>
      <c r="R1063">
        <v>1</v>
      </c>
    </row>
    <row r="1064" spans="1:18">
      <c r="A1064" t="str">
        <f>_xlfn.IFNA(IF(VLOOKUP(C1064,'2016_Detail_Commodity_v1.0'!C:C,1,FALSE)=C1064,"No change"),"Name changed")</f>
        <v>No change</v>
      </c>
      <c r="B1064" t="s">
        <v>837</v>
      </c>
      <c r="C1064" t="s">
        <v>838</v>
      </c>
      <c r="E1064" t="s">
        <v>3655</v>
      </c>
      <c r="F1064" t="s">
        <v>12</v>
      </c>
      <c r="G1064">
        <v>0</v>
      </c>
      <c r="H1064" s="413">
        <f>G1064*VLOOKUP(E1064,GWPs!$B$3:$C$6,2,FALSE)</f>
        <v>0</v>
      </c>
      <c r="I1064">
        <v>0</v>
      </c>
      <c r="J1064" s="413">
        <f>I1064*VLOOKUP(E1064,GWPs!$B$3:$C$6,2,FALSE)</f>
        <v>0</v>
      </c>
      <c r="K1064">
        <v>0</v>
      </c>
      <c r="L1064" s="413">
        <f>K1064*VLOOKUP(E1064,GWPs!$B$3:$C$6,2,FALSE)</f>
        <v>0</v>
      </c>
      <c r="N1064">
        <v>3</v>
      </c>
      <c r="O1064">
        <v>2</v>
      </c>
      <c r="P1064">
        <v>1</v>
      </c>
      <c r="Q1064">
        <v>3</v>
      </c>
      <c r="R1064">
        <v>1</v>
      </c>
    </row>
    <row r="1065" spans="1:18">
      <c r="A1065" t="str">
        <f>_xlfn.IFNA(IF(VLOOKUP(C1065,'2016_Detail_Commodity_v1.0'!C:C,1,FALSE)=C1065,"No change"),"Name changed")</f>
        <v>No change</v>
      </c>
      <c r="B1065" t="s">
        <v>837</v>
      </c>
      <c r="C1065" t="s">
        <v>838</v>
      </c>
      <c r="E1065" t="s">
        <v>15</v>
      </c>
      <c r="F1065" t="s">
        <v>16</v>
      </c>
      <c r="G1065">
        <v>7.0000000000000001E-3</v>
      </c>
      <c r="H1065" s="413">
        <f>G1065*VLOOKUP(E1065,GWPs!$B$3:$C$6,2,FALSE)</f>
        <v>7.0000000000000001E-3</v>
      </c>
      <c r="I1065">
        <v>0</v>
      </c>
      <c r="J1065" s="413">
        <f>I1065*VLOOKUP(E1065,GWPs!$B$3:$C$6,2,FALSE)</f>
        <v>0</v>
      </c>
      <c r="K1065">
        <v>7.0000000000000001E-3</v>
      </c>
      <c r="L1065" s="413">
        <f>K1065*VLOOKUP(E1065,GWPs!$B$3:$C$6,2,FALSE)</f>
        <v>7.0000000000000001E-3</v>
      </c>
      <c r="N1065">
        <v>3</v>
      </c>
      <c r="O1065">
        <v>2</v>
      </c>
      <c r="P1065">
        <v>1</v>
      </c>
      <c r="Q1065">
        <v>3</v>
      </c>
      <c r="R1065">
        <v>1</v>
      </c>
    </row>
    <row r="1066" spans="1:18">
      <c r="A1066" t="str">
        <f>_xlfn.IFNA(IF(VLOOKUP(C1066,'2016_Detail_Commodity_v1.0'!C:C,1,FALSE)=C1066,"No change"),"Name changed")</f>
        <v>No change</v>
      </c>
      <c r="B1066" t="s">
        <v>839</v>
      </c>
      <c r="C1066" t="s">
        <v>840</v>
      </c>
      <c r="E1066" t="s">
        <v>3653</v>
      </c>
      <c r="F1066" t="s">
        <v>12</v>
      </c>
      <c r="G1066">
        <v>9.0999999999999998E-2</v>
      </c>
      <c r="H1066" s="413">
        <f>G1066*VLOOKUP(E1066,GWPs!$B$3:$C$6,2,FALSE)</f>
        <v>9.0999999999999998E-2</v>
      </c>
      <c r="I1066">
        <v>0.126</v>
      </c>
      <c r="J1066" s="413">
        <f>I1066*VLOOKUP(E1066,GWPs!$B$3:$C$6,2,FALSE)</f>
        <v>0.126</v>
      </c>
      <c r="K1066">
        <v>0.217</v>
      </c>
      <c r="L1066" s="413">
        <f>K1066*VLOOKUP(E1066,GWPs!$B$3:$C$6,2,FALSE)</f>
        <v>0.217</v>
      </c>
      <c r="N1066">
        <v>3</v>
      </c>
      <c r="O1066">
        <v>2</v>
      </c>
      <c r="P1066">
        <v>1</v>
      </c>
      <c r="Q1066">
        <v>3</v>
      </c>
      <c r="R1066">
        <v>1</v>
      </c>
    </row>
    <row r="1067" spans="1:18">
      <c r="A1067" t="str">
        <f>_xlfn.IFNA(IF(VLOOKUP(C1067,'2016_Detail_Commodity_v1.0'!C:C,1,FALSE)=C1067,"No change"),"Name changed")</f>
        <v>No change</v>
      </c>
      <c r="B1067" t="s">
        <v>839</v>
      </c>
      <c r="C1067" t="s">
        <v>840</v>
      </c>
      <c r="E1067" t="s">
        <v>3654</v>
      </c>
      <c r="F1067" t="s">
        <v>12</v>
      </c>
      <c r="G1067">
        <v>0</v>
      </c>
      <c r="H1067" s="413">
        <f>G1067*VLOOKUP(E1067,GWPs!$B$3:$C$6,2,FALSE)</f>
        <v>0</v>
      </c>
      <c r="I1067">
        <v>1E-3</v>
      </c>
      <c r="J1067" s="413">
        <f>I1067*VLOOKUP(E1067,GWPs!$B$3:$C$6,2,FALSE)</f>
        <v>2.8000000000000001E-2</v>
      </c>
      <c r="K1067">
        <v>1E-3</v>
      </c>
      <c r="L1067" s="413">
        <f>K1067*VLOOKUP(E1067,GWPs!$B$3:$C$6,2,FALSE)</f>
        <v>2.8000000000000001E-2</v>
      </c>
      <c r="N1067">
        <v>4</v>
      </c>
      <c r="O1067">
        <v>2</v>
      </c>
      <c r="P1067">
        <v>1</v>
      </c>
      <c r="Q1067">
        <v>1</v>
      </c>
      <c r="R1067">
        <v>1</v>
      </c>
    </row>
    <row r="1068" spans="1:18">
      <c r="A1068" t="str">
        <f>_xlfn.IFNA(IF(VLOOKUP(C1068,'2016_Detail_Commodity_v1.0'!C:C,1,FALSE)=C1068,"No change"),"Name changed")</f>
        <v>No change</v>
      </c>
      <c r="B1068" t="s">
        <v>839</v>
      </c>
      <c r="C1068" t="s">
        <v>840</v>
      </c>
      <c r="E1068" t="s">
        <v>3655</v>
      </c>
      <c r="F1068" t="s">
        <v>12</v>
      </c>
      <c r="G1068">
        <v>0</v>
      </c>
      <c r="H1068" s="413">
        <f>G1068*VLOOKUP(E1068,GWPs!$B$3:$C$6,2,FALSE)</f>
        <v>0</v>
      </c>
      <c r="I1068">
        <v>0</v>
      </c>
      <c r="J1068" s="413">
        <f>I1068*VLOOKUP(E1068,GWPs!$B$3:$C$6,2,FALSE)</f>
        <v>0</v>
      </c>
      <c r="K1068">
        <v>0</v>
      </c>
      <c r="L1068" s="413">
        <f>K1068*VLOOKUP(E1068,GWPs!$B$3:$C$6,2,FALSE)</f>
        <v>0</v>
      </c>
      <c r="N1068">
        <v>3</v>
      </c>
      <c r="O1068">
        <v>2</v>
      </c>
      <c r="P1068">
        <v>1</v>
      </c>
      <c r="Q1068">
        <v>3</v>
      </c>
      <c r="R1068">
        <v>1</v>
      </c>
    </row>
    <row r="1069" spans="1:18">
      <c r="A1069" t="str">
        <f>_xlfn.IFNA(IF(VLOOKUP(C1069,'2016_Detail_Commodity_v1.0'!C:C,1,FALSE)=C1069,"No change"),"Name changed")</f>
        <v>No change</v>
      </c>
      <c r="B1069" t="s">
        <v>839</v>
      </c>
      <c r="C1069" t="s">
        <v>840</v>
      </c>
      <c r="E1069" t="s">
        <v>15</v>
      </c>
      <c r="F1069" t="s">
        <v>16</v>
      </c>
      <c r="G1069">
        <v>8.9999999999999993E-3</v>
      </c>
      <c r="H1069" s="413">
        <f>G1069*VLOOKUP(E1069,GWPs!$B$3:$C$6,2,FALSE)</f>
        <v>8.9999999999999993E-3</v>
      </c>
      <c r="I1069">
        <v>0</v>
      </c>
      <c r="J1069" s="413">
        <f>I1069*VLOOKUP(E1069,GWPs!$B$3:$C$6,2,FALSE)</f>
        <v>0</v>
      </c>
      <c r="K1069">
        <v>8.9999999999999993E-3</v>
      </c>
      <c r="L1069" s="413">
        <f>K1069*VLOOKUP(E1069,GWPs!$B$3:$C$6,2,FALSE)</f>
        <v>8.9999999999999993E-3</v>
      </c>
      <c r="N1069">
        <v>4</v>
      </c>
      <c r="O1069">
        <v>2</v>
      </c>
      <c r="P1069">
        <v>1</v>
      </c>
      <c r="Q1069">
        <v>4</v>
      </c>
      <c r="R1069">
        <v>1</v>
      </c>
    </row>
    <row r="1070" spans="1:18">
      <c r="A1070" t="str">
        <f>_xlfn.IFNA(IF(VLOOKUP(C1070,'2016_Detail_Commodity_v1.0'!C:C,1,FALSE)=C1070,"No change"),"Name changed")</f>
        <v>No change</v>
      </c>
      <c r="B1070" t="s">
        <v>841</v>
      </c>
      <c r="C1070" t="s">
        <v>842</v>
      </c>
      <c r="E1070" t="s">
        <v>3653</v>
      </c>
      <c r="F1070" t="s">
        <v>12</v>
      </c>
      <c r="G1070">
        <v>0.192</v>
      </c>
      <c r="H1070" s="413">
        <f>G1070*VLOOKUP(E1070,GWPs!$B$3:$C$6,2,FALSE)</f>
        <v>0.192</v>
      </c>
      <c r="I1070">
        <v>9.6000000000000002E-2</v>
      </c>
      <c r="J1070" s="413">
        <f>I1070*VLOOKUP(E1070,GWPs!$B$3:$C$6,2,FALSE)</f>
        <v>9.6000000000000002E-2</v>
      </c>
      <c r="K1070">
        <v>0.28799999999999998</v>
      </c>
      <c r="L1070" s="413">
        <f>K1070*VLOOKUP(E1070,GWPs!$B$3:$C$6,2,FALSE)</f>
        <v>0.28799999999999998</v>
      </c>
      <c r="N1070">
        <v>3</v>
      </c>
      <c r="O1070">
        <v>2</v>
      </c>
      <c r="P1070">
        <v>1</v>
      </c>
      <c r="Q1070">
        <v>4</v>
      </c>
      <c r="R1070">
        <v>1</v>
      </c>
    </row>
    <row r="1071" spans="1:18">
      <c r="A1071" t="str">
        <f>_xlfn.IFNA(IF(VLOOKUP(C1071,'2016_Detail_Commodity_v1.0'!C:C,1,FALSE)=C1071,"No change"),"Name changed")</f>
        <v>No change</v>
      </c>
      <c r="B1071" t="s">
        <v>841</v>
      </c>
      <c r="C1071" t="s">
        <v>842</v>
      </c>
      <c r="E1071" t="s">
        <v>3654</v>
      </c>
      <c r="F1071" t="s">
        <v>12</v>
      </c>
      <c r="G1071">
        <v>1E-3</v>
      </c>
      <c r="H1071" s="413">
        <f>G1071*VLOOKUP(E1071,GWPs!$B$3:$C$6,2,FALSE)</f>
        <v>2.8000000000000001E-2</v>
      </c>
      <c r="I1071">
        <v>1E-3</v>
      </c>
      <c r="J1071" s="413">
        <f>I1071*VLOOKUP(E1071,GWPs!$B$3:$C$6,2,FALSE)</f>
        <v>2.8000000000000001E-2</v>
      </c>
      <c r="K1071">
        <v>2E-3</v>
      </c>
      <c r="L1071" s="413">
        <f>K1071*VLOOKUP(E1071,GWPs!$B$3:$C$6,2,FALSE)</f>
        <v>5.6000000000000001E-2</v>
      </c>
      <c r="N1071">
        <v>4</v>
      </c>
      <c r="O1071">
        <v>2</v>
      </c>
      <c r="P1071">
        <v>1</v>
      </c>
      <c r="Q1071">
        <v>1</v>
      </c>
      <c r="R1071">
        <v>1</v>
      </c>
    </row>
    <row r="1072" spans="1:18">
      <c r="A1072" t="str">
        <f>_xlfn.IFNA(IF(VLOOKUP(C1072,'2016_Detail_Commodity_v1.0'!C:C,1,FALSE)=C1072,"No change"),"Name changed")</f>
        <v>No change</v>
      </c>
      <c r="B1072" t="s">
        <v>841</v>
      </c>
      <c r="C1072" t="s">
        <v>842</v>
      </c>
      <c r="E1072" t="s">
        <v>3655</v>
      </c>
      <c r="F1072" t="s">
        <v>12</v>
      </c>
      <c r="G1072">
        <v>0</v>
      </c>
      <c r="H1072" s="413">
        <f>G1072*VLOOKUP(E1072,GWPs!$B$3:$C$6,2,FALSE)</f>
        <v>0</v>
      </c>
      <c r="I1072">
        <v>0</v>
      </c>
      <c r="J1072" s="413">
        <f>I1072*VLOOKUP(E1072,GWPs!$B$3:$C$6,2,FALSE)</f>
        <v>0</v>
      </c>
      <c r="K1072">
        <v>0</v>
      </c>
      <c r="L1072" s="413">
        <f>K1072*VLOOKUP(E1072,GWPs!$B$3:$C$6,2,FALSE)</f>
        <v>0</v>
      </c>
      <c r="N1072">
        <v>3</v>
      </c>
      <c r="O1072">
        <v>2</v>
      </c>
      <c r="P1072">
        <v>1</v>
      </c>
      <c r="Q1072">
        <v>3</v>
      </c>
      <c r="R1072">
        <v>1</v>
      </c>
    </row>
    <row r="1073" spans="1:18">
      <c r="A1073" t="str">
        <f>_xlfn.IFNA(IF(VLOOKUP(C1073,'2016_Detail_Commodity_v1.0'!C:C,1,FALSE)=C1073,"No change"),"Name changed")</f>
        <v>No change</v>
      </c>
      <c r="B1073" t="s">
        <v>841</v>
      </c>
      <c r="C1073" t="s">
        <v>842</v>
      </c>
      <c r="E1073" t="s">
        <v>15</v>
      </c>
      <c r="F1073" t="s">
        <v>16</v>
      </c>
      <c r="G1073">
        <v>5.0000000000000001E-3</v>
      </c>
      <c r="H1073" s="413">
        <f>G1073*VLOOKUP(E1073,GWPs!$B$3:$C$6,2,FALSE)</f>
        <v>5.0000000000000001E-3</v>
      </c>
      <c r="I1073">
        <v>0</v>
      </c>
      <c r="J1073" s="413">
        <f>I1073*VLOOKUP(E1073,GWPs!$B$3:$C$6,2,FALSE)</f>
        <v>0</v>
      </c>
      <c r="K1073">
        <v>5.0000000000000001E-3</v>
      </c>
      <c r="L1073" s="413">
        <f>K1073*VLOOKUP(E1073,GWPs!$B$3:$C$6,2,FALSE)</f>
        <v>5.0000000000000001E-3</v>
      </c>
      <c r="N1073">
        <v>3</v>
      </c>
      <c r="O1073">
        <v>2</v>
      </c>
      <c r="P1073">
        <v>1</v>
      </c>
      <c r="Q1073">
        <v>3</v>
      </c>
      <c r="R1073">
        <v>1</v>
      </c>
    </row>
    <row r="1074" spans="1:18">
      <c r="A1074" t="str">
        <f>_xlfn.IFNA(IF(VLOOKUP(C1074,'2016_Detail_Commodity_v1.0'!C:C,1,FALSE)=C1074,"No change"),"Name changed")</f>
        <v>No change</v>
      </c>
      <c r="B1074" t="s">
        <v>843</v>
      </c>
      <c r="C1074" t="s">
        <v>844</v>
      </c>
      <c r="E1074" t="s">
        <v>3653</v>
      </c>
      <c r="F1074" t="s">
        <v>12</v>
      </c>
      <c r="G1074">
        <v>0.214</v>
      </c>
      <c r="H1074" s="413">
        <f>G1074*VLOOKUP(E1074,GWPs!$B$3:$C$6,2,FALSE)</f>
        <v>0.214</v>
      </c>
      <c r="I1074">
        <v>8.2000000000000003E-2</v>
      </c>
      <c r="J1074" s="413">
        <f>I1074*VLOOKUP(E1074,GWPs!$B$3:$C$6,2,FALSE)</f>
        <v>8.2000000000000003E-2</v>
      </c>
      <c r="K1074">
        <v>0.29599999999999999</v>
      </c>
      <c r="L1074" s="413">
        <f>K1074*VLOOKUP(E1074,GWPs!$B$3:$C$6,2,FALSE)</f>
        <v>0.29599999999999999</v>
      </c>
      <c r="N1074">
        <v>3</v>
      </c>
      <c r="O1074">
        <v>2</v>
      </c>
      <c r="P1074">
        <v>1</v>
      </c>
      <c r="Q1074">
        <v>3</v>
      </c>
      <c r="R1074">
        <v>1</v>
      </c>
    </row>
    <row r="1075" spans="1:18">
      <c r="A1075" t="str">
        <f>_xlfn.IFNA(IF(VLOOKUP(C1075,'2016_Detail_Commodity_v1.0'!C:C,1,FALSE)=C1075,"No change"),"Name changed")</f>
        <v>No change</v>
      </c>
      <c r="B1075" t="s">
        <v>843</v>
      </c>
      <c r="C1075" t="s">
        <v>844</v>
      </c>
      <c r="E1075" t="s">
        <v>3654</v>
      </c>
      <c r="F1075" t="s">
        <v>12</v>
      </c>
      <c r="G1075">
        <v>1E-3</v>
      </c>
      <c r="H1075" s="413">
        <f>G1075*VLOOKUP(E1075,GWPs!$B$3:$C$6,2,FALSE)</f>
        <v>2.8000000000000001E-2</v>
      </c>
      <c r="I1075">
        <v>1E-3</v>
      </c>
      <c r="J1075" s="413">
        <f>I1075*VLOOKUP(E1075,GWPs!$B$3:$C$6,2,FALSE)</f>
        <v>2.8000000000000001E-2</v>
      </c>
      <c r="K1075">
        <v>2E-3</v>
      </c>
      <c r="L1075" s="413">
        <f>K1075*VLOOKUP(E1075,GWPs!$B$3:$C$6,2,FALSE)</f>
        <v>5.6000000000000001E-2</v>
      </c>
      <c r="N1075">
        <v>4</v>
      </c>
      <c r="O1075">
        <v>2</v>
      </c>
      <c r="P1075">
        <v>1</v>
      </c>
      <c r="Q1075">
        <v>1</v>
      </c>
      <c r="R1075">
        <v>1</v>
      </c>
    </row>
    <row r="1076" spans="1:18">
      <c r="A1076" t="str">
        <f>_xlfn.IFNA(IF(VLOOKUP(C1076,'2016_Detail_Commodity_v1.0'!C:C,1,FALSE)=C1076,"No change"),"Name changed")</f>
        <v>No change</v>
      </c>
      <c r="B1076" t="s">
        <v>843</v>
      </c>
      <c r="C1076" t="s">
        <v>844</v>
      </c>
      <c r="E1076" t="s">
        <v>3655</v>
      </c>
      <c r="F1076" t="s">
        <v>12</v>
      </c>
      <c r="G1076">
        <v>0</v>
      </c>
      <c r="H1076" s="413">
        <f>G1076*VLOOKUP(E1076,GWPs!$B$3:$C$6,2,FALSE)</f>
        <v>0</v>
      </c>
      <c r="I1076">
        <v>0</v>
      </c>
      <c r="J1076" s="413">
        <f>I1076*VLOOKUP(E1076,GWPs!$B$3:$C$6,2,FALSE)</f>
        <v>0</v>
      </c>
      <c r="K1076">
        <v>0</v>
      </c>
      <c r="L1076" s="413">
        <f>K1076*VLOOKUP(E1076,GWPs!$B$3:$C$6,2,FALSE)</f>
        <v>0</v>
      </c>
      <c r="N1076">
        <v>3</v>
      </c>
      <c r="O1076">
        <v>2</v>
      </c>
      <c r="P1076">
        <v>1</v>
      </c>
      <c r="Q1076">
        <v>3</v>
      </c>
      <c r="R1076">
        <v>1</v>
      </c>
    </row>
    <row r="1077" spans="1:18">
      <c r="A1077" t="str">
        <f>_xlfn.IFNA(IF(VLOOKUP(C1077,'2016_Detail_Commodity_v1.0'!C:C,1,FALSE)=C1077,"No change"),"Name changed")</f>
        <v>No change</v>
      </c>
      <c r="B1077" t="s">
        <v>843</v>
      </c>
      <c r="C1077" t="s">
        <v>844</v>
      </c>
      <c r="E1077" t="s">
        <v>15</v>
      </c>
      <c r="F1077" t="s">
        <v>16</v>
      </c>
      <c r="G1077">
        <v>1.0999999999999999E-2</v>
      </c>
      <c r="H1077" s="413">
        <f>G1077*VLOOKUP(E1077,GWPs!$B$3:$C$6,2,FALSE)</f>
        <v>1.0999999999999999E-2</v>
      </c>
      <c r="I1077">
        <v>0</v>
      </c>
      <c r="J1077" s="413">
        <f>I1077*VLOOKUP(E1077,GWPs!$B$3:$C$6,2,FALSE)</f>
        <v>0</v>
      </c>
      <c r="K1077">
        <v>1.0999999999999999E-2</v>
      </c>
      <c r="L1077" s="413">
        <f>K1077*VLOOKUP(E1077,GWPs!$B$3:$C$6,2,FALSE)</f>
        <v>1.0999999999999999E-2</v>
      </c>
      <c r="N1077">
        <v>3</v>
      </c>
      <c r="O1077">
        <v>2</v>
      </c>
      <c r="P1077">
        <v>1</v>
      </c>
      <c r="Q1077">
        <v>4</v>
      </c>
      <c r="R1077">
        <v>1</v>
      </c>
    </row>
    <row r="1078" spans="1:18">
      <c r="A1078" t="str">
        <f>_xlfn.IFNA(IF(VLOOKUP(C1078,'2016_Detail_Commodity_v1.0'!C:C,1,FALSE)=C1078,"No change"),"Name changed")</f>
        <v>No change</v>
      </c>
      <c r="B1078" t="s">
        <v>845</v>
      </c>
      <c r="C1078" t="s">
        <v>846</v>
      </c>
      <c r="E1078" t="s">
        <v>3653</v>
      </c>
      <c r="F1078" t="s">
        <v>12</v>
      </c>
      <c r="G1078">
        <v>0.13500000000000001</v>
      </c>
      <c r="H1078" s="413">
        <f>G1078*VLOOKUP(E1078,GWPs!$B$3:$C$6,2,FALSE)</f>
        <v>0.13500000000000001</v>
      </c>
      <c r="I1078">
        <v>0.109</v>
      </c>
      <c r="J1078" s="413">
        <f>I1078*VLOOKUP(E1078,GWPs!$B$3:$C$6,2,FALSE)</f>
        <v>0.109</v>
      </c>
      <c r="K1078">
        <v>0.24399999999999999</v>
      </c>
      <c r="L1078" s="413">
        <f>K1078*VLOOKUP(E1078,GWPs!$B$3:$C$6,2,FALSE)</f>
        <v>0.24399999999999999</v>
      </c>
      <c r="N1078">
        <v>3</v>
      </c>
      <c r="O1078">
        <v>2</v>
      </c>
      <c r="P1078">
        <v>1</v>
      </c>
      <c r="Q1078">
        <v>3</v>
      </c>
      <c r="R1078">
        <v>1</v>
      </c>
    </row>
    <row r="1079" spans="1:18">
      <c r="A1079" t="str">
        <f>_xlfn.IFNA(IF(VLOOKUP(C1079,'2016_Detail_Commodity_v1.0'!C:C,1,FALSE)=C1079,"No change"),"Name changed")</f>
        <v>No change</v>
      </c>
      <c r="B1079" t="s">
        <v>845</v>
      </c>
      <c r="C1079" t="s">
        <v>846</v>
      </c>
      <c r="E1079" t="s">
        <v>3654</v>
      </c>
      <c r="F1079" t="s">
        <v>12</v>
      </c>
      <c r="G1079">
        <v>0</v>
      </c>
      <c r="H1079" s="413">
        <f>G1079*VLOOKUP(E1079,GWPs!$B$3:$C$6,2,FALSE)</f>
        <v>0</v>
      </c>
      <c r="I1079">
        <v>1E-3</v>
      </c>
      <c r="J1079" s="413">
        <f>I1079*VLOOKUP(E1079,GWPs!$B$3:$C$6,2,FALSE)</f>
        <v>2.8000000000000001E-2</v>
      </c>
      <c r="K1079">
        <v>1E-3</v>
      </c>
      <c r="L1079" s="413">
        <f>K1079*VLOOKUP(E1079,GWPs!$B$3:$C$6,2,FALSE)</f>
        <v>2.8000000000000001E-2</v>
      </c>
      <c r="N1079">
        <v>4</v>
      </c>
      <c r="O1079">
        <v>2</v>
      </c>
      <c r="P1079">
        <v>1</v>
      </c>
      <c r="Q1079">
        <v>1</v>
      </c>
      <c r="R1079">
        <v>1</v>
      </c>
    </row>
    <row r="1080" spans="1:18">
      <c r="A1080" t="str">
        <f>_xlfn.IFNA(IF(VLOOKUP(C1080,'2016_Detail_Commodity_v1.0'!C:C,1,FALSE)=C1080,"No change"),"Name changed")</f>
        <v>No change</v>
      </c>
      <c r="B1080" t="s">
        <v>845</v>
      </c>
      <c r="C1080" t="s">
        <v>846</v>
      </c>
      <c r="E1080" t="s">
        <v>3655</v>
      </c>
      <c r="F1080" t="s">
        <v>12</v>
      </c>
      <c r="G1080">
        <v>0</v>
      </c>
      <c r="H1080" s="413">
        <f>G1080*VLOOKUP(E1080,GWPs!$B$3:$C$6,2,FALSE)</f>
        <v>0</v>
      </c>
      <c r="I1080">
        <v>0</v>
      </c>
      <c r="J1080" s="413">
        <f>I1080*VLOOKUP(E1080,GWPs!$B$3:$C$6,2,FALSE)</f>
        <v>0</v>
      </c>
      <c r="K1080">
        <v>0</v>
      </c>
      <c r="L1080" s="413">
        <f>K1080*VLOOKUP(E1080,GWPs!$B$3:$C$6,2,FALSE)</f>
        <v>0</v>
      </c>
      <c r="N1080">
        <v>4</v>
      </c>
      <c r="O1080">
        <v>2</v>
      </c>
      <c r="P1080">
        <v>1</v>
      </c>
      <c r="Q1080">
        <v>3</v>
      </c>
      <c r="R1080">
        <v>1</v>
      </c>
    </row>
    <row r="1081" spans="1:18">
      <c r="A1081" t="str">
        <f>_xlfn.IFNA(IF(VLOOKUP(C1081,'2016_Detail_Commodity_v1.0'!C:C,1,FALSE)=C1081,"No change"),"Name changed")</f>
        <v>No change</v>
      </c>
      <c r="B1081" t="s">
        <v>845</v>
      </c>
      <c r="C1081" t="s">
        <v>846</v>
      </c>
      <c r="E1081" t="s">
        <v>15</v>
      </c>
      <c r="F1081" t="s">
        <v>16</v>
      </c>
      <c r="G1081">
        <v>6.0000000000000001E-3</v>
      </c>
      <c r="H1081" s="413">
        <f>G1081*VLOOKUP(E1081,GWPs!$B$3:$C$6,2,FALSE)</f>
        <v>6.0000000000000001E-3</v>
      </c>
      <c r="I1081">
        <v>0</v>
      </c>
      <c r="J1081" s="413">
        <f>I1081*VLOOKUP(E1081,GWPs!$B$3:$C$6,2,FALSE)</f>
        <v>0</v>
      </c>
      <c r="K1081">
        <v>6.0000000000000001E-3</v>
      </c>
      <c r="L1081" s="413">
        <f>K1081*VLOOKUP(E1081,GWPs!$B$3:$C$6,2,FALSE)</f>
        <v>6.0000000000000001E-3</v>
      </c>
      <c r="N1081">
        <v>3</v>
      </c>
      <c r="O1081">
        <v>2</v>
      </c>
      <c r="P1081">
        <v>1</v>
      </c>
      <c r="Q1081">
        <v>3</v>
      </c>
      <c r="R1081">
        <v>1</v>
      </c>
    </row>
    <row r="1082" spans="1:18">
      <c r="A1082" t="str">
        <f>_xlfn.IFNA(IF(VLOOKUP(C1082,'2016_Detail_Commodity_v1.0'!C:C,1,FALSE)=C1082,"No change"),"Name changed")</f>
        <v>No change</v>
      </c>
      <c r="B1082" t="s">
        <v>847</v>
      </c>
      <c r="C1082" t="s">
        <v>848</v>
      </c>
      <c r="E1082" t="s">
        <v>3653</v>
      </c>
      <c r="F1082" t="s">
        <v>12</v>
      </c>
      <c r="G1082">
        <v>0</v>
      </c>
      <c r="H1082" s="413">
        <f>G1082*VLOOKUP(E1082,GWPs!$B$3:$C$6,2,FALSE)</f>
        <v>0</v>
      </c>
      <c r="I1082">
        <v>0</v>
      </c>
      <c r="J1082" s="413">
        <f>I1082*VLOOKUP(E1082,GWPs!$B$3:$C$6,2,FALSE)</f>
        <v>0</v>
      </c>
      <c r="K1082">
        <v>0</v>
      </c>
      <c r="L1082" s="413">
        <f>K1082*VLOOKUP(E1082,GWPs!$B$3:$C$6,2,FALSE)</f>
        <v>0</v>
      </c>
      <c r="N1082">
        <v>4</v>
      </c>
      <c r="O1082">
        <v>2</v>
      </c>
      <c r="P1082">
        <v>1</v>
      </c>
      <c r="Q1082">
        <v>5</v>
      </c>
      <c r="R1082">
        <v>1</v>
      </c>
    </row>
    <row r="1083" spans="1:18">
      <c r="A1083" t="str">
        <f>_xlfn.IFNA(IF(VLOOKUP(C1083,'2016_Detail_Commodity_v1.0'!C:C,1,FALSE)=C1083,"No change"),"Name changed")</f>
        <v>No change</v>
      </c>
      <c r="B1083" t="s">
        <v>847</v>
      </c>
      <c r="C1083" t="s">
        <v>848</v>
      </c>
      <c r="E1083" t="s">
        <v>3654</v>
      </c>
      <c r="F1083" t="s">
        <v>12</v>
      </c>
      <c r="G1083">
        <v>0</v>
      </c>
      <c r="H1083" s="413">
        <f>G1083*VLOOKUP(E1083,GWPs!$B$3:$C$6,2,FALSE)</f>
        <v>0</v>
      </c>
      <c r="I1083">
        <v>0</v>
      </c>
      <c r="J1083" s="413">
        <f>I1083*VLOOKUP(E1083,GWPs!$B$3:$C$6,2,FALSE)</f>
        <v>0</v>
      </c>
      <c r="K1083">
        <v>0</v>
      </c>
      <c r="L1083" s="413">
        <f>K1083*VLOOKUP(E1083,GWPs!$B$3:$C$6,2,FALSE)</f>
        <v>0</v>
      </c>
      <c r="N1083">
        <v>4</v>
      </c>
      <c r="O1083">
        <v>2</v>
      </c>
      <c r="P1083">
        <v>1</v>
      </c>
      <c r="Q1083">
        <v>5</v>
      </c>
      <c r="R1083">
        <v>1</v>
      </c>
    </row>
    <row r="1084" spans="1:18">
      <c r="A1084" t="str">
        <f>_xlfn.IFNA(IF(VLOOKUP(C1084,'2016_Detail_Commodity_v1.0'!C:C,1,FALSE)=C1084,"No change"),"Name changed")</f>
        <v>No change</v>
      </c>
      <c r="B1084" t="s">
        <v>847</v>
      </c>
      <c r="C1084" t="s">
        <v>848</v>
      </c>
      <c r="E1084" t="s">
        <v>3655</v>
      </c>
      <c r="F1084" t="s">
        <v>12</v>
      </c>
      <c r="G1084">
        <v>0</v>
      </c>
      <c r="H1084" s="413">
        <f>G1084*VLOOKUP(E1084,GWPs!$B$3:$C$6,2,FALSE)</f>
        <v>0</v>
      </c>
      <c r="I1084">
        <v>0</v>
      </c>
      <c r="J1084" s="413">
        <f>I1084*VLOOKUP(E1084,GWPs!$B$3:$C$6,2,FALSE)</f>
        <v>0</v>
      </c>
      <c r="K1084">
        <v>0</v>
      </c>
      <c r="L1084" s="413">
        <f>K1084*VLOOKUP(E1084,GWPs!$B$3:$C$6,2,FALSE)</f>
        <v>0</v>
      </c>
      <c r="N1084">
        <v>4</v>
      </c>
      <c r="O1084">
        <v>2</v>
      </c>
      <c r="P1084">
        <v>1</v>
      </c>
      <c r="Q1084">
        <v>5</v>
      </c>
      <c r="R1084">
        <v>1</v>
      </c>
    </row>
    <row r="1085" spans="1:18">
      <c r="A1085" t="str">
        <f>_xlfn.IFNA(IF(VLOOKUP(C1085,'2016_Detail_Commodity_v1.0'!C:C,1,FALSE)=C1085,"No change"),"Name changed")</f>
        <v>No change</v>
      </c>
      <c r="B1085" t="s">
        <v>847</v>
      </c>
      <c r="C1085" t="s">
        <v>848</v>
      </c>
      <c r="E1085" t="s">
        <v>15</v>
      </c>
      <c r="F1085" t="s">
        <v>16</v>
      </c>
      <c r="G1085">
        <v>0</v>
      </c>
      <c r="H1085" s="413">
        <f>G1085*VLOOKUP(E1085,GWPs!$B$3:$C$6,2,FALSE)</f>
        <v>0</v>
      </c>
      <c r="I1085">
        <v>0</v>
      </c>
      <c r="J1085" s="413">
        <f>I1085*VLOOKUP(E1085,GWPs!$B$3:$C$6,2,FALSE)</f>
        <v>0</v>
      </c>
      <c r="K1085">
        <v>0</v>
      </c>
      <c r="L1085" s="413">
        <f>K1085*VLOOKUP(E1085,GWPs!$B$3:$C$6,2,FALSE)</f>
        <v>0</v>
      </c>
      <c r="N1085">
        <v>4</v>
      </c>
      <c r="O1085">
        <v>2</v>
      </c>
      <c r="P1085">
        <v>1</v>
      </c>
      <c r="Q1085">
        <v>5</v>
      </c>
      <c r="R1085">
        <v>1</v>
      </c>
    </row>
    <row r="1086" spans="1:18">
      <c r="A1086" t="str">
        <f>_xlfn.IFNA(IF(VLOOKUP(C1086,'2016_Detail_Commodity_v1.0'!C:C,1,FALSE)=C1086,"No change"),"Name changed")</f>
        <v>No change</v>
      </c>
      <c r="B1086" t="s">
        <v>849</v>
      </c>
      <c r="C1086" t="s">
        <v>850</v>
      </c>
      <c r="E1086" t="s">
        <v>3653</v>
      </c>
      <c r="F1086" t="s">
        <v>12</v>
      </c>
      <c r="G1086">
        <v>0.152</v>
      </c>
      <c r="H1086" s="413">
        <f>G1086*VLOOKUP(E1086,GWPs!$B$3:$C$6,2,FALSE)</f>
        <v>0.152</v>
      </c>
      <c r="I1086">
        <v>0</v>
      </c>
      <c r="J1086" s="413">
        <f>I1086*VLOOKUP(E1086,GWPs!$B$3:$C$6,2,FALSE)</f>
        <v>0</v>
      </c>
      <c r="K1086">
        <v>0.152</v>
      </c>
      <c r="L1086" s="413">
        <f>K1086*VLOOKUP(E1086,GWPs!$B$3:$C$6,2,FALSE)</f>
        <v>0.152</v>
      </c>
      <c r="N1086">
        <v>3</v>
      </c>
      <c r="O1086">
        <v>2</v>
      </c>
      <c r="P1086">
        <v>1</v>
      </c>
      <c r="Q1086">
        <v>3</v>
      </c>
      <c r="R1086">
        <v>1</v>
      </c>
    </row>
    <row r="1087" spans="1:18">
      <c r="A1087" t="str">
        <f>_xlfn.IFNA(IF(VLOOKUP(C1087,'2016_Detail_Commodity_v1.0'!C:C,1,FALSE)=C1087,"No change"),"Name changed")</f>
        <v>No change</v>
      </c>
      <c r="B1087" t="s">
        <v>849</v>
      </c>
      <c r="C1087" t="s">
        <v>850</v>
      </c>
      <c r="E1087" t="s">
        <v>3654</v>
      </c>
      <c r="F1087" t="s">
        <v>12</v>
      </c>
      <c r="G1087">
        <v>1E-3</v>
      </c>
      <c r="H1087" s="413">
        <f>G1087*VLOOKUP(E1087,GWPs!$B$3:$C$6,2,FALSE)</f>
        <v>2.8000000000000001E-2</v>
      </c>
      <c r="I1087">
        <v>0</v>
      </c>
      <c r="J1087" s="413">
        <f>I1087*VLOOKUP(E1087,GWPs!$B$3:$C$6,2,FALSE)</f>
        <v>0</v>
      </c>
      <c r="K1087">
        <v>1E-3</v>
      </c>
      <c r="L1087" s="413">
        <f>K1087*VLOOKUP(E1087,GWPs!$B$3:$C$6,2,FALSE)</f>
        <v>2.8000000000000001E-2</v>
      </c>
      <c r="N1087">
        <v>3</v>
      </c>
      <c r="O1087">
        <v>2</v>
      </c>
      <c r="P1087">
        <v>1</v>
      </c>
      <c r="Q1087">
        <v>1</v>
      </c>
      <c r="R1087">
        <v>1</v>
      </c>
    </row>
    <row r="1088" spans="1:18">
      <c r="A1088" t="str">
        <f>_xlfn.IFNA(IF(VLOOKUP(C1088,'2016_Detail_Commodity_v1.0'!C:C,1,FALSE)=C1088,"No change"),"Name changed")</f>
        <v>No change</v>
      </c>
      <c r="B1088" t="s">
        <v>849</v>
      </c>
      <c r="C1088" t="s">
        <v>850</v>
      </c>
      <c r="E1088" t="s">
        <v>3655</v>
      </c>
      <c r="F1088" t="s">
        <v>12</v>
      </c>
      <c r="G1088">
        <v>0</v>
      </c>
      <c r="H1088" s="413">
        <f>G1088*VLOOKUP(E1088,GWPs!$B$3:$C$6,2,FALSE)</f>
        <v>0</v>
      </c>
      <c r="I1088">
        <v>0</v>
      </c>
      <c r="J1088" s="413">
        <f>I1088*VLOOKUP(E1088,GWPs!$B$3:$C$6,2,FALSE)</f>
        <v>0</v>
      </c>
      <c r="K1088">
        <v>0</v>
      </c>
      <c r="L1088" s="413">
        <f>K1088*VLOOKUP(E1088,GWPs!$B$3:$C$6,2,FALSE)</f>
        <v>0</v>
      </c>
      <c r="N1088">
        <v>3</v>
      </c>
      <c r="O1088">
        <v>2</v>
      </c>
      <c r="P1088">
        <v>1</v>
      </c>
      <c r="Q1088">
        <v>3</v>
      </c>
      <c r="R1088">
        <v>1</v>
      </c>
    </row>
    <row r="1089" spans="1:18">
      <c r="A1089" t="str">
        <f>_xlfn.IFNA(IF(VLOOKUP(C1089,'2016_Detail_Commodity_v1.0'!C:C,1,FALSE)=C1089,"No change"),"Name changed")</f>
        <v>No change</v>
      </c>
      <c r="B1089" t="s">
        <v>849</v>
      </c>
      <c r="C1089" t="s">
        <v>850</v>
      </c>
      <c r="E1089" t="s">
        <v>15</v>
      </c>
      <c r="F1089" t="s">
        <v>16</v>
      </c>
      <c r="G1089">
        <v>5.0000000000000001E-3</v>
      </c>
      <c r="H1089" s="413">
        <f>G1089*VLOOKUP(E1089,GWPs!$B$3:$C$6,2,FALSE)</f>
        <v>5.0000000000000001E-3</v>
      </c>
      <c r="I1089">
        <v>0</v>
      </c>
      <c r="J1089" s="413">
        <f>I1089*VLOOKUP(E1089,GWPs!$B$3:$C$6,2,FALSE)</f>
        <v>0</v>
      </c>
      <c r="K1089">
        <v>5.0000000000000001E-3</v>
      </c>
      <c r="L1089" s="413">
        <f>K1089*VLOOKUP(E1089,GWPs!$B$3:$C$6,2,FALSE)</f>
        <v>5.0000000000000001E-3</v>
      </c>
      <c r="N1089">
        <v>3</v>
      </c>
      <c r="O1089">
        <v>2</v>
      </c>
      <c r="P1089">
        <v>1</v>
      </c>
      <c r="Q1089">
        <v>4</v>
      </c>
      <c r="R1089">
        <v>1</v>
      </c>
    </row>
    <row r="1090" spans="1:18">
      <c r="A1090" t="str">
        <f>_xlfn.IFNA(IF(VLOOKUP(C1090,'2016_Detail_Commodity_v1.0'!C:C,1,FALSE)=C1090,"No change"),"Name changed")</f>
        <v>No change</v>
      </c>
      <c r="B1090" t="s">
        <v>851</v>
      </c>
      <c r="C1090" t="s">
        <v>852</v>
      </c>
      <c r="E1090" t="s">
        <v>3653</v>
      </c>
      <c r="F1090" t="s">
        <v>12</v>
      </c>
      <c r="G1090">
        <v>8.8999999999999996E-2</v>
      </c>
      <c r="H1090" s="413">
        <f>G1090*VLOOKUP(E1090,GWPs!$B$3:$C$6,2,FALSE)</f>
        <v>8.8999999999999996E-2</v>
      </c>
      <c r="I1090">
        <v>0</v>
      </c>
      <c r="J1090" s="413">
        <f>I1090*VLOOKUP(E1090,GWPs!$B$3:$C$6,2,FALSE)</f>
        <v>0</v>
      </c>
      <c r="K1090">
        <v>8.8999999999999996E-2</v>
      </c>
      <c r="L1090" s="413">
        <f>K1090*VLOOKUP(E1090,GWPs!$B$3:$C$6,2,FALSE)</f>
        <v>8.8999999999999996E-2</v>
      </c>
      <c r="N1090">
        <v>3</v>
      </c>
      <c r="O1090">
        <v>2</v>
      </c>
      <c r="P1090">
        <v>1</v>
      </c>
      <c r="Q1090">
        <v>3</v>
      </c>
      <c r="R1090">
        <v>1</v>
      </c>
    </row>
    <row r="1091" spans="1:18">
      <c r="A1091" t="str">
        <f>_xlfn.IFNA(IF(VLOOKUP(C1091,'2016_Detail_Commodity_v1.0'!C:C,1,FALSE)=C1091,"No change"),"Name changed")</f>
        <v>No change</v>
      </c>
      <c r="B1091" t="s">
        <v>851</v>
      </c>
      <c r="C1091" t="s">
        <v>852</v>
      </c>
      <c r="E1091" t="s">
        <v>3654</v>
      </c>
      <c r="F1091" t="s">
        <v>12</v>
      </c>
      <c r="G1091">
        <v>0</v>
      </c>
      <c r="H1091" s="413">
        <f>G1091*VLOOKUP(E1091,GWPs!$B$3:$C$6,2,FALSE)</f>
        <v>0</v>
      </c>
      <c r="I1091">
        <v>0</v>
      </c>
      <c r="J1091" s="413">
        <f>I1091*VLOOKUP(E1091,GWPs!$B$3:$C$6,2,FALSE)</f>
        <v>0</v>
      </c>
      <c r="K1091">
        <v>0</v>
      </c>
      <c r="L1091" s="413">
        <f>K1091*VLOOKUP(E1091,GWPs!$B$3:$C$6,2,FALSE)</f>
        <v>0</v>
      </c>
      <c r="N1091">
        <v>3</v>
      </c>
      <c r="O1091">
        <v>2</v>
      </c>
      <c r="P1091">
        <v>1</v>
      </c>
      <c r="Q1091">
        <v>1</v>
      </c>
      <c r="R1091">
        <v>1</v>
      </c>
    </row>
    <row r="1092" spans="1:18">
      <c r="A1092" t="str">
        <f>_xlfn.IFNA(IF(VLOOKUP(C1092,'2016_Detail_Commodity_v1.0'!C:C,1,FALSE)=C1092,"No change"),"Name changed")</f>
        <v>No change</v>
      </c>
      <c r="B1092" t="s">
        <v>851</v>
      </c>
      <c r="C1092" t="s">
        <v>852</v>
      </c>
      <c r="E1092" t="s">
        <v>3655</v>
      </c>
      <c r="F1092" t="s">
        <v>12</v>
      </c>
      <c r="G1092">
        <v>0</v>
      </c>
      <c r="H1092" s="413">
        <f>G1092*VLOOKUP(E1092,GWPs!$B$3:$C$6,2,FALSE)</f>
        <v>0</v>
      </c>
      <c r="I1092">
        <v>0</v>
      </c>
      <c r="J1092" s="413">
        <f>I1092*VLOOKUP(E1092,GWPs!$B$3:$C$6,2,FALSE)</f>
        <v>0</v>
      </c>
      <c r="K1092">
        <v>0</v>
      </c>
      <c r="L1092" s="413">
        <f>K1092*VLOOKUP(E1092,GWPs!$B$3:$C$6,2,FALSE)</f>
        <v>0</v>
      </c>
      <c r="N1092">
        <v>3</v>
      </c>
      <c r="O1092">
        <v>2</v>
      </c>
      <c r="P1092">
        <v>1</v>
      </c>
      <c r="Q1092">
        <v>3</v>
      </c>
      <c r="R1092">
        <v>1</v>
      </c>
    </row>
    <row r="1093" spans="1:18">
      <c r="A1093" t="str">
        <f>_xlfn.IFNA(IF(VLOOKUP(C1093,'2016_Detail_Commodity_v1.0'!C:C,1,FALSE)=C1093,"No change"),"Name changed")</f>
        <v>No change</v>
      </c>
      <c r="B1093" t="s">
        <v>851</v>
      </c>
      <c r="C1093" t="s">
        <v>852</v>
      </c>
      <c r="E1093" t="s">
        <v>15</v>
      </c>
      <c r="F1093" t="s">
        <v>16</v>
      </c>
      <c r="G1093">
        <v>3.0000000000000001E-3</v>
      </c>
      <c r="H1093" s="413">
        <f>G1093*VLOOKUP(E1093,GWPs!$B$3:$C$6,2,FALSE)</f>
        <v>3.0000000000000001E-3</v>
      </c>
      <c r="I1093">
        <v>0</v>
      </c>
      <c r="J1093" s="413">
        <f>I1093*VLOOKUP(E1093,GWPs!$B$3:$C$6,2,FALSE)</f>
        <v>0</v>
      </c>
      <c r="K1093">
        <v>3.0000000000000001E-3</v>
      </c>
      <c r="L1093" s="413">
        <f>K1093*VLOOKUP(E1093,GWPs!$B$3:$C$6,2,FALSE)</f>
        <v>3.0000000000000001E-3</v>
      </c>
      <c r="N1093">
        <v>3</v>
      </c>
      <c r="O1093">
        <v>2</v>
      </c>
      <c r="P1093">
        <v>1</v>
      </c>
      <c r="Q1093">
        <v>4</v>
      </c>
      <c r="R1093">
        <v>1</v>
      </c>
    </row>
    <row r="1094" spans="1:18">
      <c r="A1094" t="str">
        <f>_xlfn.IFNA(IF(VLOOKUP(C1094,'2016_Detail_Commodity_v1.0'!C:C,1,FALSE)=C1094,"No change"),"Name changed")</f>
        <v>No change</v>
      </c>
      <c r="B1094" t="s">
        <v>853</v>
      </c>
      <c r="C1094" t="s">
        <v>854</v>
      </c>
      <c r="E1094" t="s">
        <v>3653</v>
      </c>
      <c r="F1094" t="s">
        <v>12</v>
      </c>
      <c r="G1094">
        <v>0.13900000000000001</v>
      </c>
      <c r="H1094" s="413">
        <f>G1094*VLOOKUP(E1094,GWPs!$B$3:$C$6,2,FALSE)</f>
        <v>0.13900000000000001</v>
      </c>
      <c r="I1094">
        <v>0</v>
      </c>
      <c r="J1094" s="413">
        <f>I1094*VLOOKUP(E1094,GWPs!$B$3:$C$6,2,FALSE)</f>
        <v>0</v>
      </c>
      <c r="K1094">
        <v>0.13900000000000001</v>
      </c>
      <c r="L1094" s="413">
        <f>K1094*VLOOKUP(E1094,GWPs!$B$3:$C$6,2,FALSE)</f>
        <v>0.13900000000000001</v>
      </c>
      <c r="N1094">
        <v>3</v>
      </c>
      <c r="O1094">
        <v>2</v>
      </c>
      <c r="P1094">
        <v>1</v>
      </c>
      <c r="Q1094">
        <v>3</v>
      </c>
      <c r="R1094">
        <v>1</v>
      </c>
    </row>
    <row r="1095" spans="1:18">
      <c r="A1095" t="str">
        <f>_xlfn.IFNA(IF(VLOOKUP(C1095,'2016_Detail_Commodity_v1.0'!C:C,1,FALSE)=C1095,"No change"),"Name changed")</f>
        <v>No change</v>
      </c>
      <c r="B1095" t="s">
        <v>853</v>
      </c>
      <c r="C1095" t="s">
        <v>854</v>
      </c>
      <c r="E1095" t="s">
        <v>3654</v>
      </c>
      <c r="F1095" t="s">
        <v>12</v>
      </c>
      <c r="G1095">
        <v>1E-3</v>
      </c>
      <c r="H1095" s="413">
        <f>G1095*VLOOKUP(E1095,GWPs!$B$3:$C$6,2,FALSE)</f>
        <v>2.8000000000000001E-2</v>
      </c>
      <c r="I1095">
        <v>0</v>
      </c>
      <c r="J1095" s="413">
        <f>I1095*VLOOKUP(E1095,GWPs!$B$3:$C$6,2,FALSE)</f>
        <v>0</v>
      </c>
      <c r="K1095">
        <v>1E-3</v>
      </c>
      <c r="L1095" s="413">
        <f>K1095*VLOOKUP(E1095,GWPs!$B$3:$C$6,2,FALSE)</f>
        <v>2.8000000000000001E-2</v>
      </c>
      <c r="N1095">
        <v>3</v>
      </c>
      <c r="O1095">
        <v>2</v>
      </c>
      <c r="P1095">
        <v>1</v>
      </c>
      <c r="Q1095">
        <v>1</v>
      </c>
      <c r="R1095">
        <v>1</v>
      </c>
    </row>
    <row r="1096" spans="1:18">
      <c r="A1096" t="str">
        <f>_xlfn.IFNA(IF(VLOOKUP(C1096,'2016_Detail_Commodity_v1.0'!C:C,1,FALSE)=C1096,"No change"),"Name changed")</f>
        <v>No change</v>
      </c>
      <c r="B1096" t="s">
        <v>853</v>
      </c>
      <c r="C1096" t="s">
        <v>854</v>
      </c>
      <c r="E1096" t="s">
        <v>3655</v>
      </c>
      <c r="F1096" t="s">
        <v>12</v>
      </c>
      <c r="G1096">
        <v>0</v>
      </c>
      <c r="H1096" s="413">
        <f>G1096*VLOOKUP(E1096,GWPs!$B$3:$C$6,2,FALSE)</f>
        <v>0</v>
      </c>
      <c r="I1096">
        <v>0</v>
      </c>
      <c r="J1096" s="413">
        <f>I1096*VLOOKUP(E1096,GWPs!$B$3:$C$6,2,FALSE)</f>
        <v>0</v>
      </c>
      <c r="K1096">
        <v>0</v>
      </c>
      <c r="L1096" s="413">
        <f>K1096*VLOOKUP(E1096,GWPs!$B$3:$C$6,2,FALSE)</f>
        <v>0</v>
      </c>
      <c r="N1096">
        <v>3</v>
      </c>
      <c r="O1096">
        <v>2</v>
      </c>
      <c r="P1096">
        <v>1</v>
      </c>
      <c r="Q1096">
        <v>3</v>
      </c>
      <c r="R1096">
        <v>1</v>
      </c>
    </row>
    <row r="1097" spans="1:18">
      <c r="A1097" t="str">
        <f>_xlfn.IFNA(IF(VLOOKUP(C1097,'2016_Detail_Commodity_v1.0'!C:C,1,FALSE)=C1097,"No change"),"Name changed")</f>
        <v>No change</v>
      </c>
      <c r="B1097" t="s">
        <v>853</v>
      </c>
      <c r="C1097" t="s">
        <v>854</v>
      </c>
      <c r="E1097" t="s">
        <v>15</v>
      </c>
      <c r="F1097" t="s">
        <v>16</v>
      </c>
      <c r="G1097">
        <v>4.0000000000000001E-3</v>
      </c>
      <c r="H1097" s="413">
        <f>G1097*VLOOKUP(E1097,GWPs!$B$3:$C$6,2,FALSE)</f>
        <v>4.0000000000000001E-3</v>
      </c>
      <c r="I1097">
        <v>0</v>
      </c>
      <c r="J1097" s="413">
        <f>I1097*VLOOKUP(E1097,GWPs!$B$3:$C$6,2,FALSE)</f>
        <v>0</v>
      </c>
      <c r="K1097">
        <v>4.0000000000000001E-3</v>
      </c>
      <c r="L1097" s="413">
        <f>K1097*VLOOKUP(E1097,GWPs!$B$3:$C$6,2,FALSE)</f>
        <v>4.0000000000000001E-3</v>
      </c>
      <c r="N1097">
        <v>4</v>
      </c>
      <c r="O1097">
        <v>2</v>
      </c>
      <c r="P1097">
        <v>1</v>
      </c>
      <c r="Q1097">
        <v>4</v>
      </c>
      <c r="R1097">
        <v>1</v>
      </c>
    </row>
    <row r="1098" spans="1:18">
      <c r="A1098" t="str">
        <f>_xlfn.IFNA(IF(VLOOKUP(C1098,'2016_Detail_Commodity_v1.0'!C:C,1,FALSE)=C1098,"No change"),"Name changed")</f>
        <v>No change</v>
      </c>
      <c r="B1098" t="s">
        <v>855</v>
      </c>
      <c r="C1098" t="s">
        <v>856</v>
      </c>
      <c r="E1098" t="s">
        <v>3653</v>
      </c>
      <c r="F1098" t="s">
        <v>12</v>
      </c>
      <c r="G1098">
        <v>0.123</v>
      </c>
      <c r="H1098" s="413">
        <f>G1098*VLOOKUP(E1098,GWPs!$B$3:$C$6,2,FALSE)</f>
        <v>0.123</v>
      </c>
      <c r="I1098">
        <v>0</v>
      </c>
      <c r="J1098" s="413">
        <f>I1098*VLOOKUP(E1098,GWPs!$B$3:$C$6,2,FALSE)</f>
        <v>0</v>
      </c>
      <c r="K1098">
        <v>0.123</v>
      </c>
      <c r="L1098" s="413">
        <f>K1098*VLOOKUP(E1098,GWPs!$B$3:$C$6,2,FALSE)</f>
        <v>0.123</v>
      </c>
      <c r="N1098">
        <v>3</v>
      </c>
      <c r="O1098">
        <v>2</v>
      </c>
      <c r="P1098">
        <v>1</v>
      </c>
      <c r="Q1098">
        <v>3</v>
      </c>
      <c r="R1098">
        <v>1</v>
      </c>
    </row>
    <row r="1099" spans="1:18">
      <c r="A1099" t="str">
        <f>_xlfn.IFNA(IF(VLOOKUP(C1099,'2016_Detail_Commodity_v1.0'!C:C,1,FALSE)=C1099,"No change"),"Name changed")</f>
        <v>No change</v>
      </c>
      <c r="B1099" t="s">
        <v>855</v>
      </c>
      <c r="C1099" t="s">
        <v>856</v>
      </c>
      <c r="E1099" t="s">
        <v>3654</v>
      </c>
      <c r="F1099" t="s">
        <v>12</v>
      </c>
      <c r="G1099">
        <v>0</v>
      </c>
      <c r="H1099" s="413">
        <f>G1099*VLOOKUP(E1099,GWPs!$B$3:$C$6,2,FALSE)</f>
        <v>0</v>
      </c>
      <c r="I1099">
        <v>0</v>
      </c>
      <c r="J1099" s="413">
        <f>I1099*VLOOKUP(E1099,GWPs!$B$3:$C$6,2,FALSE)</f>
        <v>0</v>
      </c>
      <c r="K1099">
        <v>0</v>
      </c>
      <c r="L1099" s="413">
        <f>K1099*VLOOKUP(E1099,GWPs!$B$3:$C$6,2,FALSE)</f>
        <v>0</v>
      </c>
      <c r="N1099">
        <v>3</v>
      </c>
      <c r="O1099">
        <v>2</v>
      </c>
      <c r="P1099">
        <v>1</v>
      </c>
      <c r="Q1099">
        <v>1</v>
      </c>
      <c r="R1099">
        <v>1</v>
      </c>
    </row>
    <row r="1100" spans="1:18">
      <c r="A1100" t="str">
        <f>_xlfn.IFNA(IF(VLOOKUP(C1100,'2016_Detail_Commodity_v1.0'!C:C,1,FALSE)=C1100,"No change"),"Name changed")</f>
        <v>No change</v>
      </c>
      <c r="B1100" t="s">
        <v>855</v>
      </c>
      <c r="C1100" t="s">
        <v>856</v>
      </c>
      <c r="E1100" t="s">
        <v>3655</v>
      </c>
      <c r="F1100" t="s">
        <v>12</v>
      </c>
      <c r="G1100">
        <v>0</v>
      </c>
      <c r="H1100" s="413">
        <f>G1100*VLOOKUP(E1100,GWPs!$B$3:$C$6,2,FALSE)</f>
        <v>0</v>
      </c>
      <c r="I1100">
        <v>0</v>
      </c>
      <c r="J1100" s="413">
        <f>I1100*VLOOKUP(E1100,GWPs!$B$3:$C$6,2,FALSE)</f>
        <v>0</v>
      </c>
      <c r="K1100">
        <v>0</v>
      </c>
      <c r="L1100" s="413">
        <f>K1100*VLOOKUP(E1100,GWPs!$B$3:$C$6,2,FALSE)</f>
        <v>0</v>
      </c>
      <c r="N1100">
        <v>3</v>
      </c>
      <c r="O1100">
        <v>2</v>
      </c>
      <c r="P1100">
        <v>1</v>
      </c>
      <c r="Q1100">
        <v>3</v>
      </c>
      <c r="R1100">
        <v>1</v>
      </c>
    </row>
    <row r="1101" spans="1:18">
      <c r="A1101" t="str">
        <f>_xlfn.IFNA(IF(VLOOKUP(C1101,'2016_Detail_Commodity_v1.0'!C:C,1,FALSE)=C1101,"No change"),"Name changed")</f>
        <v>No change</v>
      </c>
      <c r="B1101" t="s">
        <v>855</v>
      </c>
      <c r="C1101" t="s">
        <v>856</v>
      </c>
      <c r="E1101" t="s">
        <v>15</v>
      </c>
      <c r="F1101" t="s">
        <v>16</v>
      </c>
      <c r="G1101">
        <v>6.0000000000000001E-3</v>
      </c>
      <c r="H1101" s="413">
        <f>G1101*VLOOKUP(E1101,GWPs!$B$3:$C$6,2,FALSE)</f>
        <v>6.0000000000000001E-3</v>
      </c>
      <c r="I1101">
        <v>0</v>
      </c>
      <c r="J1101" s="413">
        <f>I1101*VLOOKUP(E1101,GWPs!$B$3:$C$6,2,FALSE)</f>
        <v>0</v>
      </c>
      <c r="K1101">
        <v>6.0000000000000001E-3</v>
      </c>
      <c r="L1101" s="413">
        <f>K1101*VLOOKUP(E1101,GWPs!$B$3:$C$6,2,FALSE)</f>
        <v>6.0000000000000001E-3</v>
      </c>
      <c r="N1101">
        <v>4</v>
      </c>
      <c r="O1101">
        <v>2</v>
      </c>
      <c r="P1101">
        <v>1</v>
      </c>
      <c r="Q1101">
        <v>4</v>
      </c>
      <c r="R1101">
        <v>1</v>
      </c>
    </row>
    <row r="1102" spans="1:18">
      <c r="A1102" t="str">
        <f>_xlfn.IFNA(IF(VLOOKUP(C1102,'2016_Detail_Commodity_v1.0'!C:C,1,FALSE)=C1102,"No change"),"Name changed")</f>
        <v>No change</v>
      </c>
      <c r="B1102" t="s">
        <v>857</v>
      </c>
      <c r="C1102" t="s">
        <v>858</v>
      </c>
      <c r="E1102" t="s">
        <v>3653</v>
      </c>
      <c r="F1102" t="s">
        <v>12</v>
      </c>
      <c r="G1102">
        <v>0.17399999999999999</v>
      </c>
      <c r="H1102" s="413">
        <f>G1102*VLOOKUP(E1102,GWPs!$B$3:$C$6,2,FALSE)</f>
        <v>0.17399999999999999</v>
      </c>
      <c r="I1102">
        <v>0</v>
      </c>
      <c r="J1102" s="413">
        <f>I1102*VLOOKUP(E1102,GWPs!$B$3:$C$6,2,FALSE)</f>
        <v>0</v>
      </c>
      <c r="K1102">
        <v>0.17399999999999999</v>
      </c>
      <c r="L1102" s="413">
        <f>K1102*VLOOKUP(E1102,GWPs!$B$3:$C$6,2,FALSE)</f>
        <v>0.17399999999999999</v>
      </c>
      <c r="N1102">
        <v>3</v>
      </c>
      <c r="O1102">
        <v>2</v>
      </c>
      <c r="P1102">
        <v>1</v>
      </c>
      <c r="Q1102">
        <v>3</v>
      </c>
      <c r="R1102">
        <v>1</v>
      </c>
    </row>
    <row r="1103" spans="1:18">
      <c r="A1103" t="str">
        <f>_xlfn.IFNA(IF(VLOOKUP(C1103,'2016_Detail_Commodity_v1.0'!C:C,1,FALSE)=C1103,"No change"),"Name changed")</f>
        <v>No change</v>
      </c>
      <c r="B1103" t="s">
        <v>857</v>
      </c>
      <c r="C1103" t="s">
        <v>858</v>
      </c>
      <c r="E1103" t="s">
        <v>3654</v>
      </c>
      <c r="F1103" t="s">
        <v>12</v>
      </c>
      <c r="G1103">
        <v>1E-3</v>
      </c>
      <c r="H1103" s="413">
        <f>G1103*VLOOKUP(E1103,GWPs!$B$3:$C$6,2,FALSE)</f>
        <v>2.8000000000000001E-2</v>
      </c>
      <c r="I1103">
        <v>0</v>
      </c>
      <c r="J1103" s="413">
        <f>I1103*VLOOKUP(E1103,GWPs!$B$3:$C$6,2,FALSE)</f>
        <v>0</v>
      </c>
      <c r="K1103">
        <v>1E-3</v>
      </c>
      <c r="L1103" s="413">
        <f>K1103*VLOOKUP(E1103,GWPs!$B$3:$C$6,2,FALSE)</f>
        <v>2.8000000000000001E-2</v>
      </c>
      <c r="N1103">
        <v>3</v>
      </c>
      <c r="O1103">
        <v>2</v>
      </c>
      <c r="P1103">
        <v>1</v>
      </c>
      <c r="Q1103">
        <v>1</v>
      </c>
      <c r="R1103">
        <v>1</v>
      </c>
    </row>
    <row r="1104" spans="1:18">
      <c r="A1104" t="str">
        <f>_xlfn.IFNA(IF(VLOOKUP(C1104,'2016_Detail_Commodity_v1.0'!C:C,1,FALSE)=C1104,"No change"),"Name changed")</f>
        <v>No change</v>
      </c>
      <c r="B1104" t="s">
        <v>857</v>
      </c>
      <c r="C1104" t="s">
        <v>858</v>
      </c>
      <c r="E1104" t="s">
        <v>3655</v>
      </c>
      <c r="F1104" t="s">
        <v>12</v>
      </c>
      <c r="G1104">
        <v>0</v>
      </c>
      <c r="H1104" s="413">
        <f>G1104*VLOOKUP(E1104,GWPs!$B$3:$C$6,2,FALSE)</f>
        <v>0</v>
      </c>
      <c r="I1104">
        <v>0</v>
      </c>
      <c r="J1104" s="413">
        <f>I1104*VLOOKUP(E1104,GWPs!$B$3:$C$6,2,FALSE)</f>
        <v>0</v>
      </c>
      <c r="K1104">
        <v>0</v>
      </c>
      <c r="L1104" s="413">
        <f>K1104*VLOOKUP(E1104,GWPs!$B$3:$C$6,2,FALSE)</f>
        <v>0</v>
      </c>
      <c r="N1104">
        <v>3</v>
      </c>
      <c r="O1104">
        <v>2</v>
      </c>
      <c r="P1104">
        <v>1</v>
      </c>
      <c r="Q1104">
        <v>3</v>
      </c>
      <c r="R1104">
        <v>1</v>
      </c>
    </row>
    <row r="1105" spans="1:18">
      <c r="A1105" t="str">
        <f>_xlfn.IFNA(IF(VLOOKUP(C1105,'2016_Detail_Commodity_v1.0'!C:C,1,FALSE)=C1105,"No change"),"Name changed")</f>
        <v>No change</v>
      </c>
      <c r="B1105" t="s">
        <v>857</v>
      </c>
      <c r="C1105" t="s">
        <v>858</v>
      </c>
      <c r="E1105" t="s">
        <v>15</v>
      </c>
      <c r="F1105" t="s">
        <v>16</v>
      </c>
      <c r="G1105">
        <v>6.0000000000000001E-3</v>
      </c>
      <c r="H1105" s="413">
        <f>G1105*VLOOKUP(E1105,GWPs!$B$3:$C$6,2,FALSE)</f>
        <v>6.0000000000000001E-3</v>
      </c>
      <c r="I1105">
        <v>0</v>
      </c>
      <c r="J1105" s="413">
        <f>I1105*VLOOKUP(E1105,GWPs!$B$3:$C$6,2,FALSE)</f>
        <v>0</v>
      </c>
      <c r="K1105">
        <v>6.0000000000000001E-3</v>
      </c>
      <c r="L1105" s="413">
        <f>K1105*VLOOKUP(E1105,GWPs!$B$3:$C$6,2,FALSE)</f>
        <v>6.0000000000000001E-3</v>
      </c>
      <c r="N1105">
        <v>4</v>
      </c>
      <c r="O1105">
        <v>2</v>
      </c>
      <c r="P1105">
        <v>1</v>
      </c>
      <c r="Q1105">
        <v>4</v>
      </c>
      <c r="R1105">
        <v>1</v>
      </c>
    </row>
    <row r="1106" spans="1:18">
      <c r="A1106" t="str">
        <f>_xlfn.IFNA(IF(VLOOKUP(C1106,'2016_Detail_Commodity_v1.0'!C:C,1,FALSE)=C1106,"No change"),"Name changed")</f>
        <v>Name changed</v>
      </c>
      <c r="B1106" t="s">
        <v>859</v>
      </c>
      <c r="C1106" t="s">
        <v>1918</v>
      </c>
      <c r="D1106" t="s">
        <v>860</v>
      </c>
      <c r="E1106" t="s">
        <v>3653</v>
      </c>
      <c r="F1106" t="s">
        <v>12</v>
      </c>
      <c r="G1106">
        <v>0.13900000000000001</v>
      </c>
      <c r="H1106" s="413">
        <f>G1106*VLOOKUP(E1106,GWPs!$B$3:$C$6,2,FALSE)</f>
        <v>0.13900000000000001</v>
      </c>
      <c r="I1106">
        <v>0</v>
      </c>
      <c r="J1106" s="413">
        <f>I1106*VLOOKUP(E1106,GWPs!$B$3:$C$6,2,FALSE)</f>
        <v>0</v>
      </c>
      <c r="K1106">
        <v>0.13900000000000001</v>
      </c>
      <c r="L1106" s="413">
        <f>K1106*VLOOKUP(E1106,GWPs!$B$3:$C$6,2,FALSE)</f>
        <v>0.13900000000000001</v>
      </c>
      <c r="N1106">
        <v>3</v>
      </c>
      <c r="O1106">
        <v>2</v>
      </c>
      <c r="P1106">
        <v>1</v>
      </c>
      <c r="Q1106">
        <v>3</v>
      </c>
      <c r="R1106">
        <v>1</v>
      </c>
    </row>
    <row r="1107" spans="1:18">
      <c r="A1107" t="str">
        <f>_xlfn.IFNA(IF(VLOOKUP(C1107,'2016_Detail_Commodity_v1.0'!C:C,1,FALSE)=C1107,"No change"),"Name changed")</f>
        <v>Name changed</v>
      </c>
      <c r="B1107" t="s">
        <v>859</v>
      </c>
      <c r="C1107" t="s">
        <v>1918</v>
      </c>
      <c r="D1107" t="s">
        <v>860</v>
      </c>
      <c r="E1107" t="s">
        <v>3654</v>
      </c>
      <c r="F1107" t="s">
        <v>12</v>
      </c>
      <c r="G1107">
        <v>1E-3</v>
      </c>
      <c r="H1107" s="413">
        <f>G1107*VLOOKUP(E1107,GWPs!$B$3:$C$6,2,FALSE)</f>
        <v>2.8000000000000001E-2</v>
      </c>
      <c r="I1107">
        <v>0</v>
      </c>
      <c r="J1107" s="413">
        <f>I1107*VLOOKUP(E1107,GWPs!$B$3:$C$6,2,FALSE)</f>
        <v>0</v>
      </c>
      <c r="K1107">
        <v>1E-3</v>
      </c>
      <c r="L1107" s="413">
        <f>K1107*VLOOKUP(E1107,GWPs!$B$3:$C$6,2,FALSE)</f>
        <v>2.8000000000000001E-2</v>
      </c>
      <c r="N1107">
        <v>3</v>
      </c>
      <c r="O1107">
        <v>2</v>
      </c>
      <c r="P1107">
        <v>1</v>
      </c>
      <c r="Q1107">
        <v>1</v>
      </c>
      <c r="R1107">
        <v>1</v>
      </c>
    </row>
    <row r="1108" spans="1:18">
      <c r="A1108" t="str">
        <f>_xlfn.IFNA(IF(VLOOKUP(C1108,'2016_Detail_Commodity_v1.0'!C:C,1,FALSE)=C1108,"No change"),"Name changed")</f>
        <v>Name changed</v>
      </c>
      <c r="B1108" t="s">
        <v>859</v>
      </c>
      <c r="C1108" t="s">
        <v>1918</v>
      </c>
      <c r="D1108" t="s">
        <v>860</v>
      </c>
      <c r="E1108" t="s">
        <v>3655</v>
      </c>
      <c r="F1108" t="s">
        <v>12</v>
      </c>
      <c r="G1108">
        <v>0</v>
      </c>
      <c r="H1108" s="413">
        <f>G1108*VLOOKUP(E1108,GWPs!$B$3:$C$6,2,FALSE)</f>
        <v>0</v>
      </c>
      <c r="I1108">
        <v>0</v>
      </c>
      <c r="J1108" s="413">
        <f>I1108*VLOOKUP(E1108,GWPs!$B$3:$C$6,2,FALSE)</f>
        <v>0</v>
      </c>
      <c r="K1108">
        <v>0</v>
      </c>
      <c r="L1108" s="413">
        <f>K1108*VLOOKUP(E1108,GWPs!$B$3:$C$6,2,FALSE)</f>
        <v>0</v>
      </c>
      <c r="N1108">
        <v>3</v>
      </c>
      <c r="O1108">
        <v>2</v>
      </c>
      <c r="P1108">
        <v>1</v>
      </c>
      <c r="Q1108">
        <v>3</v>
      </c>
      <c r="R1108">
        <v>1</v>
      </c>
    </row>
    <row r="1109" spans="1:18">
      <c r="A1109" t="str">
        <f>_xlfn.IFNA(IF(VLOOKUP(C1109,'2016_Detail_Commodity_v1.0'!C:C,1,FALSE)=C1109,"No change"),"Name changed")</f>
        <v>Name changed</v>
      </c>
      <c r="B1109" t="s">
        <v>859</v>
      </c>
      <c r="C1109" t="s">
        <v>1918</v>
      </c>
      <c r="D1109" t="s">
        <v>860</v>
      </c>
      <c r="E1109" t="s">
        <v>15</v>
      </c>
      <c r="F1109" t="s">
        <v>16</v>
      </c>
      <c r="G1109">
        <v>3.0000000000000001E-3</v>
      </c>
      <c r="H1109" s="413">
        <f>G1109*VLOOKUP(E1109,GWPs!$B$3:$C$6,2,FALSE)</f>
        <v>3.0000000000000001E-3</v>
      </c>
      <c r="I1109">
        <v>0</v>
      </c>
      <c r="J1109" s="413">
        <f>I1109*VLOOKUP(E1109,GWPs!$B$3:$C$6,2,FALSE)</f>
        <v>0</v>
      </c>
      <c r="K1109">
        <v>3.0000000000000001E-3</v>
      </c>
      <c r="L1109" s="413">
        <f>K1109*VLOOKUP(E1109,GWPs!$B$3:$C$6,2,FALSE)</f>
        <v>3.0000000000000001E-3</v>
      </c>
      <c r="N1109">
        <v>4</v>
      </c>
      <c r="O1109">
        <v>2</v>
      </c>
      <c r="P1109">
        <v>1</v>
      </c>
      <c r="Q1109">
        <v>4</v>
      </c>
      <c r="R1109">
        <v>1</v>
      </c>
    </row>
    <row r="1110" spans="1:18">
      <c r="A1110" t="str">
        <f>_xlfn.IFNA(IF(VLOOKUP(C1110,'2016_Detail_Commodity_v1.0'!C:C,1,FALSE)=C1110,"No change"),"Name changed")</f>
        <v>No change</v>
      </c>
      <c r="B1110" t="s">
        <v>861</v>
      </c>
      <c r="C1110" t="s">
        <v>862</v>
      </c>
      <c r="E1110" t="s">
        <v>3653</v>
      </c>
      <c r="F1110" t="s">
        <v>12</v>
      </c>
      <c r="G1110">
        <v>0.21</v>
      </c>
      <c r="H1110" s="413">
        <f>G1110*VLOOKUP(E1110,GWPs!$B$3:$C$6,2,FALSE)</f>
        <v>0.21</v>
      </c>
      <c r="I1110">
        <v>0</v>
      </c>
      <c r="J1110" s="413">
        <f>I1110*VLOOKUP(E1110,GWPs!$B$3:$C$6,2,FALSE)</f>
        <v>0</v>
      </c>
      <c r="K1110">
        <v>0.21</v>
      </c>
      <c r="L1110" s="413">
        <f>K1110*VLOOKUP(E1110,GWPs!$B$3:$C$6,2,FALSE)</f>
        <v>0.21</v>
      </c>
      <c r="N1110">
        <v>3</v>
      </c>
      <c r="O1110">
        <v>2</v>
      </c>
      <c r="P1110">
        <v>1</v>
      </c>
      <c r="Q1110">
        <v>3</v>
      </c>
      <c r="R1110">
        <v>1</v>
      </c>
    </row>
    <row r="1111" spans="1:18">
      <c r="A1111" t="str">
        <f>_xlfn.IFNA(IF(VLOOKUP(C1111,'2016_Detail_Commodity_v1.0'!C:C,1,FALSE)=C1111,"No change"),"Name changed")</f>
        <v>No change</v>
      </c>
      <c r="B1111" t="s">
        <v>861</v>
      </c>
      <c r="C1111" t="s">
        <v>862</v>
      </c>
      <c r="E1111" t="s">
        <v>3654</v>
      </c>
      <c r="F1111" t="s">
        <v>12</v>
      </c>
      <c r="G1111">
        <v>2E-3</v>
      </c>
      <c r="H1111" s="413">
        <f>G1111*VLOOKUP(E1111,GWPs!$B$3:$C$6,2,FALSE)</f>
        <v>5.6000000000000001E-2</v>
      </c>
      <c r="I1111">
        <v>0</v>
      </c>
      <c r="J1111" s="413">
        <f>I1111*VLOOKUP(E1111,GWPs!$B$3:$C$6,2,FALSE)</f>
        <v>0</v>
      </c>
      <c r="K1111">
        <v>2E-3</v>
      </c>
      <c r="L1111" s="413">
        <f>K1111*VLOOKUP(E1111,GWPs!$B$3:$C$6,2,FALSE)</f>
        <v>5.6000000000000001E-2</v>
      </c>
      <c r="N1111">
        <v>3</v>
      </c>
      <c r="O1111">
        <v>2</v>
      </c>
      <c r="P1111">
        <v>1</v>
      </c>
      <c r="Q1111">
        <v>1</v>
      </c>
      <c r="R1111">
        <v>1</v>
      </c>
    </row>
    <row r="1112" spans="1:18">
      <c r="A1112" t="str">
        <f>_xlfn.IFNA(IF(VLOOKUP(C1112,'2016_Detail_Commodity_v1.0'!C:C,1,FALSE)=C1112,"No change"),"Name changed")</f>
        <v>No change</v>
      </c>
      <c r="B1112" t="s">
        <v>861</v>
      </c>
      <c r="C1112" t="s">
        <v>862</v>
      </c>
      <c r="E1112" t="s">
        <v>3655</v>
      </c>
      <c r="F1112" t="s">
        <v>12</v>
      </c>
      <c r="G1112">
        <v>0</v>
      </c>
      <c r="H1112" s="413">
        <f>G1112*VLOOKUP(E1112,GWPs!$B$3:$C$6,2,FALSE)</f>
        <v>0</v>
      </c>
      <c r="I1112">
        <v>0</v>
      </c>
      <c r="J1112" s="413">
        <f>I1112*VLOOKUP(E1112,GWPs!$B$3:$C$6,2,FALSE)</f>
        <v>0</v>
      </c>
      <c r="K1112">
        <v>0</v>
      </c>
      <c r="L1112" s="413">
        <f>K1112*VLOOKUP(E1112,GWPs!$B$3:$C$6,2,FALSE)</f>
        <v>0</v>
      </c>
      <c r="N1112">
        <v>4</v>
      </c>
      <c r="O1112">
        <v>2</v>
      </c>
      <c r="P1112">
        <v>1</v>
      </c>
      <c r="Q1112">
        <v>4</v>
      </c>
      <c r="R1112">
        <v>1</v>
      </c>
    </row>
    <row r="1113" spans="1:18">
      <c r="A1113" t="str">
        <f>_xlfn.IFNA(IF(VLOOKUP(C1113,'2016_Detail_Commodity_v1.0'!C:C,1,FALSE)=C1113,"No change"),"Name changed")</f>
        <v>No change</v>
      </c>
      <c r="B1113" t="s">
        <v>861</v>
      </c>
      <c r="C1113" t="s">
        <v>862</v>
      </c>
      <c r="E1113" t="s">
        <v>15</v>
      </c>
      <c r="F1113" t="s">
        <v>16</v>
      </c>
      <c r="G1113">
        <v>6.0000000000000001E-3</v>
      </c>
      <c r="H1113" s="413">
        <f>G1113*VLOOKUP(E1113,GWPs!$B$3:$C$6,2,FALSE)</f>
        <v>6.0000000000000001E-3</v>
      </c>
      <c r="I1113">
        <v>0</v>
      </c>
      <c r="J1113" s="413">
        <f>I1113*VLOOKUP(E1113,GWPs!$B$3:$C$6,2,FALSE)</f>
        <v>0</v>
      </c>
      <c r="K1113">
        <v>6.0000000000000001E-3</v>
      </c>
      <c r="L1113" s="413">
        <f>K1113*VLOOKUP(E1113,GWPs!$B$3:$C$6,2,FALSE)</f>
        <v>6.0000000000000001E-3</v>
      </c>
      <c r="N1113">
        <v>4</v>
      </c>
      <c r="O1113">
        <v>2</v>
      </c>
      <c r="P1113">
        <v>1</v>
      </c>
      <c r="Q1113">
        <v>4</v>
      </c>
      <c r="R1113">
        <v>1</v>
      </c>
    </row>
    <row r="1114" spans="1:18">
      <c r="A1114" t="str">
        <f>_xlfn.IFNA(IF(VLOOKUP(C1114,'2016_Detail_Commodity_v1.0'!C:C,1,FALSE)=C1114,"No change"),"Name changed")</f>
        <v>No change</v>
      </c>
      <c r="B1114" t="s">
        <v>863</v>
      </c>
      <c r="C1114" t="s">
        <v>864</v>
      </c>
      <c r="E1114" t="s">
        <v>3653</v>
      </c>
      <c r="F1114" t="s">
        <v>12</v>
      </c>
      <c r="G1114">
        <v>7.1999999999999995E-2</v>
      </c>
      <c r="H1114" s="413">
        <f>G1114*VLOOKUP(E1114,GWPs!$B$3:$C$6,2,FALSE)</f>
        <v>7.1999999999999995E-2</v>
      </c>
      <c r="I1114">
        <v>0</v>
      </c>
      <c r="J1114" s="413">
        <f>I1114*VLOOKUP(E1114,GWPs!$B$3:$C$6,2,FALSE)</f>
        <v>0</v>
      </c>
      <c r="K1114">
        <v>7.1999999999999995E-2</v>
      </c>
      <c r="L1114" s="413">
        <f>K1114*VLOOKUP(E1114,GWPs!$B$3:$C$6,2,FALSE)</f>
        <v>7.1999999999999995E-2</v>
      </c>
      <c r="N1114">
        <v>3</v>
      </c>
      <c r="O1114">
        <v>2</v>
      </c>
      <c r="P1114">
        <v>1</v>
      </c>
      <c r="Q1114">
        <v>3</v>
      </c>
      <c r="R1114">
        <v>1</v>
      </c>
    </row>
    <row r="1115" spans="1:18">
      <c r="A1115" t="str">
        <f>_xlfn.IFNA(IF(VLOOKUP(C1115,'2016_Detail_Commodity_v1.0'!C:C,1,FALSE)=C1115,"No change"),"Name changed")</f>
        <v>No change</v>
      </c>
      <c r="B1115" t="s">
        <v>863</v>
      </c>
      <c r="C1115" t="s">
        <v>864</v>
      </c>
      <c r="E1115" t="s">
        <v>3654</v>
      </c>
      <c r="F1115" t="s">
        <v>12</v>
      </c>
      <c r="G1115">
        <v>1E-3</v>
      </c>
      <c r="H1115" s="413">
        <f>G1115*VLOOKUP(E1115,GWPs!$B$3:$C$6,2,FALSE)</f>
        <v>2.8000000000000001E-2</v>
      </c>
      <c r="I1115">
        <v>0</v>
      </c>
      <c r="J1115" s="413">
        <f>I1115*VLOOKUP(E1115,GWPs!$B$3:$C$6,2,FALSE)</f>
        <v>0</v>
      </c>
      <c r="K1115">
        <v>1E-3</v>
      </c>
      <c r="L1115" s="413">
        <f>K1115*VLOOKUP(E1115,GWPs!$B$3:$C$6,2,FALSE)</f>
        <v>2.8000000000000001E-2</v>
      </c>
      <c r="N1115">
        <v>4</v>
      </c>
      <c r="O1115">
        <v>2</v>
      </c>
      <c r="P1115">
        <v>1</v>
      </c>
      <c r="Q1115">
        <v>1</v>
      </c>
      <c r="R1115">
        <v>1</v>
      </c>
    </row>
    <row r="1116" spans="1:18">
      <c r="A1116" t="str">
        <f>_xlfn.IFNA(IF(VLOOKUP(C1116,'2016_Detail_Commodity_v1.0'!C:C,1,FALSE)=C1116,"No change"),"Name changed")</f>
        <v>No change</v>
      </c>
      <c r="B1116" t="s">
        <v>863</v>
      </c>
      <c r="C1116" t="s">
        <v>864</v>
      </c>
      <c r="E1116" t="s">
        <v>3655</v>
      </c>
      <c r="F1116" t="s">
        <v>12</v>
      </c>
      <c r="G1116">
        <v>0</v>
      </c>
      <c r="H1116" s="413">
        <f>G1116*VLOOKUP(E1116,GWPs!$B$3:$C$6,2,FALSE)</f>
        <v>0</v>
      </c>
      <c r="I1116">
        <v>0</v>
      </c>
      <c r="J1116" s="413">
        <f>I1116*VLOOKUP(E1116,GWPs!$B$3:$C$6,2,FALSE)</f>
        <v>0</v>
      </c>
      <c r="K1116">
        <v>0</v>
      </c>
      <c r="L1116" s="413">
        <f>K1116*VLOOKUP(E1116,GWPs!$B$3:$C$6,2,FALSE)</f>
        <v>0</v>
      </c>
      <c r="N1116">
        <v>3</v>
      </c>
      <c r="O1116">
        <v>2</v>
      </c>
      <c r="P1116">
        <v>1</v>
      </c>
      <c r="Q1116">
        <v>3</v>
      </c>
      <c r="R1116">
        <v>1</v>
      </c>
    </row>
    <row r="1117" spans="1:18">
      <c r="A1117" t="str">
        <f>_xlfn.IFNA(IF(VLOOKUP(C1117,'2016_Detail_Commodity_v1.0'!C:C,1,FALSE)=C1117,"No change"),"Name changed")</f>
        <v>No change</v>
      </c>
      <c r="B1117" t="s">
        <v>863</v>
      </c>
      <c r="C1117" t="s">
        <v>864</v>
      </c>
      <c r="E1117" t="s">
        <v>15</v>
      </c>
      <c r="F1117" t="s">
        <v>16</v>
      </c>
      <c r="G1117">
        <v>2E-3</v>
      </c>
      <c r="H1117" s="413">
        <f>G1117*VLOOKUP(E1117,GWPs!$B$3:$C$6,2,FALSE)</f>
        <v>2E-3</v>
      </c>
      <c r="I1117">
        <v>0</v>
      </c>
      <c r="J1117" s="413">
        <f>I1117*VLOOKUP(E1117,GWPs!$B$3:$C$6,2,FALSE)</f>
        <v>0</v>
      </c>
      <c r="K1117">
        <v>2E-3</v>
      </c>
      <c r="L1117" s="413">
        <f>K1117*VLOOKUP(E1117,GWPs!$B$3:$C$6,2,FALSE)</f>
        <v>2E-3</v>
      </c>
      <c r="N1117">
        <v>4</v>
      </c>
      <c r="O1117">
        <v>2</v>
      </c>
      <c r="P1117">
        <v>1</v>
      </c>
      <c r="Q1117">
        <v>4</v>
      </c>
      <c r="R1117">
        <v>1</v>
      </c>
    </row>
    <row r="1118" spans="1:18">
      <c r="A1118" t="str">
        <f>_xlfn.IFNA(IF(VLOOKUP(C1118,'2016_Detail_Commodity_v1.0'!C:C,1,FALSE)=C1118,"No change"),"Name changed")</f>
        <v>No change</v>
      </c>
      <c r="B1118" t="s">
        <v>865</v>
      </c>
      <c r="C1118" t="s">
        <v>866</v>
      </c>
      <c r="E1118" t="s">
        <v>3653</v>
      </c>
      <c r="F1118" t="s">
        <v>12</v>
      </c>
      <c r="G1118">
        <v>0.16600000000000001</v>
      </c>
      <c r="H1118" s="413">
        <f>G1118*VLOOKUP(E1118,GWPs!$B$3:$C$6,2,FALSE)</f>
        <v>0.16600000000000001</v>
      </c>
      <c r="I1118">
        <v>0</v>
      </c>
      <c r="J1118" s="413">
        <f>I1118*VLOOKUP(E1118,GWPs!$B$3:$C$6,2,FALSE)</f>
        <v>0</v>
      </c>
      <c r="K1118">
        <v>0.16600000000000001</v>
      </c>
      <c r="L1118" s="413">
        <f>K1118*VLOOKUP(E1118,GWPs!$B$3:$C$6,2,FALSE)</f>
        <v>0.16600000000000001</v>
      </c>
      <c r="N1118">
        <v>3</v>
      </c>
      <c r="O1118">
        <v>2</v>
      </c>
      <c r="P1118">
        <v>1</v>
      </c>
      <c r="Q1118">
        <v>3</v>
      </c>
      <c r="R1118">
        <v>1</v>
      </c>
    </row>
    <row r="1119" spans="1:18">
      <c r="A1119" t="str">
        <f>_xlfn.IFNA(IF(VLOOKUP(C1119,'2016_Detail_Commodity_v1.0'!C:C,1,FALSE)=C1119,"No change"),"Name changed")</f>
        <v>No change</v>
      </c>
      <c r="B1119" t="s">
        <v>865</v>
      </c>
      <c r="C1119" t="s">
        <v>866</v>
      </c>
      <c r="E1119" t="s">
        <v>3654</v>
      </c>
      <c r="F1119" t="s">
        <v>12</v>
      </c>
      <c r="G1119">
        <v>1E-3</v>
      </c>
      <c r="H1119" s="413">
        <f>G1119*VLOOKUP(E1119,GWPs!$B$3:$C$6,2,FALSE)</f>
        <v>2.8000000000000001E-2</v>
      </c>
      <c r="I1119">
        <v>0</v>
      </c>
      <c r="J1119" s="413">
        <f>I1119*VLOOKUP(E1119,GWPs!$B$3:$C$6,2,FALSE)</f>
        <v>0</v>
      </c>
      <c r="K1119">
        <v>1E-3</v>
      </c>
      <c r="L1119" s="413">
        <f>K1119*VLOOKUP(E1119,GWPs!$B$3:$C$6,2,FALSE)</f>
        <v>2.8000000000000001E-2</v>
      </c>
      <c r="N1119">
        <v>3</v>
      </c>
      <c r="O1119">
        <v>2</v>
      </c>
      <c r="P1119">
        <v>1</v>
      </c>
      <c r="Q1119">
        <v>1</v>
      </c>
      <c r="R1119">
        <v>1</v>
      </c>
    </row>
    <row r="1120" spans="1:18">
      <c r="A1120" t="str">
        <f>_xlfn.IFNA(IF(VLOOKUP(C1120,'2016_Detail_Commodity_v1.0'!C:C,1,FALSE)=C1120,"No change"),"Name changed")</f>
        <v>No change</v>
      </c>
      <c r="B1120" t="s">
        <v>865</v>
      </c>
      <c r="C1120" t="s">
        <v>866</v>
      </c>
      <c r="E1120" t="s">
        <v>3655</v>
      </c>
      <c r="F1120" t="s">
        <v>12</v>
      </c>
      <c r="G1120">
        <v>0</v>
      </c>
      <c r="H1120" s="413">
        <f>G1120*VLOOKUP(E1120,GWPs!$B$3:$C$6,2,FALSE)</f>
        <v>0</v>
      </c>
      <c r="I1120">
        <v>0</v>
      </c>
      <c r="J1120" s="413">
        <f>I1120*VLOOKUP(E1120,GWPs!$B$3:$C$6,2,FALSE)</f>
        <v>0</v>
      </c>
      <c r="K1120">
        <v>0</v>
      </c>
      <c r="L1120" s="413">
        <f>K1120*VLOOKUP(E1120,GWPs!$B$3:$C$6,2,FALSE)</f>
        <v>0</v>
      </c>
      <c r="N1120">
        <v>4</v>
      </c>
      <c r="O1120">
        <v>2</v>
      </c>
      <c r="P1120">
        <v>1</v>
      </c>
      <c r="Q1120">
        <v>3</v>
      </c>
      <c r="R1120">
        <v>1</v>
      </c>
    </row>
    <row r="1121" spans="1:18">
      <c r="A1121" t="str">
        <f>_xlfn.IFNA(IF(VLOOKUP(C1121,'2016_Detail_Commodity_v1.0'!C:C,1,FALSE)=C1121,"No change"),"Name changed")</f>
        <v>No change</v>
      </c>
      <c r="B1121" t="s">
        <v>865</v>
      </c>
      <c r="C1121" t="s">
        <v>866</v>
      </c>
      <c r="E1121" t="s">
        <v>15</v>
      </c>
      <c r="F1121" t="s">
        <v>16</v>
      </c>
      <c r="G1121">
        <v>5.0000000000000001E-3</v>
      </c>
      <c r="H1121" s="413">
        <f>G1121*VLOOKUP(E1121,GWPs!$B$3:$C$6,2,FALSE)</f>
        <v>5.0000000000000001E-3</v>
      </c>
      <c r="I1121">
        <v>0</v>
      </c>
      <c r="J1121" s="413">
        <f>I1121*VLOOKUP(E1121,GWPs!$B$3:$C$6,2,FALSE)</f>
        <v>0</v>
      </c>
      <c r="K1121">
        <v>5.0000000000000001E-3</v>
      </c>
      <c r="L1121" s="413">
        <f>K1121*VLOOKUP(E1121,GWPs!$B$3:$C$6,2,FALSE)</f>
        <v>5.0000000000000001E-3</v>
      </c>
      <c r="N1121">
        <v>4</v>
      </c>
      <c r="O1121">
        <v>2</v>
      </c>
      <c r="P1121">
        <v>1</v>
      </c>
      <c r="Q1121">
        <v>4</v>
      </c>
      <c r="R1121">
        <v>1</v>
      </c>
    </row>
    <row r="1122" spans="1:18">
      <c r="A1122" t="str">
        <f>_xlfn.IFNA(IF(VLOOKUP(C1122,'2016_Detail_Commodity_v1.0'!C:C,1,FALSE)=C1122,"No change"),"Name changed")</f>
        <v>No change</v>
      </c>
      <c r="B1122" t="s">
        <v>867</v>
      </c>
      <c r="C1122" t="s">
        <v>868</v>
      </c>
      <c r="E1122" t="s">
        <v>3653</v>
      </c>
      <c r="F1122" t="s">
        <v>12</v>
      </c>
      <c r="G1122">
        <v>5.5E-2</v>
      </c>
      <c r="H1122" s="413">
        <f>G1122*VLOOKUP(E1122,GWPs!$B$3:$C$6,2,FALSE)</f>
        <v>5.5E-2</v>
      </c>
      <c r="I1122">
        <v>0</v>
      </c>
      <c r="J1122" s="413">
        <f>I1122*VLOOKUP(E1122,GWPs!$B$3:$C$6,2,FALSE)</f>
        <v>0</v>
      </c>
      <c r="K1122">
        <v>5.5E-2</v>
      </c>
      <c r="L1122" s="413">
        <f>K1122*VLOOKUP(E1122,GWPs!$B$3:$C$6,2,FALSE)</f>
        <v>5.5E-2</v>
      </c>
      <c r="N1122">
        <v>3</v>
      </c>
      <c r="O1122">
        <v>2</v>
      </c>
      <c r="P1122">
        <v>1</v>
      </c>
      <c r="Q1122">
        <v>3</v>
      </c>
      <c r="R1122">
        <v>1</v>
      </c>
    </row>
    <row r="1123" spans="1:18">
      <c r="A1123" t="str">
        <f>_xlfn.IFNA(IF(VLOOKUP(C1123,'2016_Detail_Commodity_v1.0'!C:C,1,FALSE)=C1123,"No change"),"Name changed")</f>
        <v>No change</v>
      </c>
      <c r="B1123" t="s">
        <v>867</v>
      </c>
      <c r="C1123" t="s">
        <v>868</v>
      </c>
      <c r="E1123" t="s">
        <v>3654</v>
      </c>
      <c r="F1123" t="s">
        <v>12</v>
      </c>
      <c r="G1123">
        <v>0</v>
      </c>
      <c r="H1123" s="413">
        <f>G1123*VLOOKUP(E1123,GWPs!$B$3:$C$6,2,FALSE)</f>
        <v>0</v>
      </c>
      <c r="I1123">
        <v>0</v>
      </c>
      <c r="J1123" s="413">
        <f>I1123*VLOOKUP(E1123,GWPs!$B$3:$C$6,2,FALSE)</f>
        <v>0</v>
      </c>
      <c r="K1123">
        <v>0</v>
      </c>
      <c r="L1123" s="413">
        <f>K1123*VLOOKUP(E1123,GWPs!$B$3:$C$6,2,FALSE)</f>
        <v>0</v>
      </c>
      <c r="N1123">
        <v>3</v>
      </c>
      <c r="O1123">
        <v>2</v>
      </c>
      <c r="P1123">
        <v>1</v>
      </c>
      <c r="Q1123">
        <v>1</v>
      </c>
      <c r="R1123">
        <v>1</v>
      </c>
    </row>
    <row r="1124" spans="1:18">
      <c r="A1124" t="str">
        <f>_xlfn.IFNA(IF(VLOOKUP(C1124,'2016_Detail_Commodity_v1.0'!C:C,1,FALSE)=C1124,"No change"),"Name changed")</f>
        <v>No change</v>
      </c>
      <c r="B1124" t="s">
        <v>867</v>
      </c>
      <c r="C1124" t="s">
        <v>868</v>
      </c>
      <c r="E1124" t="s">
        <v>3655</v>
      </c>
      <c r="F1124" t="s">
        <v>12</v>
      </c>
      <c r="G1124">
        <v>0</v>
      </c>
      <c r="H1124" s="413">
        <f>G1124*VLOOKUP(E1124,GWPs!$B$3:$C$6,2,FALSE)</f>
        <v>0</v>
      </c>
      <c r="I1124">
        <v>0</v>
      </c>
      <c r="J1124" s="413">
        <f>I1124*VLOOKUP(E1124,GWPs!$B$3:$C$6,2,FALSE)</f>
        <v>0</v>
      </c>
      <c r="K1124">
        <v>0</v>
      </c>
      <c r="L1124" s="413">
        <f>K1124*VLOOKUP(E1124,GWPs!$B$3:$C$6,2,FALSE)</f>
        <v>0</v>
      </c>
      <c r="N1124">
        <v>4</v>
      </c>
      <c r="O1124">
        <v>2</v>
      </c>
      <c r="P1124">
        <v>1</v>
      </c>
      <c r="Q1124">
        <v>3</v>
      </c>
      <c r="R1124">
        <v>1</v>
      </c>
    </row>
    <row r="1125" spans="1:18">
      <c r="A1125" t="str">
        <f>_xlfn.IFNA(IF(VLOOKUP(C1125,'2016_Detail_Commodity_v1.0'!C:C,1,FALSE)=C1125,"No change"),"Name changed")</f>
        <v>No change</v>
      </c>
      <c r="B1125" t="s">
        <v>867</v>
      </c>
      <c r="C1125" t="s">
        <v>868</v>
      </c>
      <c r="E1125" t="s">
        <v>15</v>
      </c>
      <c r="F1125" t="s">
        <v>16</v>
      </c>
      <c r="G1125">
        <v>2E-3</v>
      </c>
      <c r="H1125" s="413">
        <f>G1125*VLOOKUP(E1125,GWPs!$B$3:$C$6,2,FALSE)</f>
        <v>2E-3</v>
      </c>
      <c r="I1125">
        <v>0</v>
      </c>
      <c r="J1125" s="413">
        <f>I1125*VLOOKUP(E1125,GWPs!$B$3:$C$6,2,FALSE)</f>
        <v>0</v>
      </c>
      <c r="K1125">
        <v>2E-3</v>
      </c>
      <c r="L1125" s="413">
        <f>K1125*VLOOKUP(E1125,GWPs!$B$3:$C$6,2,FALSE)</f>
        <v>2E-3</v>
      </c>
      <c r="N1125">
        <v>4</v>
      </c>
      <c r="O1125">
        <v>2</v>
      </c>
      <c r="P1125">
        <v>1</v>
      </c>
      <c r="Q1125">
        <v>4</v>
      </c>
      <c r="R1125">
        <v>1</v>
      </c>
    </row>
    <row r="1126" spans="1:18">
      <c r="A1126" t="str">
        <f>_xlfn.IFNA(IF(VLOOKUP(C1126,'2016_Detail_Commodity_v1.0'!C:C,1,FALSE)=C1126,"No change"),"Name changed")</f>
        <v>No change</v>
      </c>
      <c r="B1126" t="s">
        <v>869</v>
      </c>
      <c r="C1126" t="s">
        <v>870</v>
      </c>
      <c r="E1126" t="s">
        <v>3653</v>
      </c>
      <c r="F1126" t="s">
        <v>12</v>
      </c>
      <c r="G1126">
        <v>0.14099999999999999</v>
      </c>
      <c r="H1126" s="413">
        <f>G1126*VLOOKUP(E1126,GWPs!$B$3:$C$6,2,FALSE)</f>
        <v>0.14099999999999999</v>
      </c>
      <c r="I1126">
        <v>0</v>
      </c>
      <c r="J1126" s="413">
        <f>I1126*VLOOKUP(E1126,GWPs!$B$3:$C$6,2,FALSE)</f>
        <v>0</v>
      </c>
      <c r="K1126">
        <v>0.14099999999999999</v>
      </c>
      <c r="L1126" s="413">
        <f>K1126*VLOOKUP(E1126,GWPs!$B$3:$C$6,2,FALSE)</f>
        <v>0.14099999999999999</v>
      </c>
      <c r="N1126">
        <v>3</v>
      </c>
      <c r="O1126">
        <v>2</v>
      </c>
      <c r="P1126">
        <v>1</v>
      </c>
      <c r="Q1126">
        <v>3</v>
      </c>
      <c r="R1126">
        <v>1</v>
      </c>
    </row>
    <row r="1127" spans="1:18">
      <c r="A1127" t="str">
        <f>_xlfn.IFNA(IF(VLOOKUP(C1127,'2016_Detail_Commodity_v1.0'!C:C,1,FALSE)=C1127,"No change"),"Name changed")</f>
        <v>No change</v>
      </c>
      <c r="B1127" t="s">
        <v>869</v>
      </c>
      <c r="C1127" t="s">
        <v>870</v>
      </c>
      <c r="E1127" t="s">
        <v>3654</v>
      </c>
      <c r="F1127" t="s">
        <v>12</v>
      </c>
      <c r="G1127">
        <v>1E-3</v>
      </c>
      <c r="H1127" s="413">
        <f>G1127*VLOOKUP(E1127,GWPs!$B$3:$C$6,2,FALSE)</f>
        <v>2.8000000000000001E-2</v>
      </c>
      <c r="I1127">
        <v>0</v>
      </c>
      <c r="J1127" s="413">
        <f>I1127*VLOOKUP(E1127,GWPs!$B$3:$C$6,2,FALSE)</f>
        <v>0</v>
      </c>
      <c r="K1127">
        <v>1E-3</v>
      </c>
      <c r="L1127" s="413">
        <f>K1127*VLOOKUP(E1127,GWPs!$B$3:$C$6,2,FALSE)</f>
        <v>2.8000000000000001E-2</v>
      </c>
      <c r="N1127">
        <v>3</v>
      </c>
      <c r="O1127">
        <v>2</v>
      </c>
      <c r="P1127">
        <v>1</v>
      </c>
      <c r="Q1127">
        <v>1</v>
      </c>
      <c r="R1127">
        <v>1</v>
      </c>
    </row>
    <row r="1128" spans="1:18">
      <c r="A1128" t="str">
        <f>_xlfn.IFNA(IF(VLOOKUP(C1128,'2016_Detail_Commodity_v1.0'!C:C,1,FALSE)=C1128,"No change"),"Name changed")</f>
        <v>No change</v>
      </c>
      <c r="B1128" t="s">
        <v>869</v>
      </c>
      <c r="C1128" t="s">
        <v>870</v>
      </c>
      <c r="E1128" t="s">
        <v>3655</v>
      </c>
      <c r="F1128" t="s">
        <v>12</v>
      </c>
      <c r="G1128">
        <v>0</v>
      </c>
      <c r="H1128" s="413">
        <f>G1128*VLOOKUP(E1128,GWPs!$B$3:$C$6,2,FALSE)</f>
        <v>0</v>
      </c>
      <c r="I1128">
        <v>0</v>
      </c>
      <c r="J1128" s="413">
        <f>I1128*VLOOKUP(E1128,GWPs!$B$3:$C$6,2,FALSE)</f>
        <v>0</v>
      </c>
      <c r="K1128">
        <v>0</v>
      </c>
      <c r="L1128" s="413">
        <f>K1128*VLOOKUP(E1128,GWPs!$B$3:$C$6,2,FALSE)</f>
        <v>0</v>
      </c>
      <c r="N1128">
        <v>3</v>
      </c>
      <c r="O1128">
        <v>2</v>
      </c>
      <c r="P1128">
        <v>1</v>
      </c>
      <c r="Q1128">
        <v>3</v>
      </c>
      <c r="R1128">
        <v>1</v>
      </c>
    </row>
    <row r="1129" spans="1:18">
      <c r="A1129" t="str">
        <f>_xlfn.IFNA(IF(VLOOKUP(C1129,'2016_Detail_Commodity_v1.0'!C:C,1,FALSE)=C1129,"No change"),"Name changed")</f>
        <v>No change</v>
      </c>
      <c r="B1129" t="s">
        <v>869</v>
      </c>
      <c r="C1129" t="s">
        <v>870</v>
      </c>
      <c r="E1129" t="s">
        <v>15</v>
      </c>
      <c r="F1129" t="s">
        <v>16</v>
      </c>
      <c r="G1129">
        <v>2E-3</v>
      </c>
      <c r="H1129" s="413">
        <f>G1129*VLOOKUP(E1129,GWPs!$B$3:$C$6,2,FALSE)</f>
        <v>2E-3</v>
      </c>
      <c r="I1129">
        <v>0</v>
      </c>
      <c r="J1129" s="413">
        <f>I1129*VLOOKUP(E1129,GWPs!$B$3:$C$6,2,FALSE)</f>
        <v>0</v>
      </c>
      <c r="K1129">
        <v>2E-3</v>
      </c>
      <c r="L1129" s="413">
        <f>K1129*VLOOKUP(E1129,GWPs!$B$3:$C$6,2,FALSE)</f>
        <v>2E-3</v>
      </c>
      <c r="N1129">
        <v>4</v>
      </c>
      <c r="O1129">
        <v>2</v>
      </c>
      <c r="P1129">
        <v>1</v>
      </c>
      <c r="Q1129">
        <v>4</v>
      </c>
      <c r="R1129">
        <v>1</v>
      </c>
    </row>
    <row r="1130" spans="1:18">
      <c r="A1130" t="str">
        <f>_xlfn.IFNA(IF(VLOOKUP(C1130,'2016_Detail_Commodity_v1.0'!C:C,1,FALSE)=C1130,"No change"),"Name changed")</f>
        <v>No change</v>
      </c>
      <c r="B1130" t="s">
        <v>871</v>
      </c>
      <c r="C1130" t="s">
        <v>872</v>
      </c>
      <c r="E1130" t="s">
        <v>3653</v>
      </c>
      <c r="F1130" t="s">
        <v>12</v>
      </c>
      <c r="G1130">
        <v>0.13700000000000001</v>
      </c>
      <c r="H1130" s="413">
        <f>G1130*VLOOKUP(E1130,GWPs!$B$3:$C$6,2,FALSE)</f>
        <v>0.13700000000000001</v>
      </c>
      <c r="I1130">
        <v>0</v>
      </c>
      <c r="J1130" s="413">
        <f>I1130*VLOOKUP(E1130,GWPs!$B$3:$C$6,2,FALSE)</f>
        <v>0</v>
      </c>
      <c r="K1130">
        <v>0.13700000000000001</v>
      </c>
      <c r="L1130" s="413">
        <f>K1130*VLOOKUP(E1130,GWPs!$B$3:$C$6,2,FALSE)</f>
        <v>0.13700000000000001</v>
      </c>
      <c r="N1130">
        <v>2</v>
      </c>
      <c r="O1130">
        <v>2</v>
      </c>
      <c r="P1130">
        <v>1</v>
      </c>
      <c r="Q1130">
        <v>3</v>
      </c>
      <c r="R1130">
        <v>1</v>
      </c>
    </row>
    <row r="1131" spans="1:18">
      <c r="A1131" t="str">
        <f>_xlfn.IFNA(IF(VLOOKUP(C1131,'2016_Detail_Commodity_v1.0'!C:C,1,FALSE)=C1131,"No change"),"Name changed")</f>
        <v>No change</v>
      </c>
      <c r="B1131" t="s">
        <v>871</v>
      </c>
      <c r="C1131" t="s">
        <v>872</v>
      </c>
      <c r="E1131" t="s">
        <v>3654</v>
      </c>
      <c r="F1131" t="s">
        <v>12</v>
      </c>
      <c r="G1131">
        <v>0</v>
      </c>
      <c r="H1131" s="413">
        <f>G1131*VLOOKUP(E1131,GWPs!$B$3:$C$6,2,FALSE)</f>
        <v>0</v>
      </c>
      <c r="I1131">
        <v>0</v>
      </c>
      <c r="J1131" s="413">
        <f>I1131*VLOOKUP(E1131,GWPs!$B$3:$C$6,2,FALSE)</f>
        <v>0</v>
      </c>
      <c r="K1131">
        <v>0</v>
      </c>
      <c r="L1131" s="413">
        <f>K1131*VLOOKUP(E1131,GWPs!$B$3:$C$6,2,FALSE)</f>
        <v>0</v>
      </c>
      <c r="N1131">
        <v>3</v>
      </c>
      <c r="O1131">
        <v>2</v>
      </c>
      <c r="P1131">
        <v>1</v>
      </c>
      <c r="Q1131">
        <v>1</v>
      </c>
      <c r="R1131">
        <v>1</v>
      </c>
    </row>
    <row r="1132" spans="1:18">
      <c r="A1132" t="str">
        <f>_xlfn.IFNA(IF(VLOOKUP(C1132,'2016_Detail_Commodity_v1.0'!C:C,1,FALSE)=C1132,"No change"),"Name changed")</f>
        <v>No change</v>
      </c>
      <c r="B1132" t="s">
        <v>871</v>
      </c>
      <c r="C1132" t="s">
        <v>872</v>
      </c>
      <c r="E1132" t="s">
        <v>3655</v>
      </c>
      <c r="F1132" t="s">
        <v>12</v>
      </c>
      <c r="G1132">
        <v>0</v>
      </c>
      <c r="H1132" s="413">
        <f>G1132*VLOOKUP(E1132,GWPs!$B$3:$C$6,2,FALSE)</f>
        <v>0</v>
      </c>
      <c r="I1132">
        <v>0</v>
      </c>
      <c r="J1132" s="413">
        <f>I1132*VLOOKUP(E1132,GWPs!$B$3:$C$6,2,FALSE)</f>
        <v>0</v>
      </c>
      <c r="K1132">
        <v>0</v>
      </c>
      <c r="L1132" s="413">
        <f>K1132*VLOOKUP(E1132,GWPs!$B$3:$C$6,2,FALSE)</f>
        <v>0</v>
      </c>
      <c r="N1132">
        <v>3</v>
      </c>
      <c r="O1132">
        <v>2</v>
      </c>
      <c r="P1132">
        <v>1</v>
      </c>
      <c r="Q1132">
        <v>2</v>
      </c>
      <c r="R1132">
        <v>1</v>
      </c>
    </row>
    <row r="1133" spans="1:18">
      <c r="A1133" t="str">
        <f>_xlfn.IFNA(IF(VLOOKUP(C1133,'2016_Detail_Commodity_v1.0'!C:C,1,FALSE)=C1133,"No change"),"Name changed")</f>
        <v>No change</v>
      </c>
      <c r="B1133" t="s">
        <v>871</v>
      </c>
      <c r="C1133" t="s">
        <v>872</v>
      </c>
      <c r="E1133" t="s">
        <v>15</v>
      </c>
      <c r="F1133" t="s">
        <v>16</v>
      </c>
      <c r="G1133">
        <v>2E-3</v>
      </c>
      <c r="H1133" s="413">
        <f>G1133*VLOOKUP(E1133,GWPs!$B$3:$C$6,2,FALSE)</f>
        <v>2E-3</v>
      </c>
      <c r="I1133">
        <v>0</v>
      </c>
      <c r="J1133" s="413">
        <f>I1133*VLOOKUP(E1133,GWPs!$B$3:$C$6,2,FALSE)</f>
        <v>0</v>
      </c>
      <c r="K1133">
        <v>2E-3</v>
      </c>
      <c r="L1133" s="413">
        <f>K1133*VLOOKUP(E1133,GWPs!$B$3:$C$6,2,FALSE)</f>
        <v>2E-3</v>
      </c>
      <c r="N1133">
        <v>4</v>
      </c>
      <c r="O1133">
        <v>2</v>
      </c>
      <c r="P1133">
        <v>1</v>
      </c>
      <c r="Q1133">
        <v>4</v>
      </c>
      <c r="R1133">
        <v>1</v>
      </c>
    </row>
    <row r="1134" spans="1:18">
      <c r="A1134" t="str">
        <f>_xlfn.IFNA(IF(VLOOKUP(C1134,'2016_Detail_Commodity_v1.0'!C:C,1,FALSE)=C1134,"No change"),"Name changed")</f>
        <v>No change</v>
      </c>
      <c r="B1134" t="s">
        <v>873</v>
      </c>
      <c r="C1134" t="s">
        <v>19</v>
      </c>
      <c r="E1134" t="s">
        <v>3653</v>
      </c>
      <c r="F1134" t="s">
        <v>12</v>
      </c>
      <c r="G1134">
        <v>0.247</v>
      </c>
      <c r="H1134" s="413">
        <f>G1134*VLOOKUP(E1134,GWPs!$B$3:$C$6,2,FALSE)</f>
        <v>0.247</v>
      </c>
      <c r="I1134">
        <v>0</v>
      </c>
      <c r="J1134" s="413">
        <f>I1134*VLOOKUP(E1134,GWPs!$B$3:$C$6,2,FALSE)</f>
        <v>0</v>
      </c>
      <c r="K1134">
        <v>0.247</v>
      </c>
      <c r="L1134" s="413">
        <f>K1134*VLOOKUP(E1134,GWPs!$B$3:$C$6,2,FALSE)</f>
        <v>0.247</v>
      </c>
      <c r="N1134">
        <v>2</v>
      </c>
      <c r="O1134">
        <v>2</v>
      </c>
      <c r="P1134">
        <v>1</v>
      </c>
      <c r="Q1134">
        <v>2</v>
      </c>
      <c r="R1134">
        <v>1</v>
      </c>
    </row>
    <row r="1135" spans="1:18">
      <c r="A1135" t="str">
        <f>_xlfn.IFNA(IF(VLOOKUP(C1135,'2016_Detail_Commodity_v1.0'!C:C,1,FALSE)=C1135,"No change"),"Name changed")</f>
        <v>No change</v>
      </c>
      <c r="B1135" t="s">
        <v>873</v>
      </c>
      <c r="C1135" t="s">
        <v>19</v>
      </c>
      <c r="E1135" t="s">
        <v>3654</v>
      </c>
      <c r="F1135" t="s">
        <v>12</v>
      </c>
      <c r="G1135">
        <v>1E-3</v>
      </c>
      <c r="H1135" s="413">
        <f>G1135*VLOOKUP(E1135,GWPs!$B$3:$C$6,2,FALSE)</f>
        <v>2.8000000000000001E-2</v>
      </c>
      <c r="I1135">
        <v>0</v>
      </c>
      <c r="J1135" s="413">
        <f>I1135*VLOOKUP(E1135,GWPs!$B$3:$C$6,2,FALSE)</f>
        <v>0</v>
      </c>
      <c r="K1135">
        <v>1E-3</v>
      </c>
      <c r="L1135" s="413">
        <f>K1135*VLOOKUP(E1135,GWPs!$B$3:$C$6,2,FALSE)</f>
        <v>2.8000000000000001E-2</v>
      </c>
      <c r="N1135">
        <v>3</v>
      </c>
      <c r="O1135">
        <v>2</v>
      </c>
      <c r="P1135">
        <v>1</v>
      </c>
      <c r="Q1135">
        <v>1</v>
      </c>
      <c r="R1135">
        <v>1</v>
      </c>
    </row>
    <row r="1136" spans="1:18">
      <c r="A1136" t="str">
        <f>_xlfn.IFNA(IF(VLOOKUP(C1136,'2016_Detail_Commodity_v1.0'!C:C,1,FALSE)=C1136,"No change"),"Name changed")</f>
        <v>No change</v>
      </c>
      <c r="B1136" t="s">
        <v>873</v>
      </c>
      <c r="C1136" t="s">
        <v>19</v>
      </c>
      <c r="E1136" t="s">
        <v>3655</v>
      </c>
      <c r="F1136" t="s">
        <v>12</v>
      </c>
      <c r="G1136">
        <v>0</v>
      </c>
      <c r="H1136" s="413">
        <f>G1136*VLOOKUP(E1136,GWPs!$B$3:$C$6,2,FALSE)</f>
        <v>0</v>
      </c>
      <c r="I1136">
        <v>0</v>
      </c>
      <c r="J1136" s="413">
        <f>I1136*VLOOKUP(E1136,GWPs!$B$3:$C$6,2,FALSE)</f>
        <v>0</v>
      </c>
      <c r="K1136">
        <v>0</v>
      </c>
      <c r="L1136" s="413">
        <f>K1136*VLOOKUP(E1136,GWPs!$B$3:$C$6,2,FALSE)</f>
        <v>0</v>
      </c>
      <c r="N1136">
        <v>4</v>
      </c>
      <c r="O1136">
        <v>2</v>
      </c>
      <c r="P1136">
        <v>1</v>
      </c>
      <c r="Q1136">
        <v>3</v>
      </c>
      <c r="R1136">
        <v>1</v>
      </c>
    </row>
    <row r="1137" spans="1:18">
      <c r="A1137" t="str">
        <f>_xlfn.IFNA(IF(VLOOKUP(C1137,'2016_Detail_Commodity_v1.0'!C:C,1,FALSE)=C1137,"No change"),"Name changed")</f>
        <v>No change</v>
      </c>
      <c r="B1137" t="s">
        <v>873</v>
      </c>
      <c r="C1137" t="s">
        <v>19</v>
      </c>
      <c r="E1137" t="s">
        <v>15</v>
      </c>
      <c r="F1137" t="s">
        <v>16</v>
      </c>
      <c r="G1137">
        <v>5.0000000000000001E-3</v>
      </c>
      <c r="H1137" s="413">
        <f>G1137*VLOOKUP(E1137,GWPs!$B$3:$C$6,2,FALSE)</f>
        <v>5.0000000000000001E-3</v>
      </c>
      <c r="I1137">
        <v>0</v>
      </c>
      <c r="J1137" s="413">
        <f>I1137*VLOOKUP(E1137,GWPs!$B$3:$C$6,2,FALSE)</f>
        <v>0</v>
      </c>
      <c r="K1137">
        <v>5.0000000000000001E-3</v>
      </c>
      <c r="L1137" s="413">
        <f>K1137*VLOOKUP(E1137,GWPs!$B$3:$C$6,2,FALSE)</f>
        <v>5.0000000000000001E-3</v>
      </c>
      <c r="N1137">
        <v>4</v>
      </c>
      <c r="O1137">
        <v>2</v>
      </c>
      <c r="P1137">
        <v>1</v>
      </c>
      <c r="Q1137">
        <v>4</v>
      </c>
      <c r="R1137">
        <v>1</v>
      </c>
    </row>
    <row r="1138" spans="1:18">
      <c r="A1138" t="str">
        <f>_xlfn.IFNA(IF(VLOOKUP(C1138,'2016_Detail_Commodity_v1.0'!C:C,1,FALSE)=C1138,"No change"),"Name changed")</f>
        <v>No change</v>
      </c>
      <c r="B1138" t="s">
        <v>874</v>
      </c>
      <c r="C1138" t="s">
        <v>875</v>
      </c>
      <c r="E1138" t="s">
        <v>3653</v>
      </c>
      <c r="F1138" t="s">
        <v>12</v>
      </c>
      <c r="G1138">
        <v>0.151</v>
      </c>
      <c r="H1138" s="413">
        <f>G1138*VLOOKUP(E1138,GWPs!$B$3:$C$6,2,FALSE)</f>
        <v>0.151</v>
      </c>
      <c r="I1138">
        <v>0</v>
      </c>
      <c r="J1138" s="413">
        <f>I1138*VLOOKUP(E1138,GWPs!$B$3:$C$6,2,FALSE)</f>
        <v>0</v>
      </c>
      <c r="K1138">
        <v>0.151</v>
      </c>
      <c r="L1138" s="413">
        <f>K1138*VLOOKUP(E1138,GWPs!$B$3:$C$6,2,FALSE)</f>
        <v>0.151</v>
      </c>
      <c r="N1138">
        <v>3</v>
      </c>
      <c r="O1138">
        <v>2</v>
      </c>
      <c r="P1138">
        <v>1</v>
      </c>
      <c r="Q1138">
        <v>3</v>
      </c>
      <c r="R1138">
        <v>1</v>
      </c>
    </row>
    <row r="1139" spans="1:18">
      <c r="A1139" t="str">
        <f>_xlfn.IFNA(IF(VLOOKUP(C1139,'2016_Detail_Commodity_v1.0'!C:C,1,FALSE)=C1139,"No change"),"Name changed")</f>
        <v>No change</v>
      </c>
      <c r="B1139" t="s">
        <v>874</v>
      </c>
      <c r="C1139" t="s">
        <v>875</v>
      </c>
      <c r="E1139" t="s">
        <v>3654</v>
      </c>
      <c r="F1139" t="s">
        <v>12</v>
      </c>
      <c r="G1139">
        <v>0</v>
      </c>
      <c r="H1139" s="413">
        <f>G1139*VLOOKUP(E1139,GWPs!$B$3:$C$6,2,FALSE)</f>
        <v>0</v>
      </c>
      <c r="I1139">
        <v>0</v>
      </c>
      <c r="J1139" s="413">
        <f>I1139*VLOOKUP(E1139,GWPs!$B$3:$C$6,2,FALSE)</f>
        <v>0</v>
      </c>
      <c r="K1139">
        <v>0</v>
      </c>
      <c r="L1139" s="413">
        <f>K1139*VLOOKUP(E1139,GWPs!$B$3:$C$6,2,FALSE)</f>
        <v>0</v>
      </c>
      <c r="N1139">
        <v>3</v>
      </c>
      <c r="O1139">
        <v>2</v>
      </c>
      <c r="P1139">
        <v>1</v>
      </c>
      <c r="Q1139">
        <v>1</v>
      </c>
      <c r="R1139">
        <v>1</v>
      </c>
    </row>
    <row r="1140" spans="1:18">
      <c r="A1140" t="str">
        <f>_xlfn.IFNA(IF(VLOOKUP(C1140,'2016_Detail_Commodity_v1.0'!C:C,1,FALSE)=C1140,"No change"),"Name changed")</f>
        <v>No change</v>
      </c>
      <c r="B1140" t="s">
        <v>874</v>
      </c>
      <c r="C1140" t="s">
        <v>875</v>
      </c>
      <c r="E1140" t="s">
        <v>3655</v>
      </c>
      <c r="F1140" t="s">
        <v>12</v>
      </c>
      <c r="G1140">
        <v>0</v>
      </c>
      <c r="H1140" s="413">
        <f>G1140*VLOOKUP(E1140,GWPs!$B$3:$C$6,2,FALSE)</f>
        <v>0</v>
      </c>
      <c r="I1140">
        <v>0</v>
      </c>
      <c r="J1140" s="413">
        <f>I1140*VLOOKUP(E1140,GWPs!$B$3:$C$6,2,FALSE)</f>
        <v>0</v>
      </c>
      <c r="K1140">
        <v>0</v>
      </c>
      <c r="L1140" s="413">
        <f>K1140*VLOOKUP(E1140,GWPs!$B$3:$C$6,2,FALSE)</f>
        <v>0</v>
      </c>
      <c r="N1140">
        <v>3</v>
      </c>
      <c r="O1140">
        <v>2</v>
      </c>
      <c r="P1140">
        <v>1</v>
      </c>
      <c r="Q1140">
        <v>2</v>
      </c>
      <c r="R1140">
        <v>1</v>
      </c>
    </row>
    <row r="1141" spans="1:18">
      <c r="A1141" t="str">
        <f>_xlfn.IFNA(IF(VLOOKUP(C1141,'2016_Detail_Commodity_v1.0'!C:C,1,FALSE)=C1141,"No change"),"Name changed")</f>
        <v>No change</v>
      </c>
      <c r="B1141" t="s">
        <v>874</v>
      </c>
      <c r="C1141" t="s">
        <v>875</v>
      </c>
      <c r="E1141" t="s">
        <v>15</v>
      </c>
      <c r="F1141" t="s">
        <v>16</v>
      </c>
      <c r="G1141">
        <v>3.0000000000000001E-3</v>
      </c>
      <c r="H1141" s="413">
        <f>G1141*VLOOKUP(E1141,GWPs!$B$3:$C$6,2,FALSE)</f>
        <v>3.0000000000000001E-3</v>
      </c>
      <c r="I1141">
        <v>0</v>
      </c>
      <c r="J1141" s="413">
        <f>I1141*VLOOKUP(E1141,GWPs!$B$3:$C$6,2,FALSE)</f>
        <v>0</v>
      </c>
      <c r="K1141">
        <v>3.0000000000000001E-3</v>
      </c>
      <c r="L1141" s="413">
        <f>K1141*VLOOKUP(E1141,GWPs!$B$3:$C$6,2,FALSE)</f>
        <v>3.0000000000000001E-3</v>
      </c>
      <c r="N1141">
        <v>4</v>
      </c>
      <c r="O1141">
        <v>2</v>
      </c>
      <c r="P1141">
        <v>1</v>
      </c>
      <c r="Q1141">
        <v>4</v>
      </c>
      <c r="R1141">
        <v>1</v>
      </c>
    </row>
    <row r="1142" spans="1:18">
      <c r="A1142" t="str">
        <f>_xlfn.IFNA(IF(VLOOKUP(C1142,'2016_Detail_Commodity_v1.0'!C:C,1,FALSE)=C1142,"No change"),"Name changed")</f>
        <v>No change</v>
      </c>
      <c r="B1142" t="s">
        <v>876</v>
      </c>
      <c r="C1142" t="s">
        <v>877</v>
      </c>
      <c r="E1142" t="s">
        <v>3653</v>
      </c>
      <c r="F1142" t="s">
        <v>12</v>
      </c>
      <c r="G1142">
        <v>0.22600000000000001</v>
      </c>
      <c r="H1142" s="413">
        <f>G1142*VLOOKUP(E1142,GWPs!$B$3:$C$6,2,FALSE)</f>
        <v>0.22600000000000001</v>
      </c>
      <c r="I1142">
        <v>0</v>
      </c>
      <c r="J1142" s="413">
        <f>I1142*VLOOKUP(E1142,GWPs!$B$3:$C$6,2,FALSE)</f>
        <v>0</v>
      </c>
      <c r="K1142">
        <v>0.22600000000000001</v>
      </c>
      <c r="L1142" s="413">
        <f>K1142*VLOOKUP(E1142,GWPs!$B$3:$C$6,2,FALSE)</f>
        <v>0.22600000000000001</v>
      </c>
      <c r="N1142">
        <v>2</v>
      </c>
      <c r="O1142">
        <v>2</v>
      </c>
      <c r="P1142">
        <v>1</v>
      </c>
      <c r="Q1142">
        <v>2</v>
      </c>
      <c r="R1142">
        <v>1</v>
      </c>
    </row>
    <row r="1143" spans="1:18">
      <c r="A1143" t="str">
        <f>_xlfn.IFNA(IF(VLOOKUP(C1143,'2016_Detail_Commodity_v1.0'!C:C,1,FALSE)=C1143,"No change"),"Name changed")</f>
        <v>No change</v>
      </c>
      <c r="B1143" t="s">
        <v>876</v>
      </c>
      <c r="C1143" t="s">
        <v>877</v>
      </c>
      <c r="E1143" t="s">
        <v>3654</v>
      </c>
      <c r="F1143" t="s">
        <v>12</v>
      </c>
      <c r="G1143">
        <v>1E-3</v>
      </c>
      <c r="H1143" s="413">
        <f>G1143*VLOOKUP(E1143,GWPs!$B$3:$C$6,2,FALSE)</f>
        <v>2.8000000000000001E-2</v>
      </c>
      <c r="I1143">
        <v>0</v>
      </c>
      <c r="J1143" s="413">
        <f>I1143*VLOOKUP(E1143,GWPs!$B$3:$C$6,2,FALSE)</f>
        <v>0</v>
      </c>
      <c r="K1143">
        <v>1E-3</v>
      </c>
      <c r="L1143" s="413">
        <f>K1143*VLOOKUP(E1143,GWPs!$B$3:$C$6,2,FALSE)</f>
        <v>2.8000000000000001E-2</v>
      </c>
      <c r="N1143">
        <v>3</v>
      </c>
      <c r="O1143">
        <v>2</v>
      </c>
      <c r="P1143">
        <v>1</v>
      </c>
      <c r="Q1143">
        <v>1</v>
      </c>
      <c r="R1143">
        <v>1</v>
      </c>
    </row>
    <row r="1144" spans="1:18">
      <c r="A1144" t="str">
        <f>_xlfn.IFNA(IF(VLOOKUP(C1144,'2016_Detail_Commodity_v1.0'!C:C,1,FALSE)=C1144,"No change"),"Name changed")</f>
        <v>No change</v>
      </c>
      <c r="B1144" t="s">
        <v>876</v>
      </c>
      <c r="C1144" t="s">
        <v>877</v>
      </c>
      <c r="E1144" t="s">
        <v>3655</v>
      </c>
      <c r="F1144" t="s">
        <v>12</v>
      </c>
      <c r="G1144">
        <v>0</v>
      </c>
      <c r="H1144" s="413">
        <f>G1144*VLOOKUP(E1144,GWPs!$B$3:$C$6,2,FALSE)</f>
        <v>0</v>
      </c>
      <c r="I1144">
        <v>0</v>
      </c>
      <c r="J1144" s="413">
        <f>I1144*VLOOKUP(E1144,GWPs!$B$3:$C$6,2,FALSE)</f>
        <v>0</v>
      </c>
      <c r="K1144">
        <v>0</v>
      </c>
      <c r="L1144" s="413">
        <f>K1144*VLOOKUP(E1144,GWPs!$B$3:$C$6,2,FALSE)</f>
        <v>0</v>
      </c>
      <c r="N1144">
        <v>3</v>
      </c>
      <c r="O1144">
        <v>2</v>
      </c>
      <c r="P1144">
        <v>1</v>
      </c>
      <c r="Q1144">
        <v>3</v>
      </c>
      <c r="R1144">
        <v>1</v>
      </c>
    </row>
    <row r="1145" spans="1:18">
      <c r="A1145" t="str">
        <f>_xlfn.IFNA(IF(VLOOKUP(C1145,'2016_Detail_Commodity_v1.0'!C:C,1,FALSE)=C1145,"No change"),"Name changed")</f>
        <v>No change</v>
      </c>
      <c r="B1145" t="s">
        <v>876</v>
      </c>
      <c r="C1145" t="s">
        <v>877</v>
      </c>
      <c r="E1145" t="s">
        <v>15</v>
      </c>
      <c r="F1145" t="s">
        <v>16</v>
      </c>
      <c r="G1145">
        <v>6.0000000000000001E-3</v>
      </c>
      <c r="H1145" s="413">
        <f>G1145*VLOOKUP(E1145,GWPs!$B$3:$C$6,2,FALSE)</f>
        <v>6.0000000000000001E-3</v>
      </c>
      <c r="I1145">
        <v>0</v>
      </c>
      <c r="J1145" s="413">
        <f>I1145*VLOOKUP(E1145,GWPs!$B$3:$C$6,2,FALSE)</f>
        <v>0</v>
      </c>
      <c r="K1145">
        <v>6.0000000000000001E-3</v>
      </c>
      <c r="L1145" s="413">
        <f>K1145*VLOOKUP(E1145,GWPs!$B$3:$C$6,2,FALSE)</f>
        <v>6.0000000000000001E-3</v>
      </c>
      <c r="N1145">
        <v>4</v>
      </c>
      <c r="O1145">
        <v>2</v>
      </c>
      <c r="P1145">
        <v>1</v>
      </c>
      <c r="Q1145">
        <v>4</v>
      </c>
      <c r="R1145">
        <v>1</v>
      </c>
    </row>
    <row r="1146" spans="1:18">
      <c r="A1146" t="str">
        <f>_xlfn.IFNA(IF(VLOOKUP(C1146,'2016_Detail_Commodity_v1.0'!C:C,1,FALSE)=C1146,"No change"),"Name changed")</f>
        <v>No change</v>
      </c>
      <c r="B1146" t="s">
        <v>878</v>
      </c>
      <c r="C1146" t="s">
        <v>879</v>
      </c>
      <c r="E1146" t="s">
        <v>3653</v>
      </c>
      <c r="F1146" t="s">
        <v>12</v>
      </c>
      <c r="G1146">
        <v>0.20499999999999999</v>
      </c>
      <c r="H1146" s="413">
        <f>G1146*VLOOKUP(E1146,GWPs!$B$3:$C$6,2,FALSE)</f>
        <v>0.20499999999999999</v>
      </c>
      <c r="I1146">
        <v>0</v>
      </c>
      <c r="J1146" s="413">
        <f>I1146*VLOOKUP(E1146,GWPs!$B$3:$C$6,2,FALSE)</f>
        <v>0</v>
      </c>
      <c r="K1146">
        <v>0.20499999999999999</v>
      </c>
      <c r="L1146" s="413">
        <f>K1146*VLOOKUP(E1146,GWPs!$B$3:$C$6,2,FALSE)</f>
        <v>0.20499999999999999</v>
      </c>
      <c r="N1146">
        <v>3</v>
      </c>
      <c r="O1146">
        <v>2</v>
      </c>
      <c r="P1146">
        <v>1</v>
      </c>
      <c r="Q1146">
        <v>3</v>
      </c>
      <c r="R1146">
        <v>1</v>
      </c>
    </row>
    <row r="1147" spans="1:18">
      <c r="A1147" t="str">
        <f>_xlfn.IFNA(IF(VLOOKUP(C1147,'2016_Detail_Commodity_v1.0'!C:C,1,FALSE)=C1147,"No change"),"Name changed")</f>
        <v>No change</v>
      </c>
      <c r="B1147" t="s">
        <v>878</v>
      </c>
      <c r="C1147" t="s">
        <v>879</v>
      </c>
      <c r="E1147" t="s">
        <v>3654</v>
      </c>
      <c r="F1147" t="s">
        <v>12</v>
      </c>
      <c r="G1147">
        <v>1E-3</v>
      </c>
      <c r="H1147" s="413">
        <f>G1147*VLOOKUP(E1147,GWPs!$B$3:$C$6,2,FALSE)</f>
        <v>2.8000000000000001E-2</v>
      </c>
      <c r="I1147">
        <v>0</v>
      </c>
      <c r="J1147" s="413">
        <f>I1147*VLOOKUP(E1147,GWPs!$B$3:$C$6,2,FALSE)</f>
        <v>0</v>
      </c>
      <c r="K1147">
        <v>1E-3</v>
      </c>
      <c r="L1147" s="413">
        <f>K1147*VLOOKUP(E1147,GWPs!$B$3:$C$6,2,FALSE)</f>
        <v>2.8000000000000001E-2</v>
      </c>
      <c r="N1147">
        <v>3</v>
      </c>
      <c r="O1147">
        <v>2</v>
      </c>
      <c r="P1147">
        <v>1</v>
      </c>
      <c r="Q1147">
        <v>1</v>
      </c>
      <c r="R1147">
        <v>1</v>
      </c>
    </row>
    <row r="1148" spans="1:18">
      <c r="A1148" t="str">
        <f>_xlfn.IFNA(IF(VLOOKUP(C1148,'2016_Detail_Commodity_v1.0'!C:C,1,FALSE)=C1148,"No change"),"Name changed")</f>
        <v>No change</v>
      </c>
      <c r="B1148" t="s">
        <v>878</v>
      </c>
      <c r="C1148" t="s">
        <v>879</v>
      </c>
      <c r="E1148" t="s">
        <v>3655</v>
      </c>
      <c r="F1148" t="s">
        <v>12</v>
      </c>
      <c r="G1148">
        <v>0</v>
      </c>
      <c r="H1148" s="413">
        <f>G1148*VLOOKUP(E1148,GWPs!$B$3:$C$6,2,FALSE)</f>
        <v>0</v>
      </c>
      <c r="I1148">
        <v>0</v>
      </c>
      <c r="J1148" s="413">
        <f>I1148*VLOOKUP(E1148,GWPs!$B$3:$C$6,2,FALSE)</f>
        <v>0</v>
      </c>
      <c r="K1148">
        <v>0</v>
      </c>
      <c r="L1148" s="413">
        <f>K1148*VLOOKUP(E1148,GWPs!$B$3:$C$6,2,FALSE)</f>
        <v>0</v>
      </c>
      <c r="N1148">
        <v>3</v>
      </c>
      <c r="O1148">
        <v>2</v>
      </c>
      <c r="P1148">
        <v>1</v>
      </c>
      <c r="Q1148">
        <v>3</v>
      </c>
      <c r="R1148">
        <v>1</v>
      </c>
    </row>
    <row r="1149" spans="1:18">
      <c r="A1149" t="str">
        <f>_xlfn.IFNA(IF(VLOOKUP(C1149,'2016_Detail_Commodity_v1.0'!C:C,1,FALSE)=C1149,"No change"),"Name changed")</f>
        <v>No change</v>
      </c>
      <c r="B1149" t="s">
        <v>878</v>
      </c>
      <c r="C1149" t="s">
        <v>879</v>
      </c>
      <c r="E1149" t="s">
        <v>15</v>
      </c>
      <c r="F1149" t="s">
        <v>16</v>
      </c>
      <c r="G1149">
        <v>4.0000000000000001E-3</v>
      </c>
      <c r="H1149" s="413">
        <f>G1149*VLOOKUP(E1149,GWPs!$B$3:$C$6,2,FALSE)</f>
        <v>4.0000000000000001E-3</v>
      </c>
      <c r="I1149">
        <v>0</v>
      </c>
      <c r="J1149" s="413">
        <f>I1149*VLOOKUP(E1149,GWPs!$B$3:$C$6,2,FALSE)</f>
        <v>0</v>
      </c>
      <c r="K1149">
        <v>4.0000000000000001E-3</v>
      </c>
      <c r="L1149" s="413">
        <f>K1149*VLOOKUP(E1149,GWPs!$B$3:$C$6,2,FALSE)</f>
        <v>4.0000000000000001E-3</v>
      </c>
      <c r="N1149">
        <v>4</v>
      </c>
      <c r="O1149">
        <v>2</v>
      </c>
      <c r="P1149">
        <v>1</v>
      </c>
      <c r="Q1149">
        <v>4</v>
      </c>
      <c r="R1149">
        <v>1</v>
      </c>
    </row>
    <row r="1150" spans="1:18">
      <c r="A1150" t="str">
        <f>_xlfn.IFNA(IF(VLOOKUP(C1150,'2016_Detail_Commodity_v1.0'!C:C,1,FALSE)=C1150,"No change"),"Name changed")</f>
        <v>No change</v>
      </c>
      <c r="B1150" t="s">
        <v>880</v>
      </c>
      <c r="C1150" t="s">
        <v>20</v>
      </c>
      <c r="E1150" t="s">
        <v>3653</v>
      </c>
      <c r="F1150" t="s">
        <v>12</v>
      </c>
      <c r="G1150">
        <v>0.20300000000000001</v>
      </c>
      <c r="H1150" s="413">
        <f>G1150*VLOOKUP(E1150,GWPs!$B$3:$C$6,2,FALSE)</f>
        <v>0.20300000000000001</v>
      </c>
      <c r="I1150">
        <v>0</v>
      </c>
      <c r="J1150" s="413">
        <f>I1150*VLOOKUP(E1150,GWPs!$B$3:$C$6,2,FALSE)</f>
        <v>0</v>
      </c>
      <c r="K1150">
        <v>0.20300000000000001</v>
      </c>
      <c r="L1150" s="413">
        <f>K1150*VLOOKUP(E1150,GWPs!$B$3:$C$6,2,FALSE)</f>
        <v>0.20300000000000001</v>
      </c>
      <c r="N1150">
        <v>2</v>
      </c>
      <c r="O1150">
        <v>2</v>
      </c>
      <c r="P1150">
        <v>1</v>
      </c>
      <c r="Q1150">
        <v>2</v>
      </c>
      <c r="R1150">
        <v>1</v>
      </c>
    </row>
    <row r="1151" spans="1:18">
      <c r="A1151" t="str">
        <f>_xlfn.IFNA(IF(VLOOKUP(C1151,'2016_Detail_Commodity_v1.0'!C:C,1,FALSE)=C1151,"No change"),"Name changed")</f>
        <v>No change</v>
      </c>
      <c r="B1151" t="s">
        <v>880</v>
      </c>
      <c r="C1151" t="s">
        <v>20</v>
      </c>
      <c r="E1151" t="s">
        <v>3654</v>
      </c>
      <c r="F1151" t="s">
        <v>12</v>
      </c>
      <c r="G1151">
        <v>1E-3</v>
      </c>
      <c r="H1151" s="413">
        <f>G1151*VLOOKUP(E1151,GWPs!$B$3:$C$6,2,FALSE)</f>
        <v>2.8000000000000001E-2</v>
      </c>
      <c r="I1151">
        <v>0</v>
      </c>
      <c r="J1151" s="413">
        <f>I1151*VLOOKUP(E1151,GWPs!$B$3:$C$6,2,FALSE)</f>
        <v>0</v>
      </c>
      <c r="K1151">
        <v>1E-3</v>
      </c>
      <c r="L1151" s="413">
        <f>K1151*VLOOKUP(E1151,GWPs!$B$3:$C$6,2,FALSE)</f>
        <v>2.8000000000000001E-2</v>
      </c>
      <c r="N1151">
        <v>3</v>
      </c>
      <c r="O1151">
        <v>2</v>
      </c>
      <c r="P1151">
        <v>1</v>
      </c>
      <c r="Q1151">
        <v>1</v>
      </c>
      <c r="R1151">
        <v>1</v>
      </c>
    </row>
    <row r="1152" spans="1:18">
      <c r="A1152" t="str">
        <f>_xlfn.IFNA(IF(VLOOKUP(C1152,'2016_Detail_Commodity_v1.0'!C:C,1,FALSE)=C1152,"No change"),"Name changed")</f>
        <v>No change</v>
      </c>
      <c r="B1152" t="s">
        <v>880</v>
      </c>
      <c r="C1152" t="s">
        <v>20</v>
      </c>
      <c r="E1152" t="s">
        <v>3655</v>
      </c>
      <c r="F1152" t="s">
        <v>12</v>
      </c>
      <c r="G1152">
        <v>0</v>
      </c>
      <c r="H1152" s="413">
        <f>G1152*VLOOKUP(E1152,GWPs!$B$3:$C$6,2,FALSE)</f>
        <v>0</v>
      </c>
      <c r="I1152">
        <v>0</v>
      </c>
      <c r="J1152" s="413">
        <f>I1152*VLOOKUP(E1152,GWPs!$B$3:$C$6,2,FALSE)</f>
        <v>0</v>
      </c>
      <c r="K1152">
        <v>0</v>
      </c>
      <c r="L1152" s="413">
        <f>K1152*VLOOKUP(E1152,GWPs!$B$3:$C$6,2,FALSE)</f>
        <v>0</v>
      </c>
      <c r="N1152">
        <v>3</v>
      </c>
      <c r="O1152">
        <v>2</v>
      </c>
      <c r="P1152">
        <v>1</v>
      </c>
      <c r="Q1152">
        <v>3</v>
      </c>
      <c r="R1152">
        <v>1</v>
      </c>
    </row>
    <row r="1153" spans="1:18">
      <c r="A1153" t="str">
        <f>_xlfn.IFNA(IF(VLOOKUP(C1153,'2016_Detail_Commodity_v1.0'!C:C,1,FALSE)=C1153,"No change"),"Name changed")</f>
        <v>No change</v>
      </c>
      <c r="B1153" t="s">
        <v>880</v>
      </c>
      <c r="C1153" t="s">
        <v>20</v>
      </c>
      <c r="E1153" t="s">
        <v>15</v>
      </c>
      <c r="F1153" t="s">
        <v>16</v>
      </c>
      <c r="G1153">
        <v>3.0000000000000001E-3</v>
      </c>
      <c r="H1153" s="413">
        <f>G1153*VLOOKUP(E1153,GWPs!$B$3:$C$6,2,FALSE)</f>
        <v>3.0000000000000001E-3</v>
      </c>
      <c r="I1153">
        <v>0</v>
      </c>
      <c r="J1153" s="413">
        <f>I1153*VLOOKUP(E1153,GWPs!$B$3:$C$6,2,FALSE)</f>
        <v>0</v>
      </c>
      <c r="K1153">
        <v>3.0000000000000001E-3</v>
      </c>
      <c r="L1153" s="413">
        <f>K1153*VLOOKUP(E1153,GWPs!$B$3:$C$6,2,FALSE)</f>
        <v>3.0000000000000001E-3</v>
      </c>
      <c r="N1153">
        <v>4</v>
      </c>
      <c r="O1153">
        <v>2</v>
      </c>
      <c r="P1153">
        <v>1</v>
      </c>
      <c r="Q1153">
        <v>4</v>
      </c>
      <c r="R1153">
        <v>1</v>
      </c>
    </row>
    <row r="1154" spans="1:18">
      <c r="A1154" t="str">
        <f>_xlfn.IFNA(IF(VLOOKUP(C1154,'2016_Detail_Commodity_v1.0'!C:C,1,FALSE)=C1154,"No change"),"Name changed")</f>
        <v>No change</v>
      </c>
      <c r="B1154" t="s">
        <v>881</v>
      </c>
      <c r="C1154" t="s">
        <v>882</v>
      </c>
      <c r="E1154" t="s">
        <v>3653</v>
      </c>
      <c r="F1154" t="s">
        <v>12</v>
      </c>
      <c r="G1154">
        <v>0.10199999999999999</v>
      </c>
      <c r="H1154" s="413">
        <f>G1154*VLOOKUP(E1154,GWPs!$B$3:$C$6,2,FALSE)</f>
        <v>0.10199999999999999</v>
      </c>
      <c r="I1154">
        <v>0</v>
      </c>
      <c r="J1154" s="413">
        <f>I1154*VLOOKUP(E1154,GWPs!$B$3:$C$6,2,FALSE)</f>
        <v>0</v>
      </c>
      <c r="K1154">
        <v>0.10199999999999999</v>
      </c>
      <c r="L1154" s="413">
        <f>K1154*VLOOKUP(E1154,GWPs!$B$3:$C$6,2,FALSE)</f>
        <v>0.10199999999999999</v>
      </c>
      <c r="N1154">
        <v>3</v>
      </c>
      <c r="O1154">
        <v>2</v>
      </c>
      <c r="P1154">
        <v>1</v>
      </c>
      <c r="Q1154">
        <v>3</v>
      </c>
      <c r="R1154">
        <v>1</v>
      </c>
    </row>
    <row r="1155" spans="1:18">
      <c r="A1155" t="str">
        <f>_xlfn.IFNA(IF(VLOOKUP(C1155,'2016_Detail_Commodity_v1.0'!C:C,1,FALSE)=C1155,"No change"),"Name changed")</f>
        <v>No change</v>
      </c>
      <c r="B1155" t="s">
        <v>881</v>
      </c>
      <c r="C1155" t="s">
        <v>882</v>
      </c>
      <c r="E1155" t="s">
        <v>3654</v>
      </c>
      <c r="F1155" t="s">
        <v>12</v>
      </c>
      <c r="G1155">
        <v>0</v>
      </c>
      <c r="H1155" s="413">
        <f>G1155*VLOOKUP(E1155,GWPs!$B$3:$C$6,2,FALSE)</f>
        <v>0</v>
      </c>
      <c r="I1155">
        <v>0</v>
      </c>
      <c r="J1155" s="413">
        <f>I1155*VLOOKUP(E1155,GWPs!$B$3:$C$6,2,FALSE)</f>
        <v>0</v>
      </c>
      <c r="K1155">
        <v>0</v>
      </c>
      <c r="L1155" s="413">
        <f>K1155*VLOOKUP(E1155,GWPs!$B$3:$C$6,2,FALSE)</f>
        <v>0</v>
      </c>
      <c r="N1155">
        <v>3</v>
      </c>
      <c r="O1155">
        <v>2</v>
      </c>
      <c r="P1155">
        <v>1</v>
      </c>
      <c r="Q1155">
        <v>1</v>
      </c>
      <c r="R1155">
        <v>1</v>
      </c>
    </row>
    <row r="1156" spans="1:18">
      <c r="A1156" t="str">
        <f>_xlfn.IFNA(IF(VLOOKUP(C1156,'2016_Detail_Commodity_v1.0'!C:C,1,FALSE)=C1156,"No change"),"Name changed")</f>
        <v>No change</v>
      </c>
      <c r="B1156" t="s">
        <v>881</v>
      </c>
      <c r="C1156" t="s">
        <v>882</v>
      </c>
      <c r="E1156" t="s">
        <v>3655</v>
      </c>
      <c r="F1156" t="s">
        <v>12</v>
      </c>
      <c r="G1156">
        <v>0</v>
      </c>
      <c r="H1156" s="413">
        <f>G1156*VLOOKUP(E1156,GWPs!$B$3:$C$6,2,FALSE)</f>
        <v>0</v>
      </c>
      <c r="I1156">
        <v>0</v>
      </c>
      <c r="J1156" s="413">
        <f>I1156*VLOOKUP(E1156,GWPs!$B$3:$C$6,2,FALSE)</f>
        <v>0</v>
      </c>
      <c r="K1156">
        <v>0</v>
      </c>
      <c r="L1156" s="413">
        <f>K1156*VLOOKUP(E1156,GWPs!$B$3:$C$6,2,FALSE)</f>
        <v>0</v>
      </c>
      <c r="N1156">
        <v>3</v>
      </c>
      <c r="O1156">
        <v>2</v>
      </c>
      <c r="P1156">
        <v>1</v>
      </c>
      <c r="Q1156">
        <v>3</v>
      </c>
      <c r="R1156">
        <v>1</v>
      </c>
    </row>
    <row r="1157" spans="1:18">
      <c r="A1157" t="str">
        <f>_xlfn.IFNA(IF(VLOOKUP(C1157,'2016_Detail_Commodity_v1.0'!C:C,1,FALSE)=C1157,"No change"),"Name changed")</f>
        <v>No change</v>
      </c>
      <c r="B1157" t="s">
        <v>881</v>
      </c>
      <c r="C1157" t="s">
        <v>882</v>
      </c>
      <c r="E1157" t="s">
        <v>15</v>
      </c>
      <c r="F1157" t="s">
        <v>16</v>
      </c>
      <c r="G1157">
        <v>3.0000000000000001E-3</v>
      </c>
      <c r="H1157" s="413">
        <f>G1157*VLOOKUP(E1157,GWPs!$B$3:$C$6,2,FALSE)</f>
        <v>3.0000000000000001E-3</v>
      </c>
      <c r="I1157">
        <v>0</v>
      </c>
      <c r="J1157" s="413">
        <f>I1157*VLOOKUP(E1157,GWPs!$B$3:$C$6,2,FALSE)</f>
        <v>0</v>
      </c>
      <c r="K1157">
        <v>3.0000000000000001E-3</v>
      </c>
      <c r="L1157" s="413">
        <f>K1157*VLOOKUP(E1157,GWPs!$B$3:$C$6,2,FALSE)</f>
        <v>3.0000000000000001E-3</v>
      </c>
      <c r="N1157">
        <v>4</v>
      </c>
      <c r="O1157">
        <v>2</v>
      </c>
      <c r="P1157">
        <v>1</v>
      </c>
      <c r="Q1157">
        <v>4</v>
      </c>
      <c r="R1157">
        <v>1</v>
      </c>
    </row>
    <row r="1158" spans="1:18">
      <c r="A1158" t="str">
        <f>_xlfn.IFNA(IF(VLOOKUP(C1158,'2016_Detail_Commodity_v1.0'!C:C,1,FALSE)=C1158,"No change"),"Name changed")</f>
        <v>No change</v>
      </c>
      <c r="B1158" t="s">
        <v>883</v>
      </c>
      <c r="C1158" t="s">
        <v>884</v>
      </c>
      <c r="E1158" t="s">
        <v>3653</v>
      </c>
      <c r="F1158" t="s">
        <v>12</v>
      </c>
      <c r="G1158">
        <v>0.877</v>
      </c>
      <c r="H1158" s="413">
        <f>G1158*VLOOKUP(E1158,GWPs!$B$3:$C$6,2,FALSE)</f>
        <v>0.877</v>
      </c>
      <c r="I1158">
        <v>0</v>
      </c>
      <c r="J1158" s="413">
        <f>I1158*VLOOKUP(E1158,GWPs!$B$3:$C$6,2,FALSE)</f>
        <v>0</v>
      </c>
      <c r="K1158">
        <v>0.877</v>
      </c>
      <c r="L1158" s="413">
        <f>K1158*VLOOKUP(E1158,GWPs!$B$3:$C$6,2,FALSE)</f>
        <v>0.877</v>
      </c>
      <c r="N1158">
        <v>4</v>
      </c>
      <c r="O1158">
        <v>2</v>
      </c>
      <c r="P1158">
        <v>1</v>
      </c>
      <c r="Q1158">
        <v>1</v>
      </c>
      <c r="R1158">
        <v>1</v>
      </c>
    </row>
    <row r="1159" spans="1:18">
      <c r="A1159" t="str">
        <f>_xlfn.IFNA(IF(VLOOKUP(C1159,'2016_Detail_Commodity_v1.0'!C:C,1,FALSE)=C1159,"No change"),"Name changed")</f>
        <v>No change</v>
      </c>
      <c r="B1159" t="s">
        <v>883</v>
      </c>
      <c r="C1159" t="s">
        <v>884</v>
      </c>
      <c r="E1159" t="s">
        <v>3654</v>
      </c>
      <c r="F1159" t="s">
        <v>12</v>
      </c>
      <c r="G1159">
        <v>3.0000000000000001E-3</v>
      </c>
      <c r="H1159" s="413">
        <f>G1159*VLOOKUP(E1159,GWPs!$B$3:$C$6,2,FALSE)</f>
        <v>8.4000000000000005E-2</v>
      </c>
      <c r="I1159">
        <v>0</v>
      </c>
      <c r="J1159" s="413">
        <f>I1159*VLOOKUP(E1159,GWPs!$B$3:$C$6,2,FALSE)</f>
        <v>0</v>
      </c>
      <c r="K1159">
        <v>3.0000000000000001E-3</v>
      </c>
      <c r="L1159" s="413">
        <f>K1159*VLOOKUP(E1159,GWPs!$B$3:$C$6,2,FALSE)</f>
        <v>8.4000000000000005E-2</v>
      </c>
      <c r="N1159">
        <v>4</v>
      </c>
      <c r="O1159">
        <v>2</v>
      </c>
      <c r="P1159">
        <v>1</v>
      </c>
      <c r="Q1159">
        <v>1</v>
      </c>
      <c r="R1159">
        <v>1</v>
      </c>
    </row>
    <row r="1160" spans="1:18">
      <c r="A1160" t="str">
        <f>_xlfn.IFNA(IF(VLOOKUP(C1160,'2016_Detail_Commodity_v1.0'!C:C,1,FALSE)=C1160,"No change"),"Name changed")</f>
        <v>No change</v>
      </c>
      <c r="B1160" t="s">
        <v>883</v>
      </c>
      <c r="C1160" t="s">
        <v>884</v>
      </c>
      <c r="E1160" t="s">
        <v>3655</v>
      </c>
      <c r="F1160" t="s">
        <v>12</v>
      </c>
      <c r="G1160">
        <v>0</v>
      </c>
      <c r="H1160" s="413">
        <f>G1160*VLOOKUP(E1160,GWPs!$B$3:$C$6,2,FALSE)</f>
        <v>0</v>
      </c>
      <c r="I1160">
        <v>0</v>
      </c>
      <c r="J1160" s="413">
        <f>I1160*VLOOKUP(E1160,GWPs!$B$3:$C$6,2,FALSE)</f>
        <v>0</v>
      </c>
      <c r="K1160">
        <v>0</v>
      </c>
      <c r="L1160" s="413">
        <f>K1160*VLOOKUP(E1160,GWPs!$B$3:$C$6,2,FALSE)</f>
        <v>0</v>
      </c>
      <c r="N1160">
        <v>4</v>
      </c>
      <c r="O1160">
        <v>2</v>
      </c>
      <c r="P1160">
        <v>1</v>
      </c>
      <c r="Q1160">
        <v>4</v>
      </c>
      <c r="R1160">
        <v>1</v>
      </c>
    </row>
    <row r="1161" spans="1:18">
      <c r="A1161" t="str">
        <f>_xlfn.IFNA(IF(VLOOKUP(C1161,'2016_Detail_Commodity_v1.0'!C:C,1,FALSE)=C1161,"No change"),"Name changed")</f>
        <v>No change</v>
      </c>
      <c r="B1161" t="s">
        <v>883</v>
      </c>
      <c r="C1161" t="s">
        <v>884</v>
      </c>
      <c r="E1161" t="s">
        <v>15</v>
      </c>
      <c r="F1161" t="s">
        <v>16</v>
      </c>
      <c r="G1161">
        <v>2E-3</v>
      </c>
      <c r="H1161" s="413">
        <f>G1161*VLOOKUP(E1161,GWPs!$B$3:$C$6,2,FALSE)</f>
        <v>2E-3</v>
      </c>
      <c r="I1161">
        <v>0</v>
      </c>
      <c r="J1161" s="413">
        <f>I1161*VLOOKUP(E1161,GWPs!$B$3:$C$6,2,FALSE)</f>
        <v>0</v>
      </c>
      <c r="K1161">
        <v>2E-3</v>
      </c>
      <c r="L1161" s="413">
        <f>K1161*VLOOKUP(E1161,GWPs!$B$3:$C$6,2,FALSE)</f>
        <v>2E-3</v>
      </c>
      <c r="N1161">
        <v>4</v>
      </c>
      <c r="O1161">
        <v>2</v>
      </c>
      <c r="P1161">
        <v>1</v>
      </c>
      <c r="Q1161">
        <v>4</v>
      </c>
      <c r="R1161">
        <v>1</v>
      </c>
    </row>
    <row r="1162" spans="1:18">
      <c r="A1162" t="str">
        <f>_xlfn.IFNA(IF(VLOOKUP(C1162,'2016_Detail_Commodity_v1.0'!C:C,1,FALSE)=C1162,"No change"),"Name changed")</f>
        <v>No change</v>
      </c>
      <c r="B1162" t="s">
        <v>885</v>
      </c>
      <c r="C1162" t="s">
        <v>886</v>
      </c>
      <c r="E1162" t="s">
        <v>3653</v>
      </c>
      <c r="F1162" t="s">
        <v>12</v>
      </c>
      <c r="G1162">
        <v>0.65300000000000002</v>
      </c>
      <c r="H1162" s="413">
        <f>G1162*VLOOKUP(E1162,GWPs!$B$3:$C$6,2,FALSE)</f>
        <v>0.65300000000000002</v>
      </c>
      <c r="I1162">
        <v>0</v>
      </c>
      <c r="J1162" s="413">
        <f>I1162*VLOOKUP(E1162,GWPs!$B$3:$C$6,2,FALSE)</f>
        <v>0</v>
      </c>
      <c r="K1162">
        <v>0.65300000000000002</v>
      </c>
      <c r="L1162" s="413">
        <f>K1162*VLOOKUP(E1162,GWPs!$B$3:$C$6,2,FALSE)</f>
        <v>0.65300000000000002</v>
      </c>
      <c r="N1162">
        <v>4</v>
      </c>
      <c r="O1162">
        <v>2</v>
      </c>
      <c r="P1162">
        <v>1</v>
      </c>
      <c r="Q1162">
        <v>4</v>
      </c>
      <c r="R1162">
        <v>1</v>
      </c>
    </row>
    <row r="1163" spans="1:18">
      <c r="A1163" t="str">
        <f>_xlfn.IFNA(IF(VLOOKUP(C1163,'2016_Detail_Commodity_v1.0'!C:C,1,FALSE)=C1163,"No change"),"Name changed")</f>
        <v>No change</v>
      </c>
      <c r="B1163" t="s">
        <v>885</v>
      </c>
      <c r="C1163" t="s">
        <v>886</v>
      </c>
      <c r="E1163" t="s">
        <v>3654</v>
      </c>
      <c r="F1163" t="s">
        <v>12</v>
      </c>
      <c r="G1163">
        <v>2E-3</v>
      </c>
      <c r="H1163" s="413">
        <f>G1163*VLOOKUP(E1163,GWPs!$B$3:$C$6,2,FALSE)</f>
        <v>5.6000000000000001E-2</v>
      </c>
      <c r="I1163">
        <v>0</v>
      </c>
      <c r="J1163" s="413">
        <f>I1163*VLOOKUP(E1163,GWPs!$B$3:$C$6,2,FALSE)</f>
        <v>0</v>
      </c>
      <c r="K1163">
        <v>2E-3</v>
      </c>
      <c r="L1163" s="413">
        <f>K1163*VLOOKUP(E1163,GWPs!$B$3:$C$6,2,FALSE)</f>
        <v>5.6000000000000001E-2</v>
      </c>
      <c r="N1163">
        <v>4</v>
      </c>
      <c r="O1163">
        <v>2</v>
      </c>
      <c r="P1163">
        <v>1</v>
      </c>
      <c r="Q1163">
        <v>1</v>
      </c>
      <c r="R1163">
        <v>1</v>
      </c>
    </row>
    <row r="1164" spans="1:18">
      <c r="A1164" t="str">
        <f>_xlfn.IFNA(IF(VLOOKUP(C1164,'2016_Detail_Commodity_v1.0'!C:C,1,FALSE)=C1164,"No change"),"Name changed")</f>
        <v>No change</v>
      </c>
      <c r="B1164" t="s">
        <v>885</v>
      </c>
      <c r="C1164" t="s">
        <v>886</v>
      </c>
      <c r="E1164" t="s">
        <v>3655</v>
      </c>
      <c r="F1164" t="s">
        <v>12</v>
      </c>
      <c r="G1164">
        <v>0</v>
      </c>
      <c r="H1164" s="413">
        <f>G1164*VLOOKUP(E1164,GWPs!$B$3:$C$6,2,FALSE)</f>
        <v>0</v>
      </c>
      <c r="I1164">
        <v>0</v>
      </c>
      <c r="J1164" s="413">
        <f>I1164*VLOOKUP(E1164,GWPs!$B$3:$C$6,2,FALSE)</f>
        <v>0</v>
      </c>
      <c r="K1164">
        <v>0</v>
      </c>
      <c r="L1164" s="413">
        <f>K1164*VLOOKUP(E1164,GWPs!$B$3:$C$6,2,FALSE)</f>
        <v>0</v>
      </c>
      <c r="N1164">
        <v>4</v>
      </c>
      <c r="O1164">
        <v>2</v>
      </c>
      <c r="P1164">
        <v>1</v>
      </c>
      <c r="Q1164">
        <v>3</v>
      </c>
      <c r="R1164">
        <v>1</v>
      </c>
    </row>
    <row r="1165" spans="1:18">
      <c r="A1165" t="str">
        <f>_xlfn.IFNA(IF(VLOOKUP(C1165,'2016_Detail_Commodity_v1.0'!C:C,1,FALSE)=C1165,"No change"),"Name changed")</f>
        <v>No change</v>
      </c>
      <c r="B1165" t="s">
        <v>885</v>
      </c>
      <c r="C1165" t="s">
        <v>886</v>
      </c>
      <c r="E1165" t="s">
        <v>15</v>
      </c>
      <c r="F1165" t="s">
        <v>16</v>
      </c>
      <c r="G1165">
        <v>4.0000000000000001E-3</v>
      </c>
      <c r="H1165" s="413">
        <f>G1165*VLOOKUP(E1165,GWPs!$B$3:$C$6,2,FALSE)</f>
        <v>4.0000000000000001E-3</v>
      </c>
      <c r="I1165">
        <v>0</v>
      </c>
      <c r="J1165" s="413">
        <f>I1165*VLOOKUP(E1165,GWPs!$B$3:$C$6,2,FALSE)</f>
        <v>0</v>
      </c>
      <c r="K1165">
        <v>4.0000000000000001E-3</v>
      </c>
      <c r="L1165" s="413">
        <f>K1165*VLOOKUP(E1165,GWPs!$B$3:$C$6,2,FALSE)</f>
        <v>4.0000000000000001E-3</v>
      </c>
      <c r="N1165">
        <v>4</v>
      </c>
      <c r="O1165">
        <v>2</v>
      </c>
      <c r="P1165">
        <v>1</v>
      </c>
      <c r="Q1165">
        <v>4</v>
      </c>
      <c r="R1165">
        <v>1</v>
      </c>
    </row>
    <row r="1166" spans="1:18">
      <c r="A1166" t="str">
        <f>_xlfn.IFNA(IF(VLOOKUP(C1166,'2016_Detail_Commodity_v1.0'!C:C,1,FALSE)=C1166,"No change"),"Name changed")</f>
        <v>No change</v>
      </c>
      <c r="B1166" t="s">
        <v>887</v>
      </c>
      <c r="C1166" t="s">
        <v>888</v>
      </c>
      <c r="E1166" t="s">
        <v>3653</v>
      </c>
      <c r="F1166" t="s">
        <v>12</v>
      </c>
      <c r="G1166">
        <v>0.57199999999999995</v>
      </c>
      <c r="H1166" s="413">
        <f>G1166*VLOOKUP(E1166,GWPs!$B$3:$C$6,2,FALSE)</f>
        <v>0.57199999999999995</v>
      </c>
      <c r="I1166">
        <v>0</v>
      </c>
      <c r="J1166" s="413">
        <f>I1166*VLOOKUP(E1166,GWPs!$B$3:$C$6,2,FALSE)</f>
        <v>0</v>
      </c>
      <c r="K1166">
        <v>0.57199999999999995</v>
      </c>
      <c r="L1166" s="413">
        <f>K1166*VLOOKUP(E1166,GWPs!$B$3:$C$6,2,FALSE)</f>
        <v>0.57199999999999995</v>
      </c>
      <c r="N1166">
        <v>4</v>
      </c>
      <c r="O1166">
        <v>2</v>
      </c>
      <c r="P1166">
        <v>1</v>
      </c>
      <c r="Q1166">
        <v>2</v>
      </c>
      <c r="R1166">
        <v>1</v>
      </c>
    </row>
    <row r="1167" spans="1:18">
      <c r="A1167" t="str">
        <f>_xlfn.IFNA(IF(VLOOKUP(C1167,'2016_Detail_Commodity_v1.0'!C:C,1,FALSE)=C1167,"No change"),"Name changed")</f>
        <v>No change</v>
      </c>
      <c r="B1167" t="s">
        <v>887</v>
      </c>
      <c r="C1167" t="s">
        <v>888</v>
      </c>
      <c r="E1167" t="s">
        <v>3654</v>
      </c>
      <c r="F1167" t="s">
        <v>12</v>
      </c>
      <c r="G1167">
        <v>3.0000000000000001E-3</v>
      </c>
      <c r="H1167" s="413">
        <f>G1167*VLOOKUP(E1167,GWPs!$B$3:$C$6,2,FALSE)</f>
        <v>8.4000000000000005E-2</v>
      </c>
      <c r="I1167">
        <v>0</v>
      </c>
      <c r="J1167" s="413">
        <f>I1167*VLOOKUP(E1167,GWPs!$B$3:$C$6,2,FALSE)</f>
        <v>0</v>
      </c>
      <c r="K1167">
        <v>3.0000000000000001E-3</v>
      </c>
      <c r="L1167" s="413">
        <f>K1167*VLOOKUP(E1167,GWPs!$B$3:$C$6,2,FALSE)</f>
        <v>8.4000000000000005E-2</v>
      </c>
      <c r="N1167">
        <v>4</v>
      </c>
      <c r="O1167">
        <v>2</v>
      </c>
      <c r="P1167">
        <v>1</v>
      </c>
      <c r="Q1167">
        <v>1</v>
      </c>
      <c r="R1167">
        <v>1</v>
      </c>
    </row>
    <row r="1168" spans="1:18">
      <c r="A1168" t="str">
        <f>_xlfn.IFNA(IF(VLOOKUP(C1168,'2016_Detail_Commodity_v1.0'!C:C,1,FALSE)=C1168,"No change"),"Name changed")</f>
        <v>No change</v>
      </c>
      <c r="B1168" t="s">
        <v>887</v>
      </c>
      <c r="C1168" t="s">
        <v>888</v>
      </c>
      <c r="E1168" t="s">
        <v>3655</v>
      </c>
      <c r="F1168" t="s">
        <v>12</v>
      </c>
      <c r="G1168">
        <v>0</v>
      </c>
      <c r="H1168" s="413">
        <f>G1168*VLOOKUP(E1168,GWPs!$B$3:$C$6,2,FALSE)</f>
        <v>0</v>
      </c>
      <c r="I1168">
        <v>0</v>
      </c>
      <c r="J1168" s="413">
        <f>I1168*VLOOKUP(E1168,GWPs!$B$3:$C$6,2,FALSE)</f>
        <v>0</v>
      </c>
      <c r="K1168">
        <v>0</v>
      </c>
      <c r="L1168" s="413">
        <f>K1168*VLOOKUP(E1168,GWPs!$B$3:$C$6,2,FALSE)</f>
        <v>0</v>
      </c>
      <c r="N1168">
        <v>4</v>
      </c>
      <c r="O1168">
        <v>2</v>
      </c>
      <c r="P1168">
        <v>1</v>
      </c>
      <c r="Q1168">
        <v>4</v>
      </c>
      <c r="R1168">
        <v>1</v>
      </c>
    </row>
    <row r="1169" spans="1:18">
      <c r="A1169" t="str">
        <f>_xlfn.IFNA(IF(VLOOKUP(C1169,'2016_Detail_Commodity_v1.0'!C:C,1,FALSE)=C1169,"No change"),"Name changed")</f>
        <v>No change</v>
      </c>
      <c r="B1169" t="s">
        <v>887</v>
      </c>
      <c r="C1169" t="s">
        <v>888</v>
      </c>
      <c r="E1169" t="s">
        <v>15</v>
      </c>
      <c r="F1169" t="s">
        <v>16</v>
      </c>
      <c r="G1169">
        <v>5.8999999999999997E-2</v>
      </c>
      <c r="H1169" s="413">
        <f>G1169*VLOOKUP(E1169,GWPs!$B$3:$C$6,2,FALSE)</f>
        <v>5.8999999999999997E-2</v>
      </c>
      <c r="I1169">
        <v>0</v>
      </c>
      <c r="J1169" s="413">
        <f>I1169*VLOOKUP(E1169,GWPs!$B$3:$C$6,2,FALSE)</f>
        <v>0</v>
      </c>
      <c r="K1169">
        <v>5.8999999999999997E-2</v>
      </c>
      <c r="L1169" s="413">
        <f>K1169*VLOOKUP(E1169,GWPs!$B$3:$C$6,2,FALSE)</f>
        <v>5.8999999999999997E-2</v>
      </c>
      <c r="N1169">
        <v>4</v>
      </c>
      <c r="O1169">
        <v>2</v>
      </c>
      <c r="P1169">
        <v>1</v>
      </c>
      <c r="Q1169">
        <v>5</v>
      </c>
      <c r="R1169">
        <v>1</v>
      </c>
    </row>
    <row r="1170" spans="1:18">
      <c r="A1170" t="str">
        <f>_xlfn.IFNA(IF(VLOOKUP(C1170,'2016_Detail_Commodity_v1.0'!C:C,1,FALSE)=C1170,"No change"),"Name changed")</f>
        <v>No change</v>
      </c>
      <c r="B1170" t="s">
        <v>889</v>
      </c>
      <c r="C1170" t="s">
        <v>890</v>
      </c>
      <c r="E1170" t="s">
        <v>3653</v>
      </c>
      <c r="F1170" t="s">
        <v>12</v>
      </c>
      <c r="G1170">
        <v>1.236</v>
      </c>
      <c r="H1170" s="413">
        <f>G1170*VLOOKUP(E1170,GWPs!$B$3:$C$6,2,FALSE)</f>
        <v>1.236</v>
      </c>
      <c r="I1170">
        <v>0</v>
      </c>
      <c r="J1170" s="413">
        <f>I1170*VLOOKUP(E1170,GWPs!$B$3:$C$6,2,FALSE)</f>
        <v>0</v>
      </c>
      <c r="K1170">
        <v>1.236</v>
      </c>
      <c r="L1170" s="413">
        <f>K1170*VLOOKUP(E1170,GWPs!$B$3:$C$6,2,FALSE)</f>
        <v>1.236</v>
      </c>
      <c r="N1170">
        <v>4</v>
      </c>
      <c r="O1170">
        <v>2</v>
      </c>
      <c r="P1170">
        <v>1</v>
      </c>
      <c r="Q1170">
        <v>4</v>
      </c>
      <c r="R1170">
        <v>1</v>
      </c>
    </row>
    <row r="1171" spans="1:18">
      <c r="A1171" t="str">
        <f>_xlfn.IFNA(IF(VLOOKUP(C1171,'2016_Detail_Commodity_v1.0'!C:C,1,FALSE)=C1171,"No change"),"Name changed")</f>
        <v>No change</v>
      </c>
      <c r="B1171" t="s">
        <v>889</v>
      </c>
      <c r="C1171" t="s">
        <v>890</v>
      </c>
      <c r="E1171" t="s">
        <v>3654</v>
      </c>
      <c r="F1171" t="s">
        <v>12</v>
      </c>
      <c r="G1171">
        <v>3.0000000000000001E-3</v>
      </c>
      <c r="H1171" s="413">
        <f>G1171*VLOOKUP(E1171,GWPs!$B$3:$C$6,2,FALSE)</f>
        <v>8.4000000000000005E-2</v>
      </c>
      <c r="I1171">
        <v>0</v>
      </c>
      <c r="J1171" s="413">
        <f>I1171*VLOOKUP(E1171,GWPs!$B$3:$C$6,2,FALSE)</f>
        <v>0</v>
      </c>
      <c r="K1171">
        <v>3.0000000000000001E-3</v>
      </c>
      <c r="L1171" s="413">
        <f>K1171*VLOOKUP(E1171,GWPs!$B$3:$C$6,2,FALSE)</f>
        <v>8.4000000000000005E-2</v>
      </c>
      <c r="N1171">
        <v>4</v>
      </c>
      <c r="O1171">
        <v>2</v>
      </c>
      <c r="P1171">
        <v>1</v>
      </c>
      <c r="Q1171">
        <v>1</v>
      </c>
      <c r="R1171">
        <v>1</v>
      </c>
    </row>
    <row r="1172" spans="1:18">
      <c r="A1172" t="str">
        <f>_xlfn.IFNA(IF(VLOOKUP(C1172,'2016_Detail_Commodity_v1.0'!C:C,1,FALSE)=C1172,"No change"),"Name changed")</f>
        <v>No change</v>
      </c>
      <c r="B1172" t="s">
        <v>889</v>
      </c>
      <c r="C1172" t="s">
        <v>890</v>
      </c>
      <c r="E1172" t="s">
        <v>3655</v>
      </c>
      <c r="F1172" t="s">
        <v>12</v>
      </c>
      <c r="G1172">
        <v>0</v>
      </c>
      <c r="H1172" s="413">
        <f>G1172*VLOOKUP(E1172,GWPs!$B$3:$C$6,2,FALSE)</f>
        <v>0</v>
      </c>
      <c r="I1172">
        <v>0</v>
      </c>
      <c r="J1172" s="413">
        <f>I1172*VLOOKUP(E1172,GWPs!$B$3:$C$6,2,FALSE)</f>
        <v>0</v>
      </c>
      <c r="K1172">
        <v>0</v>
      </c>
      <c r="L1172" s="413">
        <f>K1172*VLOOKUP(E1172,GWPs!$B$3:$C$6,2,FALSE)</f>
        <v>0</v>
      </c>
      <c r="N1172">
        <v>4</v>
      </c>
      <c r="O1172">
        <v>2</v>
      </c>
      <c r="P1172">
        <v>1</v>
      </c>
      <c r="Q1172">
        <v>3</v>
      </c>
      <c r="R1172">
        <v>1</v>
      </c>
    </row>
    <row r="1173" spans="1:18">
      <c r="A1173" t="str">
        <f>_xlfn.IFNA(IF(VLOOKUP(C1173,'2016_Detail_Commodity_v1.0'!C:C,1,FALSE)=C1173,"No change"),"Name changed")</f>
        <v>No change</v>
      </c>
      <c r="B1173" t="s">
        <v>889</v>
      </c>
      <c r="C1173" t="s">
        <v>890</v>
      </c>
      <c r="E1173" t="s">
        <v>15</v>
      </c>
      <c r="F1173" t="s">
        <v>16</v>
      </c>
      <c r="G1173">
        <v>2.1000000000000001E-2</v>
      </c>
      <c r="H1173" s="413">
        <f>G1173*VLOOKUP(E1173,GWPs!$B$3:$C$6,2,FALSE)</f>
        <v>2.1000000000000001E-2</v>
      </c>
      <c r="I1173">
        <v>0</v>
      </c>
      <c r="J1173" s="413">
        <f>I1173*VLOOKUP(E1173,GWPs!$B$3:$C$6,2,FALSE)</f>
        <v>0</v>
      </c>
      <c r="K1173">
        <v>2.1000000000000001E-2</v>
      </c>
      <c r="L1173" s="413">
        <f>K1173*VLOOKUP(E1173,GWPs!$B$3:$C$6,2,FALSE)</f>
        <v>2.1000000000000001E-2</v>
      </c>
      <c r="N1173">
        <v>4</v>
      </c>
      <c r="O1173">
        <v>2</v>
      </c>
      <c r="P1173">
        <v>1</v>
      </c>
      <c r="Q1173">
        <v>5</v>
      </c>
      <c r="R1173">
        <v>1</v>
      </c>
    </row>
    <row r="1174" spans="1:18">
      <c r="A1174" t="str">
        <f>_xlfn.IFNA(IF(VLOOKUP(C1174,'2016_Detail_Commodity_v1.0'!C:C,1,FALSE)=C1174,"No change"),"Name changed")</f>
        <v>No change</v>
      </c>
      <c r="B1174" t="s">
        <v>891</v>
      </c>
      <c r="C1174" t="s">
        <v>892</v>
      </c>
      <c r="E1174" t="s">
        <v>3653</v>
      </c>
      <c r="F1174" t="s">
        <v>12</v>
      </c>
      <c r="G1174">
        <v>0.40799999999999997</v>
      </c>
      <c r="H1174" s="413">
        <f>G1174*VLOOKUP(E1174,GWPs!$B$3:$C$6,2,FALSE)</f>
        <v>0.40799999999999997</v>
      </c>
      <c r="I1174">
        <v>0</v>
      </c>
      <c r="J1174" s="413">
        <f>I1174*VLOOKUP(E1174,GWPs!$B$3:$C$6,2,FALSE)</f>
        <v>0</v>
      </c>
      <c r="K1174">
        <v>0.40799999999999997</v>
      </c>
      <c r="L1174" s="413">
        <f>K1174*VLOOKUP(E1174,GWPs!$B$3:$C$6,2,FALSE)</f>
        <v>0.40799999999999997</v>
      </c>
      <c r="N1174">
        <v>4</v>
      </c>
      <c r="O1174">
        <v>2</v>
      </c>
      <c r="P1174">
        <v>1</v>
      </c>
      <c r="Q1174">
        <v>3</v>
      </c>
      <c r="R1174">
        <v>1</v>
      </c>
    </row>
    <row r="1175" spans="1:18">
      <c r="A1175" t="str">
        <f>_xlfn.IFNA(IF(VLOOKUP(C1175,'2016_Detail_Commodity_v1.0'!C:C,1,FALSE)=C1175,"No change"),"Name changed")</f>
        <v>No change</v>
      </c>
      <c r="B1175" t="s">
        <v>891</v>
      </c>
      <c r="C1175" t="s">
        <v>892</v>
      </c>
      <c r="E1175" t="s">
        <v>3654</v>
      </c>
      <c r="F1175" t="s">
        <v>12</v>
      </c>
      <c r="G1175">
        <v>4.0000000000000001E-3</v>
      </c>
      <c r="H1175" s="413">
        <f>G1175*VLOOKUP(E1175,GWPs!$B$3:$C$6,2,FALSE)</f>
        <v>0.112</v>
      </c>
      <c r="I1175">
        <v>0</v>
      </c>
      <c r="J1175" s="413">
        <f>I1175*VLOOKUP(E1175,GWPs!$B$3:$C$6,2,FALSE)</f>
        <v>0</v>
      </c>
      <c r="K1175">
        <v>4.0000000000000001E-3</v>
      </c>
      <c r="L1175" s="413">
        <f>K1175*VLOOKUP(E1175,GWPs!$B$3:$C$6,2,FALSE)</f>
        <v>0.112</v>
      </c>
      <c r="N1175">
        <v>4</v>
      </c>
      <c r="O1175">
        <v>2</v>
      </c>
      <c r="P1175">
        <v>1</v>
      </c>
      <c r="Q1175">
        <v>1</v>
      </c>
      <c r="R1175">
        <v>1</v>
      </c>
    </row>
    <row r="1176" spans="1:18">
      <c r="A1176" t="str">
        <f>_xlfn.IFNA(IF(VLOOKUP(C1176,'2016_Detail_Commodity_v1.0'!C:C,1,FALSE)=C1176,"No change"),"Name changed")</f>
        <v>No change</v>
      </c>
      <c r="B1176" t="s">
        <v>891</v>
      </c>
      <c r="C1176" t="s">
        <v>892</v>
      </c>
      <c r="E1176" t="s">
        <v>3655</v>
      </c>
      <c r="F1176" t="s">
        <v>12</v>
      </c>
      <c r="G1176">
        <v>0</v>
      </c>
      <c r="H1176" s="413">
        <f>G1176*VLOOKUP(E1176,GWPs!$B$3:$C$6,2,FALSE)</f>
        <v>0</v>
      </c>
      <c r="I1176">
        <v>0</v>
      </c>
      <c r="J1176" s="413">
        <f>I1176*VLOOKUP(E1176,GWPs!$B$3:$C$6,2,FALSE)</f>
        <v>0</v>
      </c>
      <c r="K1176">
        <v>0</v>
      </c>
      <c r="L1176" s="413">
        <f>K1176*VLOOKUP(E1176,GWPs!$B$3:$C$6,2,FALSE)</f>
        <v>0</v>
      </c>
      <c r="N1176">
        <v>4</v>
      </c>
      <c r="O1176">
        <v>2</v>
      </c>
      <c r="P1176">
        <v>1</v>
      </c>
      <c r="Q1176">
        <v>3</v>
      </c>
      <c r="R1176">
        <v>1</v>
      </c>
    </row>
    <row r="1177" spans="1:18">
      <c r="A1177" t="str">
        <f>_xlfn.IFNA(IF(VLOOKUP(C1177,'2016_Detail_Commodity_v1.0'!C:C,1,FALSE)=C1177,"No change"),"Name changed")</f>
        <v>No change</v>
      </c>
      <c r="B1177" t="s">
        <v>891</v>
      </c>
      <c r="C1177" t="s">
        <v>892</v>
      </c>
      <c r="E1177" t="s">
        <v>15</v>
      </c>
      <c r="F1177" t="s">
        <v>16</v>
      </c>
      <c r="G1177">
        <v>7.0000000000000001E-3</v>
      </c>
      <c r="H1177" s="413">
        <f>G1177*VLOOKUP(E1177,GWPs!$B$3:$C$6,2,FALSE)</f>
        <v>7.0000000000000001E-3</v>
      </c>
      <c r="I1177">
        <v>0</v>
      </c>
      <c r="J1177" s="413">
        <f>I1177*VLOOKUP(E1177,GWPs!$B$3:$C$6,2,FALSE)</f>
        <v>0</v>
      </c>
      <c r="K1177">
        <v>7.0000000000000001E-3</v>
      </c>
      <c r="L1177" s="413">
        <f>K1177*VLOOKUP(E1177,GWPs!$B$3:$C$6,2,FALSE)</f>
        <v>7.0000000000000001E-3</v>
      </c>
      <c r="N1177">
        <v>4</v>
      </c>
      <c r="O1177">
        <v>2</v>
      </c>
      <c r="P1177">
        <v>1</v>
      </c>
      <c r="Q1177">
        <v>5</v>
      </c>
      <c r="R1177">
        <v>1</v>
      </c>
    </row>
    <row r="1178" spans="1:18">
      <c r="A1178" t="str">
        <f>_xlfn.IFNA(IF(VLOOKUP(C1178,'2016_Detail_Commodity_v1.0'!C:C,1,FALSE)=C1178,"No change"),"Name changed")</f>
        <v>No change</v>
      </c>
      <c r="B1178" t="s">
        <v>893</v>
      </c>
      <c r="C1178" t="s">
        <v>894</v>
      </c>
      <c r="E1178" t="s">
        <v>3653</v>
      </c>
      <c r="F1178" t="s">
        <v>12</v>
      </c>
      <c r="G1178">
        <v>0.97799999999999998</v>
      </c>
      <c r="H1178" s="413">
        <f>G1178*VLOOKUP(E1178,GWPs!$B$3:$C$6,2,FALSE)</f>
        <v>0.97799999999999998</v>
      </c>
      <c r="I1178">
        <v>0</v>
      </c>
      <c r="J1178" s="413">
        <f>I1178*VLOOKUP(E1178,GWPs!$B$3:$C$6,2,FALSE)</f>
        <v>0</v>
      </c>
      <c r="K1178">
        <v>0.97799999999999998</v>
      </c>
      <c r="L1178" s="413">
        <f>K1178*VLOOKUP(E1178,GWPs!$B$3:$C$6,2,FALSE)</f>
        <v>0.97799999999999998</v>
      </c>
      <c r="N1178">
        <v>4</v>
      </c>
      <c r="O1178">
        <v>2</v>
      </c>
      <c r="P1178">
        <v>1</v>
      </c>
      <c r="Q1178">
        <v>1</v>
      </c>
      <c r="R1178">
        <v>1</v>
      </c>
    </row>
    <row r="1179" spans="1:18">
      <c r="A1179" t="str">
        <f>_xlfn.IFNA(IF(VLOOKUP(C1179,'2016_Detail_Commodity_v1.0'!C:C,1,FALSE)=C1179,"No change"),"Name changed")</f>
        <v>No change</v>
      </c>
      <c r="B1179" t="s">
        <v>893</v>
      </c>
      <c r="C1179" t="s">
        <v>894</v>
      </c>
      <c r="E1179" t="s">
        <v>3654</v>
      </c>
      <c r="F1179" t="s">
        <v>12</v>
      </c>
      <c r="G1179">
        <v>2.7E-2</v>
      </c>
      <c r="H1179" s="413">
        <f>G1179*VLOOKUP(E1179,GWPs!$B$3:$C$6,2,FALSE)</f>
        <v>0.75600000000000001</v>
      </c>
      <c r="I1179">
        <v>0</v>
      </c>
      <c r="J1179" s="413">
        <f>I1179*VLOOKUP(E1179,GWPs!$B$3:$C$6,2,FALSE)</f>
        <v>0</v>
      </c>
      <c r="K1179">
        <v>2.7E-2</v>
      </c>
      <c r="L1179" s="413">
        <f>K1179*VLOOKUP(E1179,GWPs!$B$3:$C$6,2,FALSE)</f>
        <v>0.75600000000000001</v>
      </c>
      <c r="N1179">
        <v>4</v>
      </c>
      <c r="O1179">
        <v>2</v>
      </c>
      <c r="P1179">
        <v>1</v>
      </c>
      <c r="Q1179">
        <v>1</v>
      </c>
      <c r="R1179">
        <v>1</v>
      </c>
    </row>
    <row r="1180" spans="1:18">
      <c r="A1180" t="str">
        <f>_xlfn.IFNA(IF(VLOOKUP(C1180,'2016_Detail_Commodity_v1.0'!C:C,1,FALSE)=C1180,"No change"),"Name changed")</f>
        <v>No change</v>
      </c>
      <c r="B1180" t="s">
        <v>893</v>
      </c>
      <c r="C1180" t="s">
        <v>894</v>
      </c>
      <c r="E1180" t="s">
        <v>3655</v>
      </c>
      <c r="F1180" t="s">
        <v>12</v>
      </c>
      <c r="G1180">
        <v>0</v>
      </c>
      <c r="H1180" s="413">
        <f>G1180*VLOOKUP(E1180,GWPs!$B$3:$C$6,2,FALSE)</f>
        <v>0</v>
      </c>
      <c r="I1180">
        <v>0</v>
      </c>
      <c r="J1180" s="413">
        <f>I1180*VLOOKUP(E1180,GWPs!$B$3:$C$6,2,FALSE)</f>
        <v>0</v>
      </c>
      <c r="K1180">
        <v>0</v>
      </c>
      <c r="L1180" s="413">
        <f>K1180*VLOOKUP(E1180,GWPs!$B$3:$C$6,2,FALSE)</f>
        <v>0</v>
      </c>
      <c r="N1180">
        <v>3</v>
      </c>
      <c r="O1180">
        <v>2</v>
      </c>
      <c r="P1180">
        <v>1</v>
      </c>
      <c r="Q1180">
        <v>2</v>
      </c>
      <c r="R1180">
        <v>1</v>
      </c>
    </row>
    <row r="1181" spans="1:18">
      <c r="A1181" t="str">
        <f>_xlfn.IFNA(IF(VLOOKUP(C1181,'2016_Detail_Commodity_v1.0'!C:C,1,FALSE)=C1181,"No change"),"Name changed")</f>
        <v>No change</v>
      </c>
      <c r="B1181" t="s">
        <v>893</v>
      </c>
      <c r="C1181" t="s">
        <v>894</v>
      </c>
      <c r="E1181" t="s">
        <v>15</v>
      </c>
      <c r="F1181" t="s">
        <v>16</v>
      </c>
      <c r="G1181">
        <v>1.4999999999999999E-2</v>
      </c>
      <c r="H1181" s="413">
        <f>G1181*VLOOKUP(E1181,GWPs!$B$3:$C$6,2,FALSE)</f>
        <v>1.4999999999999999E-2</v>
      </c>
      <c r="I1181">
        <v>0</v>
      </c>
      <c r="J1181" s="413">
        <f>I1181*VLOOKUP(E1181,GWPs!$B$3:$C$6,2,FALSE)</f>
        <v>0</v>
      </c>
      <c r="K1181">
        <v>1.4999999999999999E-2</v>
      </c>
      <c r="L1181" s="413">
        <f>K1181*VLOOKUP(E1181,GWPs!$B$3:$C$6,2,FALSE)</f>
        <v>1.4999999999999999E-2</v>
      </c>
      <c r="N1181">
        <v>4</v>
      </c>
      <c r="O1181">
        <v>2</v>
      </c>
      <c r="P1181">
        <v>1</v>
      </c>
      <c r="Q1181">
        <v>5</v>
      </c>
      <c r="R1181">
        <v>1</v>
      </c>
    </row>
    <row r="1182" spans="1:18">
      <c r="A1182" t="str">
        <f>_xlfn.IFNA(IF(VLOOKUP(C1182,'2016_Detail_Commodity_v1.0'!C:C,1,FALSE)=C1182,"No change"),"Name changed")</f>
        <v>No change</v>
      </c>
      <c r="B1182" t="s">
        <v>895</v>
      </c>
      <c r="C1182" t="s">
        <v>896</v>
      </c>
      <c r="E1182" t="s">
        <v>3653</v>
      </c>
      <c r="F1182" t="s">
        <v>12</v>
      </c>
      <c r="G1182">
        <v>0.23100000000000001</v>
      </c>
      <c r="H1182" s="413">
        <f>G1182*VLOOKUP(E1182,GWPs!$B$3:$C$6,2,FALSE)</f>
        <v>0.23100000000000001</v>
      </c>
      <c r="I1182">
        <v>0</v>
      </c>
      <c r="J1182" s="413">
        <f>I1182*VLOOKUP(E1182,GWPs!$B$3:$C$6,2,FALSE)</f>
        <v>0</v>
      </c>
      <c r="K1182">
        <v>0.23100000000000001</v>
      </c>
      <c r="L1182" s="413">
        <f>K1182*VLOOKUP(E1182,GWPs!$B$3:$C$6,2,FALSE)</f>
        <v>0.23100000000000001</v>
      </c>
      <c r="N1182">
        <v>3</v>
      </c>
      <c r="O1182">
        <v>2</v>
      </c>
      <c r="P1182">
        <v>1</v>
      </c>
      <c r="Q1182">
        <v>3</v>
      </c>
      <c r="R1182">
        <v>1</v>
      </c>
    </row>
    <row r="1183" spans="1:18">
      <c r="A1183" t="str">
        <f>_xlfn.IFNA(IF(VLOOKUP(C1183,'2016_Detail_Commodity_v1.0'!C:C,1,FALSE)=C1183,"No change"),"Name changed")</f>
        <v>No change</v>
      </c>
      <c r="B1183" t="s">
        <v>895</v>
      </c>
      <c r="C1183" t="s">
        <v>896</v>
      </c>
      <c r="E1183" t="s">
        <v>3654</v>
      </c>
      <c r="F1183" t="s">
        <v>12</v>
      </c>
      <c r="G1183">
        <v>1E-3</v>
      </c>
      <c r="H1183" s="413">
        <f>G1183*VLOOKUP(E1183,GWPs!$B$3:$C$6,2,FALSE)</f>
        <v>2.8000000000000001E-2</v>
      </c>
      <c r="I1183">
        <v>0</v>
      </c>
      <c r="J1183" s="413">
        <f>I1183*VLOOKUP(E1183,GWPs!$B$3:$C$6,2,FALSE)</f>
        <v>0</v>
      </c>
      <c r="K1183">
        <v>1E-3</v>
      </c>
      <c r="L1183" s="413">
        <f>K1183*VLOOKUP(E1183,GWPs!$B$3:$C$6,2,FALSE)</f>
        <v>2.8000000000000001E-2</v>
      </c>
      <c r="N1183">
        <v>4</v>
      </c>
      <c r="O1183">
        <v>2</v>
      </c>
      <c r="P1183">
        <v>1</v>
      </c>
      <c r="Q1183">
        <v>1</v>
      </c>
      <c r="R1183">
        <v>1</v>
      </c>
    </row>
    <row r="1184" spans="1:18">
      <c r="A1184" t="str">
        <f>_xlfn.IFNA(IF(VLOOKUP(C1184,'2016_Detail_Commodity_v1.0'!C:C,1,FALSE)=C1184,"No change"),"Name changed")</f>
        <v>No change</v>
      </c>
      <c r="B1184" t="s">
        <v>895</v>
      </c>
      <c r="C1184" t="s">
        <v>896</v>
      </c>
      <c r="E1184" t="s">
        <v>3655</v>
      </c>
      <c r="F1184" t="s">
        <v>12</v>
      </c>
      <c r="G1184">
        <v>0</v>
      </c>
      <c r="H1184" s="413">
        <f>G1184*VLOOKUP(E1184,GWPs!$B$3:$C$6,2,FALSE)</f>
        <v>0</v>
      </c>
      <c r="I1184">
        <v>0</v>
      </c>
      <c r="J1184" s="413">
        <f>I1184*VLOOKUP(E1184,GWPs!$B$3:$C$6,2,FALSE)</f>
        <v>0</v>
      </c>
      <c r="K1184">
        <v>0</v>
      </c>
      <c r="L1184" s="413">
        <f>K1184*VLOOKUP(E1184,GWPs!$B$3:$C$6,2,FALSE)</f>
        <v>0</v>
      </c>
      <c r="N1184">
        <v>4</v>
      </c>
      <c r="O1184">
        <v>2</v>
      </c>
      <c r="P1184">
        <v>1</v>
      </c>
      <c r="Q1184">
        <v>3</v>
      </c>
      <c r="R1184">
        <v>1</v>
      </c>
    </row>
    <row r="1185" spans="1:18">
      <c r="A1185" t="str">
        <f>_xlfn.IFNA(IF(VLOOKUP(C1185,'2016_Detail_Commodity_v1.0'!C:C,1,FALSE)=C1185,"No change"),"Name changed")</f>
        <v>No change</v>
      </c>
      <c r="B1185" t="s">
        <v>895</v>
      </c>
      <c r="C1185" t="s">
        <v>896</v>
      </c>
      <c r="E1185" t="s">
        <v>15</v>
      </c>
      <c r="F1185" t="s">
        <v>16</v>
      </c>
      <c r="G1185">
        <v>6.0000000000000001E-3</v>
      </c>
      <c r="H1185" s="413">
        <f>G1185*VLOOKUP(E1185,GWPs!$B$3:$C$6,2,FALSE)</f>
        <v>6.0000000000000001E-3</v>
      </c>
      <c r="I1185">
        <v>0</v>
      </c>
      <c r="J1185" s="413">
        <f>I1185*VLOOKUP(E1185,GWPs!$B$3:$C$6,2,FALSE)</f>
        <v>0</v>
      </c>
      <c r="K1185">
        <v>6.0000000000000001E-3</v>
      </c>
      <c r="L1185" s="413">
        <f>K1185*VLOOKUP(E1185,GWPs!$B$3:$C$6,2,FALSE)</f>
        <v>6.0000000000000001E-3</v>
      </c>
      <c r="N1185">
        <v>4</v>
      </c>
      <c r="O1185">
        <v>2</v>
      </c>
      <c r="P1185">
        <v>1</v>
      </c>
      <c r="Q1185">
        <v>4</v>
      </c>
      <c r="R1185">
        <v>1</v>
      </c>
    </row>
    <row r="1186" spans="1:18">
      <c r="A1186" t="str">
        <f>_xlfn.IFNA(IF(VLOOKUP(C1186,'2016_Detail_Commodity_v1.0'!C:C,1,FALSE)=C1186,"No change"),"Name changed")</f>
        <v>No change</v>
      </c>
      <c r="B1186" t="s">
        <v>897</v>
      </c>
      <c r="C1186" t="s">
        <v>898</v>
      </c>
      <c r="E1186" t="s">
        <v>3653</v>
      </c>
      <c r="F1186" t="s">
        <v>12</v>
      </c>
      <c r="G1186">
        <v>0.16800000000000001</v>
      </c>
      <c r="H1186" s="413">
        <f>G1186*VLOOKUP(E1186,GWPs!$B$3:$C$6,2,FALSE)</f>
        <v>0.16800000000000001</v>
      </c>
      <c r="I1186">
        <v>0</v>
      </c>
      <c r="J1186" s="413">
        <f>I1186*VLOOKUP(E1186,GWPs!$B$3:$C$6,2,FALSE)</f>
        <v>0</v>
      </c>
      <c r="K1186">
        <v>0.16800000000000001</v>
      </c>
      <c r="L1186" s="413">
        <f>K1186*VLOOKUP(E1186,GWPs!$B$3:$C$6,2,FALSE)</f>
        <v>0.16800000000000001</v>
      </c>
      <c r="N1186">
        <v>4</v>
      </c>
      <c r="O1186">
        <v>2</v>
      </c>
      <c r="P1186">
        <v>1</v>
      </c>
      <c r="Q1186">
        <v>3</v>
      </c>
      <c r="R1186">
        <v>1</v>
      </c>
    </row>
    <row r="1187" spans="1:18">
      <c r="A1187" t="str">
        <f>_xlfn.IFNA(IF(VLOOKUP(C1187,'2016_Detail_Commodity_v1.0'!C:C,1,FALSE)=C1187,"No change"),"Name changed")</f>
        <v>No change</v>
      </c>
      <c r="B1187" t="s">
        <v>897</v>
      </c>
      <c r="C1187" t="s">
        <v>898</v>
      </c>
      <c r="E1187" t="s">
        <v>3654</v>
      </c>
      <c r="F1187" t="s">
        <v>12</v>
      </c>
      <c r="G1187">
        <v>1E-3</v>
      </c>
      <c r="H1187" s="413">
        <f>G1187*VLOOKUP(E1187,GWPs!$B$3:$C$6,2,FALSE)</f>
        <v>2.8000000000000001E-2</v>
      </c>
      <c r="I1187">
        <v>0</v>
      </c>
      <c r="J1187" s="413">
        <f>I1187*VLOOKUP(E1187,GWPs!$B$3:$C$6,2,FALSE)</f>
        <v>0</v>
      </c>
      <c r="K1187">
        <v>1E-3</v>
      </c>
      <c r="L1187" s="413">
        <f>K1187*VLOOKUP(E1187,GWPs!$B$3:$C$6,2,FALSE)</f>
        <v>2.8000000000000001E-2</v>
      </c>
      <c r="N1187">
        <v>4</v>
      </c>
      <c r="O1187">
        <v>2</v>
      </c>
      <c r="P1187">
        <v>1</v>
      </c>
      <c r="Q1187">
        <v>1</v>
      </c>
      <c r="R1187">
        <v>1</v>
      </c>
    </row>
    <row r="1188" spans="1:18">
      <c r="A1188" t="str">
        <f>_xlfn.IFNA(IF(VLOOKUP(C1188,'2016_Detail_Commodity_v1.0'!C:C,1,FALSE)=C1188,"No change"),"Name changed")</f>
        <v>No change</v>
      </c>
      <c r="B1188" t="s">
        <v>897</v>
      </c>
      <c r="C1188" t="s">
        <v>898</v>
      </c>
      <c r="E1188" t="s">
        <v>3655</v>
      </c>
      <c r="F1188" t="s">
        <v>12</v>
      </c>
      <c r="G1188">
        <v>0</v>
      </c>
      <c r="H1188" s="413">
        <f>G1188*VLOOKUP(E1188,GWPs!$B$3:$C$6,2,FALSE)</f>
        <v>0</v>
      </c>
      <c r="I1188">
        <v>0</v>
      </c>
      <c r="J1188" s="413">
        <f>I1188*VLOOKUP(E1188,GWPs!$B$3:$C$6,2,FALSE)</f>
        <v>0</v>
      </c>
      <c r="K1188">
        <v>0</v>
      </c>
      <c r="L1188" s="413">
        <f>K1188*VLOOKUP(E1188,GWPs!$B$3:$C$6,2,FALSE)</f>
        <v>0</v>
      </c>
      <c r="N1188">
        <v>4</v>
      </c>
      <c r="O1188">
        <v>2</v>
      </c>
      <c r="P1188">
        <v>1</v>
      </c>
      <c r="Q1188">
        <v>2</v>
      </c>
      <c r="R1188">
        <v>1</v>
      </c>
    </row>
    <row r="1189" spans="1:18">
      <c r="A1189" t="str">
        <f>_xlfn.IFNA(IF(VLOOKUP(C1189,'2016_Detail_Commodity_v1.0'!C:C,1,FALSE)=C1189,"No change"),"Name changed")</f>
        <v>No change</v>
      </c>
      <c r="B1189" t="s">
        <v>897</v>
      </c>
      <c r="C1189" t="s">
        <v>898</v>
      </c>
      <c r="E1189" t="s">
        <v>15</v>
      </c>
      <c r="F1189" t="s">
        <v>16</v>
      </c>
      <c r="G1189">
        <v>3.0000000000000001E-3</v>
      </c>
      <c r="H1189" s="413">
        <f>G1189*VLOOKUP(E1189,GWPs!$B$3:$C$6,2,FALSE)</f>
        <v>3.0000000000000001E-3</v>
      </c>
      <c r="I1189">
        <v>0</v>
      </c>
      <c r="J1189" s="413">
        <f>I1189*VLOOKUP(E1189,GWPs!$B$3:$C$6,2,FALSE)</f>
        <v>0</v>
      </c>
      <c r="K1189">
        <v>3.0000000000000001E-3</v>
      </c>
      <c r="L1189" s="413">
        <f>K1189*VLOOKUP(E1189,GWPs!$B$3:$C$6,2,FALSE)</f>
        <v>3.0000000000000001E-3</v>
      </c>
      <c r="N1189">
        <v>4</v>
      </c>
      <c r="O1189">
        <v>2</v>
      </c>
      <c r="P1189">
        <v>1</v>
      </c>
      <c r="Q1189">
        <v>4</v>
      </c>
      <c r="R1189">
        <v>1</v>
      </c>
    </row>
    <row r="1190" spans="1:18">
      <c r="A1190" t="str">
        <f>_xlfn.IFNA(IF(VLOOKUP(C1190,'2016_Detail_Commodity_v1.0'!C:C,1,FALSE)=C1190,"No change"),"Name changed")</f>
        <v>No change</v>
      </c>
      <c r="B1190" t="s">
        <v>899</v>
      </c>
      <c r="C1190" t="s">
        <v>900</v>
      </c>
      <c r="E1190" t="s">
        <v>3653</v>
      </c>
      <c r="F1190" t="s">
        <v>12</v>
      </c>
      <c r="G1190">
        <v>0.43099999999999999</v>
      </c>
      <c r="H1190" s="413">
        <f>G1190*VLOOKUP(E1190,GWPs!$B$3:$C$6,2,FALSE)</f>
        <v>0.43099999999999999</v>
      </c>
      <c r="I1190">
        <v>0</v>
      </c>
      <c r="J1190" s="413">
        <f>I1190*VLOOKUP(E1190,GWPs!$B$3:$C$6,2,FALSE)</f>
        <v>0</v>
      </c>
      <c r="K1190">
        <v>0.43099999999999999</v>
      </c>
      <c r="L1190" s="413">
        <f>K1190*VLOOKUP(E1190,GWPs!$B$3:$C$6,2,FALSE)</f>
        <v>0.43099999999999999</v>
      </c>
      <c r="N1190">
        <v>4</v>
      </c>
      <c r="O1190">
        <v>2</v>
      </c>
      <c r="P1190">
        <v>1</v>
      </c>
      <c r="Q1190">
        <v>4</v>
      </c>
      <c r="R1190">
        <v>1</v>
      </c>
    </row>
    <row r="1191" spans="1:18">
      <c r="A1191" t="str">
        <f>_xlfn.IFNA(IF(VLOOKUP(C1191,'2016_Detail_Commodity_v1.0'!C:C,1,FALSE)=C1191,"No change"),"Name changed")</f>
        <v>No change</v>
      </c>
      <c r="B1191" t="s">
        <v>899</v>
      </c>
      <c r="C1191" t="s">
        <v>900</v>
      </c>
      <c r="E1191" t="s">
        <v>3654</v>
      </c>
      <c r="F1191" t="s">
        <v>12</v>
      </c>
      <c r="G1191">
        <v>2E-3</v>
      </c>
      <c r="H1191" s="413">
        <f>G1191*VLOOKUP(E1191,GWPs!$B$3:$C$6,2,FALSE)</f>
        <v>5.6000000000000001E-2</v>
      </c>
      <c r="I1191">
        <v>0</v>
      </c>
      <c r="J1191" s="413">
        <f>I1191*VLOOKUP(E1191,GWPs!$B$3:$C$6,2,FALSE)</f>
        <v>0</v>
      </c>
      <c r="K1191">
        <v>2E-3</v>
      </c>
      <c r="L1191" s="413">
        <f>K1191*VLOOKUP(E1191,GWPs!$B$3:$C$6,2,FALSE)</f>
        <v>5.6000000000000001E-2</v>
      </c>
      <c r="N1191">
        <v>4</v>
      </c>
      <c r="O1191">
        <v>2</v>
      </c>
      <c r="P1191">
        <v>1</v>
      </c>
      <c r="Q1191">
        <v>2</v>
      </c>
      <c r="R1191">
        <v>1</v>
      </c>
    </row>
    <row r="1192" spans="1:18">
      <c r="A1192" t="str">
        <f>_xlfn.IFNA(IF(VLOOKUP(C1192,'2016_Detail_Commodity_v1.0'!C:C,1,FALSE)=C1192,"No change"),"Name changed")</f>
        <v>No change</v>
      </c>
      <c r="B1192" t="s">
        <v>899</v>
      </c>
      <c r="C1192" t="s">
        <v>900</v>
      </c>
      <c r="E1192" t="s">
        <v>3655</v>
      </c>
      <c r="F1192" t="s">
        <v>12</v>
      </c>
      <c r="G1192">
        <v>0</v>
      </c>
      <c r="H1192" s="413">
        <f>G1192*VLOOKUP(E1192,GWPs!$B$3:$C$6,2,FALSE)</f>
        <v>0</v>
      </c>
      <c r="I1192">
        <v>0</v>
      </c>
      <c r="J1192" s="413">
        <f>I1192*VLOOKUP(E1192,GWPs!$B$3:$C$6,2,FALSE)</f>
        <v>0</v>
      </c>
      <c r="K1192">
        <v>0</v>
      </c>
      <c r="L1192" s="413">
        <f>K1192*VLOOKUP(E1192,GWPs!$B$3:$C$6,2,FALSE)</f>
        <v>0</v>
      </c>
      <c r="N1192">
        <v>4</v>
      </c>
      <c r="O1192">
        <v>2</v>
      </c>
      <c r="P1192">
        <v>1</v>
      </c>
      <c r="Q1192">
        <v>3</v>
      </c>
      <c r="R1192">
        <v>1</v>
      </c>
    </row>
    <row r="1193" spans="1:18">
      <c r="A1193" t="str">
        <f>_xlfn.IFNA(IF(VLOOKUP(C1193,'2016_Detail_Commodity_v1.0'!C:C,1,FALSE)=C1193,"No change"),"Name changed")</f>
        <v>No change</v>
      </c>
      <c r="B1193" t="s">
        <v>899</v>
      </c>
      <c r="C1193" t="s">
        <v>900</v>
      </c>
      <c r="E1193" t="s">
        <v>15</v>
      </c>
      <c r="F1193" t="s">
        <v>16</v>
      </c>
      <c r="G1193">
        <v>3.0000000000000001E-3</v>
      </c>
      <c r="H1193" s="413">
        <f>G1193*VLOOKUP(E1193,GWPs!$B$3:$C$6,2,FALSE)</f>
        <v>3.0000000000000001E-3</v>
      </c>
      <c r="I1193">
        <v>0</v>
      </c>
      <c r="J1193" s="413">
        <f>I1193*VLOOKUP(E1193,GWPs!$B$3:$C$6,2,FALSE)</f>
        <v>0</v>
      </c>
      <c r="K1193">
        <v>3.0000000000000001E-3</v>
      </c>
      <c r="L1193" s="413">
        <f>K1193*VLOOKUP(E1193,GWPs!$B$3:$C$6,2,FALSE)</f>
        <v>3.0000000000000001E-3</v>
      </c>
      <c r="N1193">
        <v>4</v>
      </c>
      <c r="O1193">
        <v>2</v>
      </c>
      <c r="P1193">
        <v>1</v>
      </c>
      <c r="Q1193">
        <v>4</v>
      </c>
      <c r="R1193">
        <v>1</v>
      </c>
    </row>
    <row r="1194" spans="1:18">
      <c r="A1194" t="str">
        <f>_xlfn.IFNA(IF(VLOOKUP(C1194,'2016_Detail_Commodity_v1.0'!C:C,1,FALSE)=C1194,"No change"),"Name changed")</f>
        <v>No change</v>
      </c>
      <c r="B1194" t="s">
        <v>901</v>
      </c>
      <c r="C1194" t="s">
        <v>902</v>
      </c>
      <c r="E1194" t="s">
        <v>3653</v>
      </c>
      <c r="F1194" t="s">
        <v>12</v>
      </c>
      <c r="G1194">
        <v>0.625</v>
      </c>
      <c r="H1194" s="413">
        <f>G1194*VLOOKUP(E1194,GWPs!$B$3:$C$6,2,FALSE)</f>
        <v>0.625</v>
      </c>
      <c r="I1194">
        <v>0</v>
      </c>
      <c r="J1194" s="413">
        <f>I1194*VLOOKUP(E1194,GWPs!$B$3:$C$6,2,FALSE)</f>
        <v>0</v>
      </c>
      <c r="K1194">
        <v>0.625</v>
      </c>
      <c r="L1194" s="413">
        <f>K1194*VLOOKUP(E1194,GWPs!$B$3:$C$6,2,FALSE)</f>
        <v>0.625</v>
      </c>
      <c r="N1194">
        <v>2</v>
      </c>
      <c r="O1194">
        <v>2</v>
      </c>
      <c r="P1194">
        <v>1</v>
      </c>
      <c r="Q1194">
        <v>2</v>
      </c>
      <c r="R1194">
        <v>1</v>
      </c>
    </row>
    <row r="1195" spans="1:18">
      <c r="A1195" t="str">
        <f>_xlfn.IFNA(IF(VLOOKUP(C1195,'2016_Detail_Commodity_v1.0'!C:C,1,FALSE)=C1195,"No change"),"Name changed")</f>
        <v>No change</v>
      </c>
      <c r="B1195" t="s">
        <v>901</v>
      </c>
      <c r="C1195" t="s">
        <v>902</v>
      </c>
      <c r="E1195" t="s">
        <v>3654</v>
      </c>
      <c r="F1195" t="s">
        <v>12</v>
      </c>
      <c r="G1195">
        <v>2E-3</v>
      </c>
      <c r="H1195" s="413">
        <f>G1195*VLOOKUP(E1195,GWPs!$B$3:$C$6,2,FALSE)</f>
        <v>5.6000000000000001E-2</v>
      </c>
      <c r="I1195">
        <v>0</v>
      </c>
      <c r="J1195" s="413">
        <f>I1195*VLOOKUP(E1195,GWPs!$B$3:$C$6,2,FALSE)</f>
        <v>0</v>
      </c>
      <c r="K1195">
        <v>2E-3</v>
      </c>
      <c r="L1195" s="413">
        <f>K1195*VLOOKUP(E1195,GWPs!$B$3:$C$6,2,FALSE)</f>
        <v>5.6000000000000001E-2</v>
      </c>
      <c r="N1195">
        <v>3</v>
      </c>
      <c r="O1195">
        <v>2</v>
      </c>
      <c r="P1195">
        <v>1</v>
      </c>
      <c r="Q1195">
        <v>1</v>
      </c>
      <c r="R1195">
        <v>1</v>
      </c>
    </row>
    <row r="1196" spans="1:18">
      <c r="A1196" t="str">
        <f>_xlfn.IFNA(IF(VLOOKUP(C1196,'2016_Detail_Commodity_v1.0'!C:C,1,FALSE)=C1196,"No change"),"Name changed")</f>
        <v>No change</v>
      </c>
      <c r="B1196" t="s">
        <v>901</v>
      </c>
      <c r="C1196" t="s">
        <v>902</v>
      </c>
      <c r="E1196" t="s">
        <v>3655</v>
      </c>
      <c r="F1196" t="s">
        <v>12</v>
      </c>
      <c r="G1196">
        <v>0</v>
      </c>
      <c r="H1196" s="413">
        <f>G1196*VLOOKUP(E1196,GWPs!$B$3:$C$6,2,FALSE)</f>
        <v>0</v>
      </c>
      <c r="I1196">
        <v>0</v>
      </c>
      <c r="J1196" s="413">
        <f>I1196*VLOOKUP(E1196,GWPs!$B$3:$C$6,2,FALSE)</f>
        <v>0</v>
      </c>
      <c r="K1196">
        <v>0</v>
      </c>
      <c r="L1196" s="413">
        <f>K1196*VLOOKUP(E1196,GWPs!$B$3:$C$6,2,FALSE)</f>
        <v>0</v>
      </c>
      <c r="N1196">
        <v>3</v>
      </c>
      <c r="O1196">
        <v>2</v>
      </c>
      <c r="P1196">
        <v>1</v>
      </c>
      <c r="Q1196">
        <v>2</v>
      </c>
      <c r="R1196">
        <v>1</v>
      </c>
    </row>
    <row r="1197" spans="1:18">
      <c r="A1197" t="str">
        <f>_xlfn.IFNA(IF(VLOOKUP(C1197,'2016_Detail_Commodity_v1.0'!C:C,1,FALSE)=C1197,"No change"),"Name changed")</f>
        <v>No change</v>
      </c>
      <c r="B1197" t="s">
        <v>901</v>
      </c>
      <c r="C1197" t="s">
        <v>902</v>
      </c>
      <c r="E1197" t="s">
        <v>15</v>
      </c>
      <c r="F1197" t="s">
        <v>16</v>
      </c>
      <c r="G1197">
        <v>5.0000000000000001E-3</v>
      </c>
      <c r="H1197" s="413">
        <f>G1197*VLOOKUP(E1197,GWPs!$B$3:$C$6,2,FALSE)</f>
        <v>5.0000000000000001E-3</v>
      </c>
      <c r="I1197">
        <v>0</v>
      </c>
      <c r="J1197" s="413">
        <f>I1197*VLOOKUP(E1197,GWPs!$B$3:$C$6,2,FALSE)</f>
        <v>0</v>
      </c>
      <c r="K1197">
        <v>5.0000000000000001E-3</v>
      </c>
      <c r="L1197" s="413">
        <f>K1197*VLOOKUP(E1197,GWPs!$B$3:$C$6,2,FALSE)</f>
        <v>5.0000000000000001E-3</v>
      </c>
      <c r="N1197">
        <v>3</v>
      </c>
      <c r="O1197">
        <v>2</v>
      </c>
      <c r="P1197">
        <v>1</v>
      </c>
      <c r="Q1197">
        <v>3</v>
      </c>
      <c r="R1197">
        <v>1</v>
      </c>
    </row>
    <row r="1198" spans="1:18">
      <c r="A1198" t="str">
        <f>_xlfn.IFNA(IF(VLOOKUP(C1198,'2016_Detail_Commodity_v1.0'!C:C,1,FALSE)=C1198,"No change"),"Name changed")</f>
        <v>Name changed</v>
      </c>
      <c r="B1198" t="s">
        <v>903</v>
      </c>
      <c r="C1198" t="s">
        <v>103</v>
      </c>
      <c r="D1198" t="s">
        <v>904</v>
      </c>
      <c r="E1198" t="s">
        <v>3653</v>
      </c>
      <c r="F1198" t="s">
        <v>12</v>
      </c>
      <c r="G1198">
        <v>0.17199999999999999</v>
      </c>
      <c r="H1198" s="413">
        <f>G1198*VLOOKUP(E1198,GWPs!$B$3:$C$6,2,FALSE)</f>
        <v>0.17199999999999999</v>
      </c>
      <c r="I1198">
        <v>0</v>
      </c>
      <c r="J1198" s="413">
        <f>I1198*VLOOKUP(E1198,GWPs!$B$3:$C$6,2,FALSE)</f>
        <v>0</v>
      </c>
      <c r="K1198">
        <v>0.17199999999999999</v>
      </c>
      <c r="L1198" s="413">
        <f>K1198*VLOOKUP(E1198,GWPs!$B$3:$C$6,2,FALSE)</f>
        <v>0.17199999999999999</v>
      </c>
      <c r="N1198">
        <v>3</v>
      </c>
      <c r="O1198">
        <v>2</v>
      </c>
      <c r="P1198">
        <v>1</v>
      </c>
      <c r="Q1198">
        <v>3</v>
      </c>
      <c r="R1198">
        <v>1</v>
      </c>
    </row>
    <row r="1199" spans="1:18">
      <c r="A1199" t="str">
        <f>_xlfn.IFNA(IF(VLOOKUP(C1199,'2016_Detail_Commodity_v1.0'!C:C,1,FALSE)=C1199,"No change"),"Name changed")</f>
        <v>Name changed</v>
      </c>
      <c r="B1199" t="s">
        <v>903</v>
      </c>
      <c r="C1199" t="s">
        <v>103</v>
      </c>
      <c r="D1199" t="s">
        <v>904</v>
      </c>
      <c r="E1199" t="s">
        <v>3654</v>
      </c>
      <c r="F1199" t="s">
        <v>12</v>
      </c>
      <c r="G1199">
        <v>1E-3</v>
      </c>
      <c r="H1199" s="413">
        <f>G1199*VLOOKUP(E1199,GWPs!$B$3:$C$6,2,FALSE)</f>
        <v>2.8000000000000001E-2</v>
      </c>
      <c r="I1199">
        <v>0</v>
      </c>
      <c r="J1199" s="413">
        <f>I1199*VLOOKUP(E1199,GWPs!$B$3:$C$6,2,FALSE)</f>
        <v>0</v>
      </c>
      <c r="K1199">
        <v>1E-3</v>
      </c>
      <c r="L1199" s="413">
        <f>K1199*VLOOKUP(E1199,GWPs!$B$3:$C$6,2,FALSE)</f>
        <v>2.8000000000000001E-2</v>
      </c>
      <c r="N1199">
        <v>3</v>
      </c>
      <c r="O1199">
        <v>2</v>
      </c>
      <c r="P1199">
        <v>1</v>
      </c>
      <c r="Q1199">
        <v>1</v>
      </c>
      <c r="R1199">
        <v>1</v>
      </c>
    </row>
    <row r="1200" spans="1:18">
      <c r="A1200" t="str">
        <f>_xlfn.IFNA(IF(VLOOKUP(C1200,'2016_Detail_Commodity_v1.0'!C:C,1,FALSE)=C1200,"No change"),"Name changed")</f>
        <v>Name changed</v>
      </c>
      <c r="B1200" t="s">
        <v>903</v>
      </c>
      <c r="C1200" t="s">
        <v>103</v>
      </c>
      <c r="D1200" t="s">
        <v>904</v>
      </c>
      <c r="E1200" t="s">
        <v>3655</v>
      </c>
      <c r="F1200" t="s">
        <v>12</v>
      </c>
      <c r="G1200">
        <v>0</v>
      </c>
      <c r="H1200" s="413">
        <f>G1200*VLOOKUP(E1200,GWPs!$B$3:$C$6,2,FALSE)</f>
        <v>0</v>
      </c>
      <c r="I1200">
        <v>0</v>
      </c>
      <c r="J1200" s="413">
        <f>I1200*VLOOKUP(E1200,GWPs!$B$3:$C$6,2,FALSE)</f>
        <v>0</v>
      </c>
      <c r="K1200">
        <v>0</v>
      </c>
      <c r="L1200" s="413">
        <f>K1200*VLOOKUP(E1200,GWPs!$B$3:$C$6,2,FALSE)</f>
        <v>0</v>
      </c>
      <c r="N1200">
        <v>3</v>
      </c>
      <c r="O1200">
        <v>2</v>
      </c>
      <c r="P1200">
        <v>1</v>
      </c>
      <c r="Q1200">
        <v>3</v>
      </c>
      <c r="R1200">
        <v>1</v>
      </c>
    </row>
    <row r="1201" spans="1:18">
      <c r="A1201" t="str">
        <f>_xlfn.IFNA(IF(VLOOKUP(C1201,'2016_Detail_Commodity_v1.0'!C:C,1,FALSE)=C1201,"No change"),"Name changed")</f>
        <v>Name changed</v>
      </c>
      <c r="B1201" t="s">
        <v>903</v>
      </c>
      <c r="C1201" t="s">
        <v>103</v>
      </c>
      <c r="D1201" t="s">
        <v>904</v>
      </c>
      <c r="E1201" t="s">
        <v>15</v>
      </c>
      <c r="F1201" t="s">
        <v>16</v>
      </c>
      <c r="G1201">
        <v>4.0000000000000001E-3</v>
      </c>
      <c r="H1201" s="413">
        <f>G1201*VLOOKUP(E1201,GWPs!$B$3:$C$6,2,FALSE)</f>
        <v>4.0000000000000001E-3</v>
      </c>
      <c r="I1201">
        <v>0</v>
      </c>
      <c r="J1201" s="413">
        <f>I1201*VLOOKUP(E1201,GWPs!$B$3:$C$6,2,FALSE)</f>
        <v>0</v>
      </c>
      <c r="K1201">
        <v>4.0000000000000001E-3</v>
      </c>
      <c r="L1201" s="413">
        <f>K1201*VLOOKUP(E1201,GWPs!$B$3:$C$6,2,FALSE)</f>
        <v>4.0000000000000001E-3</v>
      </c>
      <c r="N1201">
        <v>3</v>
      </c>
      <c r="O1201">
        <v>2</v>
      </c>
      <c r="P1201">
        <v>1</v>
      </c>
      <c r="Q1201">
        <v>4</v>
      </c>
      <c r="R1201">
        <v>1</v>
      </c>
    </row>
    <row r="1202" spans="1:18">
      <c r="A1202" t="str">
        <f>_xlfn.IFNA(IF(VLOOKUP(C1202,'2016_Detail_Commodity_v1.0'!C:C,1,FALSE)=C1202,"No change"),"Name changed")</f>
        <v>No change</v>
      </c>
      <c r="B1202" t="s">
        <v>905</v>
      </c>
      <c r="C1202" t="s">
        <v>906</v>
      </c>
      <c r="E1202" t="s">
        <v>3653</v>
      </c>
      <c r="F1202" t="s">
        <v>12</v>
      </c>
      <c r="G1202">
        <v>0.08</v>
      </c>
      <c r="H1202" s="413">
        <f>G1202*VLOOKUP(E1202,GWPs!$B$3:$C$6,2,FALSE)</f>
        <v>0.08</v>
      </c>
      <c r="I1202">
        <v>5.0999999999999997E-2</v>
      </c>
      <c r="J1202" s="413">
        <f>I1202*VLOOKUP(E1202,GWPs!$B$3:$C$6,2,FALSE)</f>
        <v>5.0999999999999997E-2</v>
      </c>
      <c r="K1202">
        <v>0.13100000000000001</v>
      </c>
      <c r="L1202" s="413">
        <f>K1202*VLOOKUP(E1202,GWPs!$B$3:$C$6,2,FALSE)</f>
        <v>0.13100000000000001</v>
      </c>
      <c r="N1202">
        <v>3</v>
      </c>
      <c r="O1202">
        <v>2</v>
      </c>
      <c r="P1202">
        <v>1</v>
      </c>
      <c r="Q1202">
        <v>3</v>
      </c>
      <c r="R1202">
        <v>1</v>
      </c>
    </row>
    <row r="1203" spans="1:18">
      <c r="A1203" t="str">
        <f>_xlfn.IFNA(IF(VLOOKUP(C1203,'2016_Detail_Commodity_v1.0'!C:C,1,FALSE)=C1203,"No change"),"Name changed")</f>
        <v>No change</v>
      </c>
      <c r="B1203" t="s">
        <v>905</v>
      </c>
      <c r="C1203" t="s">
        <v>906</v>
      </c>
      <c r="E1203" t="s">
        <v>3654</v>
      </c>
      <c r="F1203" t="s">
        <v>12</v>
      </c>
      <c r="G1203">
        <v>0</v>
      </c>
      <c r="H1203" s="413">
        <f>G1203*VLOOKUP(E1203,GWPs!$B$3:$C$6,2,FALSE)</f>
        <v>0</v>
      </c>
      <c r="I1203">
        <v>0</v>
      </c>
      <c r="J1203" s="413">
        <f>I1203*VLOOKUP(E1203,GWPs!$B$3:$C$6,2,FALSE)</f>
        <v>0</v>
      </c>
      <c r="K1203">
        <v>1E-3</v>
      </c>
      <c r="L1203" s="413">
        <f>K1203*VLOOKUP(E1203,GWPs!$B$3:$C$6,2,FALSE)</f>
        <v>2.8000000000000001E-2</v>
      </c>
      <c r="N1203">
        <v>4</v>
      </c>
      <c r="O1203">
        <v>2</v>
      </c>
      <c r="P1203">
        <v>1</v>
      </c>
      <c r="Q1203">
        <v>1</v>
      </c>
      <c r="R1203">
        <v>1</v>
      </c>
    </row>
    <row r="1204" spans="1:18">
      <c r="A1204" t="str">
        <f>_xlfn.IFNA(IF(VLOOKUP(C1204,'2016_Detail_Commodity_v1.0'!C:C,1,FALSE)=C1204,"No change"),"Name changed")</f>
        <v>No change</v>
      </c>
      <c r="B1204" t="s">
        <v>905</v>
      </c>
      <c r="C1204" t="s">
        <v>906</v>
      </c>
      <c r="E1204" t="s">
        <v>3655</v>
      </c>
      <c r="F1204" t="s">
        <v>12</v>
      </c>
      <c r="G1204">
        <v>0</v>
      </c>
      <c r="H1204" s="413">
        <f>G1204*VLOOKUP(E1204,GWPs!$B$3:$C$6,2,FALSE)</f>
        <v>0</v>
      </c>
      <c r="I1204">
        <v>0</v>
      </c>
      <c r="J1204" s="413">
        <f>I1204*VLOOKUP(E1204,GWPs!$B$3:$C$6,2,FALSE)</f>
        <v>0</v>
      </c>
      <c r="K1204">
        <v>0</v>
      </c>
      <c r="L1204" s="413">
        <f>K1204*VLOOKUP(E1204,GWPs!$B$3:$C$6,2,FALSE)</f>
        <v>0</v>
      </c>
      <c r="N1204">
        <v>3</v>
      </c>
      <c r="O1204">
        <v>2</v>
      </c>
      <c r="P1204">
        <v>1</v>
      </c>
      <c r="Q1204">
        <v>3</v>
      </c>
      <c r="R1204">
        <v>1</v>
      </c>
    </row>
    <row r="1205" spans="1:18">
      <c r="A1205" t="str">
        <f>_xlfn.IFNA(IF(VLOOKUP(C1205,'2016_Detail_Commodity_v1.0'!C:C,1,FALSE)=C1205,"No change"),"Name changed")</f>
        <v>No change</v>
      </c>
      <c r="B1205" t="s">
        <v>905</v>
      </c>
      <c r="C1205" t="s">
        <v>906</v>
      </c>
      <c r="E1205" t="s">
        <v>15</v>
      </c>
      <c r="F1205" t="s">
        <v>16</v>
      </c>
      <c r="G1205">
        <v>2E-3</v>
      </c>
      <c r="H1205" s="413">
        <f>G1205*VLOOKUP(E1205,GWPs!$B$3:$C$6,2,FALSE)</f>
        <v>2E-3</v>
      </c>
      <c r="I1205">
        <v>0</v>
      </c>
      <c r="J1205" s="413">
        <f>I1205*VLOOKUP(E1205,GWPs!$B$3:$C$6,2,FALSE)</f>
        <v>0</v>
      </c>
      <c r="K1205">
        <v>2E-3</v>
      </c>
      <c r="L1205" s="413">
        <f>K1205*VLOOKUP(E1205,GWPs!$B$3:$C$6,2,FALSE)</f>
        <v>2E-3</v>
      </c>
      <c r="N1205">
        <v>3</v>
      </c>
      <c r="O1205">
        <v>2</v>
      </c>
      <c r="P1205">
        <v>1</v>
      </c>
      <c r="Q1205">
        <v>4</v>
      </c>
      <c r="R1205">
        <v>1</v>
      </c>
    </row>
    <row r="1206" spans="1:18">
      <c r="A1206" t="str">
        <f>_xlfn.IFNA(IF(VLOOKUP(C1206,'2016_Detail_Commodity_v1.0'!C:C,1,FALSE)=C1206,"No change"),"Name changed")</f>
        <v>No change</v>
      </c>
      <c r="B1206" t="s">
        <v>907</v>
      </c>
      <c r="C1206" t="s">
        <v>908</v>
      </c>
      <c r="E1206" t="s">
        <v>3653</v>
      </c>
      <c r="F1206" t="s">
        <v>12</v>
      </c>
      <c r="G1206">
        <v>8.1000000000000003E-2</v>
      </c>
      <c r="H1206" s="413">
        <f>G1206*VLOOKUP(E1206,GWPs!$B$3:$C$6,2,FALSE)</f>
        <v>8.1000000000000003E-2</v>
      </c>
      <c r="I1206">
        <v>4.8000000000000001E-2</v>
      </c>
      <c r="J1206" s="413">
        <f>I1206*VLOOKUP(E1206,GWPs!$B$3:$C$6,2,FALSE)</f>
        <v>4.8000000000000001E-2</v>
      </c>
      <c r="K1206">
        <v>0.129</v>
      </c>
      <c r="L1206" s="413">
        <f>K1206*VLOOKUP(E1206,GWPs!$B$3:$C$6,2,FALSE)</f>
        <v>0.129</v>
      </c>
      <c r="N1206">
        <v>3</v>
      </c>
      <c r="O1206">
        <v>2</v>
      </c>
      <c r="P1206">
        <v>1</v>
      </c>
      <c r="Q1206">
        <v>3</v>
      </c>
      <c r="R1206">
        <v>1</v>
      </c>
    </row>
    <row r="1207" spans="1:18">
      <c r="A1207" t="str">
        <f>_xlfn.IFNA(IF(VLOOKUP(C1207,'2016_Detail_Commodity_v1.0'!C:C,1,FALSE)=C1207,"No change"),"Name changed")</f>
        <v>No change</v>
      </c>
      <c r="B1207" t="s">
        <v>907</v>
      </c>
      <c r="C1207" t="s">
        <v>908</v>
      </c>
      <c r="E1207" t="s">
        <v>3654</v>
      </c>
      <c r="F1207" t="s">
        <v>12</v>
      </c>
      <c r="G1207">
        <v>0</v>
      </c>
      <c r="H1207" s="413">
        <f>G1207*VLOOKUP(E1207,GWPs!$B$3:$C$6,2,FALSE)</f>
        <v>0</v>
      </c>
      <c r="I1207">
        <v>0</v>
      </c>
      <c r="J1207" s="413">
        <f>I1207*VLOOKUP(E1207,GWPs!$B$3:$C$6,2,FALSE)</f>
        <v>0</v>
      </c>
      <c r="K1207">
        <v>1E-3</v>
      </c>
      <c r="L1207" s="413">
        <f>K1207*VLOOKUP(E1207,GWPs!$B$3:$C$6,2,FALSE)</f>
        <v>2.8000000000000001E-2</v>
      </c>
      <c r="N1207">
        <v>3</v>
      </c>
      <c r="O1207">
        <v>2</v>
      </c>
      <c r="P1207">
        <v>1</v>
      </c>
      <c r="Q1207">
        <v>1</v>
      </c>
      <c r="R1207">
        <v>1</v>
      </c>
    </row>
    <row r="1208" spans="1:18">
      <c r="A1208" t="str">
        <f>_xlfn.IFNA(IF(VLOOKUP(C1208,'2016_Detail_Commodity_v1.0'!C:C,1,FALSE)=C1208,"No change"),"Name changed")</f>
        <v>No change</v>
      </c>
      <c r="B1208" t="s">
        <v>907</v>
      </c>
      <c r="C1208" t="s">
        <v>908</v>
      </c>
      <c r="E1208" t="s">
        <v>3655</v>
      </c>
      <c r="F1208" t="s">
        <v>12</v>
      </c>
      <c r="G1208">
        <v>0</v>
      </c>
      <c r="H1208" s="413">
        <f>G1208*VLOOKUP(E1208,GWPs!$B$3:$C$6,2,FALSE)</f>
        <v>0</v>
      </c>
      <c r="I1208">
        <v>0</v>
      </c>
      <c r="J1208" s="413">
        <f>I1208*VLOOKUP(E1208,GWPs!$B$3:$C$6,2,FALSE)</f>
        <v>0</v>
      </c>
      <c r="K1208">
        <v>0</v>
      </c>
      <c r="L1208" s="413">
        <f>K1208*VLOOKUP(E1208,GWPs!$B$3:$C$6,2,FALSE)</f>
        <v>0</v>
      </c>
      <c r="N1208">
        <v>4</v>
      </c>
      <c r="O1208">
        <v>2</v>
      </c>
      <c r="P1208">
        <v>1</v>
      </c>
      <c r="Q1208">
        <v>3</v>
      </c>
      <c r="R1208">
        <v>1</v>
      </c>
    </row>
    <row r="1209" spans="1:18">
      <c r="A1209" t="str">
        <f>_xlfn.IFNA(IF(VLOOKUP(C1209,'2016_Detail_Commodity_v1.0'!C:C,1,FALSE)=C1209,"No change"),"Name changed")</f>
        <v>No change</v>
      </c>
      <c r="B1209" t="s">
        <v>907</v>
      </c>
      <c r="C1209" t="s">
        <v>908</v>
      </c>
      <c r="E1209" t="s">
        <v>15</v>
      </c>
      <c r="F1209" t="s">
        <v>16</v>
      </c>
      <c r="G1209">
        <v>2E-3</v>
      </c>
      <c r="H1209" s="413">
        <f>G1209*VLOOKUP(E1209,GWPs!$B$3:$C$6,2,FALSE)</f>
        <v>2E-3</v>
      </c>
      <c r="I1209">
        <v>0</v>
      </c>
      <c r="J1209" s="413">
        <f>I1209*VLOOKUP(E1209,GWPs!$B$3:$C$6,2,FALSE)</f>
        <v>0</v>
      </c>
      <c r="K1209">
        <v>2E-3</v>
      </c>
      <c r="L1209" s="413">
        <f>K1209*VLOOKUP(E1209,GWPs!$B$3:$C$6,2,FALSE)</f>
        <v>2E-3</v>
      </c>
      <c r="N1209">
        <v>4</v>
      </c>
      <c r="O1209">
        <v>2</v>
      </c>
      <c r="P1209">
        <v>1</v>
      </c>
      <c r="Q1209">
        <v>4</v>
      </c>
      <c r="R1209">
        <v>1</v>
      </c>
    </row>
    <row r="1210" spans="1:18">
      <c r="A1210" t="str">
        <f>_xlfn.IFNA(IF(VLOOKUP(C1210,'2016_Detail_Commodity_v1.0'!C:C,1,FALSE)=C1210,"No change"),"Name changed")</f>
        <v>No change</v>
      </c>
      <c r="B1210" t="s">
        <v>909</v>
      </c>
      <c r="C1210" t="s">
        <v>910</v>
      </c>
      <c r="E1210" t="s">
        <v>3653</v>
      </c>
      <c r="F1210" t="s">
        <v>12</v>
      </c>
      <c r="G1210">
        <v>7.9000000000000001E-2</v>
      </c>
      <c r="H1210" s="413">
        <f>G1210*VLOOKUP(E1210,GWPs!$B$3:$C$6,2,FALSE)</f>
        <v>7.9000000000000001E-2</v>
      </c>
      <c r="I1210">
        <v>5.8000000000000003E-2</v>
      </c>
      <c r="J1210" s="413">
        <f>I1210*VLOOKUP(E1210,GWPs!$B$3:$C$6,2,FALSE)</f>
        <v>5.8000000000000003E-2</v>
      </c>
      <c r="K1210">
        <v>0.13800000000000001</v>
      </c>
      <c r="L1210" s="413">
        <f>K1210*VLOOKUP(E1210,GWPs!$B$3:$C$6,2,FALSE)</f>
        <v>0.13800000000000001</v>
      </c>
      <c r="N1210">
        <v>3</v>
      </c>
      <c r="O1210">
        <v>2</v>
      </c>
      <c r="P1210">
        <v>1</v>
      </c>
      <c r="Q1210">
        <v>3</v>
      </c>
      <c r="R1210">
        <v>1</v>
      </c>
    </row>
    <row r="1211" spans="1:18">
      <c r="A1211" t="str">
        <f>_xlfn.IFNA(IF(VLOOKUP(C1211,'2016_Detail_Commodity_v1.0'!C:C,1,FALSE)=C1211,"No change"),"Name changed")</f>
        <v>No change</v>
      </c>
      <c r="B1211" t="s">
        <v>909</v>
      </c>
      <c r="C1211" t="s">
        <v>910</v>
      </c>
      <c r="E1211" t="s">
        <v>3654</v>
      </c>
      <c r="F1211" t="s">
        <v>12</v>
      </c>
      <c r="G1211">
        <v>0</v>
      </c>
      <c r="H1211" s="413">
        <f>G1211*VLOOKUP(E1211,GWPs!$B$3:$C$6,2,FALSE)</f>
        <v>0</v>
      </c>
      <c r="I1211">
        <v>0</v>
      </c>
      <c r="J1211" s="413">
        <f>I1211*VLOOKUP(E1211,GWPs!$B$3:$C$6,2,FALSE)</f>
        <v>0</v>
      </c>
      <c r="K1211">
        <v>1E-3</v>
      </c>
      <c r="L1211" s="413">
        <f>K1211*VLOOKUP(E1211,GWPs!$B$3:$C$6,2,FALSE)</f>
        <v>2.8000000000000001E-2</v>
      </c>
      <c r="N1211">
        <v>3</v>
      </c>
      <c r="O1211">
        <v>2</v>
      </c>
      <c r="P1211">
        <v>1</v>
      </c>
      <c r="Q1211">
        <v>1</v>
      </c>
      <c r="R1211">
        <v>1</v>
      </c>
    </row>
    <row r="1212" spans="1:18">
      <c r="A1212" t="str">
        <f>_xlfn.IFNA(IF(VLOOKUP(C1212,'2016_Detail_Commodity_v1.0'!C:C,1,FALSE)=C1212,"No change"),"Name changed")</f>
        <v>No change</v>
      </c>
      <c r="B1212" t="s">
        <v>909</v>
      </c>
      <c r="C1212" t="s">
        <v>910</v>
      </c>
      <c r="E1212" t="s">
        <v>3655</v>
      </c>
      <c r="F1212" t="s">
        <v>12</v>
      </c>
      <c r="G1212">
        <v>0</v>
      </c>
      <c r="H1212" s="413">
        <f>G1212*VLOOKUP(E1212,GWPs!$B$3:$C$6,2,FALSE)</f>
        <v>0</v>
      </c>
      <c r="I1212">
        <v>0</v>
      </c>
      <c r="J1212" s="413">
        <f>I1212*VLOOKUP(E1212,GWPs!$B$3:$C$6,2,FALSE)</f>
        <v>0</v>
      </c>
      <c r="K1212">
        <v>0</v>
      </c>
      <c r="L1212" s="413">
        <f>K1212*VLOOKUP(E1212,GWPs!$B$3:$C$6,2,FALSE)</f>
        <v>0</v>
      </c>
      <c r="N1212">
        <v>3</v>
      </c>
      <c r="O1212">
        <v>2</v>
      </c>
      <c r="P1212">
        <v>1</v>
      </c>
      <c r="Q1212">
        <v>3</v>
      </c>
      <c r="R1212">
        <v>1</v>
      </c>
    </row>
    <row r="1213" spans="1:18">
      <c r="A1213" t="str">
        <f>_xlfn.IFNA(IF(VLOOKUP(C1213,'2016_Detail_Commodity_v1.0'!C:C,1,FALSE)=C1213,"No change"),"Name changed")</f>
        <v>No change</v>
      </c>
      <c r="B1213" t="s">
        <v>909</v>
      </c>
      <c r="C1213" t="s">
        <v>910</v>
      </c>
      <c r="E1213" t="s">
        <v>15</v>
      </c>
      <c r="F1213" t="s">
        <v>16</v>
      </c>
      <c r="G1213">
        <v>2E-3</v>
      </c>
      <c r="H1213" s="413">
        <f>G1213*VLOOKUP(E1213,GWPs!$B$3:$C$6,2,FALSE)</f>
        <v>2E-3</v>
      </c>
      <c r="I1213">
        <v>0</v>
      </c>
      <c r="J1213" s="413">
        <f>I1213*VLOOKUP(E1213,GWPs!$B$3:$C$6,2,FALSE)</f>
        <v>0</v>
      </c>
      <c r="K1213">
        <v>2E-3</v>
      </c>
      <c r="L1213" s="413">
        <f>K1213*VLOOKUP(E1213,GWPs!$B$3:$C$6,2,FALSE)</f>
        <v>2E-3</v>
      </c>
      <c r="N1213">
        <v>4</v>
      </c>
      <c r="O1213">
        <v>2</v>
      </c>
      <c r="P1213">
        <v>1</v>
      </c>
      <c r="Q1213">
        <v>4</v>
      </c>
      <c r="R1213">
        <v>1</v>
      </c>
    </row>
    <row r="1214" spans="1:18">
      <c r="A1214" t="str">
        <f>_xlfn.IFNA(IF(VLOOKUP(C1214,'2016_Detail_Commodity_v1.0'!C:C,1,FALSE)=C1214,"No change"),"Name changed")</f>
        <v>No change</v>
      </c>
      <c r="B1214" t="s">
        <v>911</v>
      </c>
      <c r="C1214" t="s">
        <v>912</v>
      </c>
      <c r="E1214" t="s">
        <v>3653</v>
      </c>
      <c r="F1214" t="s">
        <v>12</v>
      </c>
      <c r="G1214">
        <v>9.1999999999999998E-2</v>
      </c>
      <c r="H1214" s="413">
        <f>G1214*VLOOKUP(E1214,GWPs!$B$3:$C$6,2,FALSE)</f>
        <v>9.1999999999999998E-2</v>
      </c>
      <c r="I1214">
        <v>6.8000000000000005E-2</v>
      </c>
      <c r="J1214" s="413">
        <f>I1214*VLOOKUP(E1214,GWPs!$B$3:$C$6,2,FALSE)</f>
        <v>6.8000000000000005E-2</v>
      </c>
      <c r="K1214">
        <v>0.16</v>
      </c>
      <c r="L1214" s="413">
        <f>K1214*VLOOKUP(E1214,GWPs!$B$3:$C$6,2,FALSE)</f>
        <v>0.16</v>
      </c>
      <c r="N1214">
        <v>3</v>
      </c>
      <c r="O1214">
        <v>2</v>
      </c>
      <c r="P1214">
        <v>1</v>
      </c>
      <c r="Q1214">
        <v>3</v>
      </c>
      <c r="R1214">
        <v>1</v>
      </c>
    </row>
    <row r="1215" spans="1:18">
      <c r="A1215" t="str">
        <f>_xlfn.IFNA(IF(VLOOKUP(C1215,'2016_Detail_Commodity_v1.0'!C:C,1,FALSE)=C1215,"No change"),"Name changed")</f>
        <v>No change</v>
      </c>
      <c r="B1215" t="s">
        <v>911</v>
      </c>
      <c r="C1215" t="s">
        <v>912</v>
      </c>
      <c r="E1215" t="s">
        <v>3654</v>
      </c>
      <c r="F1215" t="s">
        <v>12</v>
      </c>
      <c r="G1215">
        <v>0</v>
      </c>
      <c r="H1215" s="413">
        <f>G1215*VLOOKUP(E1215,GWPs!$B$3:$C$6,2,FALSE)</f>
        <v>0</v>
      </c>
      <c r="I1215">
        <v>0</v>
      </c>
      <c r="J1215" s="413">
        <f>I1215*VLOOKUP(E1215,GWPs!$B$3:$C$6,2,FALSE)</f>
        <v>0</v>
      </c>
      <c r="K1215">
        <v>1E-3</v>
      </c>
      <c r="L1215" s="413">
        <f>K1215*VLOOKUP(E1215,GWPs!$B$3:$C$6,2,FALSE)</f>
        <v>2.8000000000000001E-2</v>
      </c>
      <c r="N1215">
        <v>4</v>
      </c>
      <c r="O1215">
        <v>2</v>
      </c>
      <c r="P1215">
        <v>1</v>
      </c>
      <c r="Q1215">
        <v>1</v>
      </c>
      <c r="R1215">
        <v>1</v>
      </c>
    </row>
    <row r="1216" spans="1:18">
      <c r="A1216" t="str">
        <f>_xlfn.IFNA(IF(VLOOKUP(C1216,'2016_Detail_Commodity_v1.0'!C:C,1,FALSE)=C1216,"No change"),"Name changed")</f>
        <v>No change</v>
      </c>
      <c r="B1216" t="s">
        <v>911</v>
      </c>
      <c r="C1216" t="s">
        <v>912</v>
      </c>
      <c r="E1216" t="s">
        <v>3655</v>
      </c>
      <c r="F1216" t="s">
        <v>12</v>
      </c>
      <c r="G1216">
        <v>0</v>
      </c>
      <c r="H1216" s="413">
        <f>G1216*VLOOKUP(E1216,GWPs!$B$3:$C$6,2,FALSE)</f>
        <v>0</v>
      </c>
      <c r="I1216">
        <v>0</v>
      </c>
      <c r="J1216" s="413">
        <f>I1216*VLOOKUP(E1216,GWPs!$B$3:$C$6,2,FALSE)</f>
        <v>0</v>
      </c>
      <c r="K1216">
        <v>0</v>
      </c>
      <c r="L1216" s="413">
        <f>K1216*VLOOKUP(E1216,GWPs!$B$3:$C$6,2,FALSE)</f>
        <v>0</v>
      </c>
      <c r="N1216">
        <v>3</v>
      </c>
      <c r="O1216">
        <v>2</v>
      </c>
      <c r="P1216">
        <v>1</v>
      </c>
      <c r="Q1216">
        <v>3</v>
      </c>
      <c r="R1216">
        <v>1</v>
      </c>
    </row>
    <row r="1217" spans="1:18">
      <c r="A1217" t="str">
        <f>_xlfn.IFNA(IF(VLOOKUP(C1217,'2016_Detail_Commodity_v1.0'!C:C,1,FALSE)=C1217,"No change"),"Name changed")</f>
        <v>No change</v>
      </c>
      <c r="B1217" t="s">
        <v>911</v>
      </c>
      <c r="C1217" t="s">
        <v>912</v>
      </c>
      <c r="E1217" t="s">
        <v>15</v>
      </c>
      <c r="F1217" t="s">
        <v>16</v>
      </c>
      <c r="G1217">
        <v>3.0000000000000001E-3</v>
      </c>
      <c r="H1217" s="413">
        <f>G1217*VLOOKUP(E1217,GWPs!$B$3:$C$6,2,FALSE)</f>
        <v>3.0000000000000001E-3</v>
      </c>
      <c r="I1217">
        <v>0</v>
      </c>
      <c r="J1217" s="413">
        <f>I1217*VLOOKUP(E1217,GWPs!$B$3:$C$6,2,FALSE)</f>
        <v>0</v>
      </c>
      <c r="K1217">
        <v>3.0000000000000001E-3</v>
      </c>
      <c r="L1217" s="413">
        <f>K1217*VLOOKUP(E1217,GWPs!$B$3:$C$6,2,FALSE)</f>
        <v>3.0000000000000001E-3</v>
      </c>
      <c r="N1217">
        <v>4</v>
      </c>
      <c r="O1217">
        <v>2</v>
      </c>
      <c r="P1217">
        <v>1</v>
      </c>
      <c r="Q1217">
        <v>4</v>
      </c>
      <c r="R1217">
        <v>1</v>
      </c>
    </row>
    <row r="1218" spans="1:18">
      <c r="A1218" t="str">
        <f>_xlfn.IFNA(IF(VLOOKUP(C1218,'2016_Detail_Commodity_v1.0'!C:C,1,FALSE)=C1218,"No change"),"Name changed")</f>
        <v>No change</v>
      </c>
      <c r="B1218" t="s">
        <v>913</v>
      </c>
      <c r="C1218" t="s">
        <v>914</v>
      </c>
      <c r="E1218" t="s">
        <v>3653</v>
      </c>
      <c r="F1218" t="s">
        <v>12</v>
      </c>
      <c r="G1218">
        <v>3.7999999999999999E-2</v>
      </c>
      <c r="H1218" s="413">
        <f>G1218*VLOOKUP(E1218,GWPs!$B$3:$C$6,2,FALSE)</f>
        <v>3.7999999999999999E-2</v>
      </c>
      <c r="I1218">
        <v>4.2000000000000003E-2</v>
      </c>
      <c r="J1218" s="413">
        <f>I1218*VLOOKUP(E1218,GWPs!$B$3:$C$6,2,FALSE)</f>
        <v>4.2000000000000003E-2</v>
      </c>
      <c r="K1218">
        <v>0.08</v>
      </c>
      <c r="L1218" s="413">
        <f>K1218*VLOOKUP(E1218,GWPs!$B$3:$C$6,2,FALSE)</f>
        <v>0.08</v>
      </c>
      <c r="N1218">
        <v>3</v>
      </c>
      <c r="O1218">
        <v>2</v>
      </c>
      <c r="P1218">
        <v>1</v>
      </c>
      <c r="Q1218">
        <v>3</v>
      </c>
      <c r="R1218">
        <v>1</v>
      </c>
    </row>
    <row r="1219" spans="1:18">
      <c r="A1219" t="str">
        <f>_xlfn.IFNA(IF(VLOOKUP(C1219,'2016_Detail_Commodity_v1.0'!C:C,1,FALSE)=C1219,"No change"),"Name changed")</f>
        <v>No change</v>
      </c>
      <c r="B1219" t="s">
        <v>913</v>
      </c>
      <c r="C1219" t="s">
        <v>914</v>
      </c>
      <c r="E1219" t="s">
        <v>3654</v>
      </c>
      <c r="F1219" t="s">
        <v>12</v>
      </c>
      <c r="G1219">
        <v>0</v>
      </c>
      <c r="H1219" s="413">
        <f>G1219*VLOOKUP(E1219,GWPs!$B$3:$C$6,2,FALSE)</f>
        <v>0</v>
      </c>
      <c r="I1219">
        <v>0</v>
      </c>
      <c r="J1219" s="413">
        <f>I1219*VLOOKUP(E1219,GWPs!$B$3:$C$6,2,FALSE)</f>
        <v>0</v>
      </c>
      <c r="K1219">
        <v>0</v>
      </c>
      <c r="L1219" s="413">
        <f>K1219*VLOOKUP(E1219,GWPs!$B$3:$C$6,2,FALSE)</f>
        <v>0</v>
      </c>
      <c r="N1219">
        <v>3</v>
      </c>
      <c r="O1219">
        <v>2</v>
      </c>
      <c r="P1219">
        <v>1</v>
      </c>
      <c r="Q1219">
        <v>1</v>
      </c>
      <c r="R1219">
        <v>1</v>
      </c>
    </row>
    <row r="1220" spans="1:18">
      <c r="A1220" t="str">
        <f>_xlfn.IFNA(IF(VLOOKUP(C1220,'2016_Detail_Commodity_v1.0'!C:C,1,FALSE)=C1220,"No change"),"Name changed")</f>
        <v>No change</v>
      </c>
      <c r="B1220" t="s">
        <v>913</v>
      </c>
      <c r="C1220" t="s">
        <v>914</v>
      </c>
      <c r="E1220" t="s">
        <v>3655</v>
      </c>
      <c r="F1220" t="s">
        <v>12</v>
      </c>
      <c r="G1220">
        <v>0</v>
      </c>
      <c r="H1220" s="413">
        <f>G1220*VLOOKUP(E1220,GWPs!$B$3:$C$6,2,FALSE)</f>
        <v>0</v>
      </c>
      <c r="I1220">
        <v>0</v>
      </c>
      <c r="J1220" s="413">
        <f>I1220*VLOOKUP(E1220,GWPs!$B$3:$C$6,2,FALSE)</f>
        <v>0</v>
      </c>
      <c r="K1220">
        <v>0</v>
      </c>
      <c r="L1220" s="413">
        <f>K1220*VLOOKUP(E1220,GWPs!$B$3:$C$6,2,FALSE)</f>
        <v>0</v>
      </c>
      <c r="N1220">
        <v>3</v>
      </c>
      <c r="O1220">
        <v>2</v>
      </c>
      <c r="P1220">
        <v>1</v>
      </c>
      <c r="Q1220">
        <v>3</v>
      </c>
      <c r="R1220">
        <v>1</v>
      </c>
    </row>
    <row r="1221" spans="1:18">
      <c r="A1221" t="str">
        <f>_xlfn.IFNA(IF(VLOOKUP(C1221,'2016_Detail_Commodity_v1.0'!C:C,1,FALSE)=C1221,"No change"),"Name changed")</f>
        <v>No change</v>
      </c>
      <c r="B1221" t="s">
        <v>913</v>
      </c>
      <c r="C1221" t="s">
        <v>914</v>
      </c>
      <c r="E1221" t="s">
        <v>15</v>
      </c>
      <c r="F1221" t="s">
        <v>16</v>
      </c>
      <c r="G1221">
        <v>2E-3</v>
      </c>
      <c r="H1221" s="413">
        <f>G1221*VLOOKUP(E1221,GWPs!$B$3:$C$6,2,FALSE)</f>
        <v>2E-3</v>
      </c>
      <c r="I1221">
        <v>0</v>
      </c>
      <c r="J1221" s="413">
        <f>I1221*VLOOKUP(E1221,GWPs!$B$3:$C$6,2,FALSE)</f>
        <v>0</v>
      </c>
      <c r="K1221">
        <v>2E-3</v>
      </c>
      <c r="L1221" s="413">
        <f>K1221*VLOOKUP(E1221,GWPs!$B$3:$C$6,2,FALSE)</f>
        <v>2E-3</v>
      </c>
      <c r="N1221">
        <v>4</v>
      </c>
      <c r="O1221">
        <v>2</v>
      </c>
      <c r="P1221">
        <v>1</v>
      </c>
      <c r="Q1221">
        <v>4</v>
      </c>
      <c r="R1221">
        <v>1</v>
      </c>
    </row>
    <row r="1222" spans="1:18">
      <c r="A1222" t="str">
        <f>_xlfn.IFNA(IF(VLOOKUP(C1222,'2016_Detail_Commodity_v1.0'!C:C,1,FALSE)=C1222,"No change"),"Name changed")</f>
        <v>No change</v>
      </c>
      <c r="B1222" t="s">
        <v>915</v>
      </c>
      <c r="C1222" t="s">
        <v>916</v>
      </c>
      <c r="E1222" t="s">
        <v>3653</v>
      </c>
      <c r="F1222" t="s">
        <v>12</v>
      </c>
      <c r="G1222">
        <v>5.8999999999999997E-2</v>
      </c>
      <c r="H1222" s="413">
        <f>G1222*VLOOKUP(E1222,GWPs!$B$3:$C$6,2,FALSE)</f>
        <v>5.8999999999999997E-2</v>
      </c>
      <c r="I1222">
        <v>8.9999999999999993E-3</v>
      </c>
      <c r="J1222" s="413">
        <f>I1222*VLOOKUP(E1222,GWPs!$B$3:$C$6,2,FALSE)</f>
        <v>8.9999999999999993E-3</v>
      </c>
      <c r="K1222">
        <v>6.8000000000000005E-2</v>
      </c>
      <c r="L1222" s="413">
        <f>K1222*VLOOKUP(E1222,GWPs!$B$3:$C$6,2,FALSE)</f>
        <v>6.8000000000000005E-2</v>
      </c>
      <c r="N1222">
        <v>3</v>
      </c>
      <c r="O1222">
        <v>2</v>
      </c>
      <c r="P1222">
        <v>1</v>
      </c>
      <c r="Q1222">
        <v>3</v>
      </c>
      <c r="R1222">
        <v>1</v>
      </c>
    </row>
    <row r="1223" spans="1:18">
      <c r="A1223" t="str">
        <f>_xlfn.IFNA(IF(VLOOKUP(C1223,'2016_Detail_Commodity_v1.0'!C:C,1,FALSE)=C1223,"No change"),"Name changed")</f>
        <v>No change</v>
      </c>
      <c r="B1223" t="s">
        <v>915</v>
      </c>
      <c r="C1223" t="s">
        <v>916</v>
      </c>
      <c r="E1223" t="s">
        <v>3654</v>
      </c>
      <c r="F1223" t="s">
        <v>12</v>
      </c>
      <c r="G1223">
        <v>0</v>
      </c>
      <c r="H1223" s="413">
        <f>G1223*VLOOKUP(E1223,GWPs!$B$3:$C$6,2,FALSE)</f>
        <v>0</v>
      </c>
      <c r="I1223">
        <v>0</v>
      </c>
      <c r="J1223" s="413">
        <f>I1223*VLOOKUP(E1223,GWPs!$B$3:$C$6,2,FALSE)</f>
        <v>0</v>
      </c>
      <c r="K1223">
        <v>0</v>
      </c>
      <c r="L1223" s="413">
        <f>K1223*VLOOKUP(E1223,GWPs!$B$3:$C$6,2,FALSE)</f>
        <v>0</v>
      </c>
      <c r="N1223">
        <v>3</v>
      </c>
      <c r="O1223">
        <v>2</v>
      </c>
      <c r="P1223">
        <v>1</v>
      </c>
      <c r="Q1223">
        <v>1</v>
      </c>
      <c r="R1223">
        <v>1</v>
      </c>
    </row>
    <row r="1224" spans="1:18">
      <c r="A1224" t="str">
        <f>_xlfn.IFNA(IF(VLOOKUP(C1224,'2016_Detail_Commodity_v1.0'!C:C,1,FALSE)=C1224,"No change"),"Name changed")</f>
        <v>No change</v>
      </c>
      <c r="B1224" t="s">
        <v>915</v>
      </c>
      <c r="C1224" t="s">
        <v>916</v>
      </c>
      <c r="E1224" t="s">
        <v>3655</v>
      </c>
      <c r="F1224" t="s">
        <v>12</v>
      </c>
      <c r="G1224">
        <v>0</v>
      </c>
      <c r="H1224" s="413">
        <f>G1224*VLOOKUP(E1224,GWPs!$B$3:$C$6,2,FALSE)</f>
        <v>0</v>
      </c>
      <c r="I1224">
        <v>0</v>
      </c>
      <c r="J1224" s="413">
        <f>I1224*VLOOKUP(E1224,GWPs!$B$3:$C$6,2,FALSE)</f>
        <v>0</v>
      </c>
      <c r="K1224">
        <v>0</v>
      </c>
      <c r="L1224" s="413">
        <f>K1224*VLOOKUP(E1224,GWPs!$B$3:$C$6,2,FALSE)</f>
        <v>0</v>
      </c>
      <c r="N1224">
        <v>3</v>
      </c>
      <c r="O1224">
        <v>2</v>
      </c>
      <c r="P1224">
        <v>1</v>
      </c>
      <c r="Q1224">
        <v>3</v>
      </c>
      <c r="R1224">
        <v>1</v>
      </c>
    </row>
    <row r="1225" spans="1:18">
      <c r="A1225" t="str">
        <f>_xlfn.IFNA(IF(VLOOKUP(C1225,'2016_Detail_Commodity_v1.0'!C:C,1,FALSE)=C1225,"No change"),"Name changed")</f>
        <v>No change</v>
      </c>
      <c r="B1225" t="s">
        <v>915</v>
      </c>
      <c r="C1225" t="s">
        <v>916</v>
      </c>
      <c r="E1225" t="s">
        <v>15</v>
      </c>
      <c r="F1225" t="s">
        <v>16</v>
      </c>
      <c r="G1225">
        <v>2E-3</v>
      </c>
      <c r="H1225" s="413">
        <f>G1225*VLOOKUP(E1225,GWPs!$B$3:$C$6,2,FALSE)</f>
        <v>2E-3</v>
      </c>
      <c r="I1225">
        <v>0</v>
      </c>
      <c r="J1225" s="413">
        <f>I1225*VLOOKUP(E1225,GWPs!$B$3:$C$6,2,FALSE)</f>
        <v>0</v>
      </c>
      <c r="K1225">
        <v>2E-3</v>
      </c>
      <c r="L1225" s="413">
        <f>K1225*VLOOKUP(E1225,GWPs!$B$3:$C$6,2,FALSE)</f>
        <v>2E-3</v>
      </c>
      <c r="N1225">
        <v>4</v>
      </c>
      <c r="O1225">
        <v>2</v>
      </c>
      <c r="P1225">
        <v>1</v>
      </c>
      <c r="Q1225">
        <v>4</v>
      </c>
      <c r="R1225">
        <v>1</v>
      </c>
    </row>
    <row r="1226" spans="1:18">
      <c r="A1226" t="str">
        <f>_xlfn.IFNA(IF(VLOOKUP(C1226,'2016_Detail_Commodity_v1.0'!C:C,1,FALSE)=C1226,"No change"),"Name changed")</f>
        <v>No change</v>
      </c>
      <c r="B1226" t="s">
        <v>917</v>
      </c>
      <c r="C1226" t="s">
        <v>918</v>
      </c>
      <c r="E1226" t="s">
        <v>3653</v>
      </c>
      <c r="F1226" t="s">
        <v>12</v>
      </c>
      <c r="G1226">
        <v>2.4E-2</v>
      </c>
      <c r="H1226" s="413">
        <f>G1226*VLOOKUP(E1226,GWPs!$B$3:$C$6,2,FALSE)</f>
        <v>2.4E-2</v>
      </c>
      <c r="I1226">
        <v>3.9E-2</v>
      </c>
      <c r="J1226" s="413">
        <f>I1226*VLOOKUP(E1226,GWPs!$B$3:$C$6,2,FALSE)</f>
        <v>3.9E-2</v>
      </c>
      <c r="K1226">
        <v>6.2E-2</v>
      </c>
      <c r="L1226" s="413">
        <f>K1226*VLOOKUP(E1226,GWPs!$B$3:$C$6,2,FALSE)</f>
        <v>6.2E-2</v>
      </c>
      <c r="N1226">
        <v>3</v>
      </c>
      <c r="O1226">
        <v>2</v>
      </c>
      <c r="P1226">
        <v>1</v>
      </c>
      <c r="Q1226">
        <v>3</v>
      </c>
      <c r="R1226">
        <v>1</v>
      </c>
    </row>
    <row r="1227" spans="1:18">
      <c r="A1227" t="str">
        <f>_xlfn.IFNA(IF(VLOOKUP(C1227,'2016_Detail_Commodity_v1.0'!C:C,1,FALSE)=C1227,"No change"),"Name changed")</f>
        <v>No change</v>
      </c>
      <c r="B1227" t="s">
        <v>917</v>
      </c>
      <c r="C1227" t="s">
        <v>918</v>
      </c>
      <c r="E1227" t="s">
        <v>3654</v>
      </c>
      <c r="F1227" t="s">
        <v>12</v>
      </c>
      <c r="G1227">
        <v>0</v>
      </c>
      <c r="H1227" s="413">
        <f>G1227*VLOOKUP(E1227,GWPs!$B$3:$C$6,2,FALSE)</f>
        <v>0</v>
      </c>
      <c r="I1227">
        <v>0</v>
      </c>
      <c r="J1227" s="413">
        <f>I1227*VLOOKUP(E1227,GWPs!$B$3:$C$6,2,FALSE)</f>
        <v>0</v>
      </c>
      <c r="K1227">
        <v>0</v>
      </c>
      <c r="L1227" s="413">
        <f>K1227*VLOOKUP(E1227,GWPs!$B$3:$C$6,2,FALSE)</f>
        <v>0</v>
      </c>
      <c r="N1227">
        <v>3</v>
      </c>
      <c r="O1227">
        <v>2</v>
      </c>
      <c r="P1227">
        <v>1</v>
      </c>
      <c r="Q1227">
        <v>1</v>
      </c>
      <c r="R1227">
        <v>1</v>
      </c>
    </row>
    <row r="1228" spans="1:18">
      <c r="A1228" t="str">
        <f>_xlfn.IFNA(IF(VLOOKUP(C1228,'2016_Detail_Commodity_v1.0'!C:C,1,FALSE)=C1228,"No change"),"Name changed")</f>
        <v>No change</v>
      </c>
      <c r="B1228" t="s">
        <v>917</v>
      </c>
      <c r="C1228" t="s">
        <v>918</v>
      </c>
      <c r="E1228" t="s">
        <v>3655</v>
      </c>
      <c r="F1228" t="s">
        <v>12</v>
      </c>
      <c r="G1228">
        <v>0</v>
      </c>
      <c r="H1228" s="413">
        <f>G1228*VLOOKUP(E1228,GWPs!$B$3:$C$6,2,FALSE)</f>
        <v>0</v>
      </c>
      <c r="I1228">
        <v>0</v>
      </c>
      <c r="J1228" s="413">
        <f>I1228*VLOOKUP(E1228,GWPs!$B$3:$C$6,2,FALSE)</f>
        <v>0</v>
      </c>
      <c r="K1228">
        <v>0</v>
      </c>
      <c r="L1228" s="413">
        <f>K1228*VLOOKUP(E1228,GWPs!$B$3:$C$6,2,FALSE)</f>
        <v>0</v>
      </c>
      <c r="N1228">
        <v>3</v>
      </c>
      <c r="O1228">
        <v>2</v>
      </c>
      <c r="P1228">
        <v>1</v>
      </c>
      <c r="Q1228">
        <v>3</v>
      </c>
      <c r="R1228">
        <v>1</v>
      </c>
    </row>
    <row r="1229" spans="1:18">
      <c r="A1229" t="str">
        <f>_xlfn.IFNA(IF(VLOOKUP(C1229,'2016_Detail_Commodity_v1.0'!C:C,1,FALSE)=C1229,"No change"),"Name changed")</f>
        <v>No change</v>
      </c>
      <c r="B1229" t="s">
        <v>917</v>
      </c>
      <c r="C1229" t="s">
        <v>918</v>
      </c>
      <c r="E1229" t="s">
        <v>15</v>
      </c>
      <c r="F1229" t="s">
        <v>16</v>
      </c>
      <c r="G1229">
        <v>1E-3</v>
      </c>
      <c r="H1229" s="413">
        <f>G1229*VLOOKUP(E1229,GWPs!$B$3:$C$6,2,FALSE)</f>
        <v>1E-3</v>
      </c>
      <c r="I1229">
        <v>0</v>
      </c>
      <c r="J1229" s="413">
        <f>I1229*VLOOKUP(E1229,GWPs!$B$3:$C$6,2,FALSE)</f>
        <v>0</v>
      </c>
      <c r="K1229">
        <v>1E-3</v>
      </c>
      <c r="L1229" s="413">
        <f>K1229*VLOOKUP(E1229,GWPs!$B$3:$C$6,2,FALSE)</f>
        <v>1E-3</v>
      </c>
      <c r="N1229">
        <v>3</v>
      </c>
      <c r="O1229">
        <v>2</v>
      </c>
      <c r="P1229">
        <v>1</v>
      </c>
      <c r="Q1229">
        <v>4</v>
      </c>
      <c r="R1229">
        <v>1</v>
      </c>
    </row>
    <row r="1230" spans="1:18">
      <c r="A1230" t="str">
        <f>_xlfn.IFNA(IF(VLOOKUP(C1230,'2016_Detail_Commodity_v1.0'!C:C,1,FALSE)=C1230,"No change"),"Name changed")</f>
        <v>No change</v>
      </c>
      <c r="B1230" t="s">
        <v>919</v>
      </c>
      <c r="C1230" t="s">
        <v>920</v>
      </c>
      <c r="E1230" t="s">
        <v>3653</v>
      </c>
      <c r="F1230" t="s">
        <v>12</v>
      </c>
      <c r="G1230">
        <v>6.4000000000000001E-2</v>
      </c>
      <c r="H1230" s="413">
        <f>G1230*VLOOKUP(E1230,GWPs!$B$3:$C$6,2,FALSE)</f>
        <v>6.4000000000000001E-2</v>
      </c>
      <c r="I1230">
        <v>0</v>
      </c>
      <c r="J1230" s="413">
        <f>I1230*VLOOKUP(E1230,GWPs!$B$3:$C$6,2,FALSE)</f>
        <v>0</v>
      </c>
      <c r="K1230">
        <v>6.4000000000000001E-2</v>
      </c>
      <c r="L1230" s="413">
        <f>K1230*VLOOKUP(E1230,GWPs!$B$3:$C$6,2,FALSE)</f>
        <v>6.4000000000000001E-2</v>
      </c>
      <c r="N1230">
        <v>3</v>
      </c>
      <c r="O1230">
        <v>2</v>
      </c>
      <c r="P1230">
        <v>1</v>
      </c>
      <c r="Q1230">
        <v>3</v>
      </c>
      <c r="R1230">
        <v>1</v>
      </c>
    </row>
    <row r="1231" spans="1:18">
      <c r="A1231" t="str">
        <f>_xlfn.IFNA(IF(VLOOKUP(C1231,'2016_Detail_Commodity_v1.0'!C:C,1,FALSE)=C1231,"No change"),"Name changed")</f>
        <v>No change</v>
      </c>
      <c r="B1231" t="s">
        <v>919</v>
      </c>
      <c r="C1231" t="s">
        <v>920</v>
      </c>
      <c r="E1231" t="s">
        <v>3654</v>
      </c>
      <c r="F1231" t="s">
        <v>12</v>
      </c>
      <c r="G1231">
        <v>0</v>
      </c>
      <c r="H1231" s="413">
        <f>G1231*VLOOKUP(E1231,GWPs!$B$3:$C$6,2,FALSE)</f>
        <v>0</v>
      </c>
      <c r="I1231">
        <v>0</v>
      </c>
      <c r="J1231" s="413">
        <f>I1231*VLOOKUP(E1231,GWPs!$B$3:$C$6,2,FALSE)</f>
        <v>0</v>
      </c>
      <c r="K1231">
        <v>0</v>
      </c>
      <c r="L1231" s="413">
        <f>K1231*VLOOKUP(E1231,GWPs!$B$3:$C$6,2,FALSE)</f>
        <v>0</v>
      </c>
      <c r="N1231">
        <v>3</v>
      </c>
      <c r="O1231">
        <v>2</v>
      </c>
      <c r="P1231">
        <v>1</v>
      </c>
      <c r="Q1231">
        <v>1</v>
      </c>
      <c r="R1231">
        <v>1</v>
      </c>
    </row>
    <row r="1232" spans="1:18">
      <c r="A1232" t="str">
        <f>_xlfn.IFNA(IF(VLOOKUP(C1232,'2016_Detail_Commodity_v1.0'!C:C,1,FALSE)=C1232,"No change"),"Name changed")</f>
        <v>No change</v>
      </c>
      <c r="B1232" t="s">
        <v>919</v>
      </c>
      <c r="C1232" t="s">
        <v>920</v>
      </c>
      <c r="E1232" t="s">
        <v>3655</v>
      </c>
      <c r="F1232" t="s">
        <v>12</v>
      </c>
      <c r="G1232">
        <v>0</v>
      </c>
      <c r="H1232" s="413">
        <f>G1232*VLOOKUP(E1232,GWPs!$B$3:$C$6,2,FALSE)</f>
        <v>0</v>
      </c>
      <c r="I1232">
        <v>0</v>
      </c>
      <c r="J1232" s="413">
        <f>I1232*VLOOKUP(E1232,GWPs!$B$3:$C$6,2,FALSE)</f>
        <v>0</v>
      </c>
      <c r="K1232">
        <v>0</v>
      </c>
      <c r="L1232" s="413">
        <f>K1232*VLOOKUP(E1232,GWPs!$B$3:$C$6,2,FALSE)</f>
        <v>0</v>
      </c>
      <c r="N1232">
        <v>3</v>
      </c>
      <c r="O1232">
        <v>2</v>
      </c>
      <c r="P1232">
        <v>1</v>
      </c>
      <c r="Q1232">
        <v>3</v>
      </c>
      <c r="R1232">
        <v>1</v>
      </c>
    </row>
    <row r="1233" spans="1:18">
      <c r="A1233" t="str">
        <f>_xlfn.IFNA(IF(VLOOKUP(C1233,'2016_Detail_Commodity_v1.0'!C:C,1,FALSE)=C1233,"No change"),"Name changed")</f>
        <v>No change</v>
      </c>
      <c r="B1233" t="s">
        <v>919</v>
      </c>
      <c r="C1233" t="s">
        <v>920</v>
      </c>
      <c r="E1233" t="s">
        <v>15</v>
      </c>
      <c r="F1233" t="s">
        <v>16</v>
      </c>
      <c r="G1233">
        <v>2.3E-2</v>
      </c>
      <c r="H1233" s="413">
        <f>G1233*VLOOKUP(E1233,GWPs!$B$3:$C$6,2,FALSE)</f>
        <v>2.3E-2</v>
      </c>
      <c r="I1233">
        <v>0</v>
      </c>
      <c r="J1233" s="413">
        <f>I1233*VLOOKUP(E1233,GWPs!$B$3:$C$6,2,FALSE)</f>
        <v>0</v>
      </c>
      <c r="K1233">
        <v>2.3E-2</v>
      </c>
      <c r="L1233" s="413">
        <f>K1233*VLOOKUP(E1233,GWPs!$B$3:$C$6,2,FALSE)</f>
        <v>2.3E-2</v>
      </c>
      <c r="N1233">
        <v>4</v>
      </c>
      <c r="O1233">
        <v>2</v>
      </c>
      <c r="P1233">
        <v>1</v>
      </c>
      <c r="Q1233">
        <v>5</v>
      </c>
      <c r="R1233">
        <v>1</v>
      </c>
    </row>
    <row r="1234" spans="1:18">
      <c r="A1234" t="str">
        <f>_xlfn.IFNA(IF(VLOOKUP(C1234,'2016_Detail_Commodity_v1.0'!C:C,1,FALSE)=C1234,"No change"),"Name changed")</f>
        <v>No change</v>
      </c>
      <c r="B1234" t="s">
        <v>921</v>
      </c>
      <c r="C1234" t="s">
        <v>922</v>
      </c>
      <c r="E1234" t="s">
        <v>3653</v>
      </c>
      <c r="F1234" t="s">
        <v>12</v>
      </c>
      <c r="G1234">
        <v>7.9000000000000001E-2</v>
      </c>
      <c r="H1234" s="413">
        <f>G1234*VLOOKUP(E1234,GWPs!$B$3:$C$6,2,FALSE)</f>
        <v>7.9000000000000001E-2</v>
      </c>
      <c r="I1234">
        <v>0</v>
      </c>
      <c r="J1234" s="413">
        <f>I1234*VLOOKUP(E1234,GWPs!$B$3:$C$6,2,FALSE)</f>
        <v>0</v>
      </c>
      <c r="K1234">
        <v>7.9000000000000001E-2</v>
      </c>
      <c r="L1234" s="413">
        <f>K1234*VLOOKUP(E1234,GWPs!$B$3:$C$6,2,FALSE)</f>
        <v>7.9000000000000001E-2</v>
      </c>
      <c r="N1234">
        <v>3</v>
      </c>
      <c r="O1234">
        <v>2</v>
      </c>
      <c r="P1234">
        <v>1</v>
      </c>
      <c r="Q1234">
        <v>3</v>
      </c>
      <c r="R1234">
        <v>1</v>
      </c>
    </row>
    <row r="1235" spans="1:18">
      <c r="A1235" t="str">
        <f>_xlfn.IFNA(IF(VLOOKUP(C1235,'2016_Detail_Commodity_v1.0'!C:C,1,FALSE)=C1235,"No change"),"Name changed")</f>
        <v>No change</v>
      </c>
      <c r="B1235" t="s">
        <v>921</v>
      </c>
      <c r="C1235" t="s">
        <v>922</v>
      </c>
      <c r="E1235" t="s">
        <v>3654</v>
      </c>
      <c r="F1235" t="s">
        <v>12</v>
      </c>
      <c r="G1235">
        <v>0</v>
      </c>
      <c r="H1235" s="413">
        <f>G1235*VLOOKUP(E1235,GWPs!$B$3:$C$6,2,FALSE)</f>
        <v>0</v>
      </c>
      <c r="I1235">
        <v>0</v>
      </c>
      <c r="J1235" s="413">
        <f>I1235*VLOOKUP(E1235,GWPs!$B$3:$C$6,2,FALSE)</f>
        <v>0</v>
      </c>
      <c r="K1235">
        <v>0</v>
      </c>
      <c r="L1235" s="413">
        <f>K1235*VLOOKUP(E1235,GWPs!$B$3:$C$6,2,FALSE)</f>
        <v>0</v>
      </c>
      <c r="N1235">
        <v>4</v>
      </c>
      <c r="O1235">
        <v>2</v>
      </c>
      <c r="P1235">
        <v>1</v>
      </c>
      <c r="Q1235">
        <v>1</v>
      </c>
      <c r="R1235">
        <v>1</v>
      </c>
    </row>
    <row r="1236" spans="1:18">
      <c r="A1236" t="str">
        <f>_xlfn.IFNA(IF(VLOOKUP(C1236,'2016_Detail_Commodity_v1.0'!C:C,1,FALSE)=C1236,"No change"),"Name changed")</f>
        <v>No change</v>
      </c>
      <c r="B1236" t="s">
        <v>921</v>
      </c>
      <c r="C1236" t="s">
        <v>922</v>
      </c>
      <c r="E1236" t="s">
        <v>3655</v>
      </c>
      <c r="F1236" t="s">
        <v>12</v>
      </c>
      <c r="G1236">
        <v>0</v>
      </c>
      <c r="H1236" s="413">
        <f>G1236*VLOOKUP(E1236,GWPs!$B$3:$C$6,2,FALSE)</f>
        <v>0</v>
      </c>
      <c r="I1236">
        <v>0</v>
      </c>
      <c r="J1236" s="413">
        <f>I1236*VLOOKUP(E1236,GWPs!$B$3:$C$6,2,FALSE)</f>
        <v>0</v>
      </c>
      <c r="K1236">
        <v>0</v>
      </c>
      <c r="L1236" s="413">
        <f>K1236*VLOOKUP(E1236,GWPs!$B$3:$C$6,2,FALSE)</f>
        <v>0</v>
      </c>
      <c r="N1236">
        <v>3</v>
      </c>
      <c r="O1236">
        <v>2</v>
      </c>
      <c r="P1236">
        <v>1</v>
      </c>
      <c r="Q1236">
        <v>3</v>
      </c>
      <c r="R1236">
        <v>1</v>
      </c>
    </row>
    <row r="1237" spans="1:18">
      <c r="A1237" t="str">
        <f>_xlfn.IFNA(IF(VLOOKUP(C1237,'2016_Detail_Commodity_v1.0'!C:C,1,FALSE)=C1237,"No change"),"Name changed")</f>
        <v>No change</v>
      </c>
      <c r="B1237" t="s">
        <v>921</v>
      </c>
      <c r="C1237" t="s">
        <v>922</v>
      </c>
      <c r="E1237" t="s">
        <v>15</v>
      </c>
      <c r="F1237" t="s">
        <v>16</v>
      </c>
      <c r="G1237">
        <v>3.5000000000000003E-2</v>
      </c>
      <c r="H1237" s="413">
        <f>G1237*VLOOKUP(E1237,GWPs!$B$3:$C$6,2,FALSE)</f>
        <v>3.5000000000000003E-2</v>
      </c>
      <c r="I1237">
        <v>0</v>
      </c>
      <c r="J1237" s="413">
        <f>I1237*VLOOKUP(E1237,GWPs!$B$3:$C$6,2,FALSE)</f>
        <v>0</v>
      </c>
      <c r="K1237">
        <v>3.5000000000000003E-2</v>
      </c>
      <c r="L1237" s="413">
        <f>K1237*VLOOKUP(E1237,GWPs!$B$3:$C$6,2,FALSE)</f>
        <v>3.5000000000000003E-2</v>
      </c>
      <c r="N1237">
        <v>4</v>
      </c>
      <c r="O1237">
        <v>2</v>
      </c>
      <c r="P1237">
        <v>1</v>
      </c>
      <c r="Q1237">
        <v>5</v>
      </c>
      <c r="R1237">
        <v>1</v>
      </c>
    </row>
    <row r="1238" spans="1:18">
      <c r="A1238" t="str">
        <f>_xlfn.IFNA(IF(VLOOKUP(C1238,'2016_Detail_Commodity_v1.0'!C:C,1,FALSE)=C1238,"No change"),"Name changed")</f>
        <v>No change</v>
      </c>
      <c r="B1238" t="s">
        <v>923</v>
      </c>
      <c r="C1238" t="s">
        <v>924</v>
      </c>
      <c r="E1238" t="s">
        <v>3653</v>
      </c>
      <c r="F1238" t="s">
        <v>12</v>
      </c>
      <c r="G1238">
        <v>8.1000000000000003E-2</v>
      </c>
      <c r="H1238" s="413">
        <f>G1238*VLOOKUP(E1238,GWPs!$B$3:$C$6,2,FALSE)</f>
        <v>8.1000000000000003E-2</v>
      </c>
      <c r="I1238">
        <v>0</v>
      </c>
      <c r="J1238" s="413">
        <f>I1238*VLOOKUP(E1238,GWPs!$B$3:$C$6,2,FALSE)</f>
        <v>0</v>
      </c>
      <c r="K1238">
        <v>8.1000000000000003E-2</v>
      </c>
      <c r="L1238" s="413">
        <f>K1238*VLOOKUP(E1238,GWPs!$B$3:$C$6,2,FALSE)</f>
        <v>8.1000000000000003E-2</v>
      </c>
      <c r="N1238">
        <v>3</v>
      </c>
      <c r="O1238">
        <v>2</v>
      </c>
      <c r="P1238">
        <v>1</v>
      </c>
      <c r="Q1238">
        <v>3</v>
      </c>
      <c r="R1238">
        <v>1</v>
      </c>
    </row>
    <row r="1239" spans="1:18">
      <c r="A1239" t="str">
        <f>_xlfn.IFNA(IF(VLOOKUP(C1239,'2016_Detail_Commodity_v1.0'!C:C,1,FALSE)=C1239,"No change"),"Name changed")</f>
        <v>No change</v>
      </c>
      <c r="B1239" t="s">
        <v>923</v>
      </c>
      <c r="C1239" t="s">
        <v>924</v>
      </c>
      <c r="E1239" t="s">
        <v>3654</v>
      </c>
      <c r="F1239" t="s">
        <v>12</v>
      </c>
      <c r="G1239">
        <v>0</v>
      </c>
      <c r="H1239" s="413">
        <f>G1239*VLOOKUP(E1239,GWPs!$B$3:$C$6,2,FALSE)</f>
        <v>0</v>
      </c>
      <c r="I1239">
        <v>0</v>
      </c>
      <c r="J1239" s="413">
        <f>I1239*VLOOKUP(E1239,GWPs!$B$3:$C$6,2,FALSE)</f>
        <v>0</v>
      </c>
      <c r="K1239">
        <v>0</v>
      </c>
      <c r="L1239" s="413">
        <f>K1239*VLOOKUP(E1239,GWPs!$B$3:$C$6,2,FALSE)</f>
        <v>0</v>
      </c>
      <c r="N1239">
        <v>4</v>
      </c>
      <c r="O1239">
        <v>2</v>
      </c>
      <c r="P1239">
        <v>1</v>
      </c>
      <c r="Q1239">
        <v>1</v>
      </c>
      <c r="R1239">
        <v>1</v>
      </c>
    </row>
    <row r="1240" spans="1:18">
      <c r="A1240" t="str">
        <f>_xlfn.IFNA(IF(VLOOKUP(C1240,'2016_Detail_Commodity_v1.0'!C:C,1,FALSE)=C1240,"No change"),"Name changed")</f>
        <v>No change</v>
      </c>
      <c r="B1240" t="s">
        <v>923</v>
      </c>
      <c r="C1240" t="s">
        <v>924</v>
      </c>
      <c r="E1240" t="s">
        <v>3655</v>
      </c>
      <c r="F1240" t="s">
        <v>12</v>
      </c>
      <c r="G1240">
        <v>0</v>
      </c>
      <c r="H1240" s="413">
        <f>G1240*VLOOKUP(E1240,GWPs!$B$3:$C$6,2,FALSE)</f>
        <v>0</v>
      </c>
      <c r="I1240">
        <v>0</v>
      </c>
      <c r="J1240" s="413">
        <f>I1240*VLOOKUP(E1240,GWPs!$B$3:$C$6,2,FALSE)</f>
        <v>0</v>
      </c>
      <c r="K1240">
        <v>0</v>
      </c>
      <c r="L1240" s="413">
        <f>K1240*VLOOKUP(E1240,GWPs!$B$3:$C$6,2,FALSE)</f>
        <v>0</v>
      </c>
      <c r="N1240">
        <v>3</v>
      </c>
      <c r="O1240">
        <v>2</v>
      </c>
      <c r="P1240">
        <v>1</v>
      </c>
      <c r="Q1240">
        <v>2</v>
      </c>
      <c r="R1240">
        <v>1</v>
      </c>
    </row>
    <row r="1241" spans="1:18">
      <c r="A1241" t="str">
        <f>_xlfn.IFNA(IF(VLOOKUP(C1241,'2016_Detail_Commodity_v1.0'!C:C,1,FALSE)=C1241,"No change"),"Name changed")</f>
        <v>No change</v>
      </c>
      <c r="B1241" t="s">
        <v>923</v>
      </c>
      <c r="C1241" t="s">
        <v>924</v>
      </c>
      <c r="E1241" t="s">
        <v>15</v>
      </c>
      <c r="F1241" t="s">
        <v>16</v>
      </c>
      <c r="G1241">
        <v>4.0000000000000001E-3</v>
      </c>
      <c r="H1241" s="413">
        <f>G1241*VLOOKUP(E1241,GWPs!$B$3:$C$6,2,FALSE)</f>
        <v>4.0000000000000001E-3</v>
      </c>
      <c r="I1241">
        <v>0</v>
      </c>
      <c r="J1241" s="413">
        <f>I1241*VLOOKUP(E1241,GWPs!$B$3:$C$6,2,FALSE)</f>
        <v>0</v>
      </c>
      <c r="K1241">
        <v>4.0000000000000001E-3</v>
      </c>
      <c r="L1241" s="413">
        <f>K1241*VLOOKUP(E1241,GWPs!$B$3:$C$6,2,FALSE)</f>
        <v>4.0000000000000001E-3</v>
      </c>
      <c r="N1241">
        <v>3</v>
      </c>
      <c r="O1241">
        <v>2</v>
      </c>
      <c r="P1241">
        <v>1</v>
      </c>
      <c r="Q1241">
        <v>4</v>
      </c>
      <c r="R1241">
        <v>1</v>
      </c>
    </row>
    <row r="1242" spans="1:18">
      <c r="A1242" t="str">
        <f>_xlfn.IFNA(IF(VLOOKUP(C1242,'2016_Detail_Commodity_v1.0'!C:C,1,FALSE)=C1242,"No change"),"Name changed")</f>
        <v>No change</v>
      </c>
      <c r="B1242" t="s">
        <v>925</v>
      </c>
      <c r="C1242" t="s">
        <v>926</v>
      </c>
      <c r="E1242" t="s">
        <v>3653</v>
      </c>
      <c r="F1242" t="s">
        <v>12</v>
      </c>
      <c r="G1242">
        <v>0.156</v>
      </c>
      <c r="H1242" s="413">
        <f>G1242*VLOOKUP(E1242,GWPs!$B$3:$C$6,2,FALSE)</f>
        <v>0.156</v>
      </c>
      <c r="I1242">
        <v>0</v>
      </c>
      <c r="J1242" s="413">
        <f>I1242*VLOOKUP(E1242,GWPs!$B$3:$C$6,2,FALSE)</f>
        <v>0</v>
      </c>
      <c r="K1242">
        <v>0.156</v>
      </c>
      <c r="L1242" s="413">
        <f>K1242*VLOOKUP(E1242,GWPs!$B$3:$C$6,2,FALSE)</f>
        <v>0.156</v>
      </c>
      <c r="N1242">
        <v>3</v>
      </c>
      <c r="O1242">
        <v>2</v>
      </c>
      <c r="P1242">
        <v>1</v>
      </c>
      <c r="Q1242">
        <v>3</v>
      </c>
      <c r="R1242">
        <v>1</v>
      </c>
    </row>
    <row r="1243" spans="1:18">
      <c r="A1243" t="str">
        <f>_xlfn.IFNA(IF(VLOOKUP(C1243,'2016_Detail_Commodity_v1.0'!C:C,1,FALSE)=C1243,"No change"),"Name changed")</f>
        <v>No change</v>
      </c>
      <c r="B1243" t="s">
        <v>925</v>
      </c>
      <c r="C1243" t="s">
        <v>926</v>
      </c>
      <c r="E1243" t="s">
        <v>3654</v>
      </c>
      <c r="F1243" t="s">
        <v>12</v>
      </c>
      <c r="G1243">
        <v>1E-3</v>
      </c>
      <c r="H1243" s="413">
        <f>G1243*VLOOKUP(E1243,GWPs!$B$3:$C$6,2,FALSE)</f>
        <v>2.8000000000000001E-2</v>
      </c>
      <c r="I1243">
        <v>0</v>
      </c>
      <c r="J1243" s="413">
        <f>I1243*VLOOKUP(E1243,GWPs!$B$3:$C$6,2,FALSE)</f>
        <v>0</v>
      </c>
      <c r="K1243">
        <v>1E-3</v>
      </c>
      <c r="L1243" s="413">
        <f>K1243*VLOOKUP(E1243,GWPs!$B$3:$C$6,2,FALSE)</f>
        <v>2.8000000000000001E-2</v>
      </c>
      <c r="N1243">
        <v>4</v>
      </c>
      <c r="O1243">
        <v>2</v>
      </c>
      <c r="P1243">
        <v>1</v>
      </c>
      <c r="Q1243">
        <v>1</v>
      </c>
      <c r="R1243">
        <v>1</v>
      </c>
    </row>
    <row r="1244" spans="1:18">
      <c r="A1244" t="str">
        <f>_xlfn.IFNA(IF(VLOOKUP(C1244,'2016_Detail_Commodity_v1.0'!C:C,1,FALSE)=C1244,"No change"),"Name changed")</f>
        <v>No change</v>
      </c>
      <c r="B1244" t="s">
        <v>925</v>
      </c>
      <c r="C1244" t="s">
        <v>926</v>
      </c>
      <c r="E1244" t="s">
        <v>3655</v>
      </c>
      <c r="F1244" t="s">
        <v>12</v>
      </c>
      <c r="G1244">
        <v>0</v>
      </c>
      <c r="H1244" s="413">
        <f>G1244*VLOOKUP(E1244,GWPs!$B$3:$C$6,2,FALSE)</f>
        <v>0</v>
      </c>
      <c r="I1244">
        <v>0</v>
      </c>
      <c r="J1244" s="413">
        <f>I1244*VLOOKUP(E1244,GWPs!$B$3:$C$6,2,FALSE)</f>
        <v>0</v>
      </c>
      <c r="K1244">
        <v>0</v>
      </c>
      <c r="L1244" s="413">
        <f>K1244*VLOOKUP(E1244,GWPs!$B$3:$C$6,2,FALSE)</f>
        <v>0</v>
      </c>
      <c r="N1244">
        <v>3</v>
      </c>
      <c r="O1244">
        <v>2</v>
      </c>
      <c r="P1244">
        <v>1</v>
      </c>
      <c r="Q1244">
        <v>2</v>
      </c>
      <c r="R1244">
        <v>1</v>
      </c>
    </row>
    <row r="1245" spans="1:18">
      <c r="A1245" t="str">
        <f>_xlfn.IFNA(IF(VLOOKUP(C1245,'2016_Detail_Commodity_v1.0'!C:C,1,FALSE)=C1245,"No change"),"Name changed")</f>
        <v>No change</v>
      </c>
      <c r="B1245" t="s">
        <v>925</v>
      </c>
      <c r="C1245" t="s">
        <v>926</v>
      </c>
      <c r="E1245" t="s">
        <v>15</v>
      </c>
      <c r="F1245" t="s">
        <v>16</v>
      </c>
      <c r="G1245">
        <v>4.0000000000000001E-3</v>
      </c>
      <c r="H1245" s="413">
        <f>G1245*VLOOKUP(E1245,GWPs!$B$3:$C$6,2,FALSE)</f>
        <v>4.0000000000000001E-3</v>
      </c>
      <c r="I1245">
        <v>0</v>
      </c>
      <c r="J1245" s="413">
        <f>I1245*VLOOKUP(E1245,GWPs!$B$3:$C$6,2,FALSE)</f>
        <v>0</v>
      </c>
      <c r="K1245">
        <v>4.0000000000000001E-3</v>
      </c>
      <c r="L1245" s="413">
        <f>K1245*VLOOKUP(E1245,GWPs!$B$3:$C$6,2,FALSE)</f>
        <v>4.0000000000000001E-3</v>
      </c>
      <c r="N1245">
        <v>3</v>
      </c>
      <c r="O1245">
        <v>2</v>
      </c>
      <c r="P1245">
        <v>1</v>
      </c>
      <c r="Q1245">
        <v>4</v>
      </c>
      <c r="R1245">
        <v>1</v>
      </c>
    </row>
    <row r="1246" spans="1:18">
      <c r="A1246" t="str">
        <f>_xlfn.IFNA(IF(VLOOKUP(C1246,'2016_Detail_Commodity_v1.0'!C:C,1,FALSE)=C1246,"No change"),"Name changed")</f>
        <v>No change</v>
      </c>
      <c r="B1246" t="s">
        <v>927</v>
      </c>
      <c r="C1246" t="s">
        <v>928</v>
      </c>
      <c r="E1246" t="s">
        <v>3653</v>
      </c>
      <c r="F1246" t="s">
        <v>12</v>
      </c>
      <c r="G1246">
        <v>0.12</v>
      </c>
      <c r="H1246" s="413">
        <f>G1246*VLOOKUP(E1246,GWPs!$B$3:$C$6,2,FALSE)</f>
        <v>0.12</v>
      </c>
      <c r="I1246">
        <v>0</v>
      </c>
      <c r="J1246" s="413">
        <f>I1246*VLOOKUP(E1246,GWPs!$B$3:$C$6,2,FALSE)</f>
        <v>0</v>
      </c>
      <c r="K1246">
        <v>0.12</v>
      </c>
      <c r="L1246" s="413">
        <f>K1246*VLOOKUP(E1246,GWPs!$B$3:$C$6,2,FALSE)</f>
        <v>0.12</v>
      </c>
      <c r="N1246">
        <v>3</v>
      </c>
      <c r="O1246">
        <v>2</v>
      </c>
      <c r="P1246">
        <v>1</v>
      </c>
      <c r="Q1246">
        <v>3</v>
      </c>
      <c r="R1246">
        <v>1</v>
      </c>
    </row>
    <row r="1247" spans="1:18">
      <c r="A1247" t="str">
        <f>_xlfn.IFNA(IF(VLOOKUP(C1247,'2016_Detail_Commodity_v1.0'!C:C,1,FALSE)=C1247,"No change"),"Name changed")</f>
        <v>No change</v>
      </c>
      <c r="B1247" t="s">
        <v>927</v>
      </c>
      <c r="C1247" t="s">
        <v>928</v>
      </c>
      <c r="E1247" t="s">
        <v>3654</v>
      </c>
      <c r="F1247" t="s">
        <v>12</v>
      </c>
      <c r="G1247">
        <v>0</v>
      </c>
      <c r="H1247" s="413">
        <f>G1247*VLOOKUP(E1247,GWPs!$B$3:$C$6,2,FALSE)</f>
        <v>0</v>
      </c>
      <c r="I1247">
        <v>0</v>
      </c>
      <c r="J1247" s="413">
        <f>I1247*VLOOKUP(E1247,GWPs!$B$3:$C$6,2,FALSE)</f>
        <v>0</v>
      </c>
      <c r="K1247">
        <v>0</v>
      </c>
      <c r="L1247" s="413">
        <f>K1247*VLOOKUP(E1247,GWPs!$B$3:$C$6,2,FALSE)</f>
        <v>0</v>
      </c>
      <c r="N1247">
        <v>3</v>
      </c>
      <c r="O1247">
        <v>2</v>
      </c>
      <c r="P1247">
        <v>1</v>
      </c>
      <c r="Q1247">
        <v>1</v>
      </c>
      <c r="R1247">
        <v>1</v>
      </c>
    </row>
    <row r="1248" spans="1:18">
      <c r="A1248" t="str">
        <f>_xlfn.IFNA(IF(VLOOKUP(C1248,'2016_Detail_Commodity_v1.0'!C:C,1,FALSE)=C1248,"No change"),"Name changed")</f>
        <v>No change</v>
      </c>
      <c r="B1248" t="s">
        <v>927</v>
      </c>
      <c r="C1248" t="s">
        <v>928</v>
      </c>
      <c r="E1248" t="s">
        <v>3655</v>
      </c>
      <c r="F1248" t="s">
        <v>12</v>
      </c>
      <c r="G1248">
        <v>0</v>
      </c>
      <c r="H1248" s="413">
        <f>G1248*VLOOKUP(E1248,GWPs!$B$3:$C$6,2,FALSE)</f>
        <v>0</v>
      </c>
      <c r="I1248">
        <v>0</v>
      </c>
      <c r="J1248" s="413">
        <f>I1248*VLOOKUP(E1248,GWPs!$B$3:$C$6,2,FALSE)</f>
        <v>0</v>
      </c>
      <c r="K1248">
        <v>0</v>
      </c>
      <c r="L1248" s="413">
        <f>K1248*VLOOKUP(E1248,GWPs!$B$3:$C$6,2,FALSE)</f>
        <v>0</v>
      </c>
      <c r="N1248">
        <v>3</v>
      </c>
      <c r="O1248">
        <v>2</v>
      </c>
      <c r="P1248">
        <v>1</v>
      </c>
      <c r="Q1248">
        <v>2</v>
      </c>
      <c r="R1248">
        <v>1</v>
      </c>
    </row>
    <row r="1249" spans="1:18">
      <c r="A1249" t="str">
        <f>_xlfn.IFNA(IF(VLOOKUP(C1249,'2016_Detail_Commodity_v1.0'!C:C,1,FALSE)=C1249,"No change"),"Name changed")</f>
        <v>No change</v>
      </c>
      <c r="B1249" t="s">
        <v>927</v>
      </c>
      <c r="C1249" t="s">
        <v>928</v>
      </c>
      <c r="E1249" t="s">
        <v>15</v>
      </c>
      <c r="F1249" t="s">
        <v>16</v>
      </c>
      <c r="G1249">
        <v>3.0000000000000001E-3</v>
      </c>
      <c r="H1249" s="413">
        <f>G1249*VLOOKUP(E1249,GWPs!$B$3:$C$6,2,FALSE)</f>
        <v>3.0000000000000001E-3</v>
      </c>
      <c r="I1249">
        <v>0</v>
      </c>
      <c r="J1249" s="413">
        <f>I1249*VLOOKUP(E1249,GWPs!$B$3:$C$6,2,FALSE)</f>
        <v>0</v>
      </c>
      <c r="K1249">
        <v>3.0000000000000001E-3</v>
      </c>
      <c r="L1249" s="413">
        <f>K1249*VLOOKUP(E1249,GWPs!$B$3:$C$6,2,FALSE)</f>
        <v>3.0000000000000001E-3</v>
      </c>
      <c r="N1249">
        <v>3</v>
      </c>
      <c r="O1249">
        <v>2</v>
      </c>
      <c r="P1249">
        <v>1</v>
      </c>
      <c r="Q1249">
        <v>3</v>
      </c>
      <c r="R1249">
        <v>1</v>
      </c>
    </row>
    <row r="1250" spans="1:18">
      <c r="A1250" t="str">
        <f>_xlfn.IFNA(IF(VLOOKUP(C1250,'2016_Detail_Commodity_v1.0'!C:C,1,FALSE)=C1250,"No change"),"Name changed")</f>
        <v>No change</v>
      </c>
      <c r="B1250" t="s">
        <v>929</v>
      </c>
      <c r="C1250" t="s">
        <v>930</v>
      </c>
      <c r="E1250" t="s">
        <v>3653</v>
      </c>
      <c r="F1250" t="s">
        <v>12</v>
      </c>
      <c r="G1250">
        <v>0.13900000000000001</v>
      </c>
      <c r="H1250" s="413">
        <f>G1250*VLOOKUP(E1250,GWPs!$B$3:$C$6,2,FALSE)</f>
        <v>0.13900000000000001</v>
      </c>
      <c r="I1250">
        <v>0</v>
      </c>
      <c r="J1250" s="413">
        <f>I1250*VLOOKUP(E1250,GWPs!$B$3:$C$6,2,FALSE)</f>
        <v>0</v>
      </c>
      <c r="K1250">
        <v>0.13900000000000001</v>
      </c>
      <c r="L1250" s="413">
        <f>K1250*VLOOKUP(E1250,GWPs!$B$3:$C$6,2,FALSE)</f>
        <v>0.13900000000000001</v>
      </c>
      <c r="N1250">
        <v>3</v>
      </c>
      <c r="O1250">
        <v>2</v>
      </c>
      <c r="P1250">
        <v>1</v>
      </c>
      <c r="Q1250">
        <v>3</v>
      </c>
      <c r="R1250">
        <v>1</v>
      </c>
    </row>
    <row r="1251" spans="1:18">
      <c r="A1251" t="str">
        <f>_xlfn.IFNA(IF(VLOOKUP(C1251,'2016_Detail_Commodity_v1.0'!C:C,1,FALSE)=C1251,"No change"),"Name changed")</f>
        <v>No change</v>
      </c>
      <c r="B1251" t="s">
        <v>929</v>
      </c>
      <c r="C1251" t="s">
        <v>930</v>
      </c>
      <c r="E1251" t="s">
        <v>3654</v>
      </c>
      <c r="F1251" t="s">
        <v>12</v>
      </c>
      <c r="G1251">
        <v>1E-3</v>
      </c>
      <c r="H1251" s="413">
        <f>G1251*VLOOKUP(E1251,GWPs!$B$3:$C$6,2,FALSE)</f>
        <v>2.8000000000000001E-2</v>
      </c>
      <c r="I1251">
        <v>0</v>
      </c>
      <c r="J1251" s="413">
        <f>I1251*VLOOKUP(E1251,GWPs!$B$3:$C$6,2,FALSE)</f>
        <v>0</v>
      </c>
      <c r="K1251">
        <v>1E-3</v>
      </c>
      <c r="L1251" s="413">
        <f>K1251*VLOOKUP(E1251,GWPs!$B$3:$C$6,2,FALSE)</f>
        <v>2.8000000000000001E-2</v>
      </c>
      <c r="N1251">
        <v>4</v>
      </c>
      <c r="O1251">
        <v>2</v>
      </c>
      <c r="P1251">
        <v>1</v>
      </c>
      <c r="Q1251">
        <v>1</v>
      </c>
      <c r="R1251">
        <v>1</v>
      </c>
    </row>
    <row r="1252" spans="1:18">
      <c r="A1252" t="str">
        <f>_xlfn.IFNA(IF(VLOOKUP(C1252,'2016_Detail_Commodity_v1.0'!C:C,1,FALSE)=C1252,"No change"),"Name changed")</f>
        <v>No change</v>
      </c>
      <c r="B1252" t="s">
        <v>929</v>
      </c>
      <c r="C1252" t="s">
        <v>930</v>
      </c>
      <c r="E1252" t="s">
        <v>3655</v>
      </c>
      <c r="F1252" t="s">
        <v>12</v>
      </c>
      <c r="G1252">
        <v>0</v>
      </c>
      <c r="H1252" s="413">
        <f>G1252*VLOOKUP(E1252,GWPs!$B$3:$C$6,2,FALSE)</f>
        <v>0</v>
      </c>
      <c r="I1252">
        <v>0</v>
      </c>
      <c r="J1252" s="413">
        <f>I1252*VLOOKUP(E1252,GWPs!$B$3:$C$6,2,FALSE)</f>
        <v>0</v>
      </c>
      <c r="K1252">
        <v>0</v>
      </c>
      <c r="L1252" s="413">
        <f>K1252*VLOOKUP(E1252,GWPs!$B$3:$C$6,2,FALSE)</f>
        <v>0</v>
      </c>
      <c r="N1252">
        <v>3</v>
      </c>
      <c r="O1252">
        <v>2</v>
      </c>
      <c r="P1252">
        <v>1</v>
      </c>
      <c r="Q1252">
        <v>3</v>
      </c>
      <c r="R1252">
        <v>1</v>
      </c>
    </row>
    <row r="1253" spans="1:18">
      <c r="A1253" t="str">
        <f>_xlfn.IFNA(IF(VLOOKUP(C1253,'2016_Detail_Commodity_v1.0'!C:C,1,FALSE)=C1253,"No change"),"Name changed")</f>
        <v>No change</v>
      </c>
      <c r="B1253" t="s">
        <v>929</v>
      </c>
      <c r="C1253" t="s">
        <v>930</v>
      </c>
      <c r="E1253" t="s">
        <v>15</v>
      </c>
      <c r="F1253" t="s">
        <v>16</v>
      </c>
      <c r="G1253">
        <v>8.0000000000000002E-3</v>
      </c>
      <c r="H1253" s="413">
        <f>G1253*VLOOKUP(E1253,GWPs!$B$3:$C$6,2,FALSE)</f>
        <v>8.0000000000000002E-3</v>
      </c>
      <c r="I1253">
        <v>0</v>
      </c>
      <c r="J1253" s="413">
        <f>I1253*VLOOKUP(E1253,GWPs!$B$3:$C$6,2,FALSE)</f>
        <v>0</v>
      </c>
      <c r="K1253">
        <v>8.0000000000000002E-3</v>
      </c>
      <c r="L1253" s="413">
        <f>K1253*VLOOKUP(E1253,GWPs!$B$3:$C$6,2,FALSE)</f>
        <v>8.0000000000000002E-3</v>
      </c>
      <c r="N1253">
        <v>4</v>
      </c>
      <c r="O1253">
        <v>2</v>
      </c>
      <c r="P1253">
        <v>1</v>
      </c>
      <c r="Q1253">
        <v>5</v>
      </c>
      <c r="R1253">
        <v>1</v>
      </c>
    </row>
    <row r="1254" spans="1:18">
      <c r="A1254" t="str">
        <f>_xlfn.IFNA(IF(VLOOKUP(C1254,'2016_Detail_Commodity_v1.0'!C:C,1,FALSE)=C1254,"No change"),"Name changed")</f>
        <v>No change</v>
      </c>
      <c r="B1254" t="s">
        <v>931</v>
      </c>
      <c r="C1254" t="s">
        <v>932</v>
      </c>
      <c r="E1254" t="s">
        <v>3653</v>
      </c>
      <c r="F1254" t="s">
        <v>12</v>
      </c>
      <c r="G1254">
        <v>0.125</v>
      </c>
      <c r="H1254" s="413">
        <f>G1254*VLOOKUP(E1254,GWPs!$B$3:$C$6,2,FALSE)</f>
        <v>0.125</v>
      </c>
      <c r="I1254">
        <v>0</v>
      </c>
      <c r="J1254" s="413">
        <f>I1254*VLOOKUP(E1254,GWPs!$B$3:$C$6,2,FALSE)</f>
        <v>0</v>
      </c>
      <c r="K1254">
        <v>0.125</v>
      </c>
      <c r="L1254" s="413">
        <f>K1254*VLOOKUP(E1254,GWPs!$B$3:$C$6,2,FALSE)</f>
        <v>0.125</v>
      </c>
      <c r="N1254">
        <v>3</v>
      </c>
      <c r="O1254">
        <v>2</v>
      </c>
      <c r="P1254">
        <v>1</v>
      </c>
      <c r="Q1254">
        <v>3</v>
      </c>
      <c r="R1254">
        <v>1</v>
      </c>
    </row>
    <row r="1255" spans="1:18">
      <c r="A1255" t="str">
        <f>_xlfn.IFNA(IF(VLOOKUP(C1255,'2016_Detail_Commodity_v1.0'!C:C,1,FALSE)=C1255,"No change"),"Name changed")</f>
        <v>No change</v>
      </c>
      <c r="B1255" t="s">
        <v>931</v>
      </c>
      <c r="C1255" t="s">
        <v>932</v>
      </c>
      <c r="E1255" t="s">
        <v>3654</v>
      </c>
      <c r="F1255" t="s">
        <v>12</v>
      </c>
      <c r="G1255">
        <v>0</v>
      </c>
      <c r="H1255" s="413">
        <f>G1255*VLOOKUP(E1255,GWPs!$B$3:$C$6,2,FALSE)</f>
        <v>0</v>
      </c>
      <c r="I1255">
        <v>0</v>
      </c>
      <c r="J1255" s="413">
        <f>I1255*VLOOKUP(E1255,GWPs!$B$3:$C$6,2,FALSE)</f>
        <v>0</v>
      </c>
      <c r="K1255">
        <v>0</v>
      </c>
      <c r="L1255" s="413">
        <f>K1255*VLOOKUP(E1255,GWPs!$B$3:$C$6,2,FALSE)</f>
        <v>0</v>
      </c>
      <c r="N1255">
        <v>4</v>
      </c>
      <c r="O1255">
        <v>2</v>
      </c>
      <c r="P1255">
        <v>1</v>
      </c>
      <c r="Q1255">
        <v>1</v>
      </c>
      <c r="R1255">
        <v>1</v>
      </c>
    </row>
    <row r="1256" spans="1:18">
      <c r="A1256" t="str">
        <f>_xlfn.IFNA(IF(VLOOKUP(C1256,'2016_Detail_Commodity_v1.0'!C:C,1,FALSE)=C1256,"No change"),"Name changed")</f>
        <v>No change</v>
      </c>
      <c r="B1256" t="s">
        <v>931</v>
      </c>
      <c r="C1256" t="s">
        <v>932</v>
      </c>
      <c r="E1256" t="s">
        <v>3655</v>
      </c>
      <c r="F1256" t="s">
        <v>12</v>
      </c>
      <c r="G1256">
        <v>0</v>
      </c>
      <c r="H1256" s="413">
        <f>G1256*VLOOKUP(E1256,GWPs!$B$3:$C$6,2,FALSE)</f>
        <v>0</v>
      </c>
      <c r="I1256">
        <v>0</v>
      </c>
      <c r="J1256" s="413">
        <f>I1256*VLOOKUP(E1256,GWPs!$B$3:$C$6,2,FALSE)</f>
        <v>0</v>
      </c>
      <c r="K1256">
        <v>0</v>
      </c>
      <c r="L1256" s="413">
        <f>K1256*VLOOKUP(E1256,GWPs!$B$3:$C$6,2,FALSE)</f>
        <v>0</v>
      </c>
      <c r="N1256">
        <v>3</v>
      </c>
      <c r="O1256">
        <v>2</v>
      </c>
      <c r="P1256">
        <v>1</v>
      </c>
      <c r="Q1256">
        <v>3</v>
      </c>
      <c r="R1256">
        <v>1</v>
      </c>
    </row>
    <row r="1257" spans="1:18">
      <c r="A1257" t="str">
        <f>_xlfn.IFNA(IF(VLOOKUP(C1257,'2016_Detail_Commodity_v1.0'!C:C,1,FALSE)=C1257,"No change"),"Name changed")</f>
        <v>No change</v>
      </c>
      <c r="B1257" t="s">
        <v>931</v>
      </c>
      <c r="C1257" t="s">
        <v>932</v>
      </c>
      <c r="E1257" t="s">
        <v>15</v>
      </c>
      <c r="F1257" t="s">
        <v>16</v>
      </c>
      <c r="G1257">
        <v>2E-3</v>
      </c>
      <c r="H1257" s="413">
        <f>G1257*VLOOKUP(E1257,GWPs!$B$3:$C$6,2,FALSE)</f>
        <v>2E-3</v>
      </c>
      <c r="I1257">
        <v>0</v>
      </c>
      <c r="J1257" s="413">
        <f>I1257*VLOOKUP(E1257,GWPs!$B$3:$C$6,2,FALSE)</f>
        <v>0</v>
      </c>
      <c r="K1257">
        <v>2E-3</v>
      </c>
      <c r="L1257" s="413">
        <f>K1257*VLOOKUP(E1257,GWPs!$B$3:$C$6,2,FALSE)</f>
        <v>2E-3</v>
      </c>
      <c r="N1257">
        <v>3</v>
      </c>
      <c r="O1257">
        <v>2</v>
      </c>
      <c r="P1257">
        <v>1</v>
      </c>
      <c r="Q1257">
        <v>4</v>
      </c>
      <c r="R1257">
        <v>1</v>
      </c>
    </row>
    <row r="1258" spans="1:18">
      <c r="A1258" t="str">
        <f>_xlfn.IFNA(IF(VLOOKUP(C1258,'2016_Detail_Commodity_v1.0'!C:C,1,FALSE)=C1258,"No change"),"Name changed")</f>
        <v>No change</v>
      </c>
      <c r="B1258" t="s">
        <v>933</v>
      </c>
      <c r="C1258" t="s">
        <v>934</v>
      </c>
      <c r="E1258" t="s">
        <v>3653</v>
      </c>
      <c r="F1258" t="s">
        <v>12</v>
      </c>
      <c r="G1258">
        <v>0.115</v>
      </c>
      <c r="H1258" s="413">
        <f>G1258*VLOOKUP(E1258,GWPs!$B$3:$C$6,2,FALSE)</f>
        <v>0.115</v>
      </c>
      <c r="I1258">
        <v>0</v>
      </c>
      <c r="J1258" s="413">
        <f>I1258*VLOOKUP(E1258,GWPs!$B$3:$C$6,2,FALSE)</f>
        <v>0</v>
      </c>
      <c r="K1258">
        <v>0.115</v>
      </c>
      <c r="L1258" s="413">
        <f>K1258*VLOOKUP(E1258,GWPs!$B$3:$C$6,2,FALSE)</f>
        <v>0.115</v>
      </c>
      <c r="N1258">
        <v>3</v>
      </c>
      <c r="O1258">
        <v>2</v>
      </c>
      <c r="P1258">
        <v>1</v>
      </c>
      <c r="Q1258">
        <v>3</v>
      </c>
      <c r="R1258">
        <v>1</v>
      </c>
    </row>
    <row r="1259" spans="1:18">
      <c r="A1259" t="str">
        <f>_xlfn.IFNA(IF(VLOOKUP(C1259,'2016_Detail_Commodity_v1.0'!C:C,1,FALSE)=C1259,"No change"),"Name changed")</f>
        <v>No change</v>
      </c>
      <c r="B1259" t="s">
        <v>933</v>
      </c>
      <c r="C1259" t="s">
        <v>934</v>
      </c>
      <c r="E1259" t="s">
        <v>3654</v>
      </c>
      <c r="F1259" t="s">
        <v>12</v>
      </c>
      <c r="G1259">
        <v>1E-3</v>
      </c>
      <c r="H1259" s="413">
        <f>G1259*VLOOKUP(E1259,GWPs!$B$3:$C$6,2,FALSE)</f>
        <v>2.8000000000000001E-2</v>
      </c>
      <c r="I1259">
        <v>0</v>
      </c>
      <c r="J1259" s="413">
        <f>I1259*VLOOKUP(E1259,GWPs!$B$3:$C$6,2,FALSE)</f>
        <v>0</v>
      </c>
      <c r="K1259">
        <v>1E-3</v>
      </c>
      <c r="L1259" s="413">
        <f>K1259*VLOOKUP(E1259,GWPs!$B$3:$C$6,2,FALSE)</f>
        <v>2.8000000000000001E-2</v>
      </c>
      <c r="N1259">
        <v>3</v>
      </c>
      <c r="O1259">
        <v>2</v>
      </c>
      <c r="P1259">
        <v>1</v>
      </c>
      <c r="Q1259">
        <v>1</v>
      </c>
      <c r="R1259">
        <v>1</v>
      </c>
    </row>
    <row r="1260" spans="1:18">
      <c r="A1260" t="str">
        <f>_xlfn.IFNA(IF(VLOOKUP(C1260,'2016_Detail_Commodity_v1.0'!C:C,1,FALSE)=C1260,"No change"),"Name changed")</f>
        <v>No change</v>
      </c>
      <c r="B1260" t="s">
        <v>933</v>
      </c>
      <c r="C1260" t="s">
        <v>934</v>
      </c>
      <c r="E1260" t="s">
        <v>3655</v>
      </c>
      <c r="F1260" t="s">
        <v>12</v>
      </c>
      <c r="G1260">
        <v>0</v>
      </c>
      <c r="H1260" s="413">
        <f>G1260*VLOOKUP(E1260,GWPs!$B$3:$C$6,2,FALSE)</f>
        <v>0</v>
      </c>
      <c r="I1260">
        <v>0</v>
      </c>
      <c r="J1260" s="413">
        <f>I1260*VLOOKUP(E1260,GWPs!$B$3:$C$6,2,FALSE)</f>
        <v>0</v>
      </c>
      <c r="K1260">
        <v>0</v>
      </c>
      <c r="L1260" s="413">
        <f>K1260*VLOOKUP(E1260,GWPs!$B$3:$C$6,2,FALSE)</f>
        <v>0</v>
      </c>
      <c r="N1260">
        <v>4</v>
      </c>
      <c r="O1260">
        <v>2</v>
      </c>
      <c r="P1260">
        <v>1</v>
      </c>
      <c r="Q1260">
        <v>3</v>
      </c>
      <c r="R1260">
        <v>1</v>
      </c>
    </row>
    <row r="1261" spans="1:18">
      <c r="A1261" t="str">
        <f>_xlfn.IFNA(IF(VLOOKUP(C1261,'2016_Detail_Commodity_v1.0'!C:C,1,FALSE)=C1261,"No change"),"Name changed")</f>
        <v>No change</v>
      </c>
      <c r="B1261" t="s">
        <v>933</v>
      </c>
      <c r="C1261" t="s">
        <v>934</v>
      </c>
      <c r="E1261" t="s">
        <v>15</v>
      </c>
      <c r="F1261" t="s">
        <v>16</v>
      </c>
      <c r="G1261">
        <v>2E-3</v>
      </c>
      <c r="H1261" s="413">
        <f>G1261*VLOOKUP(E1261,GWPs!$B$3:$C$6,2,FALSE)</f>
        <v>2E-3</v>
      </c>
      <c r="I1261">
        <v>0</v>
      </c>
      <c r="J1261" s="413">
        <f>I1261*VLOOKUP(E1261,GWPs!$B$3:$C$6,2,FALSE)</f>
        <v>0</v>
      </c>
      <c r="K1261">
        <v>2E-3</v>
      </c>
      <c r="L1261" s="413">
        <f>K1261*VLOOKUP(E1261,GWPs!$B$3:$C$6,2,FALSE)</f>
        <v>2E-3</v>
      </c>
      <c r="N1261">
        <v>3</v>
      </c>
      <c r="O1261">
        <v>2</v>
      </c>
      <c r="P1261">
        <v>1</v>
      </c>
      <c r="Q1261">
        <v>3</v>
      </c>
      <c r="R1261">
        <v>1</v>
      </c>
    </row>
    <row r="1262" spans="1:18">
      <c r="A1262" t="str">
        <f>_xlfn.IFNA(IF(VLOOKUP(C1262,'2016_Detail_Commodity_v1.0'!C:C,1,FALSE)=C1262,"No change"),"Name changed")</f>
        <v>No change</v>
      </c>
      <c r="B1262" t="s">
        <v>935</v>
      </c>
      <c r="C1262" t="s">
        <v>936</v>
      </c>
      <c r="E1262" t="s">
        <v>3653</v>
      </c>
      <c r="F1262" t="s">
        <v>12</v>
      </c>
      <c r="G1262">
        <v>6.0999999999999999E-2</v>
      </c>
      <c r="H1262" s="413">
        <f>G1262*VLOOKUP(E1262,GWPs!$B$3:$C$6,2,FALSE)</f>
        <v>6.0999999999999999E-2</v>
      </c>
      <c r="I1262">
        <v>0</v>
      </c>
      <c r="J1262" s="413">
        <f>I1262*VLOOKUP(E1262,GWPs!$B$3:$C$6,2,FALSE)</f>
        <v>0</v>
      </c>
      <c r="K1262">
        <v>6.0999999999999999E-2</v>
      </c>
      <c r="L1262" s="413">
        <f>K1262*VLOOKUP(E1262,GWPs!$B$3:$C$6,2,FALSE)</f>
        <v>6.0999999999999999E-2</v>
      </c>
      <c r="N1262">
        <v>3</v>
      </c>
      <c r="O1262">
        <v>2</v>
      </c>
      <c r="P1262">
        <v>1</v>
      </c>
      <c r="Q1262">
        <v>3</v>
      </c>
      <c r="R1262">
        <v>1</v>
      </c>
    </row>
    <row r="1263" spans="1:18">
      <c r="A1263" t="str">
        <f>_xlfn.IFNA(IF(VLOOKUP(C1263,'2016_Detail_Commodity_v1.0'!C:C,1,FALSE)=C1263,"No change"),"Name changed")</f>
        <v>No change</v>
      </c>
      <c r="B1263" t="s">
        <v>935</v>
      </c>
      <c r="C1263" t="s">
        <v>936</v>
      </c>
      <c r="E1263" t="s">
        <v>3654</v>
      </c>
      <c r="F1263" t="s">
        <v>12</v>
      </c>
      <c r="G1263">
        <v>0</v>
      </c>
      <c r="H1263" s="413">
        <f>G1263*VLOOKUP(E1263,GWPs!$B$3:$C$6,2,FALSE)</f>
        <v>0</v>
      </c>
      <c r="I1263">
        <v>0</v>
      </c>
      <c r="J1263" s="413">
        <f>I1263*VLOOKUP(E1263,GWPs!$B$3:$C$6,2,FALSE)</f>
        <v>0</v>
      </c>
      <c r="K1263">
        <v>0</v>
      </c>
      <c r="L1263" s="413">
        <f>K1263*VLOOKUP(E1263,GWPs!$B$3:$C$6,2,FALSE)</f>
        <v>0</v>
      </c>
      <c r="N1263">
        <v>4</v>
      </c>
      <c r="O1263">
        <v>2</v>
      </c>
      <c r="P1263">
        <v>1</v>
      </c>
      <c r="Q1263">
        <v>1</v>
      </c>
      <c r="R1263">
        <v>1</v>
      </c>
    </row>
    <row r="1264" spans="1:18">
      <c r="A1264" t="str">
        <f>_xlfn.IFNA(IF(VLOOKUP(C1264,'2016_Detail_Commodity_v1.0'!C:C,1,FALSE)=C1264,"No change"),"Name changed")</f>
        <v>No change</v>
      </c>
      <c r="B1264" t="s">
        <v>935</v>
      </c>
      <c r="C1264" t="s">
        <v>936</v>
      </c>
      <c r="E1264" t="s">
        <v>3655</v>
      </c>
      <c r="F1264" t="s">
        <v>12</v>
      </c>
      <c r="G1264">
        <v>0</v>
      </c>
      <c r="H1264" s="413">
        <f>G1264*VLOOKUP(E1264,GWPs!$B$3:$C$6,2,FALSE)</f>
        <v>0</v>
      </c>
      <c r="I1264">
        <v>0</v>
      </c>
      <c r="J1264" s="413">
        <f>I1264*VLOOKUP(E1264,GWPs!$B$3:$C$6,2,FALSE)</f>
        <v>0</v>
      </c>
      <c r="K1264">
        <v>0</v>
      </c>
      <c r="L1264" s="413">
        <f>K1264*VLOOKUP(E1264,GWPs!$B$3:$C$6,2,FALSE)</f>
        <v>0</v>
      </c>
      <c r="N1264">
        <v>3</v>
      </c>
      <c r="O1264">
        <v>2</v>
      </c>
      <c r="P1264">
        <v>1</v>
      </c>
      <c r="Q1264">
        <v>3</v>
      </c>
      <c r="R1264">
        <v>1</v>
      </c>
    </row>
    <row r="1265" spans="1:18">
      <c r="A1265" t="str">
        <f>_xlfn.IFNA(IF(VLOOKUP(C1265,'2016_Detail_Commodity_v1.0'!C:C,1,FALSE)=C1265,"No change"),"Name changed")</f>
        <v>No change</v>
      </c>
      <c r="B1265" t="s">
        <v>935</v>
      </c>
      <c r="C1265" t="s">
        <v>936</v>
      </c>
      <c r="E1265" t="s">
        <v>15</v>
      </c>
      <c r="F1265" t="s">
        <v>16</v>
      </c>
      <c r="G1265">
        <v>1E-3</v>
      </c>
      <c r="H1265" s="413">
        <f>G1265*VLOOKUP(E1265,GWPs!$B$3:$C$6,2,FALSE)</f>
        <v>1E-3</v>
      </c>
      <c r="I1265">
        <v>0</v>
      </c>
      <c r="J1265" s="413">
        <f>I1265*VLOOKUP(E1265,GWPs!$B$3:$C$6,2,FALSE)</f>
        <v>0</v>
      </c>
      <c r="K1265">
        <v>1E-3</v>
      </c>
      <c r="L1265" s="413">
        <f>K1265*VLOOKUP(E1265,GWPs!$B$3:$C$6,2,FALSE)</f>
        <v>1E-3</v>
      </c>
      <c r="N1265">
        <v>4</v>
      </c>
      <c r="O1265">
        <v>2</v>
      </c>
      <c r="P1265">
        <v>1</v>
      </c>
      <c r="Q1265">
        <v>4</v>
      </c>
      <c r="R1265">
        <v>1</v>
      </c>
    </row>
    <row r="1266" spans="1:18">
      <c r="A1266" t="str">
        <f>_xlfn.IFNA(IF(VLOOKUP(C1266,'2016_Detail_Commodity_v1.0'!C:C,1,FALSE)=C1266,"No change"),"Name changed")</f>
        <v>No change</v>
      </c>
      <c r="B1266" t="s">
        <v>937</v>
      </c>
      <c r="C1266" t="s">
        <v>938</v>
      </c>
      <c r="E1266" t="s">
        <v>3653</v>
      </c>
      <c r="F1266" t="s">
        <v>12</v>
      </c>
      <c r="G1266">
        <v>7.0000000000000007E-2</v>
      </c>
      <c r="H1266" s="413">
        <f>G1266*VLOOKUP(E1266,GWPs!$B$3:$C$6,2,FALSE)</f>
        <v>7.0000000000000007E-2</v>
      </c>
      <c r="I1266">
        <v>0</v>
      </c>
      <c r="J1266" s="413">
        <f>I1266*VLOOKUP(E1266,GWPs!$B$3:$C$6,2,FALSE)</f>
        <v>0</v>
      </c>
      <c r="K1266">
        <v>7.0000000000000007E-2</v>
      </c>
      <c r="L1266" s="413">
        <f>K1266*VLOOKUP(E1266,GWPs!$B$3:$C$6,2,FALSE)</f>
        <v>7.0000000000000007E-2</v>
      </c>
      <c r="N1266">
        <v>3</v>
      </c>
      <c r="O1266">
        <v>2</v>
      </c>
      <c r="P1266">
        <v>1</v>
      </c>
      <c r="Q1266">
        <v>3</v>
      </c>
      <c r="R1266">
        <v>1</v>
      </c>
    </row>
    <row r="1267" spans="1:18">
      <c r="A1267" t="str">
        <f>_xlfn.IFNA(IF(VLOOKUP(C1267,'2016_Detail_Commodity_v1.0'!C:C,1,FALSE)=C1267,"No change"),"Name changed")</f>
        <v>No change</v>
      </c>
      <c r="B1267" t="s">
        <v>937</v>
      </c>
      <c r="C1267" t="s">
        <v>938</v>
      </c>
      <c r="E1267" t="s">
        <v>3654</v>
      </c>
      <c r="F1267" t="s">
        <v>12</v>
      </c>
      <c r="G1267">
        <v>0</v>
      </c>
      <c r="H1267" s="413">
        <f>G1267*VLOOKUP(E1267,GWPs!$B$3:$C$6,2,FALSE)</f>
        <v>0</v>
      </c>
      <c r="I1267">
        <v>0</v>
      </c>
      <c r="J1267" s="413">
        <f>I1267*VLOOKUP(E1267,GWPs!$B$3:$C$6,2,FALSE)</f>
        <v>0</v>
      </c>
      <c r="K1267">
        <v>0</v>
      </c>
      <c r="L1267" s="413">
        <f>K1267*VLOOKUP(E1267,GWPs!$B$3:$C$6,2,FALSE)</f>
        <v>0</v>
      </c>
      <c r="N1267">
        <v>4</v>
      </c>
      <c r="O1267">
        <v>2</v>
      </c>
      <c r="P1267">
        <v>1</v>
      </c>
      <c r="Q1267">
        <v>1</v>
      </c>
      <c r="R1267">
        <v>1</v>
      </c>
    </row>
    <row r="1268" spans="1:18">
      <c r="A1268" t="str">
        <f>_xlfn.IFNA(IF(VLOOKUP(C1268,'2016_Detail_Commodity_v1.0'!C:C,1,FALSE)=C1268,"No change"),"Name changed")</f>
        <v>No change</v>
      </c>
      <c r="B1268" t="s">
        <v>937</v>
      </c>
      <c r="C1268" t="s">
        <v>938</v>
      </c>
      <c r="E1268" t="s">
        <v>3655</v>
      </c>
      <c r="F1268" t="s">
        <v>12</v>
      </c>
      <c r="G1268">
        <v>0</v>
      </c>
      <c r="H1268" s="413">
        <f>G1268*VLOOKUP(E1268,GWPs!$B$3:$C$6,2,FALSE)</f>
        <v>0</v>
      </c>
      <c r="I1268">
        <v>0</v>
      </c>
      <c r="J1268" s="413">
        <f>I1268*VLOOKUP(E1268,GWPs!$B$3:$C$6,2,FALSE)</f>
        <v>0</v>
      </c>
      <c r="K1268">
        <v>0</v>
      </c>
      <c r="L1268" s="413">
        <f>K1268*VLOOKUP(E1268,GWPs!$B$3:$C$6,2,FALSE)</f>
        <v>0</v>
      </c>
      <c r="N1268">
        <v>3</v>
      </c>
      <c r="O1268">
        <v>2</v>
      </c>
      <c r="P1268">
        <v>1</v>
      </c>
      <c r="Q1268">
        <v>3</v>
      </c>
      <c r="R1268">
        <v>1</v>
      </c>
    </row>
    <row r="1269" spans="1:18">
      <c r="A1269" t="str">
        <f>_xlfn.IFNA(IF(VLOOKUP(C1269,'2016_Detail_Commodity_v1.0'!C:C,1,FALSE)=C1269,"No change"),"Name changed")</f>
        <v>No change</v>
      </c>
      <c r="B1269" t="s">
        <v>937</v>
      </c>
      <c r="C1269" t="s">
        <v>938</v>
      </c>
      <c r="E1269" t="s">
        <v>15</v>
      </c>
      <c r="F1269" t="s">
        <v>16</v>
      </c>
      <c r="G1269">
        <v>2E-3</v>
      </c>
      <c r="H1269" s="413">
        <f>G1269*VLOOKUP(E1269,GWPs!$B$3:$C$6,2,FALSE)</f>
        <v>2E-3</v>
      </c>
      <c r="I1269">
        <v>0</v>
      </c>
      <c r="J1269" s="413">
        <f>I1269*VLOOKUP(E1269,GWPs!$B$3:$C$6,2,FALSE)</f>
        <v>0</v>
      </c>
      <c r="K1269">
        <v>2E-3</v>
      </c>
      <c r="L1269" s="413">
        <f>K1269*VLOOKUP(E1269,GWPs!$B$3:$C$6,2,FALSE)</f>
        <v>2E-3</v>
      </c>
      <c r="N1269">
        <v>4</v>
      </c>
      <c r="O1269">
        <v>2</v>
      </c>
      <c r="P1269">
        <v>1</v>
      </c>
      <c r="Q1269">
        <v>4</v>
      </c>
      <c r="R1269">
        <v>1</v>
      </c>
    </row>
    <row r="1270" spans="1:18">
      <c r="A1270" t="str">
        <f>_xlfn.IFNA(IF(VLOOKUP(C1270,'2016_Detail_Commodity_v1.0'!C:C,1,FALSE)=C1270,"No change"),"Name changed")</f>
        <v>No change</v>
      </c>
      <c r="B1270" t="s">
        <v>939</v>
      </c>
      <c r="C1270" t="s">
        <v>940</v>
      </c>
      <c r="E1270" t="s">
        <v>3653</v>
      </c>
      <c r="F1270" t="s">
        <v>12</v>
      </c>
      <c r="G1270">
        <v>6.2E-2</v>
      </c>
      <c r="H1270" s="413">
        <f>G1270*VLOOKUP(E1270,GWPs!$B$3:$C$6,2,FALSE)</f>
        <v>6.2E-2</v>
      </c>
      <c r="I1270">
        <v>0</v>
      </c>
      <c r="J1270" s="413">
        <f>I1270*VLOOKUP(E1270,GWPs!$B$3:$C$6,2,FALSE)</f>
        <v>0</v>
      </c>
      <c r="K1270">
        <v>6.2E-2</v>
      </c>
      <c r="L1270" s="413">
        <f>K1270*VLOOKUP(E1270,GWPs!$B$3:$C$6,2,FALSE)</f>
        <v>6.2E-2</v>
      </c>
      <c r="N1270">
        <v>3</v>
      </c>
      <c r="O1270">
        <v>2</v>
      </c>
      <c r="P1270">
        <v>1</v>
      </c>
      <c r="Q1270">
        <v>3</v>
      </c>
      <c r="R1270">
        <v>1</v>
      </c>
    </row>
    <row r="1271" spans="1:18">
      <c r="A1271" t="str">
        <f>_xlfn.IFNA(IF(VLOOKUP(C1271,'2016_Detail_Commodity_v1.0'!C:C,1,FALSE)=C1271,"No change"),"Name changed")</f>
        <v>No change</v>
      </c>
      <c r="B1271" t="s">
        <v>939</v>
      </c>
      <c r="C1271" t="s">
        <v>940</v>
      </c>
      <c r="E1271" t="s">
        <v>3654</v>
      </c>
      <c r="F1271" t="s">
        <v>12</v>
      </c>
      <c r="G1271">
        <v>0</v>
      </c>
      <c r="H1271" s="413">
        <f>G1271*VLOOKUP(E1271,GWPs!$B$3:$C$6,2,FALSE)</f>
        <v>0</v>
      </c>
      <c r="I1271">
        <v>0</v>
      </c>
      <c r="J1271" s="413">
        <f>I1271*VLOOKUP(E1271,GWPs!$B$3:$C$6,2,FALSE)</f>
        <v>0</v>
      </c>
      <c r="K1271">
        <v>0</v>
      </c>
      <c r="L1271" s="413">
        <f>K1271*VLOOKUP(E1271,GWPs!$B$3:$C$6,2,FALSE)</f>
        <v>0</v>
      </c>
      <c r="N1271">
        <v>4</v>
      </c>
      <c r="O1271">
        <v>2</v>
      </c>
      <c r="P1271">
        <v>1</v>
      </c>
      <c r="Q1271">
        <v>1</v>
      </c>
      <c r="R1271">
        <v>1</v>
      </c>
    </row>
    <row r="1272" spans="1:18">
      <c r="A1272" t="str">
        <f>_xlfn.IFNA(IF(VLOOKUP(C1272,'2016_Detail_Commodity_v1.0'!C:C,1,FALSE)=C1272,"No change"),"Name changed")</f>
        <v>No change</v>
      </c>
      <c r="B1272" t="s">
        <v>939</v>
      </c>
      <c r="C1272" t="s">
        <v>940</v>
      </c>
      <c r="E1272" t="s">
        <v>3655</v>
      </c>
      <c r="F1272" t="s">
        <v>12</v>
      </c>
      <c r="G1272">
        <v>0</v>
      </c>
      <c r="H1272" s="413">
        <f>G1272*VLOOKUP(E1272,GWPs!$B$3:$C$6,2,FALSE)</f>
        <v>0</v>
      </c>
      <c r="I1272">
        <v>0</v>
      </c>
      <c r="J1272" s="413">
        <f>I1272*VLOOKUP(E1272,GWPs!$B$3:$C$6,2,FALSE)</f>
        <v>0</v>
      </c>
      <c r="K1272">
        <v>0</v>
      </c>
      <c r="L1272" s="413">
        <f>K1272*VLOOKUP(E1272,GWPs!$B$3:$C$6,2,FALSE)</f>
        <v>0</v>
      </c>
      <c r="N1272">
        <v>3</v>
      </c>
      <c r="O1272">
        <v>2</v>
      </c>
      <c r="P1272">
        <v>1</v>
      </c>
      <c r="Q1272">
        <v>3</v>
      </c>
      <c r="R1272">
        <v>1</v>
      </c>
    </row>
    <row r="1273" spans="1:18">
      <c r="A1273" t="str">
        <f>_xlfn.IFNA(IF(VLOOKUP(C1273,'2016_Detail_Commodity_v1.0'!C:C,1,FALSE)=C1273,"No change"),"Name changed")</f>
        <v>No change</v>
      </c>
      <c r="B1273" t="s">
        <v>939</v>
      </c>
      <c r="C1273" t="s">
        <v>940</v>
      </c>
      <c r="E1273" t="s">
        <v>15</v>
      </c>
      <c r="F1273" t="s">
        <v>16</v>
      </c>
      <c r="G1273">
        <v>1E-3</v>
      </c>
      <c r="H1273" s="413">
        <f>G1273*VLOOKUP(E1273,GWPs!$B$3:$C$6,2,FALSE)</f>
        <v>1E-3</v>
      </c>
      <c r="I1273">
        <v>0</v>
      </c>
      <c r="J1273" s="413">
        <f>I1273*VLOOKUP(E1273,GWPs!$B$3:$C$6,2,FALSE)</f>
        <v>0</v>
      </c>
      <c r="K1273">
        <v>1E-3</v>
      </c>
      <c r="L1273" s="413">
        <f>K1273*VLOOKUP(E1273,GWPs!$B$3:$C$6,2,FALSE)</f>
        <v>1E-3</v>
      </c>
      <c r="N1273">
        <v>4</v>
      </c>
      <c r="O1273">
        <v>2</v>
      </c>
      <c r="P1273">
        <v>1</v>
      </c>
      <c r="Q1273">
        <v>4</v>
      </c>
      <c r="R1273">
        <v>1</v>
      </c>
    </row>
    <row r="1274" spans="1:18">
      <c r="A1274" t="str">
        <f>_xlfn.IFNA(IF(VLOOKUP(C1274,'2016_Detail_Commodity_v1.0'!C:C,1,FALSE)=C1274,"No change"),"Name changed")</f>
        <v>No change</v>
      </c>
      <c r="B1274" t="s">
        <v>941</v>
      </c>
      <c r="C1274" t="s">
        <v>942</v>
      </c>
      <c r="E1274" t="s">
        <v>3653</v>
      </c>
      <c r="F1274" t="s">
        <v>12</v>
      </c>
      <c r="G1274">
        <v>2.4E-2</v>
      </c>
      <c r="H1274" s="413">
        <f>G1274*VLOOKUP(E1274,GWPs!$B$3:$C$6,2,FALSE)</f>
        <v>2.4E-2</v>
      </c>
      <c r="I1274">
        <v>0</v>
      </c>
      <c r="J1274" s="413">
        <f>I1274*VLOOKUP(E1274,GWPs!$B$3:$C$6,2,FALSE)</f>
        <v>0</v>
      </c>
      <c r="K1274">
        <v>2.4E-2</v>
      </c>
      <c r="L1274" s="413">
        <f>K1274*VLOOKUP(E1274,GWPs!$B$3:$C$6,2,FALSE)</f>
        <v>2.4E-2</v>
      </c>
      <c r="N1274">
        <v>3</v>
      </c>
      <c r="O1274">
        <v>2</v>
      </c>
      <c r="P1274">
        <v>1</v>
      </c>
      <c r="Q1274">
        <v>3</v>
      </c>
      <c r="R1274">
        <v>1</v>
      </c>
    </row>
    <row r="1275" spans="1:18">
      <c r="A1275" t="str">
        <f>_xlfn.IFNA(IF(VLOOKUP(C1275,'2016_Detail_Commodity_v1.0'!C:C,1,FALSE)=C1275,"No change"),"Name changed")</f>
        <v>No change</v>
      </c>
      <c r="B1275" t="s">
        <v>941</v>
      </c>
      <c r="C1275" t="s">
        <v>942</v>
      </c>
      <c r="E1275" t="s">
        <v>3654</v>
      </c>
      <c r="F1275" t="s">
        <v>12</v>
      </c>
      <c r="G1275">
        <v>0</v>
      </c>
      <c r="H1275" s="413">
        <f>G1275*VLOOKUP(E1275,GWPs!$B$3:$C$6,2,FALSE)</f>
        <v>0</v>
      </c>
      <c r="I1275">
        <v>0</v>
      </c>
      <c r="J1275" s="413">
        <f>I1275*VLOOKUP(E1275,GWPs!$B$3:$C$6,2,FALSE)</f>
        <v>0</v>
      </c>
      <c r="K1275">
        <v>0</v>
      </c>
      <c r="L1275" s="413">
        <f>K1275*VLOOKUP(E1275,GWPs!$B$3:$C$6,2,FALSE)</f>
        <v>0</v>
      </c>
      <c r="N1275">
        <v>2</v>
      </c>
      <c r="O1275">
        <v>2</v>
      </c>
      <c r="P1275">
        <v>1</v>
      </c>
      <c r="Q1275">
        <v>1</v>
      </c>
      <c r="R1275">
        <v>1</v>
      </c>
    </row>
    <row r="1276" spans="1:18">
      <c r="A1276" t="str">
        <f>_xlfn.IFNA(IF(VLOOKUP(C1276,'2016_Detail_Commodity_v1.0'!C:C,1,FALSE)=C1276,"No change"),"Name changed")</f>
        <v>No change</v>
      </c>
      <c r="B1276" t="s">
        <v>941</v>
      </c>
      <c r="C1276" t="s">
        <v>942</v>
      </c>
      <c r="E1276" t="s">
        <v>3655</v>
      </c>
      <c r="F1276" t="s">
        <v>12</v>
      </c>
      <c r="G1276">
        <v>0</v>
      </c>
      <c r="H1276" s="413">
        <f>G1276*VLOOKUP(E1276,GWPs!$B$3:$C$6,2,FALSE)</f>
        <v>0</v>
      </c>
      <c r="I1276">
        <v>0</v>
      </c>
      <c r="J1276" s="413">
        <f>I1276*VLOOKUP(E1276,GWPs!$B$3:$C$6,2,FALSE)</f>
        <v>0</v>
      </c>
      <c r="K1276">
        <v>0</v>
      </c>
      <c r="L1276" s="413">
        <f>K1276*VLOOKUP(E1276,GWPs!$B$3:$C$6,2,FALSE)</f>
        <v>0</v>
      </c>
      <c r="N1276">
        <v>4</v>
      </c>
      <c r="O1276">
        <v>2</v>
      </c>
      <c r="P1276">
        <v>1</v>
      </c>
      <c r="Q1276">
        <v>2</v>
      </c>
      <c r="R1276">
        <v>1</v>
      </c>
    </row>
    <row r="1277" spans="1:18">
      <c r="A1277" t="str">
        <f>_xlfn.IFNA(IF(VLOOKUP(C1277,'2016_Detail_Commodity_v1.0'!C:C,1,FALSE)=C1277,"No change"),"Name changed")</f>
        <v>No change</v>
      </c>
      <c r="B1277" t="s">
        <v>941</v>
      </c>
      <c r="C1277" t="s">
        <v>942</v>
      </c>
      <c r="E1277" t="s">
        <v>15</v>
      </c>
      <c r="F1277" t="s">
        <v>16</v>
      </c>
      <c r="G1277">
        <v>1E-3</v>
      </c>
      <c r="H1277" s="413">
        <f>G1277*VLOOKUP(E1277,GWPs!$B$3:$C$6,2,FALSE)</f>
        <v>1E-3</v>
      </c>
      <c r="I1277">
        <v>0</v>
      </c>
      <c r="J1277" s="413">
        <f>I1277*VLOOKUP(E1277,GWPs!$B$3:$C$6,2,FALSE)</f>
        <v>0</v>
      </c>
      <c r="K1277">
        <v>1E-3</v>
      </c>
      <c r="L1277" s="413">
        <f>K1277*VLOOKUP(E1277,GWPs!$B$3:$C$6,2,FALSE)</f>
        <v>1E-3</v>
      </c>
      <c r="N1277">
        <v>4</v>
      </c>
      <c r="O1277">
        <v>2</v>
      </c>
      <c r="P1277">
        <v>1</v>
      </c>
      <c r="Q1277">
        <v>4</v>
      </c>
      <c r="R1277">
        <v>1</v>
      </c>
    </row>
    <row r="1278" spans="1:18">
      <c r="A1278" t="str">
        <f>_xlfn.IFNA(IF(VLOOKUP(C1278,'2016_Detail_Commodity_v1.0'!C:C,1,FALSE)=C1278,"No change"),"Name changed")</f>
        <v>No change</v>
      </c>
      <c r="B1278" t="s">
        <v>943</v>
      </c>
      <c r="C1278" t="s">
        <v>944</v>
      </c>
      <c r="E1278" t="s">
        <v>3653</v>
      </c>
      <c r="F1278" t="s">
        <v>12</v>
      </c>
      <c r="G1278">
        <v>3.4000000000000002E-2</v>
      </c>
      <c r="H1278" s="413">
        <f>G1278*VLOOKUP(E1278,GWPs!$B$3:$C$6,2,FALSE)</f>
        <v>3.4000000000000002E-2</v>
      </c>
      <c r="I1278">
        <v>0</v>
      </c>
      <c r="J1278" s="413">
        <f>I1278*VLOOKUP(E1278,GWPs!$B$3:$C$6,2,FALSE)</f>
        <v>0</v>
      </c>
      <c r="K1278">
        <v>3.4000000000000002E-2</v>
      </c>
      <c r="L1278" s="413">
        <f>K1278*VLOOKUP(E1278,GWPs!$B$3:$C$6,2,FALSE)</f>
        <v>3.4000000000000002E-2</v>
      </c>
      <c r="N1278">
        <v>3</v>
      </c>
      <c r="O1278">
        <v>2</v>
      </c>
      <c r="P1278">
        <v>1</v>
      </c>
      <c r="Q1278">
        <v>3</v>
      </c>
      <c r="R1278">
        <v>1</v>
      </c>
    </row>
    <row r="1279" spans="1:18">
      <c r="A1279" t="str">
        <f>_xlfn.IFNA(IF(VLOOKUP(C1279,'2016_Detail_Commodity_v1.0'!C:C,1,FALSE)=C1279,"No change"),"Name changed")</f>
        <v>No change</v>
      </c>
      <c r="B1279" t="s">
        <v>943</v>
      </c>
      <c r="C1279" t="s">
        <v>944</v>
      </c>
      <c r="E1279" t="s">
        <v>3654</v>
      </c>
      <c r="F1279" t="s">
        <v>12</v>
      </c>
      <c r="G1279">
        <v>0</v>
      </c>
      <c r="H1279" s="413">
        <f>G1279*VLOOKUP(E1279,GWPs!$B$3:$C$6,2,FALSE)</f>
        <v>0</v>
      </c>
      <c r="I1279">
        <v>0</v>
      </c>
      <c r="J1279" s="413">
        <f>I1279*VLOOKUP(E1279,GWPs!$B$3:$C$6,2,FALSE)</f>
        <v>0</v>
      </c>
      <c r="K1279">
        <v>0</v>
      </c>
      <c r="L1279" s="413">
        <f>K1279*VLOOKUP(E1279,GWPs!$B$3:$C$6,2,FALSE)</f>
        <v>0</v>
      </c>
      <c r="N1279">
        <v>3</v>
      </c>
      <c r="O1279">
        <v>2</v>
      </c>
      <c r="P1279">
        <v>1</v>
      </c>
      <c r="Q1279">
        <v>1</v>
      </c>
      <c r="R1279">
        <v>1</v>
      </c>
    </row>
    <row r="1280" spans="1:18">
      <c r="A1280" t="str">
        <f>_xlfn.IFNA(IF(VLOOKUP(C1280,'2016_Detail_Commodity_v1.0'!C:C,1,FALSE)=C1280,"No change"),"Name changed")</f>
        <v>No change</v>
      </c>
      <c r="B1280" t="s">
        <v>943</v>
      </c>
      <c r="C1280" t="s">
        <v>944</v>
      </c>
      <c r="E1280" t="s">
        <v>3655</v>
      </c>
      <c r="F1280" t="s">
        <v>12</v>
      </c>
      <c r="G1280">
        <v>0</v>
      </c>
      <c r="H1280" s="413">
        <f>G1280*VLOOKUP(E1280,GWPs!$B$3:$C$6,2,FALSE)</f>
        <v>0</v>
      </c>
      <c r="I1280">
        <v>0</v>
      </c>
      <c r="J1280" s="413">
        <f>I1280*VLOOKUP(E1280,GWPs!$B$3:$C$6,2,FALSE)</f>
        <v>0</v>
      </c>
      <c r="K1280">
        <v>0</v>
      </c>
      <c r="L1280" s="413">
        <f>K1280*VLOOKUP(E1280,GWPs!$B$3:$C$6,2,FALSE)</f>
        <v>0</v>
      </c>
      <c r="N1280">
        <v>3</v>
      </c>
      <c r="O1280">
        <v>2</v>
      </c>
      <c r="P1280">
        <v>1</v>
      </c>
      <c r="Q1280">
        <v>3</v>
      </c>
      <c r="R1280">
        <v>1</v>
      </c>
    </row>
    <row r="1281" spans="1:18">
      <c r="A1281" t="str">
        <f>_xlfn.IFNA(IF(VLOOKUP(C1281,'2016_Detail_Commodity_v1.0'!C:C,1,FALSE)=C1281,"No change"),"Name changed")</f>
        <v>No change</v>
      </c>
      <c r="B1281" t="s">
        <v>943</v>
      </c>
      <c r="C1281" t="s">
        <v>944</v>
      </c>
      <c r="E1281" t="s">
        <v>15</v>
      </c>
      <c r="F1281" t="s">
        <v>16</v>
      </c>
      <c r="G1281">
        <v>1E-3</v>
      </c>
      <c r="H1281" s="413">
        <f>G1281*VLOOKUP(E1281,GWPs!$B$3:$C$6,2,FALSE)</f>
        <v>1E-3</v>
      </c>
      <c r="I1281">
        <v>0</v>
      </c>
      <c r="J1281" s="413">
        <f>I1281*VLOOKUP(E1281,GWPs!$B$3:$C$6,2,FALSE)</f>
        <v>0</v>
      </c>
      <c r="K1281">
        <v>1E-3</v>
      </c>
      <c r="L1281" s="413">
        <f>K1281*VLOOKUP(E1281,GWPs!$B$3:$C$6,2,FALSE)</f>
        <v>1E-3</v>
      </c>
      <c r="N1281">
        <v>4</v>
      </c>
      <c r="O1281">
        <v>2</v>
      </c>
      <c r="P1281">
        <v>1</v>
      </c>
      <c r="Q1281">
        <v>4</v>
      </c>
      <c r="R1281">
        <v>1</v>
      </c>
    </row>
    <row r="1282" spans="1:18">
      <c r="A1282" t="str">
        <f>_xlfn.IFNA(IF(VLOOKUP(C1282,'2016_Detail_Commodity_v1.0'!C:C,1,FALSE)=C1282,"No change"),"Name changed")</f>
        <v>No change</v>
      </c>
      <c r="B1282" t="s">
        <v>945</v>
      </c>
      <c r="C1282" t="s">
        <v>946</v>
      </c>
      <c r="E1282" t="s">
        <v>3653</v>
      </c>
      <c r="F1282" t="s">
        <v>12</v>
      </c>
      <c r="G1282">
        <v>3.2000000000000001E-2</v>
      </c>
      <c r="H1282" s="413">
        <f>G1282*VLOOKUP(E1282,GWPs!$B$3:$C$6,2,FALSE)</f>
        <v>3.2000000000000001E-2</v>
      </c>
      <c r="I1282">
        <v>0</v>
      </c>
      <c r="J1282" s="413">
        <f>I1282*VLOOKUP(E1282,GWPs!$B$3:$C$6,2,FALSE)</f>
        <v>0</v>
      </c>
      <c r="K1282">
        <v>3.2000000000000001E-2</v>
      </c>
      <c r="L1282" s="413">
        <f>K1282*VLOOKUP(E1282,GWPs!$B$3:$C$6,2,FALSE)</f>
        <v>3.2000000000000001E-2</v>
      </c>
      <c r="N1282">
        <v>3</v>
      </c>
      <c r="O1282">
        <v>2</v>
      </c>
      <c r="P1282">
        <v>1</v>
      </c>
      <c r="Q1282">
        <v>3</v>
      </c>
      <c r="R1282">
        <v>1</v>
      </c>
    </row>
    <row r="1283" spans="1:18">
      <c r="A1283" t="str">
        <f>_xlfn.IFNA(IF(VLOOKUP(C1283,'2016_Detail_Commodity_v1.0'!C:C,1,FALSE)=C1283,"No change"),"Name changed")</f>
        <v>No change</v>
      </c>
      <c r="B1283" t="s">
        <v>945</v>
      </c>
      <c r="C1283" t="s">
        <v>946</v>
      </c>
      <c r="E1283" t="s">
        <v>3654</v>
      </c>
      <c r="F1283" t="s">
        <v>12</v>
      </c>
      <c r="G1283">
        <v>0</v>
      </c>
      <c r="H1283" s="413">
        <f>G1283*VLOOKUP(E1283,GWPs!$B$3:$C$6,2,FALSE)</f>
        <v>0</v>
      </c>
      <c r="I1283">
        <v>0</v>
      </c>
      <c r="J1283" s="413">
        <f>I1283*VLOOKUP(E1283,GWPs!$B$3:$C$6,2,FALSE)</f>
        <v>0</v>
      </c>
      <c r="K1283">
        <v>0</v>
      </c>
      <c r="L1283" s="413">
        <f>K1283*VLOOKUP(E1283,GWPs!$B$3:$C$6,2,FALSE)</f>
        <v>0</v>
      </c>
      <c r="N1283">
        <v>3</v>
      </c>
      <c r="O1283">
        <v>2</v>
      </c>
      <c r="P1283">
        <v>1</v>
      </c>
      <c r="Q1283">
        <v>1</v>
      </c>
      <c r="R1283">
        <v>1</v>
      </c>
    </row>
    <row r="1284" spans="1:18">
      <c r="A1284" t="str">
        <f>_xlfn.IFNA(IF(VLOOKUP(C1284,'2016_Detail_Commodity_v1.0'!C:C,1,FALSE)=C1284,"No change"),"Name changed")</f>
        <v>No change</v>
      </c>
      <c r="B1284" t="s">
        <v>945</v>
      </c>
      <c r="C1284" t="s">
        <v>946</v>
      </c>
      <c r="E1284" t="s">
        <v>3655</v>
      </c>
      <c r="F1284" t="s">
        <v>12</v>
      </c>
      <c r="G1284">
        <v>0</v>
      </c>
      <c r="H1284" s="413">
        <f>G1284*VLOOKUP(E1284,GWPs!$B$3:$C$6,2,FALSE)</f>
        <v>0</v>
      </c>
      <c r="I1284">
        <v>0</v>
      </c>
      <c r="J1284" s="413">
        <f>I1284*VLOOKUP(E1284,GWPs!$B$3:$C$6,2,FALSE)</f>
        <v>0</v>
      </c>
      <c r="K1284">
        <v>0</v>
      </c>
      <c r="L1284" s="413">
        <f>K1284*VLOOKUP(E1284,GWPs!$B$3:$C$6,2,FALSE)</f>
        <v>0</v>
      </c>
      <c r="N1284">
        <v>3</v>
      </c>
      <c r="O1284">
        <v>2</v>
      </c>
      <c r="P1284">
        <v>1</v>
      </c>
      <c r="Q1284">
        <v>3</v>
      </c>
      <c r="R1284">
        <v>1</v>
      </c>
    </row>
    <row r="1285" spans="1:18">
      <c r="A1285" t="str">
        <f>_xlfn.IFNA(IF(VLOOKUP(C1285,'2016_Detail_Commodity_v1.0'!C:C,1,FALSE)=C1285,"No change"),"Name changed")</f>
        <v>No change</v>
      </c>
      <c r="B1285" t="s">
        <v>945</v>
      </c>
      <c r="C1285" t="s">
        <v>946</v>
      </c>
      <c r="E1285" t="s">
        <v>15</v>
      </c>
      <c r="F1285" t="s">
        <v>16</v>
      </c>
      <c r="G1285">
        <v>1E-3</v>
      </c>
      <c r="H1285" s="413">
        <f>G1285*VLOOKUP(E1285,GWPs!$B$3:$C$6,2,FALSE)</f>
        <v>1E-3</v>
      </c>
      <c r="I1285">
        <v>0</v>
      </c>
      <c r="J1285" s="413">
        <f>I1285*VLOOKUP(E1285,GWPs!$B$3:$C$6,2,FALSE)</f>
        <v>0</v>
      </c>
      <c r="K1285">
        <v>1E-3</v>
      </c>
      <c r="L1285" s="413">
        <f>K1285*VLOOKUP(E1285,GWPs!$B$3:$C$6,2,FALSE)</f>
        <v>1E-3</v>
      </c>
      <c r="N1285">
        <v>4</v>
      </c>
      <c r="O1285">
        <v>2</v>
      </c>
      <c r="P1285">
        <v>1</v>
      </c>
      <c r="Q1285">
        <v>4</v>
      </c>
      <c r="R1285">
        <v>1</v>
      </c>
    </row>
    <row r="1286" spans="1:18">
      <c r="A1286" t="str">
        <f>_xlfn.IFNA(IF(VLOOKUP(C1286,'2016_Detail_Commodity_v1.0'!C:C,1,FALSE)=C1286,"No change"),"Name changed")</f>
        <v>No change</v>
      </c>
      <c r="B1286" t="s">
        <v>947</v>
      </c>
      <c r="C1286" t="s">
        <v>948</v>
      </c>
      <c r="E1286" t="s">
        <v>3653</v>
      </c>
      <c r="F1286" t="s">
        <v>12</v>
      </c>
      <c r="G1286">
        <v>0.14399999999999999</v>
      </c>
      <c r="H1286" s="413">
        <f>G1286*VLOOKUP(E1286,GWPs!$B$3:$C$6,2,FALSE)</f>
        <v>0.14399999999999999</v>
      </c>
      <c r="I1286">
        <v>0</v>
      </c>
      <c r="J1286" s="413">
        <f>I1286*VLOOKUP(E1286,GWPs!$B$3:$C$6,2,FALSE)</f>
        <v>0</v>
      </c>
      <c r="K1286">
        <v>0.14399999999999999</v>
      </c>
      <c r="L1286" s="413">
        <f>K1286*VLOOKUP(E1286,GWPs!$B$3:$C$6,2,FALSE)</f>
        <v>0.14399999999999999</v>
      </c>
      <c r="N1286">
        <v>3</v>
      </c>
      <c r="O1286">
        <v>2</v>
      </c>
      <c r="P1286">
        <v>1</v>
      </c>
      <c r="Q1286">
        <v>4</v>
      </c>
      <c r="R1286">
        <v>1</v>
      </c>
    </row>
    <row r="1287" spans="1:18">
      <c r="A1287" t="str">
        <f>_xlfn.IFNA(IF(VLOOKUP(C1287,'2016_Detail_Commodity_v1.0'!C:C,1,FALSE)=C1287,"No change"),"Name changed")</f>
        <v>No change</v>
      </c>
      <c r="B1287" t="s">
        <v>947</v>
      </c>
      <c r="C1287" t="s">
        <v>948</v>
      </c>
      <c r="E1287" t="s">
        <v>3654</v>
      </c>
      <c r="F1287" t="s">
        <v>12</v>
      </c>
      <c r="G1287">
        <v>1E-3</v>
      </c>
      <c r="H1287" s="413">
        <f>G1287*VLOOKUP(E1287,GWPs!$B$3:$C$6,2,FALSE)</f>
        <v>2.8000000000000001E-2</v>
      </c>
      <c r="I1287">
        <v>0</v>
      </c>
      <c r="J1287" s="413">
        <f>I1287*VLOOKUP(E1287,GWPs!$B$3:$C$6,2,FALSE)</f>
        <v>0</v>
      </c>
      <c r="K1287">
        <v>1E-3</v>
      </c>
      <c r="L1287" s="413">
        <f>K1287*VLOOKUP(E1287,GWPs!$B$3:$C$6,2,FALSE)</f>
        <v>2.8000000000000001E-2</v>
      </c>
      <c r="N1287">
        <v>3</v>
      </c>
      <c r="O1287">
        <v>2</v>
      </c>
      <c r="P1287">
        <v>1</v>
      </c>
      <c r="Q1287">
        <v>1</v>
      </c>
      <c r="R1287">
        <v>1</v>
      </c>
    </row>
    <row r="1288" spans="1:18">
      <c r="A1288" t="str">
        <f>_xlfn.IFNA(IF(VLOOKUP(C1288,'2016_Detail_Commodity_v1.0'!C:C,1,FALSE)=C1288,"No change"),"Name changed")</f>
        <v>No change</v>
      </c>
      <c r="B1288" t="s">
        <v>947</v>
      </c>
      <c r="C1288" t="s">
        <v>948</v>
      </c>
      <c r="E1288" t="s">
        <v>3655</v>
      </c>
      <c r="F1288" t="s">
        <v>12</v>
      </c>
      <c r="G1288">
        <v>0</v>
      </c>
      <c r="H1288" s="413">
        <f>G1288*VLOOKUP(E1288,GWPs!$B$3:$C$6,2,FALSE)</f>
        <v>0</v>
      </c>
      <c r="I1288">
        <v>0</v>
      </c>
      <c r="J1288" s="413">
        <f>I1288*VLOOKUP(E1288,GWPs!$B$3:$C$6,2,FALSE)</f>
        <v>0</v>
      </c>
      <c r="K1288">
        <v>0</v>
      </c>
      <c r="L1288" s="413">
        <f>K1288*VLOOKUP(E1288,GWPs!$B$3:$C$6,2,FALSE)</f>
        <v>0</v>
      </c>
      <c r="N1288">
        <v>4</v>
      </c>
      <c r="O1288">
        <v>2</v>
      </c>
      <c r="P1288">
        <v>1</v>
      </c>
      <c r="Q1288">
        <v>2</v>
      </c>
      <c r="R1288">
        <v>1</v>
      </c>
    </row>
    <row r="1289" spans="1:18">
      <c r="A1289" t="str">
        <f>_xlfn.IFNA(IF(VLOOKUP(C1289,'2016_Detail_Commodity_v1.0'!C:C,1,FALSE)=C1289,"No change"),"Name changed")</f>
        <v>No change</v>
      </c>
      <c r="B1289" t="s">
        <v>947</v>
      </c>
      <c r="C1289" t="s">
        <v>948</v>
      </c>
      <c r="E1289" t="s">
        <v>15</v>
      </c>
      <c r="F1289" t="s">
        <v>16</v>
      </c>
      <c r="G1289">
        <v>2E-3</v>
      </c>
      <c r="H1289" s="413">
        <f>G1289*VLOOKUP(E1289,GWPs!$B$3:$C$6,2,FALSE)</f>
        <v>2E-3</v>
      </c>
      <c r="I1289">
        <v>0</v>
      </c>
      <c r="J1289" s="413">
        <f>I1289*VLOOKUP(E1289,GWPs!$B$3:$C$6,2,FALSE)</f>
        <v>0</v>
      </c>
      <c r="K1289">
        <v>2E-3</v>
      </c>
      <c r="L1289" s="413">
        <f>K1289*VLOOKUP(E1289,GWPs!$B$3:$C$6,2,FALSE)</f>
        <v>2E-3</v>
      </c>
      <c r="N1289">
        <v>4</v>
      </c>
      <c r="O1289">
        <v>2</v>
      </c>
      <c r="P1289">
        <v>1</v>
      </c>
      <c r="Q1289">
        <v>4</v>
      </c>
      <c r="R1289">
        <v>1</v>
      </c>
    </row>
    <row r="1290" spans="1:18">
      <c r="A1290" t="str">
        <f>_xlfn.IFNA(IF(VLOOKUP(C1290,'2016_Detail_Commodity_v1.0'!C:C,1,FALSE)=C1290,"No change"),"Name changed")</f>
        <v>No change</v>
      </c>
      <c r="B1290" t="s">
        <v>949</v>
      </c>
      <c r="C1290" t="s">
        <v>950</v>
      </c>
      <c r="E1290" t="s">
        <v>3653</v>
      </c>
      <c r="F1290" t="s">
        <v>12</v>
      </c>
      <c r="G1290">
        <v>4.5999999999999999E-2</v>
      </c>
      <c r="H1290" s="413">
        <f>G1290*VLOOKUP(E1290,GWPs!$B$3:$C$6,2,FALSE)</f>
        <v>4.5999999999999999E-2</v>
      </c>
      <c r="I1290">
        <v>0</v>
      </c>
      <c r="J1290" s="413">
        <f>I1290*VLOOKUP(E1290,GWPs!$B$3:$C$6,2,FALSE)</f>
        <v>0</v>
      </c>
      <c r="K1290">
        <v>4.5999999999999999E-2</v>
      </c>
      <c r="L1290" s="413">
        <f>K1290*VLOOKUP(E1290,GWPs!$B$3:$C$6,2,FALSE)</f>
        <v>4.5999999999999999E-2</v>
      </c>
      <c r="N1290">
        <v>3</v>
      </c>
      <c r="O1290">
        <v>2</v>
      </c>
      <c r="P1290">
        <v>1</v>
      </c>
      <c r="Q1290">
        <v>3</v>
      </c>
      <c r="R1290">
        <v>1</v>
      </c>
    </row>
    <row r="1291" spans="1:18">
      <c r="A1291" t="str">
        <f>_xlfn.IFNA(IF(VLOOKUP(C1291,'2016_Detail_Commodity_v1.0'!C:C,1,FALSE)=C1291,"No change"),"Name changed")</f>
        <v>No change</v>
      </c>
      <c r="B1291" t="s">
        <v>949</v>
      </c>
      <c r="C1291" t="s">
        <v>950</v>
      </c>
      <c r="E1291" t="s">
        <v>3654</v>
      </c>
      <c r="F1291" t="s">
        <v>12</v>
      </c>
      <c r="G1291">
        <v>0</v>
      </c>
      <c r="H1291" s="413">
        <f>G1291*VLOOKUP(E1291,GWPs!$B$3:$C$6,2,FALSE)</f>
        <v>0</v>
      </c>
      <c r="I1291">
        <v>0</v>
      </c>
      <c r="J1291" s="413">
        <f>I1291*VLOOKUP(E1291,GWPs!$B$3:$C$6,2,FALSE)</f>
        <v>0</v>
      </c>
      <c r="K1291">
        <v>0</v>
      </c>
      <c r="L1291" s="413">
        <f>K1291*VLOOKUP(E1291,GWPs!$B$3:$C$6,2,FALSE)</f>
        <v>0</v>
      </c>
      <c r="N1291">
        <v>3</v>
      </c>
      <c r="O1291">
        <v>2</v>
      </c>
      <c r="P1291">
        <v>1</v>
      </c>
      <c r="Q1291">
        <v>1</v>
      </c>
      <c r="R1291">
        <v>1</v>
      </c>
    </row>
    <row r="1292" spans="1:18">
      <c r="A1292" t="str">
        <f>_xlfn.IFNA(IF(VLOOKUP(C1292,'2016_Detail_Commodity_v1.0'!C:C,1,FALSE)=C1292,"No change"),"Name changed")</f>
        <v>No change</v>
      </c>
      <c r="B1292" t="s">
        <v>949</v>
      </c>
      <c r="C1292" t="s">
        <v>950</v>
      </c>
      <c r="E1292" t="s">
        <v>3655</v>
      </c>
      <c r="F1292" t="s">
        <v>12</v>
      </c>
      <c r="G1292">
        <v>0</v>
      </c>
      <c r="H1292" s="413">
        <f>G1292*VLOOKUP(E1292,GWPs!$B$3:$C$6,2,FALSE)</f>
        <v>0</v>
      </c>
      <c r="I1292">
        <v>0</v>
      </c>
      <c r="J1292" s="413">
        <f>I1292*VLOOKUP(E1292,GWPs!$B$3:$C$6,2,FALSE)</f>
        <v>0</v>
      </c>
      <c r="K1292">
        <v>0</v>
      </c>
      <c r="L1292" s="413">
        <f>K1292*VLOOKUP(E1292,GWPs!$B$3:$C$6,2,FALSE)</f>
        <v>0</v>
      </c>
      <c r="N1292">
        <v>3</v>
      </c>
      <c r="O1292">
        <v>2</v>
      </c>
      <c r="P1292">
        <v>1</v>
      </c>
      <c r="Q1292">
        <v>3</v>
      </c>
      <c r="R1292">
        <v>1</v>
      </c>
    </row>
    <row r="1293" spans="1:18">
      <c r="A1293" t="str">
        <f>_xlfn.IFNA(IF(VLOOKUP(C1293,'2016_Detail_Commodity_v1.0'!C:C,1,FALSE)=C1293,"No change"),"Name changed")</f>
        <v>No change</v>
      </c>
      <c r="B1293" t="s">
        <v>949</v>
      </c>
      <c r="C1293" t="s">
        <v>950</v>
      </c>
      <c r="E1293" t="s">
        <v>15</v>
      </c>
      <c r="F1293" t="s">
        <v>16</v>
      </c>
      <c r="G1293">
        <v>1E-3</v>
      </c>
      <c r="H1293" s="413">
        <f>G1293*VLOOKUP(E1293,GWPs!$B$3:$C$6,2,FALSE)</f>
        <v>1E-3</v>
      </c>
      <c r="I1293">
        <v>0</v>
      </c>
      <c r="J1293" s="413">
        <f>I1293*VLOOKUP(E1293,GWPs!$B$3:$C$6,2,FALSE)</f>
        <v>0</v>
      </c>
      <c r="K1293">
        <v>1E-3</v>
      </c>
      <c r="L1293" s="413">
        <f>K1293*VLOOKUP(E1293,GWPs!$B$3:$C$6,2,FALSE)</f>
        <v>1E-3</v>
      </c>
      <c r="N1293">
        <v>4</v>
      </c>
      <c r="O1293">
        <v>2</v>
      </c>
      <c r="P1293">
        <v>1</v>
      </c>
      <c r="Q1293">
        <v>4</v>
      </c>
      <c r="R1293">
        <v>1</v>
      </c>
    </row>
    <row r="1294" spans="1:18">
      <c r="A1294" t="str">
        <f>_xlfn.IFNA(IF(VLOOKUP(C1294,'2016_Detail_Commodity_v1.0'!C:C,1,FALSE)=C1294,"No change"),"Name changed")</f>
        <v>No change</v>
      </c>
      <c r="B1294" t="s">
        <v>951</v>
      </c>
      <c r="C1294" t="s">
        <v>952</v>
      </c>
      <c r="E1294" t="s">
        <v>3653</v>
      </c>
      <c r="F1294" t="s">
        <v>12</v>
      </c>
      <c r="G1294">
        <v>1.9E-2</v>
      </c>
      <c r="H1294" s="413">
        <f>G1294*VLOOKUP(E1294,GWPs!$B$3:$C$6,2,FALSE)</f>
        <v>1.9E-2</v>
      </c>
      <c r="I1294">
        <v>0</v>
      </c>
      <c r="J1294" s="413">
        <f>I1294*VLOOKUP(E1294,GWPs!$B$3:$C$6,2,FALSE)</f>
        <v>0</v>
      </c>
      <c r="K1294">
        <v>1.9E-2</v>
      </c>
      <c r="L1294" s="413">
        <f>K1294*VLOOKUP(E1294,GWPs!$B$3:$C$6,2,FALSE)</f>
        <v>1.9E-2</v>
      </c>
      <c r="N1294">
        <v>3</v>
      </c>
      <c r="O1294">
        <v>2</v>
      </c>
      <c r="P1294">
        <v>1</v>
      </c>
      <c r="Q1294">
        <v>3</v>
      </c>
      <c r="R1294">
        <v>1</v>
      </c>
    </row>
    <row r="1295" spans="1:18">
      <c r="A1295" t="str">
        <f>_xlfn.IFNA(IF(VLOOKUP(C1295,'2016_Detail_Commodity_v1.0'!C:C,1,FALSE)=C1295,"No change"),"Name changed")</f>
        <v>No change</v>
      </c>
      <c r="B1295" t="s">
        <v>951</v>
      </c>
      <c r="C1295" t="s">
        <v>952</v>
      </c>
      <c r="E1295" t="s">
        <v>3654</v>
      </c>
      <c r="F1295" t="s">
        <v>12</v>
      </c>
      <c r="G1295">
        <v>0</v>
      </c>
      <c r="H1295" s="413">
        <f>G1295*VLOOKUP(E1295,GWPs!$B$3:$C$6,2,FALSE)</f>
        <v>0</v>
      </c>
      <c r="I1295">
        <v>0</v>
      </c>
      <c r="J1295" s="413">
        <f>I1295*VLOOKUP(E1295,GWPs!$B$3:$C$6,2,FALSE)</f>
        <v>0</v>
      </c>
      <c r="K1295">
        <v>0</v>
      </c>
      <c r="L1295" s="413">
        <f>K1295*VLOOKUP(E1295,GWPs!$B$3:$C$6,2,FALSE)</f>
        <v>0</v>
      </c>
      <c r="N1295">
        <v>3</v>
      </c>
      <c r="O1295">
        <v>2</v>
      </c>
      <c r="P1295">
        <v>1</v>
      </c>
      <c r="Q1295">
        <v>1</v>
      </c>
      <c r="R1295">
        <v>1</v>
      </c>
    </row>
    <row r="1296" spans="1:18">
      <c r="A1296" t="str">
        <f>_xlfn.IFNA(IF(VLOOKUP(C1296,'2016_Detail_Commodity_v1.0'!C:C,1,FALSE)=C1296,"No change"),"Name changed")</f>
        <v>No change</v>
      </c>
      <c r="B1296" t="s">
        <v>951</v>
      </c>
      <c r="C1296" t="s">
        <v>952</v>
      </c>
      <c r="E1296" t="s">
        <v>3655</v>
      </c>
      <c r="F1296" t="s">
        <v>12</v>
      </c>
      <c r="G1296">
        <v>0</v>
      </c>
      <c r="H1296" s="413">
        <f>G1296*VLOOKUP(E1296,GWPs!$B$3:$C$6,2,FALSE)</f>
        <v>0</v>
      </c>
      <c r="I1296">
        <v>0</v>
      </c>
      <c r="J1296" s="413">
        <f>I1296*VLOOKUP(E1296,GWPs!$B$3:$C$6,2,FALSE)</f>
        <v>0</v>
      </c>
      <c r="K1296">
        <v>0</v>
      </c>
      <c r="L1296" s="413">
        <f>K1296*VLOOKUP(E1296,GWPs!$B$3:$C$6,2,FALSE)</f>
        <v>0</v>
      </c>
      <c r="N1296">
        <v>3</v>
      </c>
      <c r="O1296">
        <v>2</v>
      </c>
      <c r="P1296">
        <v>1</v>
      </c>
      <c r="Q1296">
        <v>3</v>
      </c>
      <c r="R1296">
        <v>1</v>
      </c>
    </row>
    <row r="1297" spans="1:18">
      <c r="A1297" t="str">
        <f>_xlfn.IFNA(IF(VLOOKUP(C1297,'2016_Detail_Commodity_v1.0'!C:C,1,FALSE)=C1297,"No change"),"Name changed")</f>
        <v>No change</v>
      </c>
      <c r="B1297" t="s">
        <v>951</v>
      </c>
      <c r="C1297" t="s">
        <v>952</v>
      </c>
      <c r="E1297" t="s">
        <v>15</v>
      </c>
      <c r="F1297" t="s">
        <v>16</v>
      </c>
      <c r="G1297">
        <v>2E-3</v>
      </c>
      <c r="H1297" s="413">
        <f>G1297*VLOOKUP(E1297,GWPs!$B$3:$C$6,2,FALSE)</f>
        <v>2E-3</v>
      </c>
      <c r="I1297">
        <v>0</v>
      </c>
      <c r="J1297" s="413">
        <f>I1297*VLOOKUP(E1297,GWPs!$B$3:$C$6,2,FALSE)</f>
        <v>0</v>
      </c>
      <c r="K1297">
        <v>2E-3</v>
      </c>
      <c r="L1297" s="413">
        <f>K1297*VLOOKUP(E1297,GWPs!$B$3:$C$6,2,FALSE)</f>
        <v>2E-3</v>
      </c>
      <c r="N1297">
        <v>4</v>
      </c>
      <c r="O1297">
        <v>2</v>
      </c>
      <c r="P1297">
        <v>1</v>
      </c>
      <c r="Q1297">
        <v>5</v>
      </c>
      <c r="R1297">
        <v>1</v>
      </c>
    </row>
    <row r="1298" spans="1:18">
      <c r="A1298" t="str">
        <f>_xlfn.IFNA(IF(VLOOKUP(C1298,'2016_Detail_Commodity_v1.0'!C:C,1,FALSE)=C1298,"No change"),"Name changed")</f>
        <v>No change</v>
      </c>
      <c r="B1298" t="s">
        <v>953</v>
      </c>
      <c r="C1298" t="s">
        <v>954</v>
      </c>
      <c r="E1298" t="s">
        <v>3653</v>
      </c>
      <c r="F1298" t="s">
        <v>12</v>
      </c>
      <c r="G1298">
        <v>8.0000000000000002E-3</v>
      </c>
      <c r="H1298" s="413">
        <f>G1298*VLOOKUP(E1298,GWPs!$B$3:$C$6,2,FALSE)</f>
        <v>8.0000000000000002E-3</v>
      </c>
      <c r="I1298">
        <v>0</v>
      </c>
      <c r="J1298" s="413">
        <f>I1298*VLOOKUP(E1298,GWPs!$B$3:$C$6,2,FALSE)</f>
        <v>0</v>
      </c>
      <c r="K1298">
        <v>8.0000000000000002E-3</v>
      </c>
      <c r="L1298" s="413">
        <f>K1298*VLOOKUP(E1298,GWPs!$B$3:$C$6,2,FALSE)</f>
        <v>8.0000000000000002E-3</v>
      </c>
      <c r="N1298">
        <v>3</v>
      </c>
      <c r="O1298">
        <v>2</v>
      </c>
      <c r="P1298">
        <v>1</v>
      </c>
      <c r="Q1298">
        <v>3</v>
      </c>
      <c r="R1298">
        <v>1</v>
      </c>
    </row>
    <row r="1299" spans="1:18">
      <c r="A1299" t="str">
        <f>_xlfn.IFNA(IF(VLOOKUP(C1299,'2016_Detail_Commodity_v1.0'!C:C,1,FALSE)=C1299,"No change"),"Name changed")</f>
        <v>No change</v>
      </c>
      <c r="B1299" t="s">
        <v>953</v>
      </c>
      <c r="C1299" t="s">
        <v>954</v>
      </c>
      <c r="E1299" t="s">
        <v>3654</v>
      </c>
      <c r="F1299" t="s">
        <v>12</v>
      </c>
      <c r="G1299">
        <v>0</v>
      </c>
      <c r="H1299" s="413">
        <f>G1299*VLOOKUP(E1299,GWPs!$B$3:$C$6,2,FALSE)</f>
        <v>0</v>
      </c>
      <c r="I1299">
        <v>0</v>
      </c>
      <c r="J1299" s="413">
        <f>I1299*VLOOKUP(E1299,GWPs!$B$3:$C$6,2,FALSE)</f>
        <v>0</v>
      </c>
      <c r="K1299">
        <v>0</v>
      </c>
      <c r="L1299" s="413">
        <f>K1299*VLOOKUP(E1299,GWPs!$B$3:$C$6,2,FALSE)</f>
        <v>0</v>
      </c>
      <c r="N1299">
        <v>3</v>
      </c>
      <c r="O1299">
        <v>2</v>
      </c>
      <c r="P1299">
        <v>1</v>
      </c>
      <c r="Q1299">
        <v>1</v>
      </c>
      <c r="R1299">
        <v>1</v>
      </c>
    </row>
    <row r="1300" spans="1:18">
      <c r="A1300" t="str">
        <f>_xlfn.IFNA(IF(VLOOKUP(C1300,'2016_Detail_Commodity_v1.0'!C:C,1,FALSE)=C1300,"No change"),"Name changed")</f>
        <v>No change</v>
      </c>
      <c r="B1300" t="s">
        <v>953</v>
      </c>
      <c r="C1300" t="s">
        <v>954</v>
      </c>
      <c r="E1300" t="s">
        <v>3655</v>
      </c>
      <c r="F1300" t="s">
        <v>12</v>
      </c>
      <c r="G1300">
        <v>0</v>
      </c>
      <c r="H1300" s="413">
        <f>G1300*VLOOKUP(E1300,GWPs!$B$3:$C$6,2,FALSE)</f>
        <v>0</v>
      </c>
      <c r="I1300">
        <v>0</v>
      </c>
      <c r="J1300" s="413">
        <f>I1300*VLOOKUP(E1300,GWPs!$B$3:$C$6,2,FALSE)</f>
        <v>0</v>
      </c>
      <c r="K1300">
        <v>0</v>
      </c>
      <c r="L1300" s="413">
        <f>K1300*VLOOKUP(E1300,GWPs!$B$3:$C$6,2,FALSE)</f>
        <v>0</v>
      </c>
      <c r="N1300">
        <v>3</v>
      </c>
      <c r="O1300">
        <v>2</v>
      </c>
      <c r="P1300">
        <v>1</v>
      </c>
      <c r="Q1300">
        <v>2</v>
      </c>
      <c r="R1300">
        <v>1</v>
      </c>
    </row>
    <row r="1301" spans="1:18">
      <c r="A1301" t="str">
        <f>_xlfn.IFNA(IF(VLOOKUP(C1301,'2016_Detail_Commodity_v1.0'!C:C,1,FALSE)=C1301,"No change"),"Name changed")</f>
        <v>No change</v>
      </c>
      <c r="B1301" t="s">
        <v>953</v>
      </c>
      <c r="C1301" t="s">
        <v>954</v>
      </c>
      <c r="E1301" t="s">
        <v>15</v>
      </c>
      <c r="F1301" t="s">
        <v>16</v>
      </c>
      <c r="G1301">
        <v>1E-3</v>
      </c>
      <c r="H1301" s="413">
        <f>G1301*VLOOKUP(E1301,GWPs!$B$3:$C$6,2,FALSE)</f>
        <v>1E-3</v>
      </c>
      <c r="I1301">
        <v>0</v>
      </c>
      <c r="J1301" s="413">
        <f>I1301*VLOOKUP(E1301,GWPs!$B$3:$C$6,2,FALSE)</f>
        <v>0</v>
      </c>
      <c r="K1301">
        <v>1E-3</v>
      </c>
      <c r="L1301" s="413">
        <f>K1301*VLOOKUP(E1301,GWPs!$B$3:$C$6,2,FALSE)</f>
        <v>1E-3</v>
      </c>
      <c r="N1301">
        <v>4</v>
      </c>
      <c r="O1301">
        <v>2</v>
      </c>
      <c r="P1301">
        <v>1</v>
      </c>
      <c r="Q1301">
        <v>5</v>
      </c>
      <c r="R1301">
        <v>1</v>
      </c>
    </row>
    <row r="1302" spans="1:18">
      <c r="A1302" t="str">
        <f>_xlfn.IFNA(IF(VLOOKUP(C1302,'2016_Detail_Commodity_v1.0'!C:C,1,FALSE)=C1302,"No change"),"Name changed")</f>
        <v>No change</v>
      </c>
      <c r="B1302" t="s">
        <v>955</v>
      </c>
      <c r="C1302" t="s">
        <v>21</v>
      </c>
      <c r="E1302" t="s">
        <v>3653</v>
      </c>
      <c r="F1302" t="s">
        <v>12</v>
      </c>
      <c r="G1302">
        <v>0.38100000000000001</v>
      </c>
      <c r="H1302" s="413">
        <f>G1302*VLOOKUP(E1302,GWPs!$B$3:$C$6,2,FALSE)</f>
        <v>0.38100000000000001</v>
      </c>
      <c r="I1302">
        <v>0</v>
      </c>
      <c r="J1302" s="413">
        <f>I1302*VLOOKUP(E1302,GWPs!$B$3:$C$6,2,FALSE)</f>
        <v>0</v>
      </c>
      <c r="K1302">
        <v>0.38100000000000001</v>
      </c>
      <c r="L1302" s="413">
        <f>K1302*VLOOKUP(E1302,GWPs!$B$3:$C$6,2,FALSE)</f>
        <v>0.38100000000000001</v>
      </c>
      <c r="N1302">
        <v>3</v>
      </c>
      <c r="O1302">
        <v>2</v>
      </c>
      <c r="P1302">
        <v>1</v>
      </c>
      <c r="Q1302">
        <v>3</v>
      </c>
      <c r="R1302">
        <v>1</v>
      </c>
    </row>
    <row r="1303" spans="1:18">
      <c r="A1303" t="str">
        <f>_xlfn.IFNA(IF(VLOOKUP(C1303,'2016_Detail_Commodity_v1.0'!C:C,1,FALSE)=C1303,"No change"),"Name changed")</f>
        <v>No change</v>
      </c>
      <c r="B1303" t="s">
        <v>955</v>
      </c>
      <c r="C1303" t="s">
        <v>21</v>
      </c>
      <c r="E1303" t="s">
        <v>3654</v>
      </c>
      <c r="F1303" t="s">
        <v>12</v>
      </c>
      <c r="G1303">
        <v>1E-3</v>
      </c>
      <c r="H1303" s="413">
        <f>G1303*VLOOKUP(E1303,GWPs!$B$3:$C$6,2,FALSE)</f>
        <v>2.8000000000000001E-2</v>
      </c>
      <c r="I1303">
        <v>0</v>
      </c>
      <c r="J1303" s="413">
        <f>I1303*VLOOKUP(E1303,GWPs!$B$3:$C$6,2,FALSE)</f>
        <v>0</v>
      </c>
      <c r="K1303">
        <v>1E-3</v>
      </c>
      <c r="L1303" s="413">
        <f>K1303*VLOOKUP(E1303,GWPs!$B$3:$C$6,2,FALSE)</f>
        <v>2.8000000000000001E-2</v>
      </c>
      <c r="N1303">
        <v>3</v>
      </c>
      <c r="O1303">
        <v>2</v>
      </c>
      <c r="P1303">
        <v>1</v>
      </c>
      <c r="Q1303">
        <v>1</v>
      </c>
      <c r="R1303">
        <v>1</v>
      </c>
    </row>
    <row r="1304" spans="1:18">
      <c r="A1304" t="str">
        <f>_xlfn.IFNA(IF(VLOOKUP(C1304,'2016_Detail_Commodity_v1.0'!C:C,1,FALSE)=C1304,"No change"),"Name changed")</f>
        <v>No change</v>
      </c>
      <c r="B1304" t="s">
        <v>955</v>
      </c>
      <c r="C1304" t="s">
        <v>21</v>
      </c>
      <c r="E1304" t="s">
        <v>3655</v>
      </c>
      <c r="F1304" t="s">
        <v>12</v>
      </c>
      <c r="G1304">
        <v>0</v>
      </c>
      <c r="H1304" s="413">
        <f>G1304*VLOOKUP(E1304,GWPs!$B$3:$C$6,2,FALSE)</f>
        <v>0</v>
      </c>
      <c r="I1304">
        <v>0</v>
      </c>
      <c r="J1304" s="413">
        <f>I1304*VLOOKUP(E1304,GWPs!$B$3:$C$6,2,FALSE)</f>
        <v>0</v>
      </c>
      <c r="K1304">
        <v>0</v>
      </c>
      <c r="L1304" s="413">
        <f>K1304*VLOOKUP(E1304,GWPs!$B$3:$C$6,2,FALSE)</f>
        <v>0</v>
      </c>
      <c r="N1304">
        <v>3</v>
      </c>
      <c r="O1304">
        <v>2</v>
      </c>
      <c r="P1304">
        <v>1</v>
      </c>
      <c r="Q1304">
        <v>2</v>
      </c>
      <c r="R1304">
        <v>1</v>
      </c>
    </row>
    <row r="1305" spans="1:18">
      <c r="A1305" t="str">
        <f>_xlfn.IFNA(IF(VLOOKUP(C1305,'2016_Detail_Commodity_v1.0'!C:C,1,FALSE)=C1305,"No change"),"Name changed")</f>
        <v>No change</v>
      </c>
      <c r="B1305" t="s">
        <v>955</v>
      </c>
      <c r="C1305" t="s">
        <v>21</v>
      </c>
      <c r="E1305" t="s">
        <v>15</v>
      </c>
      <c r="F1305" t="s">
        <v>16</v>
      </c>
      <c r="G1305">
        <v>6.0000000000000001E-3</v>
      </c>
      <c r="H1305" s="413">
        <f>G1305*VLOOKUP(E1305,GWPs!$B$3:$C$6,2,FALSE)</f>
        <v>6.0000000000000001E-3</v>
      </c>
      <c r="I1305">
        <v>0</v>
      </c>
      <c r="J1305" s="413">
        <f>I1305*VLOOKUP(E1305,GWPs!$B$3:$C$6,2,FALSE)</f>
        <v>0</v>
      </c>
      <c r="K1305">
        <v>6.0000000000000001E-3</v>
      </c>
      <c r="L1305" s="413">
        <f>K1305*VLOOKUP(E1305,GWPs!$B$3:$C$6,2,FALSE)</f>
        <v>6.0000000000000001E-3</v>
      </c>
      <c r="N1305">
        <v>4</v>
      </c>
      <c r="O1305">
        <v>2</v>
      </c>
      <c r="P1305">
        <v>1</v>
      </c>
      <c r="Q1305">
        <v>4</v>
      </c>
      <c r="R1305">
        <v>1</v>
      </c>
    </row>
    <row r="1306" spans="1:18">
      <c r="A1306" t="str">
        <f>_xlfn.IFNA(IF(VLOOKUP(C1306,'2016_Detail_Commodity_v1.0'!C:C,1,FALSE)=C1306,"No change"),"Name changed")</f>
        <v>No change</v>
      </c>
      <c r="B1306" t="s">
        <v>956</v>
      </c>
      <c r="C1306" t="s">
        <v>957</v>
      </c>
      <c r="E1306" t="s">
        <v>3653</v>
      </c>
      <c r="F1306" t="s">
        <v>12</v>
      </c>
      <c r="G1306">
        <v>0.14199999999999999</v>
      </c>
      <c r="H1306" s="413">
        <f>G1306*VLOOKUP(E1306,GWPs!$B$3:$C$6,2,FALSE)</f>
        <v>0.14199999999999999</v>
      </c>
      <c r="I1306">
        <v>0</v>
      </c>
      <c r="J1306" s="413">
        <f>I1306*VLOOKUP(E1306,GWPs!$B$3:$C$6,2,FALSE)</f>
        <v>0</v>
      </c>
      <c r="K1306">
        <v>0.14199999999999999</v>
      </c>
      <c r="L1306" s="413">
        <f>K1306*VLOOKUP(E1306,GWPs!$B$3:$C$6,2,FALSE)</f>
        <v>0.14199999999999999</v>
      </c>
      <c r="N1306">
        <v>3</v>
      </c>
      <c r="O1306">
        <v>2</v>
      </c>
      <c r="P1306">
        <v>1</v>
      </c>
      <c r="Q1306">
        <v>4</v>
      </c>
      <c r="R1306">
        <v>1</v>
      </c>
    </row>
    <row r="1307" spans="1:18">
      <c r="A1307" t="str">
        <f>_xlfn.IFNA(IF(VLOOKUP(C1307,'2016_Detail_Commodity_v1.0'!C:C,1,FALSE)=C1307,"No change"),"Name changed")</f>
        <v>No change</v>
      </c>
      <c r="B1307" t="s">
        <v>956</v>
      </c>
      <c r="C1307" t="s">
        <v>957</v>
      </c>
      <c r="E1307" t="s">
        <v>3654</v>
      </c>
      <c r="F1307" t="s">
        <v>12</v>
      </c>
      <c r="G1307">
        <v>1E-3</v>
      </c>
      <c r="H1307" s="413">
        <f>G1307*VLOOKUP(E1307,GWPs!$B$3:$C$6,2,FALSE)</f>
        <v>2.8000000000000001E-2</v>
      </c>
      <c r="I1307">
        <v>0</v>
      </c>
      <c r="J1307" s="413">
        <f>I1307*VLOOKUP(E1307,GWPs!$B$3:$C$6,2,FALSE)</f>
        <v>0</v>
      </c>
      <c r="K1307">
        <v>1E-3</v>
      </c>
      <c r="L1307" s="413">
        <f>K1307*VLOOKUP(E1307,GWPs!$B$3:$C$6,2,FALSE)</f>
        <v>2.8000000000000001E-2</v>
      </c>
      <c r="N1307">
        <v>4</v>
      </c>
      <c r="O1307">
        <v>2</v>
      </c>
      <c r="P1307">
        <v>1</v>
      </c>
      <c r="Q1307">
        <v>1</v>
      </c>
      <c r="R1307">
        <v>1</v>
      </c>
    </row>
    <row r="1308" spans="1:18">
      <c r="A1308" t="str">
        <f>_xlfn.IFNA(IF(VLOOKUP(C1308,'2016_Detail_Commodity_v1.0'!C:C,1,FALSE)=C1308,"No change"),"Name changed")</f>
        <v>No change</v>
      </c>
      <c r="B1308" t="s">
        <v>956</v>
      </c>
      <c r="C1308" t="s">
        <v>957</v>
      </c>
      <c r="E1308" t="s">
        <v>3655</v>
      </c>
      <c r="F1308" t="s">
        <v>12</v>
      </c>
      <c r="G1308">
        <v>0</v>
      </c>
      <c r="H1308" s="413">
        <f>G1308*VLOOKUP(E1308,GWPs!$B$3:$C$6,2,FALSE)</f>
        <v>0</v>
      </c>
      <c r="I1308">
        <v>0</v>
      </c>
      <c r="J1308" s="413">
        <f>I1308*VLOOKUP(E1308,GWPs!$B$3:$C$6,2,FALSE)</f>
        <v>0</v>
      </c>
      <c r="K1308">
        <v>0</v>
      </c>
      <c r="L1308" s="413">
        <f>K1308*VLOOKUP(E1308,GWPs!$B$3:$C$6,2,FALSE)</f>
        <v>0</v>
      </c>
      <c r="N1308">
        <v>4</v>
      </c>
      <c r="O1308">
        <v>2</v>
      </c>
      <c r="P1308">
        <v>1</v>
      </c>
      <c r="Q1308">
        <v>3</v>
      </c>
      <c r="R1308">
        <v>1</v>
      </c>
    </row>
    <row r="1309" spans="1:18">
      <c r="A1309" t="str">
        <f>_xlfn.IFNA(IF(VLOOKUP(C1309,'2016_Detail_Commodity_v1.0'!C:C,1,FALSE)=C1309,"No change"),"Name changed")</f>
        <v>No change</v>
      </c>
      <c r="B1309" t="s">
        <v>956</v>
      </c>
      <c r="C1309" t="s">
        <v>957</v>
      </c>
      <c r="E1309" t="s">
        <v>15</v>
      </c>
      <c r="F1309" t="s">
        <v>16</v>
      </c>
      <c r="G1309">
        <v>2E-3</v>
      </c>
      <c r="H1309" s="413">
        <f>G1309*VLOOKUP(E1309,GWPs!$B$3:$C$6,2,FALSE)</f>
        <v>2E-3</v>
      </c>
      <c r="I1309">
        <v>0</v>
      </c>
      <c r="J1309" s="413">
        <f>I1309*VLOOKUP(E1309,GWPs!$B$3:$C$6,2,FALSE)</f>
        <v>0</v>
      </c>
      <c r="K1309">
        <v>2E-3</v>
      </c>
      <c r="L1309" s="413">
        <f>K1309*VLOOKUP(E1309,GWPs!$B$3:$C$6,2,FALSE)</f>
        <v>2E-3</v>
      </c>
      <c r="N1309">
        <v>4</v>
      </c>
      <c r="O1309">
        <v>2</v>
      </c>
      <c r="P1309">
        <v>1</v>
      </c>
      <c r="Q1309">
        <v>4</v>
      </c>
      <c r="R1309">
        <v>1</v>
      </c>
    </row>
    <row r="1310" spans="1:18">
      <c r="A1310" t="str">
        <f>_xlfn.IFNA(IF(VLOOKUP(C1310,'2016_Detail_Commodity_v1.0'!C:C,1,FALSE)=C1310,"No change"),"Name changed")</f>
        <v>No change</v>
      </c>
      <c r="B1310" t="s">
        <v>958</v>
      </c>
      <c r="C1310" t="s">
        <v>959</v>
      </c>
      <c r="E1310" t="s">
        <v>3653</v>
      </c>
      <c r="F1310" t="s">
        <v>12</v>
      </c>
      <c r="G1310">
        <v>0.121</v>
      </c>
      <c r="H1310" s="413">
        <f>G1310*VLOOKUP(E1310,GWPs!$B$3:$C$6,2,FALSE)</f>
        <v>0.121</v>
      </c>
      <c r="I1310">
        <v>0</v>
      </c>
      <c r="J1310" s="413">
        <f>I1310*VLOOKUP(E1310,GWPs!$B$3:$C$6,2,FALSE)</f>
        <v>0</v>
      </c>
      <c r="K1310">
        <v>0.121</v>
      </c>
      <c r="L1310" s="413">
        <f>K1310*VLOOKUP(E1310,GWPs!$B$3:$C$6,2,FALSE)</f>
        <v>0.121</v>
      </c>
      <c r="N1310">
        <v>3</v>
      </c>
      <c r="O1310">
        <v>2</v>
      </c>
      <c r="P1310">
        <v>1</v>
      </c>
      <c r="Q1310">
        <v>3</v>
      </c>
      <c r="R1310">
        <v>1</v>
      </c>
    </row>
    <row r="1311" spans="1:18">
      <c r="A1311" t="str">
        <f>_xlfn.IFNA(IF(VLOOKUP(C1311,'2016_Detail_Commodity_v1.0'!C:C,1,FALSE)=C1311,"No change"),"Name changed")</f>
        <v>No change</v>
      </c>
      <c r="B1311" t="s">
        <v>958</v>
      </c>
      <c r="C1311" t="s">
        <v>959</v>
      </c>
      <c r="E1311" t="s">
        <v>3654</v>
      </c>
      <c r="F1311" t="s">
        <v>12</v>
      </c>
      <c r="G1311">
        <v>1E-3</v>
      </c>
      <c r="H1311" s="413">
        <f>G1311*VLOOKUP(E1311,GWPs!$B$3:$C$6,2,FALSE)</f>
        <v>2.8000000000000001E-2</v>
      </c>
      <c r="I1311">
        <v>0</v>
      </c>
      <c r="J1311" s="413">
        <f>I1311*VLOOKUP(E1311,GWPs!$B$3:$C$6,2,FALSE)</f>
        <v>0</v>
      </c>
      <c r="K1311">
        <v>1E-3</v>
      </c>
      <c r="L1311" s="413">
        <f>K1311*VLOOKUP(E1311,GWPs!$B$3:$C$6,2,FALSE)</f>
        <v>2.8000000000000001E-2</v>
      </c>
      <c r="N1311">
        <v>4</v>
      </c>
      <c r="O1311">
        <v>2</v>
      </c>
      <c r="P1311">
        <v>1</v>
      </c>
      <c r="Q1311">
        <v>1</v>
      </c>
      <c r="R1311">
        <v>1</v>
      </c>
    </row>
    <row r="1312" spans="1:18">
      <c r="A1312" t="str">
        <f>_xlfn.IFNA(IF(VLOOKUP(C1312,'2016_Detail_Commodity_v1.0'!C:C,1,FALSE)=C1312,"No change"),"Name changed")</f>
        <v>No change</v>
      </c>
      <c r="B1312" t="s">
        <v>958</v>
      </c>
      <c r="C1312" t="s">
        <v>959</v>
      </c>
      <c r="E1312" t="s">
        <v>3655</v>
      </c>
      <c r="F1312" t="s">
        <v>12</v>
      </c>
      <c r="G1312">
        <v>0</v>
      </c>
      <c r="H1312" s="413">
        <f>G1312*VLOOKUP(E1312,GWPs!$B$3:$C$6,2,FALSE)</f>
        <v>0</v>
      </c>
      <c r="I1312">
        <v>0</v>
      </c>
      <c r="J1312" s="413">
        <f>I1312*VLOOKUP(E1312,GWPs!$B$3:$C$6,2,FALSE)</f>
        <v>0</v>
      </c>
      <c r="K1312">
        <v>0</v>
      </c>
      <c r="L1312" s="413">
        <f>K1312*VLOOKUP(E1312,GWPs!$B$3:$C$6,2,FALSE)</f>
        <v>0</v>
      </c>
      <c r="N1312">
        <v>4</v>
      </c>
      <c r="O1312">
        <v>2</v>
      </c>
      <c r="P1312">
        <v>1</v>
      </c>
      <c r="Q1312">
        <v>3</v>
      </c>
      <c r="R1312">
        <v>1</v>
      </c>
    </row>
    <row r="1313" spans="1:18">
      <c r="A1313" t="str">
        <f>_xlfn.IFNA(IF(VLOOKUP(C1313,'2016_Detail_Commodity_v1.0'!C:C,1,FALSE)=C1313,"No change"),"Name changed")</f>
        <v>No change</v>
      </c>
      <c r="B1313" t="s">
        <v>958</v>
      </c>
      <c r="C1313" t="s">
        <v>959</v>
      </c>
      <c r="E1313" t="s">
        <v>15</v>
      </c>
      <c r="F1313" t="s">
        <v>16</v>
      </c>
      <c r="G1313">
        <v>8.0000000000000002E-3</v>
      </c>
      <c r="H1313" s="413">
        <f>G1313*VLOOKUP(E1313,GWPs!$B$3:$C$6,2,FALSE)</f>
        <v>8.0000000000000002E-3</v>
      </c>
      <c r="I1313">
        <v>0</v>
      </c>
      <c r="J1313" s="413">
        <f>I1313*VLOOKUP(E1313,GWPs!$B$3:$C$6,2,FALSE)</f>
        <v>0</v>
      </c>
      <c r="K1313">
        <v>8.0000000000000002E-3</v>
      </c>
      <c r="L1313" s="413">
        <f>K1313*VLOOKUP(E1313,GWPs!$B$3:$C$6,2,FALSE)</f>
        <v>8.0000000000000002E-3</v>
      </c>
      <c r="N1313">
        <v>4</v>
      </c>
      <c r="O1313">
        <v>2</v>
      </c>
      <c r="P1313">
        <v>1</v>
      </c>
      <c r="Q1313">
        <v>5</v>
      </c>
      <c r="R1313">
        <v>1</v>
      </c>
    </row>
    <row r="1314" spans="1:18">
      <c r="A1314" t="str">
        <f>_xlfn.IFNA(IF(VLOOKUP(C1314,'2016_Detail_Commodity_v1.0'!C:C,1,FALSE)=C1314,"No change"),"Name changed")</f>
        <v>No change</v>
      </c>
      <c r="B1314" t="s">
        <v>960</v>
      </c>
      <c r="C1314" t="s">
        <v>961</v>
      </c>
      <c r="E1314" t="s">
        <v>3653</v>
      </c>
      <c r="F1314" t="s">
        <v>12</v>
      </c>
      <c r="G1314">
        <v>0.14000000000000001</v>
      </c>
      <c r="H1314" s="413">
        <f>G1314*VLOOKUP(E1314,GWPs!$B$3:$C$6,2,FALSE)</f>
        <v>0.14000000000000001</v>
      </c>
      <c r="I1314">
        <v>0</v>
      </c>
      <c r="J1314" s="413">
        <f>I1314*VLOOKUP(E1314,GWPs!$B$3:$C$6,2,FALSE)</f>
        <v>0</v>
      </c>
      <c r="K1314">
        <v>0.14000000000000001</v>
      </c>
      <c r="L1314" s="413">
        <f>K1314*VLOOKUP(E1314,GWPs!$B$3:$C$6,2,FALSE)</f>
        <v>0.14000000000000001</v>
      </c>
      <c r="N1314">
        <v>3</v>
      </c>
      <c r="O1314">
        <v>2</v>
      </c>
      <c r="P1314">
        <v>1</v>
      </c>
      <c r="Q1314">
        <v>3</v>
      </c>
      <c r="R1314">
        <v>1</v>
      </c>
    </row>
    <row r="1315" spans="1:18">
      <c r="A1315" t="str">
        <f>_xlfn.IFNA(IF(VLOOKUP(C1315,'2016_Detail_Commodity_v1.0'!C:C,1,FALSE)=C1315,"No change"),"Name changed")</f>
        <v>No change</v>
      </c>
      <c r="B1315" t="s">
        <v>960</v>
      </c>
      <c r="C1315" t="s">
        <v>961</v>
      </c>
      <c r="E1315" t="s">
        <v>3654</v>
      </c>
      <c r="F1315" t="s">
        <v>12</v>
      </c>
      <c r="G1315">
        <v>1E-3</v>
      </c>
      <c r="H1315" s="413">
        <f>G1315*VLOOKUP(E1315,GWPs!$B$3:$C$6,2,FALSE)</f>
        <v>2.8000000000000001E-2</v>
      </c>
      <c r="I1315">
        <v>0</v>
      </c>
      <c r="J1315" s="413">
        <f>I1315*VLOOKUP(E1315,GWPs!$B$3:$C$6,2,FALSE)</f>
        <v>0</v>
      </c>
      <c r="K1315">
        <v>1E-3</v>
      </c>
      <c r="L1315" s="413">
        <f>K1315*VLOOKUP(E1315,GWPs!$B$3:$C$6,2,FALSE)</f>
        <v>2.8000000000000001E-2</v>
      </c>
      <c r="N1315">
        <v>3</v>
      </c>
      <c r="O1315">
        <v>2</v>
      </c>
      <c r="P1315">
        <v>1</v>
      </c>
      <c r="Q1315">
        <v>1</v>
      </c>
      <c r="R1315">
        <v>1</v>
      </c>
    </row>
    <row r="1316" spans="1:18">
      <c r="A1316" t="str">
        <f>_xlfn.IFNA(IF(VLOOKUP(C1316,'2016_Detail_Commodity_v1.0'!C:C,1,FALSE)=C1316,"No change"),"Name changed")</f>
        <v>No change</v>
      </c>
      <c r="B1316" t="s">
        <v>960</v>
      </c>
      <c r="C1316" t="s">
        <v>961</v>
      </c>
      <c r="E1316" t="s">
        <v>3655</v>
      </c>
      <c r="F1316" t="s">
        <v>12</v>
      </c>
      <c r="G1316">
        <v>0</v>
      </c>
      <c r="H1316" s="413">
        <f>G1316*VLOOKUP(E1316,GWPs!$B$3:$C$6,2,FALSE)</f>
        <v>0</v>
      </c>
      <c r="I1316">
        <v>0</v>
      </c>
      <c r="J1316" s="413">
        <f>I1316*VLOOKUP(E1316,GWPs!$B$3:$C$6,2,FALSE)</f>
        <v>0</v>
      </c>
      <c r="K1316">
        <v>0</v>
      </c>
      <c r="L1316" s="413">
        <f>K1316*VLOOKUP(E1316,GWPs!$B$3:$C$6,2,FALSE)</f>
        <v>0</v>
      </c>
      <c r="N1316">
        <v>3</v>
      </c>
      <c r="O1316">
        <v>2</v>
      </c>
      <c r="P1316">
        <v>1</v>
      </c>
      <c r="Q1316">
        <v>3</v>
      </c>
      <c r="R1316">
        <v>1</v>
      </c>
    </row>
    <row r="1317" spans="1:18">
      <c r="A1317" t="str">
        <f>_xlfn.IFNA(IF(VLOOKUP(C1317,'2016_Detail_Commodity_v1.0'!C:C,1,FALSE)=C1317,"No change"),"Name changed")</f>
        <v>No change</v>
      </c>
      <c r="B1317" t="s">
        <v>960</v>
      </c>
      <c r="C1317" t="s">
        <v>961</v>
      </c>
      <c r="E1317" t="s">
        <v>15</v>
      </c>
      <c r="F1317" t="s">
        <v>16</v>
      </c>
      <c r="G1317">
        <v>2E-3</v>
      </c>
      <c r="H1317" s="413">
        <f>G1317*VLOOKUP(E1317,GWPs!$B$3:$C$6,2,FALSE)</f>
        <v>2E-3</v>
      </c>
      <c r="I1317">
        <v>0</v>
      </c>
      <c r="J1317" s="413">
        <f>I1317*VLOOKUP(E1317,GWPs!$B$3:$C$6,2,FALSE)</f>
        <v>0</v>
      </c>
      <c r="K1317">
        <v>2E-3</v>
      </c>
      <c r="L1317" s="413">
        <f>K1317*VLOOKUP(E1317,GWPs!$B$3:$C$6,2,FALSE)</f>
        <v>2E-3</v>
      </c>
      <c r="N1317">
        <v>3</v>
      </c>
      <c r="O1317">
        <v>2</v>
      </c>
      <c r="P1317">
        <v>1</v>
      </c>
      <c r="Q1317">
        <v>4</v>
      </c>
      <c r="R1317">
        <v>1</v>
      </c>
    </row>
    <row r="1318" spans="1:18">
      <c r="A1318" t="str">
        <f>_xlfn.IFNA(IF(VLOOKUP(C1318,'2016_Detail_Commodity_v1.0'!C:C,1,FALSE)=C1318,"No change"),"Name changed")</f>
        <v>No change</v>
      </c>
      <c r="B1318" t="s">
        <v>962</v>
      </c>
      <c r="C1318" t="s">
        <v>963</v>
      </c>
      <c r="E1318" t="s">
        <v>3653</v>
      </c>
      <c r="F1318" t="s">
        <v>12</v>
      </c>
      <c r="G1318">
        <v>5.7000000000000002E-2</v>
      </c>
      <c r="H1318" s="413">
        <f>G1318*VLOOKUP(E1318,GWPs!$B$3:$C$6,2,FALSE)</f>
        <v>5.7000000000000002E-2</v>
      </c>
      <c r="I1318">
        <v>0</v>
      </c>
      <c r="J1318" s="413">
        <f>I1318*VLOOKUP(E1318,GWPs!$B$3:$C$6,2,FALSE)</f>
        <v>0</v>
      </c>
      <c r="K1318">
        <v>5.7000000000000002E-2</v>
      </c>
      <c r="L1318" s="413">
        <f>K1318*VLOOKUP(E1318,GWPs!$B$3:$C$6,2,FALSE)</f>
        <v>5.7000000000000002E-2</v>
      </c>
      <c r="N1318">
        <v>3</v>
      </c>
      <c r="O1318">
        <v>2</v>
      </c>
      <c r="P1318">
        <v>1</v>
      </c>
      <c r="Q1318">
        <v>3</v>
      </c>
      <c r="R1318">
        <v>1</v>
      </c>
    </row>
    <row r="1319" spans="1:18">
      <c r="A1319" t="str">
        <f>_xlfn.IFNA(IF(VLOOKUP(C1319,'2016_Detail_Commodity_v1.0'!C:C,1,FALSE)=C1319,"No change"),"Name changed")</f>
        <v>No change</v>
      </c>
      <c r="B1319" t="s">
        <v>962</v>
      </c>
      <c r="C1319" t="s">
        <v>963</v>
      </c>
      <c r="E1319" t="s">
        <v>3654</v>
      </c>
      <c r="F1319" t="s">
        <v>12</v>
      </c>
      <c r="G1319">
        <v>0</v>
      </c>
      <c r="H1319" s="413">
        <f>G1319*VLOOKUP(E1319,GWPs!$B$3:$C$6,2,FALSE)</f>
        <v>0</v>
      </c>
      <c r="I1319">
        <v>0</v>
      </c>
      <c r="J1319" s="413">
        <f>I1319*VLOOKUP(E1319,GWPs!$B$3:$C$6,2,FALSE)</f>
        <v>0</v>
      </c>
      <c r="K1319">
        <v>0</v>
      </c>
      <c r="L1319" s="413">
        <f>K1319*VLOOKUP(E1319,GWPs!$B$3:$C$6,2,FALSE)</f>
        <v>0</v>
      </c>
      <c r="N1319">
        <v>3</v>
      </c>
      <c r="O1319">
        <v>2</v>
      </c>
      <c r="P1319">
        <v>1</v>
      </c>
      <c r="Q1319">
        <v>1</v>
      </c>
      <c r="R1319">
        <v>1</v>
      </c>
    </row>
    <row r="1320" spans="1:18">
      <c r="A1320" t="str">
        <f>_xlfn.IFNA(IF(VLOOKUP(C1320,'2016_Detail_Commodity_v1.0'!C:C,1,FALSE)=C1320,"No change"),"Name changed")</f>
        <v>No change</v>
      </c>
      <c r="B1320" t="s">
        <v>962</v>
      </c>
      <c r="C1320" t="s">
        <v>963</v>
      </c>
      <c r="E1320" t="s">
        <v>3655</v>
      </c>
      <c r="F1320" t="s">
        <v>12</v>
      </c>
      <c r="G1320">
        <v>0</v>
      </c>
      <c r="H1320" s="413">
        <f>G1320*VLOOKUP(E1320,GWPs!$B$3:$C$6,2,FALSE)</f>
        <v>0</v>
      </c>
      <c r="I1320">
        <v>0</v>
      </c>
      <c r="J1320" s="413">
        <f>I1320*VLOOKUP(E1320,GWPs!$B$3:$C$6,2,FALSE)</f>
        <v>0</v>
      </c>
      <c r="K1320">
        <v>0</v>
      </c>
      <c r="L1320" s="413">
        <f>K1320*VLOOKUP(E1320,GWPs!$B$3:$C$6,2,FALSE)</f>
        <v>0</v>
      </c>
      <c r="N1320">
        <v>3</v>
      </c>
      <c r="O1320">
        <v>2</v>
      </c>
      <c r="P1320">
        <v>1</v>
      </c>
      <c r="Q1320">
        <v>3</v>
      </c>
      <c r="R1320">
        <v>1</v>
      </c>
    </row>
    <row r="1321" spans="1:18">
      <c r="A1321" t="str">
        <f>_xlfn.IFNA(IF(VLOOKUP(C1321,'2016_Detail_Commodity_v1.0'!C:C,1,FALSE)=C1321,"No change"),"Name changed")</f>
        <v>No change</v>
      </c>
      <c r="B1321" t="s">
        <v>962</v>
      </c>
      <c r="C1321" t="s">
        <v>963</v>
      </c>
      <c r="E1321" t="s">
        <v>15</v>
      </c>
      <c r="F1321" t="s">
        <v>16</v>
      </c>
      <c r="G1321">
        <v>1E-3</v>
      </c>
      <c r="H1321" s="413">
        <f>G1321*VLOOKUP(E1321,GWPs!$B$3:$C$6,2,FALSE)</f>
        <v>1E-3</v>
      </c>
      <c r="I1321">
        <v>0</v>
      </c>
      <c r="J1321" s="413">
        <f>I1321*VLOOKUP(E1321,GWPs!$B$3:$C$6,2,FALSE)</f>
        <v>0</v>
      </c>
      <c r="K1321">
        <v>1E-3</v>
      </c>
      <c r="L1321" s="413">
        <f>K1321*VLOOKUP(E1321,GWPs!$B$3:$C$6,2,FALSE)</f>
        <v>1E-3</v>
      </c>
      <c r="N1321">
        <v>4</v>
      </c>
      <c r="O1321">
        <v>2</v>
      </c>
      <c r="P1321">
        <v>1</v>
      </c>
      <c r="Q1321">
        <v>4</v>
      </c>
      <c r="R1321">
        <v>1</v>
      </c>
    </row>
    <row r="1322" spans="1:18">
      <c r="A1322" t="str">
        <f>_xlfn.IFNA(IF(VLOOKUP(C1322,'2016_Detail_Commodity_v1.0'!C:C,1,FALSE)=C1322,"No change"),"Name changed")</f>
        <v>No change</v>
      </c>
      <c r="B1322" t="s">
        <v>964</v>
      </c>
      <c r="C1322" t="s">
        <v>22</v>
      </c>
      <c r="E1322" t="s">
        <v>3653</v>
      </c>
      <c r="F1322" t="s">
        <v>12</v>
      </c>
      <c r="G1322">
        <v>5.8000000000000003E-2</v>
      </c>
      <c r="H1322" s="413">
        <f>G1322*VLOOKUP(E1322,GWPs!$B$3:$C$6,2,FALSE)</f>
        <v>5.8000000000000003E-2</v>
      </c>
      <c r="I1322">
        <v>0</v>
      </c>
      <c r="J1322" s="413">
        <f>I1322*VLOOKUP(E1322,GWPs!$B$3:$C$6,2,FALSE)</f>
        <v>0</v>
      </c>
      <c r="K1322">
        <v>5.8000000000000003E-2</v>
      </c>
      <c r="L1322" s="413">
        <f>K1322*VLOOKUP(E1322,GWPs!$B$3:$C$6,2,FALSE)</f>
        <v>5.8000000000000003E-2</v>
      </c>
      <c r="N1322">
        <v>3</v>
      </c>
      <c r="O1322">
        <v>2</v>
      </c>
      <c r="P1322">
        <v>1</v>
      </c>
      <c r="Q1322">
        <v>3</v>
      </c>
      <c r="R1322">
        <v>1</v>
      </c>
    </row>
    <row r="1323" spans="1:18">
      <c r="A1323" t="str">
        <f>_xlfn.IFNA(IF(VLOOKUP(C1323,'2016_Detail_Commodity_v1.0'!C:C,1,FALSE)=C1323,"No change"),"Name changed")</f>
        <v>No change</v>
      </c>
      <c r="B1323" t="s">
        <v>964</v>
      </c>
      <c r="C1323" t="s">
        <v>22</v>
      </c>
      <c r="E1323" t="s">
        <v>3654</v>
      </c>
      <c r="F1323" t="s">
        <v>12</v>
      </c>
      <c r="G1323">
        <v>0</v>
      </c>
      <c r="H1323" s="413">
        <f>G1323*VLOOKUP(E1323,GWPs!$B$3:$C$6,2,FALSE)</f>
        <v>0</v>
      </c>
      <c r="I1323">
        <v>0</v>
      </c>
      <c r="J1323" s="413">
        <f>I1323*VLOOKUP(E1323,GWPs!$B$3:$C$6,2,FALSE)</f>
        <v>0</v>
      </c>
      <c r="K1323">
        <v>0</v>
      </c>
      <c r="L1323" s="413">
        <f>K1323*VLOOKUP(E1323,GWPs!$B$3:$C$6,2,FALSE)</f>
        <v>0</v>
      </c>
      <c r="N1323">
        <v>3</v>
      </c>
      <c r="O1323">
        <v>2</v>
      </c>
      <c r="P1323">
        <v>1</v>
      </c>
      <c r="Q1323">
        <v>1</v>
      </c>
      <c r="R1323">
        <v>1</v>
      </c>
    </row>
    <row r="1324" spans="1:18">
      <c r="A1324" t="str">
        <f>_xlfn.IFNA(IF(VLOOKUP(C1324,'2016_Detail_Commodity_v1.0'!C:C,1,FALSE)=C1324,"No change"),"Name changed")</f>
        <v>No change</v>
      </c>
      <c r="B1324" t="s">
        <v>964</v>
      </c>
      <c r="C1324" t="s">
        <v>22</v>
      </c>
      <c r="E1324" t="s">
        <v>3655</v>
      </c>
      <c r="F1324" t="s">
        <v>12</v>
      </c>
      <c r="G1324">
        <v>0</v>
      </c>
      <c r="H1324" s="413">
        <f>G1324*VLOOKUP(E1324,GWPs!$B$3:$C$6,2,FALSE)</f>
        <v>0</v>
      </c>
      <c r="I1324">
        <v>0</v>
      </c>
      <c r="J1324" s="413">
        <f>I1324*VLOOKUP(E1324,GWPs!$B$3:$C$6,2,FALSE)</f>
        <v>0</v>
      </c>
      <c r="K1324">
        <v>0</v>
      </c>
      <c r="L1324" s="413">
        <f>K1324*VLOOKUP(E1324,GWPs!$B$3:$C$6,2,FALSE)</f>
        <v>0</v>
      </c>
      <c r="N1324">
        <v>3</v>
      </c>
      <c r="O1324">
        <v>2</v>
      </c>
      <c r="P1324">
        <v>1</v>
      </c>
      <c r="Q1324">
        <v>3</v>
      </c>
      <c r="R1324">
        <v>1</v>
      </c>
    </row>
    <row r="1325" spans="1:18">
      <c r="A1325" t="str">
        <f>_xlfn.IFNA(IF(VLOOKUP(C1325,'2016_Detail_Commodity_v1.0'!C:C,1,FALSE)=C1325,"No change"),"Name changed")</f>
        <v>No change</v>
      </c>
      <c r="B1325" t="s">
        <v>964</v>
      </c>
      <c r="C1325" t="s">
        <v>22</v>
      </c>
      <c r="E1325" t="s">
        <v>15</v>
      </c>
      <c r="F1325" t="s">
        <v>16</v>
      </c>
      <c r="G1325">
        <v>2E-3</v>
      </c>
      <c r="H1325" s="413">
        <f>G1325*VLOOKUP(E1325,GWPs!$B$3:$C$6,2,FALSE)</f>
        <v>2E-3</v>
      </c>
      <c r="I1325">
        <v>0</v>
      </c>
      <c r="J1325" s="413">
        <f>I1325*VLOOKUP(E1325,GWPs!$B$3:$C$6,2,FALSE)</f>
        <v>0</v>
      </c>
      <c r="K1325">
        <v>2E-3</v>
      </c>
      <c r="L1325" s="413">
        <f>K1325*VLOOKUP(E1325,GWPs!$B$3:$C$6,2,FALSE)</f>
        <v>2E-3</v>
      </c>
      <c r="N1325">
        <v>4</v>
      </c>
      <c r="O1325">
        <v>2</v>
      </c>
      <c r="P1325">
        <v>1</v>
      </c>
      <c r="Q1325">
        <v>4</v>
      </c>
      <c r="R1325">
        <v>1</v>
      </c>
    </row>
    <row r="1326" spans="1:18">
      <c r="A1326" t="str">
        <f>_xlfn.IFNA(IF(VLOOKUP(C1326,'2016_Detail_Commodity_v1.0'!C:C,1,FALSE)=C1326,"No change"),"Name changed")</f>
        <v>No change</v>
      </c>
      <c r="B1326" t="s">
        <v>965</v>
      </c>
      <c r="C1326" t="s">
        <v>966</v>
      </c>
      <c r="E1326" t="s">
        <v>3653</v>
      </c>
      <c r="F1326" t="s">
        <v>12</v>
      </c>
      <c r="G1326">
        <v>5.0999999999999997E-2</v>
      </c>
      <c r="H1326" s="413">
        <f>G1326*VLOOKUP(E1326,GWPs!$B$3:$C$6,2,FALSE)</f>
        <v>5.0999999999999997E-2</v>
      </c>
      <c r="I1326">
        <v>0</v>
      </c>
      <c r="J1326" s="413">
        <f>I1326*VLOOKUP(E1326,GWPs!$B$3:$C$6,2,FALSE)</f>
        <v>0</v>
      </c>
      <c r="K1326">
        <v>5.0999999999999997E-2</v>
      </c>
      <c r="L1326" s="413">
        <f>K1326*VLOOKUP(E1326,GWPs!$B$3:$C$6,2,FALSE)</f>
        <v>5.0999999999999997E-2</v>
      </c>
      <c r="N1326">
        <v>3</v>
      </c>
      <c r="O1326">
        <v>2</v>
      </c>
      <c r="P1326">
        <v>1</v>
      </c>
      <c r="Q1326">
        <v>3</v>
      </c>
      <c r="R1326">
        <v>1</v>
      </c>
    </row>
    <row r="1327" spans="1:18">
      <c r="A1327" t="str">
        <f>_xlfn.IFNA(IF(VLOOKUP(C1327,'2016_Detail_Commodity_v1.0'!C:C,1,FALSE)=C1327,"No change"),"Name changed")</f>
        <v>No change</v>
      </c>
      <c r="B1327" t="s">
        <v>965</v>
      </c>
      <c r="C1327" t="s">
        <v>966</v>
      </c>
      <c r="E1327" t="s">
        <v>3654</v>
      </c>
      <c r="F1327" t="s">
        <v>12</v>
      </c>
      <c r="G1327">
        <v>0</v>
      </c>
      <c r="H1327" s="413">
        <f>G1327*VLOOKUP(E1327,GWPs!$B$3:$C$6,2,FALSE)</f>
        <v>0</v>
      </c>
      <c r="I1327">
        <v>0</v>
      </c>
      <c r="J1327" s="413">
        <f>I1327*VLOOKUP(E1327,GWPs!$B$3:$C$6,2,FALSE)</f>
        <v>0</v>
      </c>
      <c r="K1327">
        <v>0</v>
      </c>
      <c r="L1327" s="413">
        <f>K1327*VLOOKUP(E1327,GWPs!$B$3:$C$6,2,FALSE)</f>
        <v>0</v>
      </c>
      <c r="N1327">
        <v>3</v>
      </c>
      <c r="O1327">
        <v>2</v>
      </c>
      <c r="P1327">
        <v>1</v>
      </c>
      <c r="Q1327">
        <v>1</v>
      </c>
      <c r="R1327">
        <v>1</v>
      </c>
    </row>
    <row r="1328" spans="1:18">
      <c r="A1328" t="str">
        <f>_xlfn.IFNA(IF(VLOOKUP(C1328,'2016_Detail_Commodity_v1.0'!C:C,1,FALSE)=C1328,"No change"),"Name changed")</f>
        <v>No change</v>
      </c>
      <c r="B1328" t="s">
        <v>965</v>
      </c>
      <c r="C1328" t="s">
        <v>966</v>
      </c>
      <c r="E1328" t="s">
        <v>3655</v>
      </c>
      <c r="F1328" t="s">
        <v>12</v>
      </c>
      <c r="G1328">
        <v>0</v>
      </c>
      <c r="H1328" s="413">
        <f>G1328*VLOOKUP(E1328,GWPs!$B$3:$C$6,2,FALSE)</f>
        <v>0</v>
      </c>
      <c r="I1328">
        <v>0</v>
      </c>
      <c r="J1328" s="413">
        <f>I1328*VLOOKUP(E1328,GWPs!$B$3:$C$6,2,FALSE)</f>
        <v>0</v>
      </c>
      <c r="K1328">
        <v>0</v>
      </c>
      <c r="L1328" s="413">
        <f>K1328*VLOOKUP(E1328,GWPs!$B$3:$C$6,2,FALSE)</f>
        <v>0</v>
      </c>
      <c r="N1328">
        <v>3</v>
      </c>
      <c r="O1328">
        <v>2</v>
      </c>
      <c r="P1328">
        <v>1</v>
      </c>
      <c r="Q1328">
        <v>3</v>
      </c>
      <c r="R1328">
        <v>1</v>
      </c>
    </row>
    <row r="1329" spans="1:18">
      <c r="A1329" t="str">
        <f>_xlfn.IFNA(IF(VLOOKUP(C1329,'2016_Detail_Commodity_v1.0'!C:C,1,FALSE)=C1329,"No change"),"Name changed")</f>
        <v>No change</v>
      </c>
      <c r="B1329" t="s">
        <v>965</v>
      </c>
      <c r="C1329" t="s">
        <v>966</v>
      </c>
      <c r="E1329" t="s">
        <v>15</v>
      </c>
      <c r="F1329" t="s">
        <v>16</v>
      </c>
      <c r="G1329">
        <v>1E-3</v>
      </c>
      <c r="H1329" s="413">
        <f>G1329*VLOOKUP(E1329,GWPs!$B$3:$C$6,2,FALSE)</f>
        <v>1E-3</v>
      </c>
      <c r="I1329">
        <v>0</v>
      </c>
      <c r="J1329" s="413">
        <f>I1329*VLOOKUP(E1329,GWPs!$B$3:$C$6,2,FALSE)</f>
        <v>0</v>
      </c>
      <c r="K1329">
        <v>1E-3</v>
      </c>
      <c r="L1329" s="413">
        <f>K1329*VLOOKUP(E1329,GWPs!$B$3:$C$6,2,FALSE)</f>
        <v>1E-3</v>
      </c>
      <c r="N1329">
        <v>4</v>
      </c>
      <c r="O1329">
        <v>2</v>
      </c>
      <c r="P1329">
        <v>1</v>
      </c>
      <c r="Q1329">
        <v>4</v>
      </c>
      <c r="R1329">
        <v>1</v>
      </c>
    </row>
    <row r="1330" spans="1:18">
      <c r="A1330" t="str">
        <f>_xlfn.IFNA(IF(VLOOKUP(C1330,'2016_Detail_Commodity_v1.0'!C:C,1,FALSE)=C1330,"No change"),"Name changed")</f>
        <v>No change</v>
      </c>
      <c r="B1330" t="s">
        <v>967</v>
      </c>
      <c r="C1330" t="s">
        <v>968</v>
      </c>
      <c r="E1330" t="s">
        <v>3653</v>
      </c>
      <c r="F1330" t="s">
        <v>12</v>
      </c>
      <c r="G1330">
        <v>0.115</v>
      </c>
      <c r="H1330" s="413">
        <f>G1330*VLOOKUP(E1330,GWPs!$B$3:$C$6,2,FALSE)</f>
        <v>0.115</v>
      </c>
      <c r="I1330">
        <v>0</v>
      </c>
      <c r="J1330" s="413">
        <f>I1330*VLOOKUP(E1330,GWPs!$B$3:$C$6,2,FALSE)</f>
        <v>0</v>
      </c>
      <c r="K1330">
        <v>0.115</v>
      </c>
      <c r="L1330" s="413">
        <f>K1330*VLOOKUP(E1330,GWPs!$B$3:$C$6,2,FALSE)</f>
        <v>0.115</v>
      </c>
      <c r="N1330">
        <v>3</v>
      </c>
      <c r="O1330">
        <v>2</v>
      </c>
      <c r="P1330">
        <v>1</v>
      </c>
      <c r="Q1330">
        <v>3</v>
      </c>
      <c r="R1330">
        <v>1</v>
      </c>
    </row>
    <row r="1331" spans="1:18">
      <c r="A1331" t="str">
        <f>_xlfn.IFNA(IF(VLOOKUP(C1331,'2016_Detail_Commodity_v1.0'!C:C,1,FALSE)=C1331,"No change"),"Name changed")</f>
        <v>No change</v>
      </c>
      <c r="B1331" t="s">
        <v>967</v>
      </c>
      <c r="C1331" t="s">
        <v>968</v>
      </c>
      <c r="E1331" t="s">
        <v>3654</v>
      </c>
      <c r="F1331" t="s">
        <v>12</v>
      </c>
      <c r="G1331">
        <v>0</v>
      </c>
      <c r="H1331" s="413">
        <f>G1331*VLOOKUP(E1331,GWPs!$B$3:$C$6,2,FALSE)</f>
        <v>0</v>
      </c>
      <c r="I1331">
        <v>0</v>
      </c>
      <c r="J1331" s="413">
        <f>I1331*VLOOKUP(E1331,GWPs!$B$3:$C$6,2,FALSE)</f>
        <v>0</v>
      </c>
      <c r="K1331">
        <v>0</v>
      </c>
      <c r="L1331" s="413">
        <f>K1331*VLOOKUP(E1331,GWPs!$B$3:$C$6,2,FALSE)</f>
        <v>0</v>
      </c>
      <c r="N1331">
        <v>4</v>
      </c>
      <c r="O1331">
        <v>2</v>
      </c>
      <c r="P1331">
        <v>1</v>
      </c>
      <c r="Q1331">
        <v>1</v>
      </c>
      <c r="R1331">
        <v>1</v>
      </c>
    </row>
    <row r="1332" spans="1:18">
      <c r="A1332" t="str">
        <f>_xlfn.IFNA(IF(VLOOKUP(C1332,'2016_Detail_Commodity_v1.0'!C:C,1,FALSE)=C1332,"No change"),"Name changed")</f>
        <v>No change</v>
      </c>
      <c r="B1332" t="s">
        <v>967</v>
      </c>
      <c r="C1332" t="s">
        <v>968</v>
      </c>
      <c r="E1332" t="s">
        <v>3655</v>
      </c>
      <c r="F1332" t="s">
        <v>12</v>
      </c>
      <c r="G1332">
        <v>0</v>
      </c>
      <c r="H1332" s="413">
        <f>G1332*VLOOKUP(E1332,GWPs!$B$3:$C$6,2,FALSE)</f>
        <v>0</v>
      </c>
      <c r="I1332">
        <v>0</v>
      </c>
      <c r="J1332" s="413">
        <f>I1332*VLOOKUP(E1332,GWPs!$B$3:$C$6,2,FALSE)</f>
        <v>0</v>
      </c>
      <c r="K1332">
        <v>0</v>
      </c>
      <c r="L1332" s="413">
        <f>K1332*VLOOKUP(E1332,GWPs!$B$3:$C$6,2,FALSE)</f>
        <v>0</v>
      </c>
      <c r="N1332">
        <v>3</v>
      </c>
      <c r="O1332">
        <v>2</v>
      </c>
      <c r="P1332">
        <v>1</v>
      </c>
      <c r="Q1332">
        <v>3</v>
      </c>
      <c r="R1332">
        <v>1</v>
      </c>
    </row>
    <row r="1333" spans="1:18">
      <c r="A1333" t="str">
        <f>_xlfn.IFNA(IF(VLOOKUP(C1333,'2016_Detail_Commodity_v1.0'!C:C,1,FALSE)=C1333,"No change"),"Name changed")</f>
        <v>No change</v>
      </c>
      <c r="B1333" t="s">
        <v>967</v>
      </c>
      <c r="C1333" t="s">
        <v>968</v>
      </c>
      <c r="E1333" t="s">
        <v>15</v>
      </c>
      <c r="F1333" t="s">
        <v>16</v>
      </c>
      <c r="G1333">
        <v>3.0000000000000001E-3</v>
      </c>
      <c r="H1333" s="413">
        <f>G1333*VLOOKUP(E1333,GWPs!$B$3:$C$6,2,FALSE)</f>
        <v>3.0000000000000001E-3</v>
      </c>
      <c r="I1333">
        <v>0</v>
      </c>
      <c r="J1333" s="413">
        <f>I1333*VLOOKUP(E1333,GWPs!$B$3:$C$6,2,FALSE)</f>
        <v>0</v>
      </c>
      <c r="K1333">
        <v>3.0000000000000001E-3</v>
      </c>
      <c r="L1333" s="413">
        <f>K1333*VLOOKUP(E1333,GWPs!$B$3:$C$6,2,FALSE)</f>
        <v>3.0000000000000001E-3</v>
      </c>
      <c r="N1333">
        <v>4</v>
      </c>
      <c r="O1333">
        <v>2</v>
      </c>
      <c r="P1333">
        <v>1</v>
      </c>
      <c r="Q1333">
        <v>4</v>
      </c>
      <c r="R1333">
        <v>1</v>
      </c>
    </row>
    <row r="1334" spans="1:18">
      <c r="A1334" t="str">
        <f>_xlfn.IFNA(IF(VLOOKUP(C1334,'2016_Detail_Commodity_v1.0'!C:C,1,FALSE)=C1334,"No change"),"Name changed")</f>
        <v>No change</v>
      </c>
      <c r="B1334" t="s">
        <v>969</v>
      </c>
      <c r="C1334" t="s">
        <v>970</v>
      </c>
      <c r="E1334" t="s">
        <v>3653</v>
      </c>
      <c r="F1334" t="s">
        <v>12</v>
      </c>
      <c r="G1334">
        <v>8.3000000000000004E-2</v>
      </c>
      <c r="H1334" s="413">
        <f>G1334*VLOOKUP(E1334,GWPs!$B$3:$C$6,2,FALSE)</f>
        <v>8.3000000000000004E-2</v>
      </c>
      <c r="I1334">
        <v>0</v>
      </c>
      <c r="J1334" s="413">
        <f>I1334*VLOOKUP(E1334,GWPs!$B$3:$C$6,2,FALSE)</f>
        <v>0</v>
      </c>
      <c r="K1334">
        <v>8.3000000000000004E-2</v>
      </c>
      <c r="L1334" s="413">
        <f>K1334*VLOOKUP(E1334,GWPs!$B$3:$C$6,2,FALSE)</f>
        <v>8.3000000000000004E-2</v>
      </c>
      <c r="N1334">
        <v>3</v>
      </c>
      <c r="O1334">
        <v>2</v>
      </c>
      <c r="P1334">
        <v>1</v>
      </c>
      <c r="Q1334">
        <v>3</v>
      </c>
      <c r="R1334">
        <v>1</v>
      </c>
    </row>
    <row r="1335" spans="1:18">
      <c r="A1335" t="str">
        <f>_xlfn.IFNA(IF(VLOOKUP(C1335,'2016_Detail_Commodity_v1.0'!C:C,1,FALSE)=C1335,"No change"),"Name changed")</f>
        <v>No change</v>
      </c>
      <c r="B1335" t="s">
        <v>969</v>
      </c>
      <c r="C1335" t="s">
        <v>970</v>
      </c>
      <c r="E1335" t="s">
        <v>3654</v>
      </c>
      <c r="F1335" t="s">
        <v>12</v>
      </c>
      <c r="G1335">
        <v>0</v>
      </c>
      <c r="H1335" s="413">
        <f>G1335*VLOOKUP(E1335,GWPs!$B$3:$C$6,2,FALSE)</f>
        <v>0</v>
      </c>
      <c r="I1335">
        <v>0</v>
      </c>
      <c r="J1335" s="413">
        <f>I1335*VLOOKUP(E1335,GWPs!$B$3:$C$6,2,FALSE)</f>
        <v>0</v>
      </c>
      <c r="K1335">
        <v>0</v>
      </c>
      <c r="L1335" s="413">
        <f>K1335*VLOOKUP(E1335,GWPs!$B$3:$C$6,2,FALSE)</f>
        <v>0</v>
      </c>
      <c r="N1335">
        <v>4</v>
      </c>
      <c r="O1335">
        <v>2</v>
      </c>
      <c r="P1335">
        <v>1</v>
      </c>
      <c r="Q1335">
        <v>1</v>
      </c>
      <c r="R1335">
        <v>1</v>
      </c>
    </row>
    <row r="1336" spans="1:18">
      <c r="A1336" t="str">
        <f>_xlfn.IFNA(IF(VLOOKUP(C1336,'2016_Detail_Commodity_v1.0'!C:C,1,FALSE)=C1336,"No change"),"Name changed")</f>
        <v>No change</v>
      </c>
      <c r="B1336" t="s">
        <v>969</v>
      </c>
      <c r="C1336" t="s">
        <v>970</v>
      </c>
      <c r="E1336" t="s">
        <v>3655</v>
      </c>
      <c r="F1336" t="s">
        <v>12</v>
      </c>
      <c r="G1336">
        <v>0</v>
      </c>
      <c r="H1336" s="413">
        <f>G1336*VLOOKUP(E1336,GWPs!$B$3:$C$6,2,FALSE)</f>
        <v>0</v>
      </c>
      <c r="I1336">
        <v>0</v>
      </c>
      <c r="J1336" s="413">
        <f>I1336*VLOOKUP(E1336,GWPs!$B$3:$C$6,2,FALSE)</f>
        <v>0</v>
      </c>
      <c r="K1336">
        <v>0</v>
      </c>
      <c r="L1336" s="413">
        <f>K1336*VLOOKUP(E1336,GWPs!$B$3:$C$6,2,FALSE)</f>
        <v>0</v>
      </c>
      <c r="N1336">
        <v>3</v>
      </c>
      <c r="O1336">
        <v>2</v>
      </c>
      <c r="P1336">
        <v>1</v>
      </c>
      <c r="Q1336">
        <v>3</v>
      </c>
      <c r="R1336">
        <v>1</v>
      </c>
    </row>
    <row r="1337" spans="1:18">
      <c r="A1337" t="str">
        <f>_xlfn.IFNA(IF(VLOOKUP(C1337,'2016_Detail_Commodity_v1.0'!C:C,1,FALSE)=C1337,"No change"),"Name changed")</f>
        <v>No change</v>
      </c>
      <c r="B1337" t="s">
        <v>969</v>
      </c>
      <c r="C1337" t="s">
        <v>970</v>
      </c>
      <c r="E1337" t="s">
        <v>15</v>
      </c>
      <c r="F1337" t="s">
        <v>16</v>
      </c>
      <c r="G1337">
        <v>2E-3</v>
      </c>
      <c r="H1337" s="413">
        <f>G1337*VLOOKUP(E1337,GWPs!$B$3:$C$6,2,FALSE)</f>
        <v>2E-3</v>
      </c>
      <c r="I1337">
        <v>0</v>
      </c>
      <c r="J1337" s="413">
        <f>I1337*VLOOKUP(E1337,GWPs!$B$3:$C$6,2,FALSE)</f>
        <v>0</v>
      </c>
      <c r="K1337">
        <v>2E-3</v>
      </c>
      <c r="L1337" s="413">
        <f>K1337*VLOOKUP(E1337,GWPs!$B$3:$C$6,2,FALSE)</f>
        <v>2E-3</v>
      </c>
      <c r="N1337">
        <v>4</v>
      </c>
      <c r="O1337">
        <v>2</v>
      </c>
      <c r="P1337">
        <v>1</v>
      </c>
      <c r="Q1337">
        <v>4</v>
      </c>
      <c r="R1337">
        <v>1</v>
      </c>
    </row>
    <row r="1338" spans="1:18">
      <c r="A1338" t="str">
        <f>_xlfn.IFNA(IF(VLOOKUP(C1338,'2016_Detail_Commodity_v1.0'!C:C,1,FALSE)=C1338,"No change"),"Name changed")</f>
        <v>No change</v>
      </c>
      <c r="B1338" t="s">
        <v>971</v>
      </c>
      <c r="C1338" t="s">
        <v>972</v>
      </c>
      <c r="E1338" t="s">
        <v>3653</v>
      </c>
      <c r="F1338" t="s">
        <v>12</v>
      </c>
      <c r="G1338">
        <v>8.8999999999999996E-2</v>
      </c>
      <c r="H1338" s="413">
        <f>G1338*VLOOKUP(E1338,GWPs!$B$3:$C$6,2,FALSE)</f>
        <v>8.8999999999999996E-2</v>
      </c>
      <c r="I1338">
        <v>0</v>
      </c>
      <c r="J1338" s="413">
        <f>I1338*VLOOKUP(E1338,GWPs!$B$3:$C$6,2,FALSE)</f>
        <v>0</v>
      </c>
      <c r="K1338">
        <v>8.8999999999999996E-2</v>
      </c>
      <c r="L1338" s="413">
        <f>K1338*VLOOKUP(E1338,GWPs!$B$3:$C$6,2,FALSE)</f>
        <v>8.8999999999999996E-2</v>
      </c>
      <c r="N1338">
        <v>3</v>
      </c>
      <c r="O1338">
        <v>2</v>
      </c>
      <c r="P1338">
        <v>1</v>
      </c>
      <c r="Q1338">
        <v>3</v>
      </c>
      <c r="R1338">
        <v>1</v>
      </c>
    </row>
    <row r="1339" spans="1:18">
      <c r="A1339" t="str">
        <f>_xlfn.IFNA(IF(VLOOKUP(C1339,'2016_Detail_Commodity_v1.0'!C:C,1,FALSE)=C1339,"No change"),"Name changed")</f>
        <v>No change</v>
      </c>
      <c r="B1339" t="s">
        <v>971</v>
      </c>
      <c r="C1339" t="s">
        <v>972</v>
      </c>
      <c r="E1339" t="s">
        <v>3654</v>
      </c>
      <c r="F1339" t="s">
        <v>12</v>
      </c>
      <c r="G1339">
        <v>0</v>
      </c>
      <c r="H1339" s="413">
        <f>G1339*VLOOKUP(E1339,GWPs!$B$3:$C$6,2,FALSE)</f>
        <v>0</v>
      </c>
      <c r="I1339">
        <v>0</v>
      </c>
      <c r="J1339" s="413">
        <f>I1339*VLOOKUP(E1339,GWPs!$B$3:$C$6,2,FALSE)</f>
        <v>0</v>
      </c>
      <c r="K1339">
        <v>0</v>
      </c>
      <c r="L1339" s="413">
        <f>K1339*VLOOKUP(E1339,GWPs!$B$3:$C$6,2,FALSE)</f>
        <v>0</v>
      </c>
      <c r="N1339">
        <v>3</v>
      </c>
      <c r="O1339">
        <v>2</v>
      </c>
      <c r="P1339">
        <v>1</v>
      </c>
      <c r="Q1339">
        <v>1</v>
      </c>
      <c r="R1339">
        <v>1</v>
      </c>
    </row>
    <row r="1340" spans="1:18">
      <c r="A1340" t="str">
        <f>_xlfn.IFNA(IF(VLOOKUP(C1340,'2016_Detail_Commodity_v1.0'!C:C,1,FALSE)=C1340,"No change"),"Name changed")</f>
        <v>No change</v>
      </c>
      <c r="B1340" t="s">
        <v>971</v>
      </c>
      <c r="C1340" t="s">
        <v>972</v>
      </c>
      <c r="E1340" t="s">
        <v>3655</v>
      </c>
      <c r="F1340" t="s">
        <v>12</v>
      </c>
      <c r="G1340">
        <v>0</v>
      </c>
      <c r="H1340" s="413">
        <f>G1340*VLOOKUP(E1340,GWPs!$B$3:$C$6,2,FALSE)</f>
        <v>0</v>
      </c>
      <c r="I1340">
        <v>0</v>
      </c>
      <c r="J1340" s="413">
        <f>I1340*VLOOKUP(E1340,GWPs!$B$3:$C$6,2,FALSE)</f>
        <v>0</v>
      </c>
      <c r="K1340">
        <v>0</v>
      </c>
      <c r="L1340" s="413">
        <f>K1340*VLOOKUP(E1340,GWPs!$B$3:$C$6,2,FALSE)</f>
        <v>0</v>
      </c>
      <c r="N1340">
        <v>4</v>
      </c>
      <c r="O1340">
        <v>2</v>
      </c>
      <c r="P1340">
        <v>1</v>
      </c>
      <c r="Q1340">
        <v>3</v>
      </c>
      <c r="R1340">
        <v>1</v>
      </c>
    </row>
    <row r="1341" spans="1:18">
      <c r="A1341" t="str">
        <f>_xlfn.IFNA(IF(VLOOKUP(C1341,'2016_Detail_Commodity_v1.0'!C:C,1,FALSE)=C1341,"No change"),"Name changed")</f>
        <v>No change</v>
      </c>
      <c r="B1341" t="s">
        <v>971</v>
      </c>
      <c r="C1341" t="s">
        <v>972</v>
      </c>
      <c r="E1341" t="s">
        <v>15</v>
      </c>
      <c r="F1341" t="s">
        <v>16</v>
      </c>
      <c r="G1341">
        <v>3.0000000000000001E-3</v>
      </c>
      <c r="H1341" s="413">
        <f>G1341*VLOOKUP(E1341,GWPs!$B$3:$C$6,2,FALSE)</f>
        <v>3.0000000000000001E-3</v>
      </c>
      <c r="I1341">
        <v>0</v>
      </c>
      <c r="J1341" s="413">
        <f>I1341*VLOOKUP(E1341,GWPs!$B$3:$C$6,2,FALSE)</f>
        <v>0</v>
      </c>
      <c r="K1341">
        <v>3.0000000000000001E-3</v>
      </c>
      <c r="L1341" s="413">
        <f>K1341*VLOOKUP(E1341,GWPs!$B$3:$C$6,2,FALSE)</f>
        <v>3.0000000000000001E-3</v>
      </c>
      <c r="N1341">
        <v>3</v>
      </c>
      <c r="O1341">
        <v>2</v>
      </c>
      <c r="P1341">
        <v>1</v>
      </c>
      <c r="Q1341">
        <v>4</v>
      </c>
      <c r="R1341">
        <v>1</v>
      </c>
    </row>
    <row r="1342" spans="1:18">
      <c r="A1342" t="str">
        <f>_xlfn.IFNA(IF(VLOOKUP(C1342,'2016_Detail_Commodity_v1.0'!C:C,1,FALSE)=C1342,"No change"),"Name changed")</f>
        <v>No change</v>
      </c>
      <c r="B1342" t="s">
        <v>973</v>
      </c>
      <c r="C1342" t="s">
        <v>974</v>
      </c>
      <c r="E1342" t="s">
        <v>3653</v>
      </c>
      <c r="F1342" t="s">
        <v>12</v>
      </c>
      <c r="G1342">
        <v>0.06</v>
      </c>
      <c r="H1342" s="413">
        <f>G1342*VLOOKUP(E1342,GWPs!$B$3:$C$6,2,FALSE)</f>
        <v>0.06</v>
      </c>
      <c r="I1342">
        <v>0</v>
      </c>
      <c r="J1342" s="413">
        <f>I1342*VLOOKUP(E1342,GWPs!$B$3:$C$6,2,FALSE)</f>
        <v>0</v>
      </c>
      <c r="K1342">
        <v>0.06</v>
      </c>
      <c r="L1342" s="413">
        <f>K1342*VLOOKUP(E1342,GWPs!$B$3:$C$6,2,FALSE)</f>
        <v>0.06</v>
      </c>
      <c r="N1342">
        <v>3</v>
      </c>
      <c r="O1342">
        <v>2</v>
      </c>
      <c r="P1342">
        <v>1</v>
      </c>
      <c r="Q1342">
        <v>3</v>
      </c>
      <c r="R1342">
        <v>1</v>
      </c>
    </row>
    <row r="1343" spans="1:18">
      <c r="A1343" t="str">
        <f>_xlfn.IFNA(IF(VLOOKUP(C1343,'2016_Detail_Commodity_v1.0'!C:C,1,FALSE)=C1343,"No change"),"Name changed")</f>
        <v>No change</v>
      </c>
      <c r="B1343" t="s">
        <v>973</v>
      </c>
      <c r="C1343" t="s">
        <v>974</v>
      </c>
      <c r="E1343" t="s">
        <v>3654</v>
      </c>
      <c r="F1343" t="s">
        <v>12</v>
      </c>
      <c r="G1343">
        <v>0</v>
      </c>
      <c r="H1343" s="413">
        <f>G1343*VLOOKUP(E1343,GWPs!$B$3:$C$6,2,FALSE)</f>
        <v>0</v>
      </c>
      <c r="I1343">
        <v>0</v>
      </c>
      <c r="J1343" s="413">
        <f>I1343*VLOOKUP(E1343,GWPs!$B$3:$C$6,2,FALSE)</f>
        <v>0</v>
      </c>
      <c r="K1343">
        <v>0</v>
      </c>
      <c r="L1343" s="413">
        <f>K1343*VLOOKUP(E1343,GWPs!$B$3:$C$6,2,FALSE)</f>
        <v>0</v>
      </c>
      <c r="N1343">
        <v>3</v>
      </c>
      <c r="O1343">
        <v>2</v>
      </c>
      <c r="P1343">
        <v>1</v>
      </c>
      <c r="Q1343">
        <v>1</v>
      </c>
      <c r="R1343">
        <v>1</v>
      </c>
    </row>
    <row r="1344" spans="1:18">
      <c r="A1344" t="str">
        <f>_xlfn.IFNA(IF(VLOOKUP(C1344,'2016_Detail_Commodity_v1.0'!C:C,1,FALSE)=C1344,"No change"),"Name changed")</f>
        <v>No change</v>
      </c>
      <c r="B1344" t="s">
        <v>973</v>
      </c>
      <c r="C1344" t="s">
        <v>974</v>
      </c>
      <c r="E1344" t="s">
        <v>3655</v>
      </c>
      <c r="F1344" t="s">
        <v>12</v>
      </c>
      <c r="G1344">
        <v>0</v>
      </c>
      <c r="H1344" s="413">
        <f>G1344*VLOOKUP(E1344,GWPs!$B$3:$C$6,2,FALSE)</f>
        <v>0</v>
      </c>
      <c r="I1344">
        <v>0</v>
      </c>
      <c r="J1344" s="413">
        <f>I1344*VLOOKUP(E1344,GWPs!$B$3:$C$6,2,FALSE)</f>
        <v>0</v>
      </c>
      <c r="K1344">
        <v>0</v>
      </c>
      <c r="L1344" s="413">
        <f>K1344*VLOOKUP(E1344,GWPs!$B$3:$C$6,2,FALSE)</f>
        <v>0</v>
      </c>
      <c r="N1344">
        <v>3</v>
      </c>
      <c r="O1344">
        <v>2</v>
      </c>
      <c r="P1344">
        <v>1</v>
      </c>
      <c r="Q1344">
        <v>3</v>
      </c>
      <c r="R1344">
        <v>1</v>
      </c>
    </row>
    <row r="1345" spans="1:18">
      <c r="A1345" t="str">
        <f>_xlfn.IFNA(IF(VLOOKUP(C1345,'2016_Detail_Commodity_v1.0'!C:C,1,FALSE)=C1345,"No change"),"Name changed")</f>
        <v>No change</v>
      </c>
      <c r="B1345" t="s">
        <v>973</v>
      </c>
      <c r="C1345" t="s">
        <v>974</v>
      </c>
      <c r="E1345" t="s">
        <v>15</v>
      </c>
      <c r="F1345" t="s">
        <v>16</v>
      </c>
      <c r="G1345">
        <v>8.0000000000000002E-3</v>
      </c>
      <c r="H1345" s="413">
        <f>G1345*VLOOKUP(E1345,GWPs!$B$3:$C$6,2,FALSE)</f>
        <v>8.0000000000000002E-3</v>
      </c>
      <c r="I1345">
        <v>0</v>
      </c>
      <c r="J1345" s="413">
        <f>I1345*VLOOKUP(E1345,GWPs!$B$3:$C$6,2,FALSE)</f>
        <v>0</v>
      </c>
      <c r="K1345">
        <v>8.0000000000000002E-3</v>
      </c>
      <c r="L1345" s="413">
        <f>K1345*VLOOKUP(E1345,GWPs!$B$3:$C$6,2,FALSE)</f>
        <v>8.0000000000000002E-3</v>
      </c>
      <c r="N1345">
        <v>4</v>
      </c>
      <c r="O1345">
        <v>2</v>
      </c>
      <c r="P1345">
        <v>1</v>
      </c>
      <c r="Q1345">
        <v>5</v>
      </c>
      <c r="R1345">
        <v>1</v>
      </c>
    </row>
    <row r="1346" spans="1:18">
      <c r="A1346" t="str">
        <f>_xlfn.IFNA(IF(VLOOKUP(C1346,'2016_Detail_Commodity_v1.0'!C:C,1,FALSE)=C1346,"No change"),"Name changed")</f>
        <v>No change</v>
      </c>
      <c r="B1346" t="s">
        <v>975</v>
      </c>
      <c r="C1346" t="s">
        <v>976</v>
      </c>
      <c r="E1346" t="s">
        <v>3653</v>
      </c>
      <c r="F1346" t="s">
        <v>12</v>
      </c>
      <c r="G1346">
        <v>7.5999999999999998E-2</v>
      </c>
      <c r="H1346" s="413">
        <f>G1346*VLOOKUP(E1346,GWPs!$B$3:$C$6,2,FALSE)</f>
        <v>7.5999999999999998E-2</v>
      </c>
      <c r="I1346">
        <v>0</v>
      </c>
      <c r="J1346" s="413">
        <f>I1346*VLOOKUP(E1346,GWPs!$B$3:$C$6,2,FALSE)</f>
        <v>0</v>
      </c>
      <c r="K1346">
        <v>7.5999999999999998E-2</v>
      </c>
      <c r="L1346" s="413">
        <f>K1346*VLOOKUP(E1346,GWPs!$B$3:$C$6,2,FALSE)</f>
        <v>7.5999999999999998E-2</v>
      </c>
      <c r="N1346">
        <v>3</v>
      </c>
      <c r="O1346">
        <v>2</v>
      </c>
      <c r="P1346">
        <v>1</v>
      </c>
      <c r="Q1346">
        <v>3</v>
      </c>
      <c r="R1346">
        <v>1</v>
      </c>
    </row>
    <row r="1347" spans="1:18">
      <c r="A1347" t="str">
        <f>_xlfn.IFNA(IF(VLOOKUP(C1347,'2016_Detail_Commodity_v1.0'!C:C,1,FALSE)=C1347,"No change"),"Name changed")</f>
        <v>No change</v>
      </c>
      <c r="B1347" t="s">
        <v>975</v>
      </c>
      <c r="C1347" t="s">
        <v>976</v>
      </c>
      <c r="E1347" t="s">
        <v>3654</v>
      </c>
      <c r="F1347" t="s">
        <v>12</v>
      </c>
      <c r="G1347">
        <v>0</v>
      </c>
      <c r="H1347" s="413">
        <f>G1347*VLOOKUP(E1347,GWPs!$B$3:$C$6,2,FALSE)</f>
        <v>0</v>
      </c>
      <c r="I1347">
        <v>0</v>
      </c>
      <c r="J1347" s="413">
        <f>I1347*VLOOKUP(E1347,GWPs!$B$3:$C$6,2,FALSE)</f>
        <v>0</v>
      </c>
      <c r="K1347">
        <v>0</v>
      </c>
      <c r="L1347" s="413">
        <f>K1347*VLOOKUP(E1347,GWPs!$B$3:$C$6,2,FALSE)</f>
        <v>0</v>
      </c>
      <c r="N1347">
        <v>3</v>
      </c>
      <c r="O1347">
        <v>2</v>
      </c>
      <c r="P1347">
        <v>1</v>
      </c>
      <c r="Q1347">
        <v>1</v>
      </c>
      <c r="R1347">
        <v>1</v>
      </c>
    </row>
    <row r="1348" spans="1:18">
      <c r="A1348" t="str">
        <f>_xlfn.IFNA(IF(VLOOKUP(C1348,'2016_Detail_Commodity_v1.0'!C:C,1,FALSE)=C1348,"No change"),"Name changed")</f>
        <v>No change</v>
      </c>
      <c r="B1348" t="s">
        <v>975</v>
      </c>
      <c r="C1348" t="s">
        <v>976</v>
      </c>
      <c r="E1348" t="s">
        <v>3655</v>
      </c>
      <c r="F1348" t="s">
        <v>12</v>
      </c>
      <c r="G1348">
        <v>0</v>
      </c>
      <c r="H1348" s="413">
        <f>G1348*VLOOKUP(E1348,GWPs!$B$3:$C$6,2,FALSE)</f>
        <v>0</v>
      </c>
      <c r="I1348">
        <v>0</v>
      </c>
      <c r="J1348" s="413">
        <f>I1348*VLOOKUP(E1348,GWPs!$B$3:$C$6,2,FALSE)</f>
        <v>0</v>
      </c>
      <c r="K1348">
        <v>0</v>
      </c>
      <c r="L1348" s="413">
        <f>K1348*VLOOKUP(E1348,GWPs!$B$3:$C$6,2,FALSE)</f>
        <v>0</v>
      </c>
      <c r="N1348">
        <v>3</v>
      </c>
      <c r="O1348">
        <v>2</v>
      </c>
      <c r="P1348">
        <v>1</v>
      </c>
      <c r="Q1348">
        <v>3</v>
      </c>
      <c r="R1348">
        <v>1</v>
      </c>
    </row>
    <row r="1349" spans="1:18">
      <c r="A1349" t="str">
        <f>_xlfn.IFNA(IF(VLOOKUP(C1349,'2016_Detail_Commodity_v1.0'!C:C,1,FALSE)=C1349,"No change"),"Name changed")</f>
        <v>No change</v>
      </c>
      <c r="B1349" t="s">
        <v>975</v>
      </c>
      <c r="C1349" t="s">
        <v>976</v>
      </c>
      <c r="E1349" t="s">
        <v>15</v>
      </c>
      <c r="F1349" t="s">
        <v>16</v>
      </c>
      <c r="G1349">
        <v>4.0000000000000001E-3</v>
      </c>
      <c r="H1349" s="413">
        <f>G1349*VLOOKUP(E1349,GWPs!$B$3:$C$6,2,FALSE)</f>
        <v>4.0000000000000001E-3</v>
      </c>
      <c r="I1349">
        <v>0</v>
      </c>
      <c r="J1349" s="413">
        <f>I1349*VLOOKUP(E1349,GWPs!$B$3:$C$6,2,FALSE)</f>
        <v>0</v>
      </c>
      <c r="K1349">
        <v>4.0000000000000001E-3</v>
      </c>
      <c r="L1349" s="413">
        <f>K1349*VLOOKUP(E1349,GWPs!$B$3:$C$6,2,FALSE)</f>
        <v>4.0000000000000001E-3</v>
      </c>
      <c r="N1349">
        <v>4</v>
      </c>
      <c r="O1349">
        <v>2</v>
      </c>
      <c r="P1349">
        <v>1</v>
      </c>
      <c r="Q1349">
        <v>4</v>
      </c>
      <c r="R1349">
        <v>1</v>
      </c>
    </row>
    <row r="1350" spans="1:18">
      <c r="A1350" t="str">
        <f>_xlfn.IFNA(IF(VLOOKUP(C1350,'2016_Detail_Commodity_v1.0'!C:C,1,FALSE)=C1350,"No change"),"Name changed")</f>
        <v>No change</v>
      </c>
      <c r="B1350" t="s">
        <v>977</v>
      </c>
      <c r="C1350" t="s">
        <v>978</v>
      </c>
      <c r="E1350" t="s">
        <v>3653</v>
      </c>
      <c r="F1350" t="s">
        <v>12</v>
      </c>
      <c r="G1350">
        <v>7.1999999999999995E-2</v>
      </c>
      <c r="H1350" s="413">
        <f>G1350*VLOOKUP(E1350,GWPs!$B$3:$C$6,2,FALSE)</f>
        <v>7.1999999999999995E-2</v>
      </c>
      <c r="I1350">
        <v>0</v>
      </c>
      <c r="J1350" s="413">
        <f>I1350*VLOOKUP(E1350,GWPs!$B$3:$C$6,2,FALSE)</f>
        <v>0</v>
      </c>
      <c r="K1350">
        <v>7.1999999999999995E-2</v>
      </c>
      <c r="L1350" s="413">
        <f>K1350*VLOOKUP(E1350,GWPs!$B$3:$C$6,2,FALSE)</f>
        <v>7.1999999999999995E-2</v>
      </c>
      <c r="N1350">
        <v>3</v>
      </c>
      <c r="O1350">
        <v>2</v>
      </c>
      <c r="P1350">
        <v>1</v>
      </c>
      <c r="Q1350">
        <v>3</v>
      </c>
      <c r="R1350">
        <v>1</v>
      </c>
    </row>
    <row r="1351" spans="1:18">
      <c r="A1351" t="str">
        <f>_xlfn.IFNA(IF(VLOOKUP(C1351,'2016_Detail_Commodity_v1.0'!C:C,1,FALSE)=C1351,"No change"),"Name changed")</f>
        <v>No change</v>
      </c>
      <c r="B1351" t="s">
        <v>977</v>
      </c>
      <c r="C1351" t="s">
        <v>978</v>
      </c>
      <c r="E1351" t="s">
        <v>3654</v>
      </c>
      <c r="F1351" t="s">
        <v>12</v>
      </c>
      <c r="G1351">
        <v>0</v>
      </c>
      <c r="H1351" s="413">
        <f>G1351*VLOOKUP(E1351,GWPs!$B$3:$C$6,2,FALSE)</f>
        <v>0</v>
      </c>
      <c r="I1351">
        <v>0</v>
      </c>
      <c r="J1351" s="413">
        <f>I1351*VLOOKUP(E1351,GWPs!$B$3:$C$6,2,FALSE)</f>
        <v>0</v>
      </c>
      <c r="K1351">
        <v>0</v>
      </c>
      <c r="L1351" s="413">
        <f>K1351*VLOOKUP(E1351,GWPs!$B$3:$C$6,2,FALSE)</f>
        <v>0</v>
      </c>
      <c r="N1351">
        <v>3</v>
      </c>
      <c r="O1351">
        <v>2</v>
      </c>
      <c r="P1351">
        <v>1</v>
      </c>
      <c r="Q1351">
        <v>1</v>
      </c>
      <c r="R1351">
        <v>1</v>
      </c>
    </row>
    <row r="1352" spans="1:18">
      <c r="A1352" t="str">
        <f>_xlfn.IFNA(IF(VLOOKUP(C1352,'2016_Detail_Commodity_v1.0'!C:C,1,FALSE)=C1352,"No change"),"Name changed")</f>
        <v>No change</v>
      </c>
      <c r="B1352" t="s">
        <v>977</v>
      </c>
      <c r="C1352" t="s">
        <v>978</v>
      </c>
      <c r="E1352" t="s">
        <v>3655</v>
      </c>
      <c r="F1352" t="s">
        <v>12</v>
      </c>
      <c r="G1352">
        <v>0</v>
      </c>
      <c r="H1352" s="413">
        <f>G1352*VLOOKUP(E1352,GWPs!$B$3:$C$6,2,FALSE)</f>
        <v>0</v>
      </c>
      <c r="I1352">
        <v>0</v>
      </c>
      <c r="J1352" s="413">
        <f>I1352*VLOOKUP(E1352,GWPs!$B$3:$C$6,2,FALSE)</f>
        <v>0</v>
      </c>
      <c r="K1352">
        <v>0</v>
      </c>
      <c r="L1352" s="413">
        <f>K1352*VLOOKUP(E1352,GWPs!$B$3:$C$6,2,FALSE)</f>
        <v>0</v>
      </c>
      <c r="N1352">
        <v>3</v>
      </c>
      <c r="O1352">
        <v>2</v>
      </c>
      <c r="P1352">
        <v>1</v>
      </c>
      <c r="Q1352">
        <v>3</v>
      </c>
      <c r="R1352">
        <v>1</v>
      </c>
    </row>
    <row r="1353" spans="1:18">
      <c r="A1353" t="str">
        <f>_xlfn.IFNA(IF(VLOOKUP(C1353,'2016_Detail_Commodity_v1.0'!C:C,1,FALSE)=C1353,"No change"),"Name changed")</f>
        <v>No change</v>
      </c>
      <c r="B1353" t="s">
        <v>977</v>
      </c>
      <c r="C1353" t="s">
        <v>978</v>
      </c>
      <c r="E1353" t="s">
        <v>15</v>
      </c>
      <c r="F1353" t="s">
        <v>16</v>
      </c>
      <c r="G1353">
        <v>3.0000000000000001E-3</v>
      </c>
      <c r="H1353" s="413">
        <f>G1353*VLOOKUP(E1353,GWPs!$B$3:$C$6,2,FALSE)</f>
        <v>3.0000000000000001E-3</v>
      </c>
      <c r="I1353">
        <v>0</v>
      </c>
      <c r="J1353" s="413">
        <f>I1353*VLOOKUP(E1353,GWPs!$B$3:$C$6,2,FALSE)</f>
        <v>0</v>
      </c>
      <c r="K1353">
        <v>3.0000000000000001E-3</v>
      </c>
      <c r="L1353" s="413">
        <f>K1353*VLOOKUP(E1353,GWPs!$B$3:$C$6,2,FALSE)</f>
        <v>3.0000000000000001E-3</v>
      </c>
      <c r="N1353">
        <v>4</v>
      </c>
      <c r="O1353">
        <v>2</v>
      </c>
      <c r="P1353">
        <v>1</v>
      </c>
      <c r="Q1353">
        <v>5</v>
      </c>
      <c r="R1353">
        <v>1</v>
      </c>
    </row>
    <row r="1354" spans="1:18">
      <c r="A1354" t="str">
        <f>_xlfn.IFNA(IF(VLOOKUP(C1354,'2016_Detail_Commodity_v1.0'!C:C,1,FALSE)=C1354,"No change"),"Name changed")</f>
        <v>No change</v>
      </c>
      <c r="B1354" t="s">
        <v>979</v>
      </c>
      <c r="C1354" t="s">
        <v>980</v>
      </c>
      <c r="E1354" t="s">
        <v>3653</v>
      </c>
      <c r="F1354" t="s">
        <v>12</v>
      </c>
      <c r="G1354">
        <v>6.9000000000000006E-2</v>
      </c>
      <c r="H1354" s="413">
        <f>G1354*VLOOKUP(E1354,GWPs!$B$3:$C$6,2,FALSE)</f>
        <v>6.9000000000000006E-2</v>
      </c>
      <c r="I1354">
        <v>0</v>
      </c>
      <c r="J1354" s="413">
        <f>I1354*VLOOKUP(E1354,GWPs!$B$3:$C$6,2,FALSE)</f>
        <v>0</v>
      </c>
      <c r="K1354">
        <v>6.9000000000000006E-2</v>
      </c>
      <c r="L1354" s="413">
        <f>K1354*VLOOKUP(E1354,GWPs!$B$3:$C$6,2,FALSE)</f>
        <v>6.9000000000000006E-2</v>
      </c>
      <c r="N1354">
        <v>3</v>
      </c>
      <c r="O1354">
        <v>2</v>
      </c>
      <c r="P1354">
        <v>1</v>
      </c>
      <c r="Q1354">
        <v>3</v>
      </c>
      <c r="R1354">
        <v>1</v>
      </c>
    </row>
    <row r="1355" spans="1:18">
      <c r="A1355" t="str">
        <f>_xlfn.IFNA(IF(VLOOKUP(C1355,'2016_Detail_Commodity_v1.0'!C:C,1,FALSE)=C1355,"No change"),"Name changed")</f>
        <v>No change</v>
      </c>
      <c r="B1355" t="s">
        <v>979</v>
      </c>
      <c r="C1355" t="s">
        <v>980</v>
      </c>
      <c r="E1355" t="s">
        <v>3654</v>
      </c>
      <c r="F1355" t="s">
        <v>12</v>
      </c>
      <c r="G1355">
        <v>0</v>
      </c>
      <c r="H1355" s="413">
        <f>G1355*VLOOKUP(E1355,GWPs!$B$3:$C$6,2,FALSE)</f>
        <v>0</v>
      </c>
      <c r="I1355">
        <v>0</v>
      </c>
      <c r="J1355" s="413">
        <f>I1355*VLOOKUP(E1355,GWPs!$B$3:$C$6,2,FALSE)</f>
        <v>0</v>
      </c>
      <c r="K1355">
        <v>0</v>
      </c>
      <c r="L1355" s="413">
        <f>K1355*VLOOKUP(E1355,GWPs!$B$3:$C$6,2,FALSE)</f>
        <v>0</v>
      </c>
      <c r="N1355">
        <v>3</v>
      </c>
      <c r="O1355">
        <v>2</v>
      </c>
      <c r="P1355">
        <v>1</v>
      </c>
      <c r="Q1355">
        <v>1</v>
      </c>
      <c r="R1355">
        <v>1</v>
      </c>
    </row>
    <row r="1356" spans="1:18">
      <c r="A1356" t="str">
        <f>_xlfn.IFNA(IF(VLOOKUP(C1356,'2016_Detail_Commodity_v1.0'!C:C,1,FALSE)=C1356,"No change"),"Name changed")</f>
        <v>No change</v>
      </c>
      <c r="B1356" t="s">
        <v>979</v>
      </c>
      <c r="C1356" t="s">
        <v>980</v>
      </c>
      <c r="E1356" t="s">
        <v>3655</v>
      </c>
      <c r="F1356" t="s">
        <v>12</v>
      </c>
      <c r="G1356">
        <v>0</v>
      </c>
      <c r="H1356" s="413">
        <f>G1356*VLOOKUP(E1356,GWPs!$B$3:$C$6,2,FALSE)</f>
        <v>0</v>
      </c>
      <c r="I1356">
        <v>0</v>
      </c>
      <c r="J1356" s="413">
        <f>I1356*VLOOKUP(E1356,GWPs!$B$3:$C$6,2,FALSE)</f>
        <v>0</v>
      </c>
      <c r="K1356">
        <v>0</v>
      </c>
      <c r="L1356" s="413">
        <f>K1356*VLOOKUP(E1356,GWPs!$B$3:$C$6,2,FALSE)</f>
        <v>0</v>
      </c>
      <c r="N1356">
        <v>3</v>
      </c>
      <c r="O1356">
        <v>2</v>
      </c>
      <c r="P1356">
        <v>1</v>
      </c>
      <c r="Q1356">
        <v>3</v>
      </c>
      <c r="R1356">
        <v>1</v>
      </c>
    </row>
    <row r="1357" spans="1:18">
      <c r="A1357" t="str">
        <f>_xlfn.IFNA(IF(VLOOKUP(C1357,'2016_Detail_Commodity_v1.0'!C:C,1,FALSE)=C1357,"No change"),"Name changed")</f>
        <v>No change</v>
      </c>
      <c r="B1357" t="s">
        <v>979</v>
      </c>
      <c r="C1357" t="s">
        <v>980</v>
      </c>
      <c r="E1357" t="s">
        <v>15</v>
      </c>
      <c r="F1357" t="s">
        <v>16</v>
      </c>
      <c r="G1357">
        <v>2E-3</v>
      </c>
      <c r="H1357" s="413">
        <f>G1357*VLOOKUP(E1357,GWPs!$B$3:$C$6,2,FALSE)</f>
        <v>2E-3</v>
      </c>
      <c r="I1357">
        <v>0</v>
      </c>
      <c r="J1357" s="413">
        <f>I1357*VLOOKUP(E1357,GWPs!$B$3:$C$6,2,FALSE)</f>
        <v>0</v>
      </c>
      <c r="K1357">
        <v>2E-3</v>
      </c>
      <c r="L1357" s="413">
        <f>K1357*VLOOKUP(E1357,GWPs!$B$3:$C$6,2,FALSE)</f>
        <v>2E-3</v>
      </c>
      <c r="N1357">
        <v>4</v>
      </c>
      <c r="O1357">
        <v>2</v>
      </c>
      <c r="P1357">
        <v>1</v>
      </c>
      <c r="Q1357">
        <v>4</v>
      </c>
      <c r="R1357">
        <v>1</v>
      </c>
    </row>
    <row r="1358" spans="1:18">
      <c r="A1358" t="str">
        <f>_xlfn.IFNA(IF(VLOOKUP(C1358,'2016_Detail_Commodity_v1.0'!C:C,1,FALSE)=C1358,"No change"),"Name changed")</f>
        <v>No change</v>
      </c>
      <c r="B1358" t="s">
        <v>981</v>
      </c>
      <c r="C1358" t="s">
        <v>982</v>
      </c>
      <c r="E1358" t="s">
        <v>3653</v>
      </c>
      <c r="F1358" t="s">
        <v>12</v>
      </c>
      <c r="G1358">
        <v>0.152</v>
      </c>
      <c r="H1358" s="413">
        <f>G1358*VLOOKUP(E1358,GWPs!$B$3:$C$6,2,FALSE)</f>
        <v>0.152</v>
      </c>
      <c r="I1358">
        <v>0</v>
      </c>
      <c r="J1358" s="413">
        <f>I1358*VLOOKUP(E1358,GWPs!$B$3:$C$6,2,FALSE)</f>
        <v>0</v>
      </c>
      <c r="K1358">
        <v>0.152</v>
      </c>
      <c r="L1358" s="413">
        <f>K1358*VLOOKUP(E1358,GWPs!$B$3:$C$6,2,FALSE)</f>
        <v>0.152</v>
      </c>
      <c r="N1358">
        <v>3</v>
      </c>
      <c r="O1358">
        <v>2</v>
      </c>
      <c r="P1358">
        <v>1</v>
      </c>
      <c r="Q1358">
        <v>3</v>
      </c>
      <c r="R1358">
        <v>1</v>
      </c>
    </row>
    <row r="1359" spans="1:18">
      <c r="A1359" t="str">
        <f>_xlfn.IFNA(IF(VLOOKUP(C1359,'2016_Detail_Commodity_v1.0'!C:C,1,FALSE)=C1359,"No change"),"Name changed")</f>
        <v>No change</v>
      </c>
      <c r="B1359" t="s">
        <v>981</v>
      </c>
      <c r="C1359" t="s">
        <v>982</v>
      </c>
      <c r="E1359" t="s">
        <v>3654</v>
      </c>
      <c r="F1359" t="s">
        <v>12</v>
      </c>
      <c r="G1359">
        <v>1E-3</v>
      </c>
      <c r="H1359" s="413">
        <f>G1359*VLOOKUP(E1359,GWPs!$B$3:$C$6,2,FALSE)</f>
        <v>2.8000000000000001E-2</v>
      </c>
      <c r="I1359">
        <v>0</v>
      </c>
      <c r="J1359" s="413">
        <f>I1359*VLOOKUP(E1359,GWPs!$B$3:$C$6,2,FALSE)</f>
        <v>0</v>
      </c>
      <c r="K1359">
        <v>1E-3</v>
      </c>
      <c r="L1359" s="413">
        <f>K1359*VLOOKUP(E1359,GWPs!$B$3:$C$6,2,FALSE)</f>
        <v>2.8000000000000001E-2</v>
      </c>
      <c r="N1359">
        <v>3</v>
      </c>
      <c r="O1359">
        <v>2</v>
      </c>
      <c r="P1359">
        <v>1</v>
      </c>
      <c r="Q1359">
        <v>1</v>
      </c>
      <c r="R1359">
        <v>1</v>
      </c>
    </row>
    <row r="1360" spans="1:18">
      <c r="A1360" t="str">
        <f>_xlfn.IFNA(IF(VLOOKUP(C1360,'2016_Detail_Commodity_v1.0'!C:C,1,FALSE)=C1360,"No change"),"Name changed")</f>
        <v>No change</v>
      </c>
      <c r="B1360" t="s">
        <v>981</v>
      </c>
      <c r="C1360" t="s">
        <v>982</v>
      </c>
      <c r="E1360" t="s">
        <v>3655</v>
      </c>
      <c r="F1360" t="s">
        <v>12</v>
      </c>
      <c r="G1360">
        <v>0</v>
      </c>
      <c r="H1360" s="413">
        <f>G1360*VLOOKUP(E1360,GWPs!$B$3:$C$6,2,FALSE)</f>
        <v>0</v>
      </c>
      <c r="I1360">
        <v>0</v>
      </c>
      <c r="J1360" s="413">
        <f>I1360*VLOOKUP(E1360,GWPs!$B$3:$C$6,2,FALSE)</f>
        <v>0</v>
      </c>
      <c r="K1360">
        <v>0</v>
      </c>
      <c r="L1360" s="413">
        <f>K1360*VLOOKUP(E1360,GWPs!$B$3:$C$6,2,FALSE)</f>
        <v>0</v>
      </c>
      <c r="N1360">
        <v>4</v>
      </c>
      <c r="O1360">
        <v>2</v>
      </c>
      <c r="P1360">
        <v>1</v>
      </c>
      <c r="Q1360">
        <v>3</v>
      </c>
      <c r="R1360">
        <v>1</v>
      </c>
    </row>
    <row r="1361" spans="1:18">
      <c r="A1361" t="str">
        <f>_xlfn.IFNA(IF(VLOOKUP(C1361,'2016_Detail_Commodity_v1.0'!C:C,1,FALSE)=C1361,"No change"),"Name changed")</f>
        <v>No change</v>
      </c>
      <c r="B1361" t="s">
        <v>981</v>
      </c>
      <c r="C1361" t="s">
        <v>982</v>
      </c>
      <c r="E1361" t="s">
        <v>15</v>
      </c>
      <c r="F1361" t="s">
        <v>16</v>
      </c>
      <c r="G1361">
        <v>6.0000000000000001E-3</v>
      </c>
      <c r="H1361" s="413">
        <f>G1361*VLOOKUP(E1361,GWPs!$B$3:$C$6,2,FALSE)</f>
        <v>6.0000000000000001E-3</v>
      </c>
      <c r="I1361">
        <v>0</v>
      </c>
      <c r="J1361" s="413">
        <f>I1361*VLOOKUP(E1361,GWPs!$B$3:$C$6,2,FALSE)</f>
        <v>0</v>
      </c>
      <c r="K1361">
        <v>6.0000000000000001E-3</v>
      </c>
      <c r="L1361" s="413">
        <f>K1361*VLOOKUP(E1361,GWPs!$B$3:$C$6,2,FALSE)</f>
        <v>6.0000000000000001E-3</v>
      </c>
      <c r="N1361">
        <v>3</v>
      </c>
      <c r="O1361">
        <v>2</v>
      </c>
      <c r="P1361">
        <v>1</v>
      </c>
      <c r="Q1361">
        <v>4</v>
      </c>
      <c r="R1361">
        <v>1</v>
      </c>
    </row>
    <row r="1362" spans="1:18">
      <c r="A1362" t="str">
        <f>_xlfn.IFNA(IF(VLOOKUP(C1362,'2016_Detail_Commodity_v1.0'!C:C,1,FALSE)=C1362,"No change"),"Name changed")</f>
        <v>No change</v>
      </c>
      <c r="B1362" t="s">
        <v>983</v>
      </c>
      <c r="C1362" t="s">
        <v>984</v>
      </c>
      <c r="E1362" t="s">
        <v>3653</v>
      </c>
      <c r="F1362" t="s">
        <v>12</v>
      </c>
      <c r="G1362">
        <v>0.113</v>
      </c>
      <c r="H1362" s="413">
        <f>G1362*VLOOKUP(E1362,GWPs!$B$3:$C$6,2,FALSE)</f>
        <v>0.113</v>
      </c>
      <c r="I1362">
        <v>0</v>
      </c>
      <c r="J1362" s="413">
        <f>I1362*VLOOKUP(E1362,GWPs!$B$3:$C$6,2,FALSE)</f>
        <v>0</v>
      </c>
      <c r="K1362">
        <v>0.113</v>
      </c>
      <c r="L1362" s="413">
        <f>K1362*VLOOKUP(E1362,GWPs!$B$3:$C$6,2,FALSE)</f>
        <v>0.113</v>
      </c>
      <c r="N1362">
        <v>3</v>
      </c>
      <c r="O1362">
        <v>2</v>
      </c>
      <c r="P1362">
        <v>1</v>
      </c>
      <c r="Q1362">
        <v>3</v>
      </c>
      <c r="R1362">
        <v>1</v>
      </c>
    </row>
    <row r="1363" spans="1:18">
      <c r="A1363" t="str">
        <f>_xlfn.IFNA(IF(VLOOKUP(C1363,'2016_Detail_Commodity_v1.0'!C:C,1,FALSE)=C1363,"No change"),"Name changed")</f>
        <v>No change</v>
      </c>
      <c r="B1363" t="s">
        <v>983</v>
      </c>
      <c r="C1363" t="s">
        <v>984</v>
      </c>
      <c r="E1363" t="s">
        <v>3654</v>
      </c>
      <c r="F1363" t="s">
        <v>12</v>
      </c>
      <c r="G1363">
        <v>0</v>
      </c>
      <c r="H1363" s="413">
        <f>G1363*VLOOKUP(E1363,GWPs!$B$3:$C$6,2,FALSE)</f>
        <v>0</v>
      </c>
      <c r="I1363">
        <v>0</v>
      </c>
      <c r="J1363" s="413">
        <f>I1363*VLOOKUP(E1363,GWPs!$B$3:$C$6,2,FALSE)</f>
        <v>0</v>
      </c>
      <c r="K1363">
        <v>0</v>
      </c>
      <c r="L1363" s="413">
        <f>K1363*VLOOKUP(E1363,GWPs!$B$3:$C$6,2,FALSE)</f>
        <v>0</v>
      </c>
      <c r="N1363">
        <v>3</v>
      </c>
      <c r="O1363">
        <v>2</v>
      </c>
      <c r="P1363">
        <v>1</v>
      </c>
      <c r="Q1363">
        <v>1</v>
      </c>
      <c r="R1363">
        <v>1</v>
      </c>
    </row>
    <row r="1364" spans="1:18">
      <c r="A1364" t="str">
        <f>_xlfn.IFNA(IF(VLOOKUP(C1364,'2016_Detail_Commodity_v1.0'!C:C,1,FALSE)=C1364,"No change"),"Name changed")</f>
        <v>No change</v>
      </c>
      <c r="B1364" t="s">
        <v>983</v>
      </c>
      <c r="C1364" t="s">
        <v>984</v>
      </c>
      <c r="E1364" t="s">
        <v>3655</v>
      </c>
      <c r="F1364" t="s">
        <v>12</v>
      </c>
      <c r="G1364">
        <v>0</v>
      </c>
      <c r="H1364" s="413">
        <f>G1364*VLOOKUP(E1364,GWPs!$B$3:$C$6,2,FALSE)</f>
        <v>0</v>
      </c>
      <c r="I1364">
        <v>0</v>
      </c>
      <c r="J1364" s="413">
        <f>I1364*VLOOKUP(E1364,GWPs!$B$3:$C$6,2,FALSE)</f>
        <v>0</v>
      </c>
      <c r="K1364">
        <v>0</v>
      </c>
      <c r="L1364" s="413">
        <f>K1364*VLOOKUP(E1364,GWPs!$B$3:$C$6,2,FALSE)</f>
        <v>0</v>
      </c>
      <c r="N1364">
        <v>3</v>
      </c>
      <c r="O1364">
        <v>2</v>
      </c>
      <c r="P1364">
        <v>1</v>
      </c>
      <c r="Q1364">
        <v>3</v>
      </c>
      <c r="R1364">
        <v>1</v>
      </c>
    </row>
    <row r="1365" spans="1:18">
      <c r="A1365" t="str">
        <f>_xlfn.IFNA(IF(VLOOKUP(C1365,'2016_Detail_Commodity_v1.0'!C:C,1,FALSE)=C1365,"No change"),"Name changed")</f>
        <v>No change</v>
      </c>
      <c r="B1365" t="s">
        <v>983</v>
      </c>
      <c r="C1365" t="s">
        <v>984</v>
      </c>
      <c r="E1365" t="s">
        <v>15</v>
      </c>
      <c r="F1365" t="s">
        <v>16</v>
      </c>
      <c r="G1365">
        <v>7.0000000000000001E-3</v>
      </c>
      <c r="H1365" s="413">
        <f>G1365*VLOOKUP(E1365,GWPs!$B$3:$C$6,2,FALSE)</f>
        <v>7.0000000000000001E-3</v>
      </c>
      <c r="I1365">
        <v>0</v>
      </c>
      <c r="J1365" s="413">
        <f>I1365*VLOOKUP(E1365,GWPs!$B$3:$C$6,2,FALSE)</f>
        <v>0</v>
      </c>
      <c r="K1365">
        <v>7.0000000000000001E-3</v>
      </c>
      <c r="L1365" s="413">
        <f>K1365*VLOOKUP(E1365,GWPs!$B$3:$C$6,2,FALSE)</f>
        <v>7.0000000000000001E-3</v>
      </c>
      <c r="N1365">
        <v>4</v>
      </c>
      <c r="O1365">
        <v>2</v>
      </c>
      <c r="P1365">
        <v>1</v>
      </c>
      <c r="Q1365">
        <v>4</v>
      </c>
      <c r="R1365">
        <v>1</v>
      </c>
    </row>
    <row r="1366" spans="1:18">
      <c r="A1366" t="str">
        <f>_xlfn.IFNA(IF(VLOOKUP(C1366,'2016_Detail_Commodity_v1.0'!C:C,1,FALSE)=C1366,"No change"),"Name changed")</f>
        <v>No change</v>
      </c>
      <c r="B1366" t="s">
        <v>985</v>
      </c>
      <c r="C1366" t="s">
        <v>986</v>
      </c>
      <c r="E1366" t="s">
        <v>3653</v>
      </c>
      <c r="F1366" t="s">
        <v>12</v>
      </c>
      <c r="G1366">
        <v>0.114</v>
      </c>
      <c r="H1366" s="413">
        <f>G1366*VLOOKUP(E1366,GWPs!$B$3:$C$6,2,FALSE)</f>
        <v>0.114</v>
      </c>
      <c r="I1366">
        <v>0</v>
      </c>
      <c r="J1366" s="413">
        <f>I1366*VLOOKUP(E1366,GWPs!$B$3:$C$6,2,FALSE)</f>
        <v>0</v>
      </c>
      <c r="K1366">
        <v>0.114</v>
      </c>
      <c r="L1366" s="413">
        <f>K1366*VLOOKUP(E1366,GWPs!$B$3:$C$6,2,FALSE)</f>
        <v>0.114</v>
      </c>
      <c r="N1366">
        <v>3</v>
      </c>
      <c r="O1366">
        <v>2</v>
      </c>
      <c r="P1366">
        <v>1</v>
      </c>
      <c r="Q1366">
        <v>3</v>
      </c>
      <c r="R1366">
        <v>1</v>
      </c>
    </row>
    <row r="1367" spans="1:18">
      <c r="A1367" t="str">
        <f>_xlfn.IFNA(IF(VLOOKUP(C1367,'2016_Detail_Commodity_v1.0'!C:C,1,FALSE)=C1367,"No change"),"Name changed")</f>
        <v>No change</v>
      </c>
      <c r="B1367" t="s">
        <v>985</v>
      </c>
      <c r="C1367" t="s">
        <v>986</v>
      </c>
      <c r="E1367" t="s">
        <v>3654</v>
      </c>
      <c r="F1367" t="s">
        <v>12</v>
      </c>
      <c r="G1367">
        <v>0</v>
      </c>
      <c r="H1367" s="413">
        <f>G1367*VLOOKUP(E1367,GWPs!$B$3:$C$6,2,FALSE)</f>
        <v>0</v>
      </c>
      <c r="I1367">
        <v>0</v>
      </c>
      <c r="J1367" s="413">
        <f>I1367*VLOOKUP(E1367,GWPs!$B$3:$C$6,2,FALSE)</f>
        <v>0</v>
      </c>
      <c r="K1367">
        <v>0</v>
      </c>
      <c r="L1367" s="413">
        <f>K1367*VLOOKUP(E1367,GWPs!$B$3:$C$6,2,FALSE)</f>
        <v>0</v>
      </c>
      <c r="N1367">
        <v>3</v>
      </c>
      <c r="O1367">
        <v>2</v>
      </c>
      <c r="P1367">
        <v>1</v>
      </c>
      <c r="Q1367">
        <v>1</v>
      </c>
      <c r="R1367">
        <v>1</v>
      </c>
    </row>
    <row r="1368" spans="1:18">
      <c r="A1368" t="str">
        <f>_xlfn.IFNA(IF(VLOOKUP(C1368,'2016_Detail_Commodity_v1.0'!C:C,1,FALSE)=C1368,"No change"),"Name changed")</f>
        <v>No change</v>
      </c>
      <c r="B1368" t="s">
        <v>985</v>
      </c>
      <c r="C1368" t="s">
        <v>986</v>
      </c>
      <c r="E1368" t="s">
        <v>3655</v>
      </c>
      <c r="F1368" t="s">
        <v>12</v>
      </c>
      <c r="G1368">
        <v>0</v>
      </c>
      <c r="H1368" s="413">
        <f>G1368*VLOOKUP(E1368,GWPs!$B$3:$C$6,2,FALSE)</f>
        <v>0</v>
      </c>
      <c r="I1368">
        <v>0</v>
      </c>
      <c r="J1368" s="413">
        <f>I1368*VLOOKUP(E1368,GWPs!$B$3:$C$6,2,FALSE)</f>
        <v>0</v>
      </c>
      <c r="K1368">
        <v>0</v>
      </c>
      <c r="L1368" s="413">
        <f>K1368*VLOOKUP(E1368,GWPs!$B$3:$C$6,2,FALSE)</f>
        <v>0</v>
      </c>
      <c r="N1368">
        <v>3</v>
      </c>
      <c r="O1368">
        <v>2</v>
      </c>
      <c r="P1368">
        <v>1</v>
      </c>
      <c r="Q1368">
        <v>3</v>
      </c>
      <c r="R1368">
        <v>1</v>
      </c>
    </row>
    <row r="1369" spans="1:18">
      <c r="A1369" t="str">
        <f>_xlfn.IFNA(IF(VLOOKUP(C1369,'2016_Detail_Commodity_v1.0'!C:C,1,FALSE)=C1369,"No change"),"Name changed")</f>
        <v>No change</v>
      </c>
      <c r="B1369" t="s">
        <v>985</v>
      </c>
      <c r="C1369" t="s">
        <v>986</v>
      </c>
      <c r="E1369" t="s">
        <v>15</v>
      </c>
      <c r="F1369" t="s">
        <v>16</v>
      </c>
      <c r="G1369">
        <v>2E-3</v>
      </c>
      <c r="H1369" s="413">
        <f>G1369*VLOOKUP(E1369,GWPs!$B$3:$C$6,2,FALSE)</f>
        <v>2E-3</v>
      </c>
      <c r="I1369">
        <v>0</v>
      </c>
      <c r="J1369" s="413">
        <f>I1369*VLOOKUP(E1369,GWPs!$B$3:$C$6,2,FALSE)</f>
        <v>0</v>
      </c>
      <c r="K1369">
        <v>2E-3</v>
      </c>
      <c r="L1369" s="413">
        <f>K1369*VLOOKUP(E1369,GWPs!$B$3:$C$6,2,FALSE)</f>
        <v>2E-3</v>
      </c>
      <c r="N1369">
        <v>4</v>
      </c>
      <c r="O1369">
        <v>2</v>
      </c>
      <c r="P1369">
        <v>1</v>
      </c>
      <c r="Q1369">
        <v>4</v>
      </c>
      <c r="R1369">
        <v>1</v>
      </c>
    </row>
    <row r="1370" spans="1:18">
      <c r="A1370" t="str">
        <f>_xlfn.IFNA(IF(VLOOKUP(C1370,'2016_Detail_Commodity_v1.0'!C:C,1,FALSE)=C1370,"No change"),"Name changed")</f>
        <v>No change</v>
      </c>
      <c r="B1370" t="s">
        <v>987</v>
      </c>
      <c r="C1370" t="s">
        <v>988</v>
      </c>
      <c r="E1370" t="s">
        <v>3653</v>
      </c>
      <c r="F1370" t="s">
        <v>12</v>
      </c>
      <c r="G1370">
        <v>0.09</v>
      </c>
      <c r="H1370" s="413">
        <f>G1370*VLOOKUP(E1370,GWPs!$B$3:$C$6,2,FALSE)</f>
        <v>0.09</v>
      </c>
      <c r="I1370">
        <v>0</v>
      </c>
      <c r="J1370" s="413">
        <f>I1370*VLOOKUP(E1370,GWPs!$B$3:$C$6,2,FALSE)</f>
        <v>0</v>
      </c>
      <c r="K1370">
        <v>0.09</v>
      </c>
      <c r="L1370" s="413">
        <f>K1370*VLOOKUP(E1370,GWPs!$B$3:$C$6,2,FALSE)</f>
        <v>0.09</v>
      </c>
      <c r="N1370">
        <v>3</v>
      </c>
      <c r="O1370">
        <v>2</v>
      </c>
      <c r="P1370">
        <v>1</v>
      </c>
      <c r="Q1370">
        <v>3</v>
      </c>
      <c r="R1370">
        <v>1</v>
      </c>
    </row>
    <row r="1371" spans="1:18">
      <c r="A1371" t="str">
        <f>_xlfn.IFNA(IF(VLOOKUP(C1371,'2016_Detail_Commodity_v1.0'!C:C,1,FALSE)=C1371,"No change"),"Name changed")</f>
        <v>No change</v>
      </c>
      <c r="B1371" t="s">
        <v>987</v>
      </c>
      <c r="C1371" t="s">
        <v>988</v>
      </c>
      <c r="E1371" t="s">
        <v>3654</v>
      </c>
      <c r="F1371" t="s">
        <v>12</v>
      </c>
      <c r="G1371">
        <v>1E-3</v>
      </c>
      <c r="H1371" s="413">
        <f>G1371*VLOOKUP(E1371,GWPs!$B$3:$C$6,2,FALSE)</f>
        <v>2.8000000000000001E-2</v>
      </c>
      <c r="I1371">
        <v>0</v>
      </c>
      <c r="J1371" s="413">
        <f>I1371*VLOOKUP(E1371,GWPs!$B$3:$C$6,2,FALSE)</f>
        <v>0</v>
      </c>
      <c r="K1371">
        <v>1E-3</v>
      </c>
      <c r="L1371" s="413">
        <f>K1371*VLOOKUP(E1371,GWPs!$B$3:$C$6,2,FALSE)</f>
        <v>2.8000000000000001E-2</v>
      </c>
      <c r="N1371">
        <v>3</v>
      </c>
      <c r="O1371">
        <v>2</v>
      </c>
      <c r="P1371">
        <v>1</v>
      </c>
      <c r="Q1371">
        <v>1</v>
      </c>
      <c r="R1371">
        <v>1</v>
      </c>
    </row>
    <row r="1372" spans="1:18">
      <c r="A1372" t="str">
        <f>_xlfn.IFNA(IF(VLOOKUP(C1372,'2016_Detail_Commodity_v1.0'!C:C,1,FALSE)=C1372,"No change"),"Name changed")</f>
        <v>No change</v>
      </c>
      <c r="B1372" t="s">
        <v>987</v>
      </c>
      <c r="C1372" t="s">
        <v>988</v>
      </c>
      <c r="E1372" t="s">
        <v>3655</v>
      </c>
      <c r="F1372" t="s">
        <v>12</v>
      </c>
      <c r="G1372">
        <v>0</v>
      </c>
      <c r="H1372" s="413">
        <f>G1372*VLOOKUP(E1372,GWPs!$B$3:$C$6,2,FALSE)</f>
        <v>0</v>
      </c>
      <c r="I1372">
        <v>0</v>
      </c>
      <c r="J1372" s="413">
        <f>I1372*VLOOKUP(E1372,GWPs!$B$3:$C$6,2,FALSE)</f>
        <v>0</v>
      </c>
      <c r="K1372">
        <v>0</v>
      </c>
      <c r="L1372" s="413">
        <f>K1372*VLOOKUP(E1372,GWPs!$B$3:$C$6,2,FALSE)</f>
        <v>0</v>
      </c>
      <c r="N1372">
        <v>4</v>
      </c>
      <c r="O1372">
        <v>2</v>
      </c>
      <c r="P1372">
        <v>1</v>
      </c>
      <c r="Q1372">
        <v>4</v>
      </c>
      <c r="R1372">
        <v>1</v>
      </c>
    </row>
    <row r="1373" spans="1:18">
      <c r="A1373" t="str">
        <f>_xlfn.IFNA(IF(VLOOKUP(C1373,'2016_Detail_Commodity_v1.0'!C:C,1,FALSE)=C1373,"No change"),"Name changed")</f>
        <v>No change</v>
      </c>
      <c r="B1373" t="s">
        <v>987</v>
      </c>
      <c r="C1373" t="s">
        <v>988</v>
      </c>
      <c r="E1373" t="s">
        <v>15</v>
      </c>
      <c r="F1373" t="s">
        <v>16</v>
      </c>
      <c r="G1373">
        <v>2E-3</v>
      </c>
      <c r="H1373" s="413">
        <f>G1373*VLOOKUP(E1373,GWPs!$B$3:$C$6,2,FALSE)</f>
        <v>2E-3</v>
      </c>
      <c r="I1373">
        <v>0</v>
      </c>
      <c r="J1373" s="413">
        <f>I1373*VLOOKUP(E1373,GWPs!$B$3:$C$6,2,FALSE)</f>
        <v>0</v>
      </c>
      <c r="K1373">
        <v>2E-3</v>
      </c>
      <c r="L1373" s="413">
        <f>K1373*VLOOKUP(E1373,GWPs!$B$3:$C$6,2,FALSE)</f>
        <v>2E-3</v>
      </c>
      <c r="N1373">
        <v>3</v>
      </c>
      <c r="O1373">
        <v>2</v>
      </c>
      <c r="P1373">
        <v>1</v>
      </c>
      <c r="Q1373">
        <v>3</v>
      </c>
      <c r="R1373">
        <v>1</v>
      </c>
    </row>
    <row r="1374" spans="1:18">
      <c r="A1374" t="str">
        <f>_xlfn.IFNA(IF(VLOOKUP(C1374,'2016_Detail_Commodity_v1.0'!C:C,1,FALSE)=C1374,"No change"),"Name changed")</f>
        <v>No change</v>
      </c>
      <c r="B1374" t="s">
        <v>989</v>
      </c>
      <c r="C1374" t="s">
        <v>990</v>
      </c>
      <c r="E1374" t="s">
        <v>3653</v>
      </c>
      <c r="F1374" t="s">
        <v>12</v>
      </c>
      <c r="G1374">
        <v>7.1999999999999995E-2</v>
      </c>
      <c r="H1374" s="413">
        <f>G1374*VLOOKUP(E1374,GWPs!$B$3:$C$6,2,FALSE)</f>
        <v>7.1999999999999995E-2</v>
      </c>
      <c r="I1374">
        <v>0</v>
      </c>
      <c r="J1374" s="413">
        <f>I1374*VLOOKUP(E1374,GWPs!$B$3:$C$6,2,FALSE)</f>
        <v>0</v>
      </c>
      <c r="K1374">
        <v>7.1999999999999995E-2</v>
      </c>
      <c r="L1374" s="413">
        <f>K1374*VLOOKUP(E1374,GWPs!$B$3:$C$6,2,FALSE)</f>
        <v>7.1999999999999995E-2</v>
      </c>
      <c r="N1374">
        <v>3</v>
      </c>
      <c r="O1374">
        <v>2</v>
      </c>
      <c r="P1374">
        <v>1</v>
      </c>
      <c r="Q1374">
        <v>3</v>
      </c>
      <c r="R1374">
        <v>1</v>
      </c>
    </row>
    <row r="1375" spans="1:18">
      <c r="A1375" t="str">
        <f>_xlfn.IFNA(IF(VLOOKUP(C1375,'2016_Detail_Commodity_v1.0'!C:C,1,FALSE)=C1375,"No change"),"Name changed")</f>
        <v>No change</v>
      </c>
      <c r="B1375" t="s">
        <v>989</v>
      </c>
      <c r="C1375" t="s">
        <v>990</v>
      </c>
      <c r="E1375" t="s">
        <v>3654</v>
      </c>
      <c r="F1375" t="s">
        <v>12</v>
      </c>
      <c r="G1375">
        <v>0</v>
      </c>
      <c r="H1375" s="413">
        <f>G1375*VLOOKUP(E1375,GWPs!$B$3:$C$6,2,FALSE)</f>
        <v>0</v>
      </c>
      <c r="I1375">
        <v>0</v>
      </c>
      <c r="J1375" s="413">
        <f>I1375*VLOOKUP(E1375,GWPs!$B$3:$C$6,2,FALSE)</f>
        <v>0</v>
      </c>
      <c r="K1375">
        <v>0</v>
      </c>
      <c r="L1375" s="413">
        <f>K1375*VLOOKUP(E1375,GWPs!$B$3:$C$6,2,FALSE)</f>
        <v>0</v>
      </c>
      <c r="N1375">
        <v>3</v>
      </c>
      <c r="O1375">
        <v>2</v>
      </c>
      <c r="P1375">
        <v>1</v>
      </c>
      <c r="Q1375">
        <v>1</v>
      </c>
      <c r="R1375">
        <v>1</v>
      </c>
    </row>
    <row r="1376" spans="1:18">
      <c r="A1376" t="str">
        <f>_xlfn.IFNA(IF(VLOOKUP(C1376,'2016_Detail_Commodity_v1.0'!C:C,1,FALSE)=C1376,"No change"),"Name changed")</f>
        <v>No change</v>
      </c>
      <c r="B1376" t="s">
        <v>989</v>
      </c>
      <c r="C1376" t="s">
        <v>990</v>
      </c>
      <c r="E1376" t="s">
        <v>3655</v>
      </c>
      <c r="F1376" t="s">
        <v>12</v>
      </c>
      <c r="G1376">
        <v>0</v>
      </c>
      <c r="H1376" s="413">
        <f>G1376*VLOOKUP(E1376,GWPs!$B$3:$C$6,2,FALSE)</f>
        <v>0</v>
      </c>
      <c r="I1376">
        <v>0</v>
      </c>
      <c r="J1376" s="413">
        <f>I1376*VLOOKUP(E1376,GWPs!$B$3:$C$6,2,FALSE)</f>
        <v>0</v>
      </c>
      <c r="K1376">
        <v>0</v>
      </c>
      <c r="L1376" s="413">
        <f>K1376*VLOOKUP(E1376,GWPs!$B$3:$C$6,2,FALSE)</f>
        <v>0</v>
      </c>
      <c r="N1376">
        <v>3</v>
      </c>
      <c r="O1376">
        <v>2</v>
      </c>
      <c r="P1376">
        <v>1</v>
      </c>
      <c r="Q1376">
        <v>3</v>
      </c>
      <c r="R1376">
        <v>1</v>
      </c>
    </row>
    <row r="1377" spans="1:18">
      <c r="A1377" t="str">
        <f>_xlfn.IFNA(IF(VLOOKUP(C1377,'2016_Detail_Commodity_v1.0'!C:C,1,FALSE)=C1377,"No change"),"Name changed")</f>
        <v>No change</v>
      </c>
      <c r="B1377" t="s">
        <v>989</v>
      </c>
      <c r="C1377" t="s">
        <v>990</v>
      </c>
      <c r="E1377" t="s">
        <v>15</v>
      </c>
      <c r="F1377" t="s">
        <v>16</v>
      </c>
      <c r="G1377">
        <v>2E-3</v>
      </c>
      <c r="H1377" s="413">
        <f>G1377*VLOOKUP(E1377,GWPs!$B$3:$C$6,2,FALSE)</f>
        <v>2E-3</v>
      </c>
      <c r="I1377">
        <v>0</v>
      </c>
      <c r="J1377" s="413">
        <f>I1377*VLOOKUP(E1377,GWPs!$B$3:$C$6,2,FALSE)</f>
        <v>0</v>
      </c>
      <c r="K1377">
        <v>2E-3</v>
      </c>
      <c r="L1377" s="413">
        <f>K1377*VLOOKUP(E1377,GWPs!$B$3:$C$6,2,FALSE)</f>
        <v>2E-3</v>
      </c>
      <c r="N1377">
        <v>3</v>
      </c>
      <c r="O1377">
        <v>2</v>
      </c>
      <c r="P1377">
        <v>1</v>
      </c>
      <c r="Q1377">
        <v>4</v>
      </c>
      <c r="R1377">
        <v>1</v>
      </c>
    </row>
    <row r="1378" spans="1:18">
      <c r="A1378" t="str">
        <f>_xlfn.IFNA(IF(VLOOKUP(C1378,'2016_Detail_Commodity_v1.0'!C:C,1,FALSE)=C1378,"No change"),"Name changed")</f>
        <v>No change</v>
      </c>
      <c r="B1378" t="s">
        <v>991</v>
      </c>
      <c r="C1378" t="s">
        <v>992</v>
      </c>
      <c r="E1378" t="s">
        <v>3653</v>
      </c>
      <c r="F1378" t="s">
        <v>12</v>
      </c>
      <c r="G1378">
        <v>0.127</v>
      </c>
      <c r="H1378" s="413">
        <f>G1378*VLOOKUP(E1378,GWPs!$B$3:$C$6,2,FALSE)</f>
        <v>0.127</v>
      </c>
      <c r="I1378">
        <v>0</v>
      </c>
      <c r="J1378" s="413">
        <f>I1378*VLOOKUP(E1378,GWPs!$B$3:$C$6,2,FALSE)</f>
        <v>0</v>
      </c>
      <c r="K1378">
        <v>0.127</v>
      </c>
      <c r="L1378" s="413">
        <f>K1378*VLOOKUP(E1378,GWPs!$B$3:$C$6,2,FALSE)</f>
        <v>0.127</v>
      </c>
      <c r="N1378">
        <v>3</v>
      </c>
      <c r="O1378">
        <v>2</v>
      </c>
      <c r="P1378">
        <v>1</v>
      </c>
      <c r="Q1378">
        <v>3</v>
      </c>
      <c r="R1378">
        <v>1</v>
      </c>
    </row>
    <row r="1379" spans="1:18">
      <c r="A1379" t="str">
        <f>_xlfn.IFNA(IF(VLOOKUP(C1379,'2016_Detail_Commodity_v1.0'!C:C,1,FALSE)=C1379,"No change"),"Name changed")</f>
        <v>No change</v>
      </c>
      <c r="B1379" t="s">
        <v>991</v>
      </c>
      <c r="C1379" t="s">
        <v>992</v>
      </c>
      <c r="E1379" t="s">
        <v>3654</v>
      </c>
      <c r="F1379" t="s">
        <v>12</v>
      </c>
      <c r="G1379">
        <v>0</v>
      </c>
      <c r="H1379" s="413">
        <f>G1379*VLOOKUP(E1379,GWPs!$B$3:$C$6,2,FALSE)</f>
        <v>0</v>
      </c>
      <c r="I1379">
        <v>0</v>
      </c>
      <c r="J1379" s="413">
        <f>I1379*VLOOKUP(E1379,GWPs!$B$3:$C$6,2,FALSE)</f>
        <v>0</v>
      </c>
      <c r="K1379">
        <v>0</v>
      </c>
      <c r="L1379" s="413">
        <f>K1379*VLOOKUP(E1379,GWPs!$B$3:$C$6,2,FALSE)</f>
        <v>0</v>
      </c>
      <c r="N1379">
        <v>3</v>
      </c>
      <c r="O1379">
        <v>2</v>
      </c>
      <c r="P1379">
        <v>1</v>
      </c>
      <c r="Q1379">
        <v>1</v>
      </c>
      <c r="R1379">
        <v>1</v>
      </c>
    </row>
    <row r="1380" spans="1:18">
      <c r="A1380" t="str">
        <f>_xlfn.IFNA(IF(VLOOKUP(C1380,'2016_Detail_Commodity_v1.0'!C:C,1,FALSE)=C1380,"No change"),"Name changed")</f>
        <v>No change</v>
      </c>
      <c r="B1380" t="s">
        <v>991</v>
      </c>
      <c r="C1380" t="s">
        <v>992</v>
      </c>
      <c r="E1380" t="s">
        <v>3655</v>
      </c>
      <c r="F1380" t="s">
        <v>12</v>
      </c>
      <c r="G1380">
        <v>0</v>
      </c>
      <c r="H1380" s="413">
        <f>G1380*VLOOKUP(E1380,GWPs!$B$3:$C$6,2,FALSE)</f>
        <v>0</v>
      </c>
      <c r="I1380">
        <v>0</v>
      </c>
      <c r="J1380" s="413">
        <f>I1380*VLOOKUP(E1380,GWPs!$B$3:$C$6,2,FALSE)</f>
        <v>0</v>
      </c>
      <c r="K1380">
        <v>0</v>
      </c>
      <c r="L1380" s="413">
        <f>K1380*VLOOKUP(E1380,GWPs!$B$3:$C$6,2,FALSE)</f>
        <v>0</v>
      </c>
      <c r="N1380">
        <v>3</v>
      </c>
      <c r="O1380">
        <v>2</v>
      </c>
      <c r="P1380">
        <v>1</v>
      </c>
      <c r="Q1380">
        <v>3</v>
      </c>
      <c r="R1380">
        <v>1</v>
      </c>
    </row>
    <row r="1381" spans="1:18">
      <c r="A1381" t="str">
        <f>_xlfn.IFNA(IF(VLOOKUP(C1381,'2016_Detail_Commodity_v1.0'!C:C,1,FALSE)=C1381,"No change"),"Name changed")</f>
        <v>No change</v>
      </c>
      <c r="B1381" t="s">
        <v>991</v>
      </c>
      <c r="C1381" t="s">
        <v>992</v>
      </c>
      <c r="E1381" t="s">
        <v>15</v>
      </c>
      <c r="F1381" t="s">
        <v>16</v>
      </c>
      <c r="G1381">
        <v>2E-3</v>
      </c>
      <c r="H1381" s="413">
        <f>G1381*VLOOKUP(E1381,GWPs!$B$3:$C$6,2,FALSE)</f>
        <v>2E-3</v>
      </c>
      <c r="I1381">
        <v>0</v>
      </c>
      <c r="J1381" s="413">
        <f>I1381*VLOOKUP(E1381,GWPs!$B$3:$C$6,2,FALSE)</f>
        <v>0</v>
      </c>
      <c r="K1381">
        <v>2E-3</v>
      </c>
      <c r="L1381" s="413">
        <f>K1381*VLOOKUP(E1381,GWPs!$B$3:$C$6,2,FALSE)</f>
        <v>2E-3</v>
      </c>
      <c r="N1381">
        <v>4</v>
      </c>
      <c r="O1381">
        <v>2</v>
      </c>
      <c r="P1381">
        <v>1</v>
      </c>
      <c r="Q1381">
        <v>4</v>
      </c>
      <c r="R1381">
        <v>1</v>
      </c>
    </row>
    <row r="1382" spans="1:18">
      <c r="A1382" t="str">
        <f>_xlfn.IFNA(IF(VLOOKUP(C1382,'2016_Detail_Commodity_v1.0'!C:C,1,FALSE)=C1382,"No change"),"Name changed")</f>
        <v>No change</v>
      </c>
      <c r="B1382" t="s">
        <v>993</v>
      </c>
      <c r="C1382" t="s">
        <v>994</v>
      </c>
      <c r="E1382" t="s">
        <v>3653</v>
      </c>
      <c r="F1382" t="s">
        <v>12</v>
      </c>
      <c r="G1382">
        <v>9.0999999999999998E-2</v>
      </c>
      <c r="H1382" s="413">
        <f>G1382*VLOOKUP(E1382,GWPs!$B$3:$C$6,2,FALSE)</f>
        <v>9.0999999999999998E-2</v>
      </c>
      <c r="I1382">
        <v>0</v>
      </c>
      <c r="J1382" s="413">
        <f>I1382*VLOOKUP(E1382,GWPs!$B$3:$C$6,2,FALSE)</f>
        <v>0</v>
      </c>
      <c r="K1382">
        <v>9.0999999999999998E-2</v>
      </c>
      <c r="L1382" s="413">
        <f>K1382*VLOOKUP(E1382,GWPs!$B$3:$C$6,2,FALSE)</f>
        <v>9.0999999999999998E-2</v>
      </c>
      <c r="N1382">
        <v>3</v>
      </c>
      <c r="O1382">
        <v>2</v>
      </c>
      <c r="P1382">
        <v>1</v>
      </c>
      <c r="Q1382">
        <v>3</v>
      </c>
      <c r="R1382">
        <v>1</v>
      </c>
    </row>
    <row r="1383" spans="1:18">
      <c r="A1383" t="str">
        <f>_xlfn.IFNA(IF(VLOOKUP(C1383,'2016_Detail_Commodity_v1.0'!C:C,1,FALSE)=C1383,"No change"),"Name changed")</f>
        <v>No change</v>
      </c>
      <c r="B1383" t="s">
        <v>993</v>
      </c>
      <c r="C1383" t="s">
        <v>994</v>
      </c>
      <c r="E1383" t="s">
        <v>3654</v>
      </c>
      <c r="F1383" t="s">
        <v>12</v>
      </c>
      <c r="G1383">
        <v>0</v>
      </c>
      <c r="H1383" s="413">
        <f>G1383*VLOOKUP(E1383,GWPs!$B$3:$C$6,2,FALSE)</f>
        <v>0</v>
      </c>
      <c r="I1383">
        <v>0</v>
      </c>
      <c r="J1383" s="413">
        <f>I1383*VLOOKUP(E1383,GWPs!$B$3:$C$6,2,FALSE)</f>
        <v>0</v>
      </c>
      <c r="K1383">
        <v>0</v>
      </c>
      <c r="L1383" s="413">
        <f>K1383*VLOOKUP(E1383,GWPs!$B$3:$C$6,2,FALSE)</f>
        <v>0</v>
      </c>
      <c r="N1383">
        <v>3</v>
      </c>
      <c r="O1383">
        <v>2</v>
      </c>
      <c r="P1383">
        <v>1</v>
      </c>
      <c r="Q1383">
        <v>1</v>
      </c>
      <c r="R1383">
        <v>1</v>
      </c>
    </row>
    <row r="1384" spans="1:18">
      <c r="A1384" t="str">
        <f>_xlfn.IFNA(IF(VLOOKUP(C1384,'2016_Detail_Commodity_v1.0'!C:C,1,FALSE)=C1384,"No change"),"Name changed")</f>
        <v>No change</v>
      </c>
      <c r="B1384" t="s">
        <v>993</v>
      </c>
      <c r="C1384" t="s">
        <v>994</v>
      </c>
      <c r="E1384" t="s">
        <v>3655</v>
      </c>
      <c r="F1384" t="s">
        <v>12</v>
      </c>
      <c r="G1384">
        <v>0</v>
      </c>
      <c r="H1384" s="413">
        <f>G1384*VLOOKUP(E1384,GWPs!$B$3:$C$6,2,FALSE)</f>
        <v>0</v>
      </c>
      <c r="I1384">
        <v>0</v>
      </c>
      <c r="J1384" s="413">
        <f>I1384*VLOOKUP(E1384,GWPs!$B$3:$C$6,2,FALSE)</f>
        <v>0</v>
      </c>
      <c r="K1384">
        <v>0</v>
      </c>
      <c r="L1384" s="413">
        <f>K1384*VLOOKUP(E1384,GWPs!$B$3:$C$6,2,FALSE)</f>
        <v>0</v>
      </c>
      <c r="N1384">
        <v>3</v>
      </c>
      <c r="O1384">
        <v>2</v>
      </c>
      <c r="P1384">
        <v>1</v>
      </c>
      <c r="Q1384">
        <v>3</v>
      </c>
      <c r="R1384">
        <v>1</v>
      </c>
    </row>
    <row r="1385" spans="1:18">
      <c r="A1385" t="str">
        <f>_xlfn.IFNA(IF(VLOOKUP(C1385,'2016_Detail_Commodity_v1.0'!C:C,1,FALSE)=C1385,"No change"),"Name changed")</f>
        <v>No change</v>
      </c>
      <c r="B1385" t="s">
        <v>993</v>
      </c>
      <c r="C1385" t="s">
        <v>994</v>
      </c>
      <c r="E1385" t="s">
        <v>15</v>
      </c>
      <c r="F1385" t="s">
        <v>16</v>
      </c>
      <c r="G1385">
        <v>2E-3</v>
      </c>
      <c r="H1385" s="413">
        <f>G1385*VLOOKUP(E1385,GWPs!$B$3:$C$6,2,FALSE)</f>
        <v>2E-3</v>
      </c>
      <c r="I1385">
        <v>0</v>
      </c>
      <c r="J1385" s="413">
        <f>I1385*VLOOKUP(E1385,GWPs!$B$3:$C$6,2,FALSE)</f>
        <v>0</v>
      </c>
      <c r="K1385">
        <v>2E-3</v>
      </c>
      <c r="L1385" s="413">
        <f>K1385*VLOOKUP(E1385,GWPs!$B$3:$C$6,2,FALSE)</f>
        <v>2E-3</v>
      </c>
      <c r="N1385">
        <v>4</v>
      </c>
      <c r="O1385">
        <v>2</v>
      </c>
      <c r="P1385">
        <v>1</v>
      </c>
      <c r="Q1385">
        <v>4</v>
      </c>
      <c r="R1385">
        <v>1</v>
      </c>
    </row>
    <row r="1386" spans="1:18">
      <c r="A1386" t="str">
        <f>_xlfn.IFNA(IF(VLOOKUP(C1386,'2016_Detail_Commodity_v1.0'!C:C,1,FALSE)=C1386,"No change"),"Name changed")</f>
        <v>No change</v>
      </c>
      <c r="B1386" t="s">
        <v>995</v>
      </c>
      <c r="C1386" t="s">
        <v>996</v>
      </c>
      <c r="E1386" t="s">
        <v>3653</v>
      </c>
      <c r="F1386" t="s">
        <v>12</v>
      </c>
      <c r="G1386">
        <v>0.20399999999999999</v>
      </c>
      <c r="H1386" s="413">
        <f>G1386*VLOOKUP(E1386,GWPs!$B$3:$C$6,2,FALSE)</f>
        <v>0.20399999999999999</v>
      </c>
      <c r="I1386">
        <v>0</v>
      </c>
      <c r="J1386" s="413">
        <f>I1386*VLOOKUP(E1386,GWPs!$B$3:$C$6,2,FALSE)</f>
        <v>0</v>
      </c>
      <c r="K1386">
        <v>0.20399999999999999</v>
      </c>
      <c r="L1386" s="413">
        <f>K1386*VLOOKUP(E1386,GWPs!$B$3:$C$6,2,FALSE)</f>
        <v>0.20399999999999999</v>
      </c>
      <c r="N1386">
        <v>3</v>
      </c>
      <c r="O1386">
        <v>2</v>
      </c>
      <c r="P1386">
        <v>1</v>
      </c>
      <c r="Q1386">
        <v>3</v>
      </c>
      <c r="R1386">
        <v>1</v>
      </c>
    </row>
    <row r="1387" spans="1:18">
      <c r="A1387" t="str">
        <f>_xlfn.IFNA(IF(VLOOKUP(C1387,'2016_Detail_Commodity_v1.0'!C:C,1,FALSE)=C1387,"No change"),"Name changed")</f>
        <v>No change</v>
      </c>
      <c r="B1387" t="s">
        <v>995</v>
      </c>
      <c r="C1387" t="s">
        <v>996</v>
      </c>
      <c r="E1387" t="s">
        <v>3654</v>
      </c>
      <c r="F1387" t="s">
        <v>12</v>
      </c>
      <c r="G1387">
        <v>1E-3</v>
      </c>
      <c r="H1387" s="413">
        <f>G1387*VLOOKUP(E1387,GWPs!$B$3:$C$6,2,FALSE)</f>
        <v>2.8000000000000001E-2</v>
      </c>
      <c r="I1387">
        <v>0</v>
      </c>
      <c r="J1387" s="413">
        <f>I1387*VLOOKUP(E1387,GWPs!$B$3:$C$6,2,FALSE)</f>
        <v>0</v>
      </c>
      <c r="K1387">
        <v>1E-3</v>
      </c>
      <c r="L1387" s="413">
        <f>K1387*VLOOKUP(E1387,GWPs!$B$3:$C$6,2,FALSE)</f>
        <v>2.8000000000000001E-2</v>
      </c>
      <c r="N1387">
        <v>3</v>
      </c>
      <c r="O1387">
        <v>2</v>
      </c>
      <c r="P1387">
        <v>1</v>
      </c>
      <c r="Q1387">
        <v>1</v>
      </c>
      <c r="R1387">
        <v>1</v>
      </c>
    </row>
    <row r="1388" spans="1:18">
      <c r="A1388" t="str">
        <f>_xlfn.IFNA(IF(VLOOKUP(C1388,'2016_Detail_Commodity_v1.0'!C:C,1,FALSE)=C1388,"No change"),"Name changed")</f>
        <v>No change</v>
      </c>
      <c r="B1388" t="s">
        <v>995</v>
      </c>
      <c r="C1388" t="s">
        <v>996</v>
      </c>
      <c r="E1388" t="s">
        <v>3655</v>
      </c>
      <c r="F1388" t="s">
        <v>12</v>
      </c>
      <c r="G1388">
        <v>0</v>
      </c>
      <c r="H1388" s="413">
        <f>G1388*VLOOKUP(E1388,GWPs!$B$3:$C$6,2,FALSE)</f>
        <v>0</v>
      </c>
      <c r="I1388">
        <v>0</v>
      </c>
      <c r="J1388" s="413">
        <f>I1388*VLOOKUP(E1388,GWPs!$B$3:$C$6,2,FALSE)</f>
        <v>0</v>
      </c>
      <c r="K1388">
        <v>0</v>
      </c>
      <c r="L1388" s="413">
        <f>K1388*VLOOKUP(E1388,GWPs!$B$3:$C$6,2,FALSE)</f>
        <v>0</v>
      </c>
      <c r="N1388">
        <v>4</v>
      </c>
      <c r="O1388">
        <v>2</v>
      </c>
      <c r="P1388">
        <v>1</v>
      </c>
      <c r="Q1388">
        <v>2</v>
      </c>
      <c r="R1388">
        <v>1</v>
      </c>
    </row>
    <row r="1389" spans="1:18">
      <c r="A1389" t="str">
        <f>_xlfn.IFNA(IF(VLOOKUP(C1389,'2016_Detail_Commodity_v1.0'!C:C,1,FALSE)=C1389,"No change"),"Name changed")</f>
        <v>No change</v>
      </c>
      <c r="B1389" t="s">
        <v>995</v>
      </c>
      <c r="C1389" t="s">
        <v>996</v>
      </c>
      <c r="E1389" t="s">
        <v>15</v>
      </c>
      <c r="F1389" t="s">
        <v>16</v>
      </c>
      <c r="G1389">
        <v>4.0000000000000001E-3</v>
      </c>
      <c r="H1389" s="413">
        <f>G1389*VLOOKUP(E1389,GWPs!$B$3:$C$6,2,FALSE)</f>
        <v>4.0000000000000001E-3</v>
      </c>
      <c r="I1389">
        <v>0</v>
      </c>
      <c r="J1389" s="413">
        <f>I1389*VLOOKUP(E1389,GWPs!$B$3:$C$6,2,FALSE)</f>
        <v>0</v>
      </c>
      <c r="K1389">
        <v>4.0000000000000001E-3</v>
      </c>
      <c r="L1389" s="413">
        <f>K1389*VLOOKUP(E1389,GWPs!$B$3:$C$6,2,FALSE)</f>
        <v>4.0000000000000001E-3</v>
      </c>
      <c r="N1389">
        <v>3</v>
      </c>
      <c r="O1389">
        <v>2</v>
      </c>
      <c r="P1389">
        <v>1</v>
      </c>
      <c r="Q1389">
        <v>3</v>
      </c>
      <c r="R1389">
        <v>1</v>
      </c>
    </row>
    <row r="1390" spans="1:18">
      <c r="A1390" t="str">
        <f>_xlfn.IFNA(IF(VLOOKUP(C1390,'2016_Detail_Commodity_v1.0'!C:C,1,FALSE)=C1390,"No change"),"Name changed")</f>
        <v>No change</v>
      </c>
      <c r="B1390" t="s">
        <v>997</v>
      </c>
      <c r="C1390" t="s">
        <v>998</v>
      </c>
      <c r="E1390" t="s">
        <v>3653</v>
      </c>
      <c r="F1390" t="s">
        <v>12</v>
      </c>
      <c r="G1390">
        <v>3.3000000000000002E-2</v>
      </c>
      <c r="H1390" s="413">
        <f>G1390*VLOOKUP(E1390,GWPs!$B$3:$C$6,2,FALSE)</f>
        <v>3.3000000000000002E-2</v>
      </c>
      <c r="I1390">
        <v>0</v>
      </c>
      <c r="J1390" s="413">
        <f>I1390*VLOOKUP(E1390,GWPs!$B$3:$C$6,2,FALSE)</f>
        <v>0</v>
      </c>
      <c r="K1390">
        <v>3.3000000000000002E-2</v>
      </c>
      <c r="L1390" s="413">
        <f>K1390*VLOOKUP(E1390,GWPs!$B$3:$C$6,2,FALSE)</f>
        <v>3.3000000000000002E-2</v>
      </c>
      <c r="N1390">
        <v>3</v>
      </c>
      <c r="O1390">
        <v>2</v>
      </c>
      <c r="P1390">
        <v>1</v>
      </c>
      <c r="Q1390">
        <v>3</v>
      </c>
      <c r="R1390">
        <v>1</v>
      </c>
    </row>
    <row r="1391" spans="1:18">
      <c r="A1391" t="str">
        <f>_xlfn.IFNA(IF(VLOOKUP(C1391,'2016_Detail_Commodity_v1.0'!C:C,1,FALSE)=C1391,"No change"),"Name changed")</f>
        <v>No change</v>
      </c>
      <c r="B1391" t="s">
        <v>997</v>
      </c>
      <c r="C1391" t="s">
        <v>998</v>
      </c>
      <c r="E1391" t="s">
        <v>3654</v>
      </c>
      <c r="F1391" t="s">
        <v>12</v>
      </c>
      <c r="G1391">
        <v>0</v>
      </c>
      <c r="H1391" s="413">
        <f>G1391*VLOOKUP(E1391,GWPs!$B$3:$C$6,2,FALSE)</f>
        <v>0</v>
      </c>
      <c r="I1391">
        <v>0</v>
      </c>
      <c r="J1391" s="413">
        <f>I1391*VLOOKUP(E1391,GWPs!$B$3:$C$6,2,FALSE)</f>
        <v>0</v>
      </c>
      <c r="K1391">
        <v>0</v>
      </c>
      <c r="L1391" s="413">
        <f>K1391*VLOOKUP(E1391,GWPs!$B$3:$C$6,2,FALSE)</f>
        <v>0</v>
      </c>
      <c r="N1391">
        <v>3</v>
      </c>
      <c r="O1391">
        <v>2</v>
      </c>
      <c r="P1391">
        <v>1</v>
      </c>
      <c r="Q1391">
        <v>1</v>
      </c>
      <c r="R1391">
        <v>1</v>
      </c>
    </row>
    <row r="1392" spans="1:18">
      <c r="A1392" t="str">
        <f>_xlfn.IFNA(IF(VLOOKUP(C1392,'2016_Detail_Commodity_v1.0'!C:C,1,FALSE)=C1392,"No change"),"Name changed")</f>
        <v>No change</v>
      </c>
      <c r="B1392" t="s">
        <v>997</v>
      </c>
      <c r="C1392" t="s">
        <v>998</v>
      </c>
      <c r="E1392" t="s">
        <v>3655</v>
      </c>
      <c r="F1392" t="s">
        <v>12</v>
      </c>
      <c r="G1392">
        <v>0</v>
      </c>
      <c r="H1392" s="413">
        <f>G1392*VLOOKUP(E1392,GWPs!$B$3:$C$6,2,FALSE)</f>
        <v>0</v>
      </c>
      <c r="I1392">
        <v>0</v>
      </c>
      <c r="J1392" s="413">
        <f>I1392*VLOOKUP(E1392,GWPs!$B$3:$C$6,2,FALSE)</f>
        <v>0</v>
      </c>
      <c r="K1392">
        <v>0</v>
      </c>
      <c r="L1392" s="413">
        <f>K1392*VLOOKUP(E1392,GWPs!$B$3:$C$6,2,FALSE)</f>
        <v>0</v>
      </c>
      <c r="N1392">
        <v>3</v>
      </c>
      <c r="O1392">
        <v>2</v>
      </c>
      <c r="P1392">
        <v>1</v>
      </c>
      <c r="Q1392">
        <v>3</v>
      </c>
      <c r="R1392">
        <v>1</v>
      </c>
    </row>
    <row r="1393" spans="1:18">
      <c r="A1393" t="str">
        <f>_xlfn.IFNA(IF(VLOOKUP(C1393,'2016_Detail_Commodity_v1.0'!C:C,1,FALSE)=C1393,"No change"),"Name changed")</f>
        <v>No change</v>
      </c>
      <c r="B1393" t="s">
        <v>997</v>
      </c>
      <c r="C1393" t="s">
        <v>998</v>
      </c>
      <c r="E1393" t="s">
        <v>15</v>
      </c>
      <c r="F1393" t="s">
        <v>16</v>
      </c>
      <c r="G1393">
        <v>1E-3</v>
      </c>
      <c r="H1393" s="413">
        <f>G1393*VLOOKUP(E1393,GWPs!$B$3:$C$6,2,FALSE)</f>
        <v>1E-3</v>
      </c>
      <c r="I1393">
        <v>0</v>
      </c>
      <c r="J1393" s="413">
        <f>I1393*VLOOKUP(E1393,GWPs!$B$3:$C$6,2,FALSE)</f>
        <v>0</v>
      </c>
      <c r="K1393">
        <v>1E-3</v>
      </c>
      <c r="L1393" s="413">
        <f>K1393*VLOOKUP(E1393,GWPs!$B$3:$C$6,2,FALSE)</f>
        <v>1E-3</v>
      </c>
      <c r="N1393">
        <v>4</v>
      </c>
      <c r="O1393">
        <v>2</v>
      </c>
      <c r="P1393">
        <v>1</v>
      </c>
      <c r="Q1393">
        <v>4</v>
      </c>
      <c r="R1393">
        <v>1</v>
      </c>
    </row>
    <row r="1394" spans="1:18">
      <c r="A1394" t="str">
        <f>_xlfn.IFNA(IF(VLOOKUP(C1394,'2016_Detail_Commodity_v1.0'!C:C,1,FALSE)=C1394,"No change"),"Name changed")</f>
        <v>No change</v>
      </c>
      <c r="B1394" t="s">
        <v>999</v>
      </c>
      <c r="C1394" t="s">
        <v>1000</v>
      </c>
      <c r="E1394" t="s">
        <v>3653</v>
      </c>
      <c r="F1394" t="s">
        <v>12</v>
      </c>
      <c r="G1394">
        <v>0.113</v>
      </c>
      <c r="H1394" s="413">
        <f>G1394*VLOOKUP(E1394,GWPs!$B$3:$C$6,2,FALSE)</f>
        <v>0.113</v>
      </c>
      <c r="I1394">
        <v>0</v>
      </c>
      <c r="J1394" s="413">
        <f>I1394*VLOOKUP(E1394,GWPs!$B$3:$C$6,2,FALSE)</f>
        <v>0</v>
      </c>
      <c r="K1394">
        <v>0.113</v>
      </c>
      <c r="L1394" s="413">
        <f>K1394*VLOOKUP(E1394,GWPs!$B$3:$C$6,2,FALSE)</f>
        <v>0.113</v>
      </c>
      <c r="N1394">
        <v>3</v>
      </c>
      <c r="O1394">
        <v>2</v>
      </c>
      <c r="P1394">
        <v>1</v>
      </c>
      <c r="Q1394">
        <v>3</v>
      </c>
      <c r="R1394">
        <v>1</v>
      </c>
    </row>
    <row r="1395" spans="1:18">
      <c r="A1395" t="str">
        <f>_xlfn.IFNA(IF(VLOOKUP(C1395,'2016_Detail_Commodity_v1.0'!C:C,1,FALSE)=C1395,"No change"),"Name changed")</f>
        <v>No change</v>
      </c>
      <c r="B1395" t="s">
        <v>999</v>
      </c>
      <c r="C1395" t="s">
        <v>1000</v>
      </c>
      <c r="E1395" t="s">
        <v>3654</v>
      </c>
      <c r="F1395" t="s">
        <v>12</v>
      </c>
      <c r="G1395">
        <v>1E-3</v>
      </c>
      <c r="H1395" s="413">
        <f>G1395*VLOOKUP(E1395,GWPs!$B$3:$C$6,2,FALSE)</f>
        <v>2.8000000000000001E-2</v>
      </c>
      <c r="I1395">
        <v>0</v>
      </c>
      <c r="J1395" s="413">
        <f>I1395*VLOOKUP(E1395,GWPs!$B$3:$C$6,2,FALSE)</f>
        <v>0</v>
      </c>
      <c r="K1395">
        <v>1E-3</v>
      </c>
      <c r="L1395" s="413">
        <f>K1395*VLOOKUP(E1395,GWPs!$B$3:$C$6,2,FALSE)</f>
        <v>2.8000000000000001E-2</v>
      </c>
      <c r="N1395">
        <v>3</v>
      </c>
      <c r="O1395">
        <v>2</v>
      </c>
      <c r="P1395">
        <v>1</v>
      </c>
      <c r="Q1395">
        <v>1</v>
      </c>
      <c r="R1395">
        <v>1</v>
      </c>
    </row>
    <row r="1396" spans="1:18">
      <c r="A1396" t="str">
        <f>_xlfn.IFNA(IF(VLOOKUP(C1396,'2016_Detail_Commodity_v1.0'!C:C,1,FALSE)=C1396,"No change"),"Name changed")</f>
        <v>No change</v>
      </c>
      <c r="B1396" t="s">
        <v>999</v>
      </c>
      <c r="C1396" t="s">
        <v>1000</v>
      </c>
      <c r="E1396" t="s">
        <v>3655</v>
      </c>
      <c r="F1396" t="s">
        <v>12</v>
      </c>
      <c r="G1396">
        <v>0</v>
      </c>
      <c r="H1396" s="413">
        <f>G1396*VLOOKUP(E1396,GWPs!$B$3:$C$6,2,FALSE)</f>
        <v>0</v>
      </c>
      <c r="I1396">
        <v>0</v>
      </c>
      <c r="J1396" s="413">
        <f>I1396*VLOOKUP(E1396,GWPs!$B$3:$C$6,2,FALSE)</f>
        <v>0</v>
      </c>
      <c r="K1396">
        <v>0</v>
      </c>
      <c r="L1396" s="413">
        <f>K1396*VLOOKUP(E1396,GWPs!$B$3:$C$6,2,FALSE)</f>
        <v>0</v>
      </c>
      <c r="N1396">
        <v>3</v>
      </c>
      <c r="O1396">
        <v>2</v>
      </c>
      <c r="P1396">
        <v>1</v>
      </c>
      <c r="Q1396">
        <v>3</v>
      </c>
      <c r="R1396">
        <v>1</v>
      </c>
    </row>
    <row r="1397" spans="1:18">
      <c r="A1397" t="str">
        <f>_xlfn.IFNA(IF(VLOOKUP(C1397,'2016_Detail_Commodity_v1.0'!C:C,1,FALSE)=C1397,"No change"),"Name changed")</f>
        <v>No change</v>
      </c>
      <c r="B1397" t="s">
        <v>999</v>
      </c>
      <c r="C1397" t="s">
        <v>1000</v>
      </c>
      <c r="E1397" t="s">
        <v>15</v>
      </c>
      <c r="F1397" t="s">
        <v>16</v>
      </c>
      <c r="G1397">
        <v>2E-3</v>
      </c>
      <c r="H1397" s="413">
        <f>G1397*VLOOKUP(E1397,GWPs!$B$3:$C$6,2,FALSE)</f>
        <v>2E-3</v>
      </c>
      <c r="I1397">
        <v>0</v>
      </c>
      <c r="J1397" s="413">
        <f>I1397*VLOOKUP(E1397,GWPs!$B$3:$C$6,2,FALSE)</f>
        <v>0</v>
      </c>
      <c r="K1397">
        <v>2E-3</v>
      </c>
      <c r="L1397" s="413">
        <f>K1397*VLOOKUP(E1397,GWPs!$B$3:$C$6,2,FALSE)</f>
        <v>2E-3</v>
      </c>
      <c r="N1397">
        <v>4</v>
      </c>
      <c r="O1397">
        <v>2</v>
      </c>
      <c r="P1397">
        <v>1</v>
      </c>
      <c r="Q1397">
        <v>4</v>
      </c>
      <c r="R1397">
        <v>1</v>
      </c>
    </row>
    <row r="1398" spans="1:18">
      <c r="A1398" t="str">
        <f>_xlfn.IFNA(IF(VLOOKUP(C1398,'2016_Detail_Commodity_v1.0'!C:C,1,FALSE)=C1398,"No change"),"Name changed")</f>
        <v>No change</v>
      </c>
      <c r="B1398" t="s">
        <v>1001</v>
      </c>
      <c r="C1398" t="s">
        <v>1002</v>
      </c>
      <c r="E1398" t="s">
        <v>3653</v>
      </c>
      <c r="F1398" t="s">
        <v>12</v>
      </c>
      <c r="G1398">
        <v>9.4E-2</v>
      </c>
      <c r="H1398" s="413">
        <f>G1398*VLOOKUP(E1398,GWPs!$B$3:$C$6,2,FALSE)</f>
        <v>9.4E-2</v>
      </c>
      <c r="I1398">
        <v>0</v>
      </c>
      <c r="J1398" s="413">
        <f>I1398*VLOOKUP(E1398,GWPs!$B$3:$C$6,2,FALSE)</f>
        <v>0</v>
      </c>
      <c r="K1398">
        <v>9.4E-2</v>
      </c>
      <c r="L1398" s="413">
        <f>K1398*VLOOKUP(E1398,GWPs!$B$3:$C$6,2,FALSE)</f>
        <v>9.4E-2</v>
      </c>
      <c r="N1398">
        <v>3</v>
      </c>
      <c r="O1398">
        <v>2</v>
      </c>
      <c r="P1398">
        <v>1</v>
      </c>
      <c r="Q1398">
        <v>3</v>
      </c>
      <c r="R1398">
        <v>1</v>
      </c>
    </row>
    <row r="1399" spans="1:18">
      <c r="A1399" t="str">
        <f>_xlfn.IFNA(IF(VLOOKUP(C1399,'2016_Detail_Commodity_v1.0'!C:C,1,FALSE)=C1399,"No change"),"Name changed")</f>
        <v>No change</v>
      </c>
      <c r="B1399" t="s">
        <v>1001</v>
      </c>
      <c r="C1399" t="s">
        <v>1002</v>
      </c>
      <c r="E1399" t="s">
        <v>3654</v>
      </c>
      <c r="F1399" t="s">
        <v>12</v>
      </c>
      <c r="G1399">
        <v>0</v>
      </c>
      <c r="H1399" s="413">
        <f>G1399*VLOOKUP(E1399,GWPs!$B$3:$C$6,2,FALSE)</f>
        <v>0</v>
      </c>
      <c r="I1399">
        <v>0</v>
      </c>
      <c r="J1399" s="413">
        <f>I1399*VLOOKUP(E1399,GWPs!$B$3:$C$6,2,FALSE)</f>
        <v>0</v>
      </c>
      <c r="K1399">
        <v>0</v>
      </c>
      <c r="L1399" s="413">
        <f>K1399*VLOOKUP(E1399,GWPs!$B$3:$C$6,2,FALSE)</f>
        <v>0</v>
      </c>
      <c r="N1399">
        <v>3</v>
      </c>
      <c r="O1399">
        <v>2</v>
      </c>
      <c r="P1399">
        <v>1</v>
      </c>
      <c r="Q1399">
        <v>1</v>
      </c>
      <c r="R1399">
        <v>1</v>
      </c>
    </row>
    <row r="1400" spans="1:18">
      <c r="A1400" t="str">
        <f>_xlfn.IFNA(IF(VLOOKUP(C1400,'2016_Detail_Commodity_v1.0'!C:C,1,FALSE)=C1400,"No change"),"Name changed")</f>
        <v>No change</v>
      </c>
      <c r="B1400" t="s">
        <v>1001</v>
      </c>
      <c r="C1400" t="s">
        <v>1002</v>
      </c>
      <c r="E1400" t="s">
        <v>3655</v>
      </c>
      <c r="F1400" t="s">
        <v>12</v>
      </c>
      <c r="G1400">
        <v>0</v>
      </c>
      <c r="H1400" s="413">
        <f>G1400*VLOOKUP(E1400,GWPs!$B$3:$C$6,2,FALSE)</f>
        <v>0</v>
      </c>
      <c r="I1400">
        <v>0</v>
      </c>
      <c r="J1400" s="413">
        <f>I1400*VLOOKUP(E1400,GWPs!$B$3:$C$6,2,FALSE)</f>
        <v>0</v>
      </c>
      <c r="K1400">
        <v>0</v>
      </c>
      <c r="L1400" s="413">
        <f>K1400*VLOOKUP(E1400,GWPs!$B$3:$C$6,2,FALSE)</f>
        <v>0</v>
      </c>
      <c r="N1400">
        <v>3</v>
      </c>
      <c r="O1400">
        <v>2</v>
      </c>
      <c r="P1400">
        <v>1</v>
      </c>
      <c r="Q1400">
        <v>3</v>
      </c>
      <c r="R1400">
        <v>1</v>
      </c>
    </row>
    <row r="1401" spans="1:18">
      <c r="A1401" t="str">
        <f>_xlfn.IFNA(IF(VLOOKUP(C1401,'2016_Detail_Commodity_v1.0'!C:C,1,FALSE)=C1401,"No change"),"Name changed")</f>
        <v>No change</v>
      </c>
      <c r="B1401" t="s">
        <v>1001</v>
      </c>
      <c r="C1401" t="s">
        <v>1002</v>
      </c>
      <c r="E1401" t="s">
        <v>15</v>
      </c>
      <c r="F1401" t="s">
        <v>16</v>
      </c>
      <c r="G1401">
        <v>3.0000000000000001E-3</v>
      </c>
      <c r="H1401" s="413">
        <f>G1401*VLOOKUP(E1401,GWPs!$B$3:$C$6,2,FALSE)</f>
        <v>3.0000000000000001E-3</v>
      </c>
      <c r="I1401">
        <v>0</v>
      </c>
      <c r="J1401" s="413">
        <f>I1401*VLOOKUP(E1401,GWPs!$B$3:$C$6,2,FALSE)</f>
        <v>0</v>
      </c>
      <c r="K1401">
        <v>3.0000000000000001E-3</v>
      </c>
      <c r="L1401" s="413">
        <f>K1401*VLOOKUP(E1401,GWPs!$B$3:$C$6,2,FALSE)</f>
        <v>3.0000000000000001E-3</v>
      </c>
      <c r="N1401">
        <v>4</v>
      </c>
      <c r="O1401">
        <v>2</v>
      </c>
      <c r="P1401">
        <v>1</v>
      </c>
      <c r="Q1401">
        <v>4</v>
      </c>
      <c r="R1401">
        <v>1</v>
      </c>
    </row>
    <row r="1402" spans="1:18">
      <c r="A1402" t="str">
        <f>_xlfn.IFNA(IF(VLOOKUP(C1402,'2016_Detail_Commodity_v1.0'!C:C,1,FALSE)=C1402,"No change"),"Name changed")</f>
        <v>No change</v>
      </c>
      <c r="B1402" t="s">
        <v>1003</v>
      </c>
      <c r="C1402" t="s">
        <v>1004</v>
      </c>
      <c r="E1402" t="s">
        <v>3653</v>
      </c>
      <c r="F1402" t="s">
        <v>12</v>
      </c>
      <c r="G1402">
        <v>8.5000000000000006E-2</v>
      </c>
      <c r="H1402" s="413">
        <f>G1402*VLOOKUP(E1402,GWPs!$B$3:$C$6,2,FALSE)</f>
        <v>8.5000000000000006E-2</v>
      </c>
      <c r="I1402">
        <v>0</v>
      </c>
      <c r="J1402" s="413">
        <f>I1402*VLOOKUP(E1402,GWPs!$B$3:$C$6,2,FALSE)</f>
        <v>0</v>
      </c>
      <c r="K1402">
        <v>8.5000000000000006E-2</v>
      </c>
      <c r="L1402" s="413">
        <f>K1402*VLOOKUP(E1402,GWPs!$B$3:$C$6,2,FALSE)</f>
        <v>8.5000000000000006E-2</v>
      </c>
      <c r="N1402">
        <v>3</v>
      </c>
      <c r="O1402">
        <v>2</v>
      </c>
      <c r="P1402">
        <v>1</v>
      </c>
      <c r="Q1402">
        <v>3</v>
      </c>
      <c r="R1402">
        <v>1</v>
      </c>
    </row>
    <row r="1403" spans="1:18">
      <c r="A1403" t="str">
        <f>_xlfn.IFNA(IF(VLOOKUP(C1403,'2016_Detail_Commodity_v1.0'!C:C,1,FALSE)=C1403,"No change"),"Name changed")</f>
        <v>No change</v>
      </c>
      <c r="B1403" t="s">
        <v>1003</v>
      </c>
      <c r="C1403" t="s">
        <v>1004</v>
      </c>
      <c r="E1403" t="s">
        <v>3654</v>
      </c>
      <c r="F1403" t="s">
        <v>12</v>
      </c>
      <c r="G1403">
        <v>0</v>
      </c>
      <c r="H1403" s="413">
        <f>G1403*VLOOKUP(E1403,GWPs!$B$3:$C$6,2,FALSE)</f>
        <v>0</v>
      </c>
      <c r="I1403">
        <v>0</v>
      </c>
      <c r="J1403" s="413">
        <f>I1403*VLOOKUP(E1403,GWPs!$B$3:$C$6,2,FALSE)</f>
        <v>0</v>
      </c>
      <c r="K1403">
        <v>0</v>
      </c>
      <c r="L1403" s="413">
        <f>K1403*VLOOKUP(E1403,GWPs!$B$3:$C$6,2,FALSE)</f>
        <v>0</v>
      </c>
      <c r="N1403">
        <v>3</v>
      </c>
      <c r="O1403">
        <v>2</v>
      </c>
      <c r="P1403">
        <v>1</v>
      </c>
      <c r="Q1403">
        <v>1</v>
      </c>
      <c r="R1403">
        <v>1</v>
      </c>
    </row>
    <row r="1404" spans="1:18">
      <c r="A1404" t="str">
        <f>_xlfn.IFNA(IF(VLOOKUP(C1404,'2016_Detail_Commodity_v1.0'!C:C,1,FALSE)=C1404,"No change"),"Name changed")</f>
        <v>No change</v>
      </c>
      <c r="B1404" t="s">
        <v>1003</v>
      </c>
      <c r="C1404" t="s">
        <v>1004</v>
      </c>
      <c r="E1404" t="s">
        <v>3655</v>
      </c>
      <c r="F1404" t="s">
        <v>12</v>
      </c>
      <c r="G1404">
        <v>0</v>
      </c>
      <c r="H1404" s="413">
        <f>G1404*VLOOKUP(E1404,GWPs!$B$3:$C$6,2,FALSE)</f>
        <v>0</v>
      </c>
      <c r="I1404">
        <v>0</v>
      </c>
      <c r="J1404" s="413">
        <f>I1404*VLOOKUP(E1404,GWPs!$B$3:$C$6,2,FALSE)</f>
        <v>0</v>
      </c>
      <c r="K1404">
        <v>0</v>
      </c>
      <c r="L1404" s="413">
        <f>K1404*VLOOKUP(E1404,GWPs!$B$3:$C$6,2,FALSE)</f>
        <v>0</v>
      </c>
      <c r="N1404">
        <v>3</v>
      </c>
      <c r="O1404">
        <v>2</v>
      </c>
      <c r="P1404">
        <v>1</v>
      </c>
      <c r="Q1404">
        <v>3</v>
      </c>
      <c r="R1404">
        <v>1</v>
      </c>
    </row>
    <row r="1405" spans="1:18">
      <c r="A1405" t="str">
        <f>_xlfn.IFNA(IF(VLOOKUP(C1405,'2016_Detail_Commodity_v1.0'!C:C,1,FALSE)=C1405,"No change"),"Name changed")</f>
        <v>No change</v>
      </c>
      <c r="B1405" t="s">
        <v>1003</v>
      </c>
      <c r="C1405" t="s">
        <v>1004</v>
      </c>
      <c r="E1405" t="s">
        <v>15</v>
      </c>
      <c r="F1405" t="s">
        <v>16</v>
      </c>
      <c r="G1405">
        <v>2E-3</v>
      </c>
      <c r="H1405" s="413">
        <f>G1405*VLOOKUP(E1405,GWPs!$B$3:$C$6,2,FALSE)</f>
        <v>2E-3</v>
      </c>
      <c r="I1405">
        <v>0</v>
      </c>
      <c r="J1405" s="413">
        <f>I1405*VLOOKUP(E1405,GWPs!$B$3:$C$6,2,FALSE)</f>
        <v>0</v>
      </c>
      <c r="K1405">
        <v>2E-3</v>
      </c>
      <c r="L1405" s="413">
        <f>K1405*VLOOKUP(E1405,GWPs!$B$3:$C$6,2,FALSE)</f>
        <v>2E-3</v>
      </c>
      <c r="N1405">
        <v>3</v>
      </c>
      <c r="O1405">
        <v>2</v>
      </c>
      <c r="P1405">
        <v>1</v>
      </c>
      <c r="Q1405">
        <v>4</v>
      </c>
      <c r="R1405">
        <v>1</v>
      </c>
    </row>
    <row r="1406" spans="1:18">
      <c r="A1406" t="str">
        <f>_xlfn.IFNA(IF(VLOOKUP(C1406,'2016_Detail_Commodity_v1.0'!C:C,1,FALSE)=C1406,"No change"),"Name changed")</f>
        <v>No change</v>
      </c>
      <c r="B1406" t="s">
        <v>1005</v>
      </c>
      <c r="C1406" t="s">
        <v>1006</v>
      </c>
      <c r="E1406" t="s">
        <v>3653</v>
      </c>
      <c r="F1406" t="s">
        <v>12</v>
      </c>
      <c r="G1406">
        <v>0.13500000000000001</v>
      </c>
      <c r="H1406" s="413">
        <f>G1406*VLOOKUP(E1406,GWPs!$B$3:$C$6,2,FALSE)</f>
        <v>0.13500000000000001</v>
      </c>
      <c r="I1406">
        <v>0</v>
      </c>
      <c r="J1406" s="413">
        <f>I1406*VLOOKUP(E1406,GWPs!$B$3:$C$6,2,FALSE)</f>
        <v>0</v>
      </c>
      <c r="K1406">
        <v>0.13500000000000001</v>
      </c>
      <c r="L1406" s="413">
        <f>K1406*VLOOKUP(E1406,GWPs!$B$3:$C$6,2,FALSE)</f>
        <v>0.13500000000000001</v>
      </c>
      <c r="N1406">
        <v>3</v>
      </c>
      <c r="O1406">
        <v>2</v>
      </c>
      <c r="P1406">
        <v>1</v>
      </c>
      <c r="Q1406">
        <v>3</v>
      </c>
      <c r="R1406">
        <v>1</v>
      </c>
    </row>
    <row r="1407" spans="1:18">
      <c r="A1407" t="str">
        <f>_xlfn.IFNA(IF(VLOOKUP(C1407,'2016_Detail_Commodity_v1.0'!C:C,1,FALSE)=C1407,"No change"),"Name changed")</f>
        <v>No change</v>
      </c>
      <c r="B1407" t="s">
        <v>1005</v>
      </c>
      <c r="C1407" t="s">
        <v>1006</v>
      </c>
      <c r="E1407" t="s">
        <v>3654</v>
      </c>
      <c r="F1407" t="s">
        <v>12</v>
      </c>
      <c r="G1407">
        <v>1E-3</v>
      </c>
      <c r="H1407" s="413">
        <f>G1407*VLOOKUP(E1407,GWPs!$B$3:$C$6,2,FALSE)</f>
        <v>2.8000000000000001E-2</v>
      </c>
      <c r="I1407">
        <v>0</v>
      </c>
      <c r="J1407" s="413">
        <f>I1407*VLOOKUP(E1407,GWPs!$B$3:$C$6,2,FALSE)</f>
        <v>0</v>
      </c>
      <c r="K1407">
        <v>1E-3</v>
      </c>
      <c r="L1407" s="413">
        <f>K1407*VLOOKUP(E1407,GWPs!$B$3:$C$6,2,FALSE)</f>
        <v>2.8000000000000001E-2</v>
      </c>
      <c r="N1407">
        <v>3</v>
      </c>
      <c r="O1407">
        <v>2</v>
      </c>
      <c r="P1407">
        <v>1</v>
      </c>
      <c r="Q1407">
        <v>1</v>
      </c>
      <c r="R1407">
        <v>1</v>
      </c>
    </row>
    <row r="1408" spans="1:18">
      <c r="A1408" t="str">
        <f>_xlfn.IFNA(IF(VLOOKUP(C1408,'2016_Detail_Commodity_v1.0'!C:C,1,FALSE)=C1408,"No change"),"Name changed")</f>
        <v>No change</v>
      </c>
      <c r="B1408" t="s">
        <v>1005</v>
      </c>
      <c r="C1408" t="s">
        <v>1006</v>
      </c>
      <c r="E1408" t="s">
        <v>3655</v>
      </c>
      <c r="F1408" t="s">
        <v>12</v>
      </c>
      <c r="G1408">
        <v>0</v>
      </c>
      <c r="H1408" s="413">
        <f>G1408*VLOOKUP(E1408,GWPs!$B$3:$C$6,2,FALSE)</f>
        <v>0</v>
      </c>
      <c r="I1408">
        <v>0</v>
      </c>
      <c r="J1408" s="413">
        <f>I1408*VLOOKUP(E1408,GWPs!$B$3:$C$6,2,FALSE)</f>
        <v>0</v>
      </c>
      <c r="K1408">
        <v>0</v>
      </c>
      <c r="L1408" s="413">
        <f>K1408*VLOOKUP(E1408,GWPs!$B$3:$C$6,2,FALSE)</f>
        <v>0</v>
      </c>
      <c r="N1408">
        <v>3</v>
      </c>
      <c r="O1408">
        <v>2</v>
      </c>
      <c r="P1408">
        <v>1</v>
      </c>
      <c r="Q1408">
        <v>2</v>
      </c>
      <c r="R1408">
        <v>1</v>
      </c>
    </row>
    <row r="1409" spans="1:18">
      <c r="A1409" t="str">
        <f>_xlfn.IFNA(IF(VLOOKUP(C1409,'2016_Detail_Commodity_v1.0'!C:C,1,FALSE)=C1409,"No change"),"Name changed")</f>
        <v>No change</v>
      </c>
      <c r="B1409" t="s">
        <v>1005</v>
      </c>
      <c r="C1409" t="s">
        <v>1006</v>
      </c>
      <c r="E1409" t="s">
        <v>15</v>
      </c>
      <c r="F1409" t="s">
        <v>16</v>
      </c>
      <c r="G1409">
        <v>1.6E-2</v>
      </c>
      <c r="H1409" s="413">
        <f>G1409*VLOOKUP(E1409,GWPs!$B$3:$C$6,2,FALSE)</f>
        <v>1.6E-2</v>
      </c>
      <c r="I1409">
        <v>0</v>
      </c>
      <c r="J1409" s="413">
        <f>I1409*VLOOKUP(E1409,GWPs!$B$3:$C$6,2,FALSE)</f>
        <v>0</v>
      </c>
      <c r="K1409">
        <v>1.6E-2</v>
      </c>
      <c r="L1409" s="413">
        <f>K1409*VLOOKUP(E1409,GWPs!$B$3:$C$6,2,FALSE)</f>
        <v>1.6E-2</v>
      </c>
      <c r="N1409">
        <v>4</v>
      </c>
      <c r="O1409">
        <v>2</v>
      </c>
      <c r="P1409">
        <v>1</v>
      </c>
      <c r="Q1409">
        <v>5</v>
      </c>
      <c r="R1409">
        <v>1</v>
      </c>
    </row>
    <row r="1410" spans="1:18">
      <c r="A1410" t="str">
        <f>_xlfn.IFNA(IF(VLOOKUP(C1410,'2016_Detail_Commodity_v1.0'!C:C,1,FALSE)=C1410,"No change"),"Name changed")</f>
        <v>No change</v>
      </c>
      <c r="B1410" t="s">
        <v>1007</v>
      </c>
      <c r="C1410" t="s">
        <v>1008</v>
      </c>
      <c r="E1410" t="s">
        <v>3653</v>
      </c>
      <c r="F1410" t="s">
        <v>12</v>
      </c>
      <c r="G1410">
        <v>0.126</v>
      </c>
      <c r="H1410" s="413">
        <f>G1410*VLOOKUP(E1410,GWPs!$B$3:$C$6,2,FALSE)</f>
        <v>0.126</v>
      </c>
      <c r="I1410">
        <v>0</v>
      </c>
      <c r="J1410" s="413">
        <f>I1410*VLOOKUP(E1410,GWPs!$B$3:$C$6,2,FALSE)</f>
        <v>0</v>
      </c>
      <c r="K1410">
        <v>0.126</v>
      </c>
      <c r="L1410" s="413">
        <f>K1410*VLOOKUP(E1410,GWPs!$B$3:$C$6,2,FALSE)</f>
        <v>0.126</v>
      </c>
      <c r="N1410">
        <v>3</v>
      </c>
      <c r="O1410">
        <v>2</v>
      </c>
      <c r="P1410">
        <v>1</v>
      </c>
      <c r="Q1410">
        <v>3</v>
      </c>
      <c r="R1410">
        <v>1</v>
      </c>
    </row>
    <row r="1411" spans="1:18">
      <c r="A1411" t="str">
        <f>_xlfn.IFNA(IF(VLOOKUP(C1411,'2016_Detail_Commodity_v1.0'!C:C,1,FALSE)=C1411,"No change"),"Name changed")</f>
        <v>No change</v>
      </c>
      <c r="B1411" t="s">
        <v>1007</v>
      </c>
      <c r="C1411" t="s">
        <v>1008</v>
      </c>
      <c r="E1411" t="s">
        <v>3654</v>
      </c>
      <c r="F1411" t="s">
        <v>12</v>
      </c>
      <c r="G1411">
        <v>1E-3</v>
      </c>
      <c r="H1411" s="413">
        <f>G1411*VLOOKUP(E1411,GWPs!$B$3:$C$6,2,FALSE)</f>
        <v>2.8000000000000001E-2</v>
      </c>
      <c r="I1411">
        <v>0</v>
      </c>
      <c r="J1411" s="413">
        <f>I1411*VLOOKUP(E1411,GWPs!$B$3:$C$6,2,FALSE)</f>
        <v>0</v>
      </c>
      <c r="K1411">
        <v>1E-3</v>
      </c>
      <c r="L1411" s="413">
        <f>K1411*VLOOKUP(E1411,GWPs!$B$3:$C$6,2,FALSE)</f>
        <v>2.8000000000000001E-2</v>
      </c>
      <c r="N1411">
        <v>3</v>
      </c>
      <c r="O1411">
        <v>2</v>
      </c>
      <c r="P1411">
        <v>1</v>
      </c>
      <c r="Q1411">
        <v>1</v>
      </c>
      <c r="R1411">
        <v>1</v>
      </c>
    </row>
    <row r="1412" spans="1:18">
      <c r="A1412" t="str">
        <f>_xlfn.IFNA(IF(VLOOKUP(C1412,'2016_Detail_Commodity_v1.0'!C:C,1,FALSE)=C1412,"No change"),"Name changed")</f>
        <v>No change</v>
      </c>
      <c r="B1412" t="s">
        <v>1007</v>
      </c>
      <c r="C1412" t="s">
        <v>1008</v>
      </c>
      <c r="E1412" t="s">
        <v>3655</v>
      </c>
      <c r="F1412" t="s">
        <v>12</v>
      </c>
      <c r="G1412">
        <v>0</v>
      </c>
      <c r="H1412" s="413">
        <f>G1412*VLOOKUP(E1412,GWPs!$B$3:$C$6,2,FALSE)</f>
        <v>0</v>
      </c>
      <c r="I1412">
        <v>0</v>
      </c>
      <c r="J1412" s="413">
        <f>I1412*VLOOKUP(E1412,GWPs!$B$3:$C$6,2,FALSE)</f>
        <v>0</v>
      </c>
      <c r="K1412">
        <v>0</v>
      </c>
      <c r="L1412" s="413">
        <f>K1412*VLOOKUP(E1412,GWPs!$B$3:$C$6,2,FALSE)</f>
        <v>0</v>
      </c>
      <c r="N1412">
        <v>3</v>
      </c>
      <c r="O1412">
        <v>2</v>
      </c>
      <c r="P1412">
        <v>1</v>
      </c>
      <c r="Q1412">
        <v>3</v>
      </c>
      <c r="R1412">
        <v>1</v>
      </c>
    </row>
    <row r="1413" spans="1:18">
      <c r="A1413" t="str">
        <f>_xlfn.IFNA(IF(VLOOKUP(C1413,'2016_Detail_Commodity_v1.0'!C:C,1,FALSE)=C1413,"No change"),"Name changed")</f>
        <v>No change</v>
      </c>
      <c r="B1413" t="s">
        <v>1007</v>
      </c>
      <c r="C1413" t="s">
        <v>1008</v>
      </c>
      <c r="E1413" t="s">
        <v>15</v>
      </c>
      <c r="F1413" t="s">
        <v>16</v>
      </c>
      <c r="G1413">
        <v>5.0000000000000001E-3</v>
      </c>
      <c r="H1413" s="413">
        <f>G1413*VLOOKUP(E1413,GWPs!$B$3:$C$6,2,FALSE)</f>
        <v>5.0000000000000001E-3</v>
      </c>
      <c r="I1413">
        <v>0</v>
      </c>
      <c r="J1413" s="413">
        <f>I1413*VLOOKUP(E1413,GWPs!$B$3:$C$6,2,FALSE)</f>
        <v>0</v>
      </c>
      <c r="K1413">
        <v>5.0000000000000001E-3</v>
      </c>
      <c r="L1413" s="413">
        <f>K1413*VLOOKUP(E1413,GWPs!$B$3:$C$6,2,FALSE)</f>
        <v>5.0000000000000001E-3</v>
      </c>
      <c r="N1413">
        <v>4</v>
      </c>
      <c r="O1413">
        <v>2</v>
      </c>
      <c r="P1413">
        <v>1</v>
      </c>
      <c r="Q1413">
        <v>5</v>
      </c>
      <c r="R1413">
        <v>1</v>
      </c>
    </row>
    <row r="1414" spans="1:18">
      <c r="A1414" t="str">
        <f>_xlfn.IFNA(IF(VLOOKUP(C1414,'2016_Detail_Commodity_v1.0'!C:C,1,FALSE)=C1414,"No change"),"Name changed")</f>
        <v>No change</v>
      </c>
      <c r="B1414" t="s">
        <v>1009</v>
      </c>
      <c r="C1414" t="s">
        <v>1010</v>
      </c>
      <c r="E1414" t="s">
        <v>3653</v>
      </c>
      <c r="F1414" t="s">
        <v>12</v>
      </c>
      <c r="G1414">
        <v>0.28000000000000003</v>
      </c>
      <c r="H1414" s="413">
        <f>G1414*VLOOKUP(E1414,GWPs!$B$3:$C$6,2,FALSE)</f>
        <v>0.28000000000000003</v>
      </c>
      <c r="I1414">
        <v>0</v>
      </c>
      <c r="J1414" s="413">
        <f>I1414*VLOOKUP(E1414,GWPs!$B$3:$C$6,2,FALSE)</f>
        <v>0</v>
      </c>
      <c r="K1414">
        <v>0.28000000000000003</v>
      </c>
      <c r="L1414" s="413">
        <f>K1414*VLOOKUP(E1414,GWPs!$B$3:$C$6,2,FALSE)</f>
        <v>0.28000000000000003</v>
      </c>
      <c r="N1414">
        <v>3</v>
      </c>
      <c r="O1414">
        <v>2</v>
      </c>
      <c r="P1414">
        <v>1</v>
      </c>
      <c r="Q1414">
        <v>2</v>
      </c>
      <c r="R1414">
        <v>1</v>
      </c>
    </row>
    <row r="1415" spans="1:18">
      <c r="A1415" t="str">
        <f>_xlfn.IFNA(IF(VLOOKUP(C1415,'2016_Detail_Commodity_v1.0'!C:C,1,FALSE)=C1415,"No change"),"Name changed")</f>
        <v>No change</v>
      </c>
      <c r="B1415" t="s">
        <v>1009</v>
      </c>
      <c r="C1415" t="s">
        <v>1010</v>
      </c>
      <c r="E1415" t="s">
        <v>3654</v>
      </c>
      <c r="F1415" t="s">
        <v>12</v>
      </c>
      <c r="G1415">
        <v>4.1000000000000002E-2</v>
      </c>
      <c r="H1415" s="413">
        <f>G1415*VLOOKUP(E1415,GWPs!$B$3:$C$6,2,FALSE)</f>
        <v>1.1480000000000001</v>
      </c>
      <c r="I1415">
        <v>0</v>
      </c>
      <c r="J1415" s="413">
        <f>I1415*VLOOKUP(E1415,GWPs!$B$3:$C$6,2,FALSE)</f>
        <v>0</v>
      </c>
      <c r="K1415">
        <v>4.1000000000000002E-2</v>
      </c>
      <c r="L1415" s="413">
        <f>K1415*VLOOKUP(E1415,GWPs!$B$3:$C$6,2,FALSE)</f>
        <v>1.1480000000000001</v>
      </c>
      <c r="N1415">
        <v>2</v>
      </c>
      <c r="O1415">
        <v>2</v>
      </c>
      <c r="P1415">
        <v>1</v>
      </c>
      <c r="Q1415">
        <v>1</v>
      </c>
      <c r="R1415">
        <v>1</v>
      </c>
    </row>
    <row r="1416" spans="1:18">
      <c r="A1416" t="str">
        <f>_xlfn.IFNA(IF(VLOOKUP(C1416,'2016_Detail_Commodity_v1.0'!C:C,1,FALSE)=C1416,"No change"),"Name changed")</f>
        <v>No change</v>
      </c>
      <c r="B1416" t="s">
        <v>1009</v>
      </c>
      <c r="C1416" t="s">
        <v>1010</v>
      </c>
      <c r="E1416" t="s">
        <v>3655</v>
      </c>
      <c r="F1416" t="s">
        <v>12</v>
      </c>
      <c r="G1416">
        <v>0</v>
      </c>
      <c r="H1416" s="413">
        <f>G1416*VLOOKUP(E1416,GWPs!$B$3:$C$6,2,FALSE)</f>
        <v>0</v>
      </c>
      <c r="I1416">
        <v>0</v>
      </c>
      <c r="J1416" s="413">
        <f>I1416*VLOOKUP(E1416,GWPs!$B$3:$C$6,2,FALSE)</f>
        <v>0</v>
      </c>
      <c r="K1416">
        <v>0</v>
      </c>
      <c r="L1416" s="413">
        <f>K1416*VLOOKUP(E1416,GWPs!$B$3:$C$6,2,FALSE)</f>
        <v>0</v>
      </c>
      <c r="N1416">
        <v>4</v>
      </c>
      <c r="O1416">
        <v>2</v>
      </c>
      <c r="P1416">
        <v>1</v>
      </c>
      <c r="Q1416">
        <v>1</v>
      </c>
      <c r="R1416">
        <v>1</v>
      </c>
    </row>
    <row r="1417" spans="1:18">
      <c r="A1417" t="str">
        <f>_xlfn.IFNA(IF(VLOOKUP(C1417,'2016_Detail_Commodity_v1.0'!C:C,1,FALSE)=C1417,"No change"),"Name changed")</f>
        <v>No change</v>
      </c>
      <c r="B1417" t="s">
        <v>1009</v>
      </c>
      <c r="C1417" t="s">
        <v>1010</v>
      </c>
      <c r="E1417" t="s">
        <v>15</v>
      </c>
      <c r="F1417" t="s">
        <v>16</v>
      </c>
      <c r="G1417">
        <v>1.4999999999999999E-2</v>
      </c>
      <c r="H1417" s="413">
        <f>G1417*VLOOKUP(E1417,GWPs!$B$3:$C$6,2,FALSE)</f>
        <v>1.4999999999999999E-2</v>
      </c>
      <c r="I1417">
        <v>0</v>
      </c>
      <c r="J1417" s="413">
        <f>I1417*VLOOKUP(E1417,GWPs!$B$3:$C$6,2,FALSE)</f>
        <v>0</v>
      </c>
      <c r="K1417">
        <v>1.4999999999999999E-2</v>
      </c>
      <c r="L1417" s="413">
        <f>K1417*VLOOKUP(E1417,GWPs!$B$3:$C$6,2,FALSE)</f>
        <v>1.4999999999999999E-2</v>
      </c>
      <c r="N1417">
        <v>4</v>
      </c>
      <c r="O1417">
        <v>2</v>
      </c>
      <c r="P1417">
        <v>1</v>
      </c>
      <c r="Q1417">
        <v>5</v>
      </c>
      <c r="R1417">
        <v>1</v>
      </c>
    </row>
    <row r="1418" spans="1:18">
      <c r="A1418" t="str">
        <f>_xlfn.IFNA(IF(VLOOKUP(C1418,'2016_Detail_Commodity_v1.0'!C:C,1,FALSE)=C1418,"No change"),"Name changed")</f>
        <v>No change</v>
      </c>
      <c r="B1418" t="s">
        <v>1011</v>
      </c>
      <c r="C1418" t="s">
        <v>1012</v>
      </c>
      <c r="E1418" t="s">
        <v>3653</v>
      </c>
      <c r="F1418" t="s">
        <v>12</v>
      </c>
      <c r="G1418">
        <v>0.123</v>
      </c>
      <c r="H1418" s="413">
        <f>G1418*VLOOKUP(E1418,GWPs!$B$3:$C$6,2,FALSE)</f>
        <v>0.123</v>
      </c>
      <c r="I1418">
        <v>0</v>
      </c>
      <c r="J1418" s="413">
        <f>I1418*VLOOKUP(E1418,GWPs!$B$3:$C$6,2,FALSE)</f>
        <v>0</v>
      </c>
      <c r="K1418">
        <v>0.123</v>
      </c>
      <c r="L1418" s="413">
        <f>K1418*VLOOKUP(E1418,GWPs!$B$3:$C$6,2,FALSE)</f>
        <v>0.123</v>
      </c>
      <c r="N1418">
        <v>3</v>
      </c>
      <c r="O1418">
        <v>2</v>
      </c>
      <c r="P1418">
        <v>1</v>
      </c>
      <c r="Q1418">
        <v>4</v>
      </c>
      <c r="R1418">
        <v>1</v>
      </c>
    </row>
    <row r="1419" spans="1:18">
      <c r="A1419" t="str">
        <f>_xlfn.IFNA(IF(VLOOKUP(C1419,'2016_Detail_Commodity_v1.0'!C:C,1,FALSE)=C1419,"No change"),"Name changed")</f>
        <v>No change</v>
      </c>
      <c r="B1419" t="s">
        <v>1011</v>
      </c>
      <c r="C1419" t="s">
        <v>1012</v>
      </c>
      <c r="E1419" t="s">
        <v>3654</v>
      </c>
      <c r="F1419" t="s">
        <v>12</v>
      </c>
      <c r="G1419">
        <v>1E-3</v>
      </c>
      <c r="H1419" s="413">
        <f>G1419*VLOOKUP(E1419,GWPs!$B$3:$C$6,2,FALSE)</f>
        <v>2.8000000000000001E-2</v>
      </c>
      <c r="I1419">
        <v>0</v>
      </c>
      <c r="J1419" s="413">
        <f>I1419*VLOOKUP(E1419,GWPs!$B$3:$C$6,2,FALSE)</f>
        <v>0</v>
      </c>
      <c r="K1419">
        <v>1E-3</v>
      </c>
      <c r="L1419" s="413">
        <f>K1419*VLOOKUP(E1419,GWPs!$B$3:$C$6,2,FALSE)</f>
        <v>2.8000000000000001E-2</v>
      </c>
      <c r="N1419">
        <v>3</v>
      </c>
      <c r="O1419">
        <v>2</v>
      </c>
      <c r="P1419">
        <v>1</v>
      </c>
      <c r="Q1419">
        <v>1</v>
      </c>
      <c r="R1419">
        <v>1</v>
      </c>
    </row>
    <row r="1420" spans="1:18">
      <c r="A1420" t="str">
        <f>_xlfn.IFNA(IF(VLOOKUP(C1420,'2016_Detail_Commodity_v1.0'!C:C,1,FALSE)=C1420,"No change"),"Name changed")</f>
        <v>No change</v>
      </c>
      <c r="B1420" t="s">
        <v>1011</v>
      </c>
      <c r="C1420" t="s">
        <v>1012</v>
      </c>
      <c r="E1420" t="s">
        <v>3655</v>
      </c>
      <c r="F1420" t="s">
        <v>12</v>
      </c>
      <c r="G1420">
        <v>0</v>
      </c>
      <c r="H1420" s="413">
        <f>G1420*VLOOKUP(E1420,GWPs!$B$3:$C$6,2,FALSE)</f>
        <v>0</v>
      </c>
      <c r="I1420">
        <v>0</v>
      </c>
      <c r="J1420" s="413">
        <f>I1420*VLOOKUP(E1420,GWPs!$B$3:$C$6,2,FALSE)</f>
        <v>0</v>
      </c>
      <c r="K1420">
        <v>0</v>
      </c>
      <c r="L1420" s="413">
        <f>K1420*VLOOKUP(E1420,GWPs!$B$3:$C$6,2,FALSE)</f>
        <v>0</v>
      </c>
      <c r="N1420">
        <v>4</v>
      </c>
      <c r="O1420">
        <v>2</v>
      </c>
      <c r="P1420">
        <v>1</v>
      </c>
      <c r="Q1420">
        <v>3</v>
      </c>
      <c r="R1420">
        <v>1</v>
      </c>
    </row>
    <row r="1421" spans="1:18">
      <c r="A1421" t="str">
        <f>_xlfn.IFNA(IF(VLOOKUP(C1421,'2016_Detail_Commodity_v1.0'!C:C,1,FALSE)=C1421,"No change"),"Name changed")</f>
        <v>No change</v>
      </c>
      <c r="B1421" t="s">
        <v>1011</v>
      </c>
      <c r="C1421" t="s">
        <v>1012</v>
      </c>
      <c r="E1421" t="s">
        <v>15</v>
      </c>
      <c r="F1421" t="s">
        <v>16</v>
      </c>
      <c r="G1421">
        <v>3.0000000000000001E-3</v>
      </c>
      <c r="H1421" s="413">
        <f>G1421*VLOOKUP(E1421,GWPs!$B$3:$C$6,2,FALSE)</f>
        <v>3.0000000000000001E-3</v>
      </c>
      <c r="I1421">
        <v>0</v>
      </c>
      <c r="J1421" s="413">
        <f>I1421*VLOOKUP(E1421,GWPs!$B$3:$C$6,2,FALSE)</f>
        <v>0</v>
      </c>
      <c r="K1421">
        <v>3.0000000000000001E-3</v>
      </c>
      <c r="L1421" s="413">
        <f>K1421*VLOOKUP(E1421,GWPs!$B$3:$C$6,2,FALSE)</f>
        <v>3.0000000000000001E-3</v>
      </c>
      <c r="N1421">
        <v>4</v>
      </c>
      <c r="O1421">
        <v>2</v>
      </c>
      <c r="P1421">
        <v>1</v>
      </c>
      <c r="Q1421">
        <v>4</v>
      </c>
      <c r="R1421">
        <v>1</v>
      </c>
    </row>
    <row r="1422" spans="1:18">
      <c r="A1422" t="str">
        <f>_xlfn.IFNA(IF(VLOOKUP(C1422,'2016_Detail_Commodity_v1.0'!C:C,1,FALSE)=C1422,"No change"),"Name changed")</f>
        <v>No change</v>
      </c>
      <c r="B1422" t="s">
        <v>1013</v>
      </c>
      <c r="C1422" t="s">
        <v>1014</v>
      </c>
      <c r="E1422" t="s">
        <v>3653</v>
      </c>
      <c r="F1422" t="s">
        <v>12</v>
      </c>
      <c r="G1422">
        <v>0.157</v>
      </c>
      <c r="H1422" s="413">
        <f>G1422*VLOOKUP(E1422,GWPs!$B$3:$C$6,2,FALSE)</f>
        <v>0.157</v>
      </c>
      <c r="I1422">
        <v>0</v>
      </c>
      <c r="J1422" s="413">
        <f>I1422*VLOOKUP(E1422,GWPs!$B$3:$C$6,2,FALSE)</f>
        <v>0</v>
      </c>
      <c r="K1422">
        <v>0.157</v>
      </c>
      <c r="L1422" s="413">
        <f>K1422*VLOOKUP(E1422,GWPs!$B$3:$C$6,2,FALSE)</f>
        <v>0.157</v>
      </c>
      <c r="N1422">
        <v>3</v>
      </c>
      <c r="O1422">
        <v>2</v>
      </c>
      <c r="P1422">
        <v>1</v>
      </c>
      <c r="Q1422">
        <v>3</v>
      </c>
      <c r="R1422">
        <v>1</v>
      </c>
    </row>
    <row r="1423" spans="1:18">
      <c r="A1423" t="str">
        <f>_xlfn.IFNA(IF(VLOOKUP(C1423,'2016_Detail_Commodity_v1.0'!C:C,1,FALSE)=C1423,"No change"),"Name changed")</f>
        <v>No change</v>
      </c>
      <c r="B1423" t="s">
        <v>1013</v>
      </c>
      <c r="C1423" t="s">
        <v>1014</v>
      </c>
      <c r="E1423" t="s">
        <v>3654</v>
      </c>
      <c r="F1423" t="s">
        <v>12</v>
      </c>
      <c r="G1423">
        <v>1E-3</v>
      </c>
      <c r="H1423" s="413">
        <f>G1423*VLOOKUP(E1423,GWPs!$B$3:$C$6,2,FALSE)</f>
        <v>2.8000000000000001E-2</v>
      </c>
      <c r="I1423">
        <v>0</v>
      </c>
      <c r="J1423" s="413">
        <f>I1423*VLOOKUP(E1423,GWPs!$B$3:$C$6,2,FALSE)</f>
        <v>0</v>
      </c>
      <c r="K1423">
        <v>1E-3</v>
      </c>
      <c r="L1423" s="413">
        <f>K1423*VLOOKUP(E1423,GWPs!$B$3:$C$6,2,FALSE)</f>
        <v>2.8000000000000001E-2</v>
      </c>
      <c r="N1423">
        <v>4</v>
      </c>
      <c r="O1423">
        <v>2</v>
      </c>
      <c r="P1423">
        <v>1</v>
      </c>
      <c r="Q1423">
        <v>1</v>
      </c>
      <c r="R1423">
        <v>1</v>
      </c>
    </row>
    <row r="1424" spans="1:18">
      <c r="A1424" t="str">
        <f>_xlfn.IFNA(IF(VLOOKUP(C1424,'2016_Detail_Commodity_v1.0'!C:C,1,FALSE)=C1424,"No change"),"Name changed")</f>
        <v>No change</v>
      </c>
      <c r="B1424" t="s">
        <v>1013</v>
      </c>
      <c r="C1424" t="s">
        <v>1014</v>
      </c>
      <c r="E1424" t="s">
        <v>3655</v>
      </c>
      <c r="F1424" t="s">
        <v>12</v>
      </c>
      <c r="G1424">
        <v>0</v>
      </c>
      <c r="H1424" s="413">
        <f>G1424*VLOOKUP(E1424,GWPs!$B$3:$C$6,2,FALSE)</f>
        <v>0</v>
      </c>
      <c r="I1424">
        <v>0</v>
      </c>
      <c r="J1424" s="413">
        <f>I1424*VLOOKUP(E1424,GWPs!$B$3:$C$6,2,FALSE)</f>
        <v>0</v>
      </c>
      <c r="K1424">
        <v>0</v>
      </c>
      <c r="L1424" s="413">
        <f>K1424*VLOOKUP(E1424,GWPs!$B$3:$C$6,2,FALSE)</f>
        <v>0</v>
      </c>
      <c r="N1424">
        <v>4</v>
      </c>
      <c r="O1424">
        <v>2</v>
      </c>
      <c r="P1424">
        <v>1</v>
      </c>
      <c r="Q1424">
        <v>3</v>
      </c>
      <c r="R1424">
        <v>1</v>
      </c>
    </row>
    <row r="1425" spans="1:18">
      <c r="A1425" t="str">
        <f>_xlfn.IFNA(IF(VLOOKUP(C1425,'2016_Detail_Commodity_v1.0'!C:C,1,FALSE)=C1425,"No change"),"Name changed")</f>
        <v>No change</v>
      </c>
      <c r="B1425" t="s">
        <v>1013</v>
      </c>
      <c r="C1425" t="s">
        <v>1014</v>
      </c>
      <c r="E1425" t="s">
        <v>15</v>
      </c>
      <c r="F1425" t="s">
        <v>16</v>
      </c>
      <c r="G1425">
        <v>3.0000000000000001E-3</v>
      </c>
      <c r="H1425" s="413">
        <f>G1425*VLOOKUP(E1425,GWPs!$B$3:$C$6,2,FALSE)</f>
        <v>3.0000000000000001E-3</v>
      </c>
      <c r="I1425">
        <v>0</v>
      </c>
      <c r="J1425" s="413">
        <f>I1425*VLOOKUP(E1425,GWPs!$B$3:$C$6,2,FALSE)</f>
        <v>0</v>
      </c>
      <c r="K1425">
        <v>3.0000000000000001E-3</v>
      </c>
      <c r="L1425" s="413">
        <f>K1425*VLOOKUP(E1425,GWPs!$B$3:$C$6,2,FALSE)</f>
        <v>3.0000000000000001E-3</v>
      </c>
      <c r="N1425">
        <v>4</v>
      </c>
      <c r="O1425">
        <v>2</v>
      </c>
      <c r="P1425">
        <v>1</v>
      </c>
      <c r="Q1425">
        <v>5</v>
      </c>
      <c r="R1425">
        <v>1</v>
      </c>
    </row>
    <row r="1426" spans="1:18">
      <c r="A1426" t="str">
        <f>_xlfn.IFNA(IF(VLOOKUP(C1426,'2016_Detail_Commodity_v1.0'!C:C,1,FALSE)=C1426,"No change"),"Name changed")</f>
        <v>No change</v>
      </c>
      <c r="B1426" t="s">
        <v>1015</v>
      </c>
      <c r="C1426" t="s">
        <v>1016</v>
      </c>
      <c r="E1426" t="s">
        <v>3653</v>
      </c>
      <c r="F1426" t="s">
        <v>12</v>
      </c>
      <c r="G1426">
        <v>0.11600000000000001</v>
      </c>
      <c r="H1426" s="413">
        <f>G1426*VLOOKUP(E1426,GWPs!$B$3:$C$6,2,FALSE)</f>
        <v>0.11600000000000001</v>
      </c>
      <c r="I1426">
        <v>0</v>
      </c>
      <c r="J1426" s="413">
        <f>I1426*VLOOKUP(E1426,GWPs!$B$3:$C$6,2,FALSE)</f>
        <v>0</v>
      </c>
      <c r="K1426">
        <v>0.11600000000000001</v>
      </c>
      <c r="L1426" s="413">
        <f>K1426*VLOOKUP(E1426,GWPs!$B$3:$C$6,2,FALSE)</f>
        <v>0.11600000000000001</v>
      </c>
      <c r="N1426">
        <v>3</v>
      </c>
      <c r="O1426">
        <v>2</v>
      </c>
      <c r="P1426">
        <v>1</v>
      </c>
      <c r="Q1426">
        <v>3</v>
      </c>
      <c r="R1426">
        <v>1</v>
      </c>
    </row>
    <row r="1427" spans="1:18">
      <c r="A1427" t="str">
        <f>_xlfn.IFNA(IF(VLOOKUP(C1427,'2016_Detail_Commodity_v1.0'!C:C,1,FALSE)=C1427,"No change"),"Name changed")</f>
        <v>No change</v>
      </c>
      <c r="B1427" t="s">
        <v>1015</v>
      </c>
      <c r="C1427" t="s">
        <v>1016</v>
      </c>
      <c r="E1427" t="s">
        <v>3654</v>
      </c>
      <c r="F1427" t="s">
        <v>12</v>
      </c>
      <c r="G1427">
        <v>1E-3</v>
      </c>
      <c r="H1427" s="413">
        <f>G1427*VLOOKUP(E1427,GWPs!$B$3:$C$6,2,FALSE)</f>
        <v>2.8000000000000001E-2</v>
      </c>
      <c r="I1427">
        <v>0</v>
      </c>
      <c r="J1427" s="413">
        <f>I1427*VLOOKUP(E1427,GWPs!$B$3:$C$6,2,FALSE)</f>
        <v>0</v>
      </c>
      <c r="K1427">
        <v>1E-3</v>
      </c>
      <c r="L1427" s="413">
        <f>K1427*VLOOKUP(E1427,GWPs!$B$3:$C$6,2,FALSE)</f>
        <v>2.8000000000000001E-2</v>
      </c>
      <c r="N1427">
        <v>3</v>
      </c>
      <c r="O1427">
        <v>2</v>
      </c>
      <c r="P1427">
        <v>1</v>
      </c>
      <c r="Q1427">
        <v>1</v>
      </c>
      <c r="R1427">
        <v>1</v>
      </c>
    </row>
    <row r="1428" spans="1:18">
      <c r="A1428" t="str">
        <f>_xlfn.IFNA(IF(VLOOKUP(C1428,'2016_Detail_Commodity_v1.0'!C:C,1,FALSE)=C1428,"No change"),"Name changed")</f>
        <v>No change</v>
      </c>
      <c r="B1428" t="s">
        <v>1015</v>
      </c>
      <c r="C1428" t="s">
        <v>1016</v>
      </c>
      <c r="E1428" t="s">
        <v>3655</v>
      </c>
      <c r="F1428" t="s">
        <v>12</v>
      </c>
      <c r="G1428">
        <v>0</v>
      </c>
      <c r="H1428" s="413">
        <f>G1428*VLOOKUP(E1428,GWPs!$B$3:$C$6,2,FALSE)</f>
        <v>0</v>
      </c>
      <c r="I1428">
        <v>0</v>
      </c>
      <c r="J1428" s="413">
        <f>I1428*VLOOKUP(E1428,GWPs!$B$3:$C$6,2,FALSE)</f>
        <v>0</v>
      </c>
      <c r="K1428">
        <v>0</v>
      </c>
      <c r="L1428" s="413">
        <f>K1428*VLOOKUP(E1428,GWPs!$B$3:$C$6,2,FALSE)</f>
        <v>0</v>
      </c>
      <c r="N1428">
        <v>3</v>
      </c>
      <c r="O1428">
        <v>2</v>
      </c>
      <c r="P1428">
        <v>1</v>
      </c>
      <c r="Q1428">
        <v>3</v>
      </c>
      <c r="R1428">
        <v>1</v>
      </c>
    </row>
    <row r="1429" spans="1:18">
      <c r="A1429" t="str">
        <f>_xlfn.IFNA(IF(VLOOKUP(C1429,'2016_Detail_Commodity_v1.0'!C:C,1,FALSE)=C1429,"No change"),"Name changed")</f>
        <v>No change</v>
      </c>
      <c r="B1429" t="s">
        <v>1015</v>
      </c>
      <c r="C1429" t="s">
        <v>1016</v>
      </c>
      <c r="E1429" t="s">
        <v>15</v>
      </c>
      <c r="F1429" t="s">
        <v>16</v>
      </c>
      <c r="G1429">
        <v>3.0000000000000001E-3</v>
      </c>
      <c r="H1429" s="413">
        <f>G1429*VLOOKUP(E1429,GWPs!$B$3:$C$6,2,FALSE)</f>
        <v>3.0000000000000001E-3</v>
      </c>
      <c r="I1429">
        <v>0</v>
      </c>
      <c r="J1429" s="413">
        <f>I1429*VLOOKUP(E1429,GWPs!$B$3:$C$6,2,FALSE)</f>
        <v>0</v>
      </c>
      <c r="K1429">
        <v>3.0000000000000001E-3</v>
      </c>
      <c r="L1429" s="413">
        <f>K1429*VLOOKUP(E1429,GWPs!$B$3:$C$6,2,FALSE)</f>
        <v>3.0000000000000001E-3</v>
      </c>
      <c r="N1429">
        <v>4</v>
      </c>
      <c r="O1429">
        <v>2</v>
      </c>
      <c r="P1429">
        <v>1</v>
      </c>
      <c r="Q1429">
        <v>4</v>
      </c>
      <c r="R1429">
        <v>1</v>
      </c>
    </row>
    <row r="1430" spans="1:18">
      <c r="A1430" t="str">
        <f>_xlfn.IFNA(IF(VLOOKUP(C1430,'2016_Detail_Commodity_v1.0'!C:C,1,FALSE)=C1430,"No change"),"Name changed")</f>
        <v>No change</v>
      </c>
      <c r="B1430" t="s">
        <v>1017</v>
      </c>
      <c r="C1430" t="s">
        <v>1018</v>
      </c>
      <c r="E1430" t="s">
        <v>3653</v>
      </c>
      <c r="F1430" t="s">
        <v>12</v>
      </c>
      <c r="G1430">
        <v>7.9000000000000001E-2</v>
      </c>
      <c r="H1430" s="413">
        <f>G1430*VLOOKUP(E1430,GWPs!$B$3:$C$6,2,FALSE)</f>
        <v>7.9000000000000001E-2</v>
      </c>
      <c r="I1430">
        <v>0</v>
      </c>
      <c r="J1430" s="413">
        <f>I1430*VLOOKUP(E1430,GWPs!$B$3:$C$6,2,FALSE)</f>
        <v>0</v>
      </c>
      <c r="K1430">
        <v>7.9000000000000001E-2</v>
      </c>
      <c r="L1430" s="413">
        <f>K1430*VLOOKUP(E1430,GWPs!$B$3:$C$6,2,FALSE)</f>
        <v>7.9000000000000001E-2</v>
      </c>
      <c r="N1430">
        <v>3</v>
      </c>
      <c r="O1430">
        <v>2</v>
      </c>
      <c r="P1430">
        <v>1</v>
      </c>
      <c r="Q1430">
        <v>3</v>
      </c>
      <c r="R1430">
        <v>1</v>
      </c>
    </row>
    <row r="1431" spans="1:18">
      <c r="A1431" t="str">
        <f>_xlfn.IFNA(IF(VLOOKUP(C1431,'2016_Detail_Commodity_v1.0'!C:C,1,FALSE)=C1431,"No change"),"Name changed")</f>
        <v>No change</v>
      </c>
      <c r="B1431" t="s">
        <v>1017</v>
      </c>
      <c r="C1431" t="s">
        <v>1018</v>
      </c>
      <c r="E1431" t="s">
        <v>3654</v>
      </c>
      <c r="F1431" t="s">
        <v>12</v>
      </c>
      <c r="G1431">
        <v>0</v>
      </c>
      <c r="H1431" s="413">
        <f>G1431*VLOOKUP(E1431,GWPs!$B$3:$C$6,2,FALSE)</f>
        <v>0</v>
      </c>
      <c r="I1431">
        <v>0</v>
      </c>
      <c r="J1431" s="413">
        <f>I1431*VLOOKUP(E1431,GWPs!$B$3:$C$6,2,FALSE)</f>
        <v>0</v>
      </c>
      <c r="K1431">
        <v>0</v>
      </c>
      <c r="L1431" s="413">
        <f>K1431*VLOOKUP(E1431,GWPs!$B$3:$C$6,2,FALSE)</f>
        <v>0</v>
      </c>
      <c r="N1431">
        <v>3</v>
      </c>
      <c r="O1431">
        <v>2</v>
      </c>
      <c r="P1431">
        <v>1</v>
      </c>
      <c r="Q1431">
        <v>1</v>
      </c>
      <c r="R1431">
        <v>1</v>
      </c>
    </row>
    <row r="1432" spans="1:18">
      <c r="A1432" t="str">
        <f>_xlfn.IFNA(IF(VLOOKUP(C1432,'2016_Detail_Commodity_v1.0'!C:C,1,FALSE)=C1432,"No change"),"Name changed")</f>
        <v>No change</v>
      </c>
      <c r="B1432" t="s">
        <v>1017</v>
      </c>
      <c r="C1432" t="s">
        <v>1018</v>
      </c>
      <c r="E1432" t="s">
        <v>3655</v>
      </c>
      <c r="F1432" t="s">
        <v>12</v>
      </c>
      <c r="G1432">
        <v>0</v>
      </c>
      <c r="H1432" s="413">
        <f>G1432*VLOOKUP(E1432,GWPs!$B$3:$C$6,2,FALSE)</f>
        <v>0</v>
      </c>
      <c r="I1432">
        <v>0</v>
      </c>
      <c r="J1432" s="413">
        <f>I1432*VLOOKUP(E1432,GWPs!$B$3:$C$6,2,FALSE)</f>
        <v>0</v>
      </c>
      <c r="K1432">
        <v>0</v>
      </c>
      <c r="L1432" s="413">
        <f>K1432*VLOOKUP(E1432,GWPs!$B$3:$C$6,2,FALSE)</f>
        <v>0</v>
      </c>
      <c r="N1432">
        <v>3</v>
      </c>
      <c r="O1432">
        <v>2</v>
      </c>
      <c r="P1432">
        <v>1</v>
      </c>
      <c r="Q1432">
        <v>3</v>
      </c>
      <c r="R1432">
        <v>1</v>
      </c>
    </row>
    <row r="1433" spans="1:18">
      <c r="A1433" t="str">
        <f>_xlfn.IFNA(IF(VLOOKUP(C1433,'2016_Detail_Commodity_v1.0'!C:C,1,FALSE)=C1433,"No change"),"Name changed")</f>
        <v>No change</v>
      </c>
      <c r="B1433" t="s">
        <v>1017</v>
      </c>
      <c r="C1433" t="s">
        <v>1018</v>
      </c>
      <c r="E1433" t="s">
        <v>15</v>
      </c>
      <c r="F1433" t="s">
        <v>16</v>
      </c>
      <c r="G1433">
        <v>3.0000000000000001E-3</v>
      </c>
      <c r="H1433" s="413">
        <f>G1433*VLOOKUP(E1433,GWPs!$B$3:$C$6,2,FALSE)</f>
        <v>3.0000000000000001E-3</v>
      </c>
      <c r="I1433">
        <v>0</v>
      </c>
      <c r="J1433" s="413">
        <f>I1433*VLOOKUP(E1433,GWPs!$B$3:$C$6,2,FALSE)</f>
        <v>0</v>
      </c>
      <c r="K1433">
        <v>3.0000000000000001E-3</v>
      </c>
      <c r="L1433" s="413">
        <f>K1433*VLOOKUP(E1433,GWPs!$B$3:$C$6,2,FALSE)</f>
        <v>3.0000000000000001E-3</v>
      </c>
      <c r="N1433">
        <v>4</v>
      </c>
      <c r="O1433">
        <v>2</v>
      </c>
      <c r="P1433">
        <v>1</v>
      </c>
      <c r="Q1433">
        <v>4</v>
      </c>
      <c r="R1433">
        <v>1</v>
      </c>
    </row>
    <row r="1434" spans="1:18">
      <c r="A1434" t="str">
        <f>_xlfn.IFNA(IF(VLOOKUP(C1434,'2016_Detail_Commodity_v1.0'!C:C,1,FALSE)=C1434,"No change"),"Name changed")</f>
        <v>No change</v>
      </c>
      <c r="B1434" t="s">
        <v>1019</v>
      </c>
      <c r="C1434" t="s">
        <v>1020</v>
      </c>
      <c r="E1434" t="s">
        <v>3653</v>
      </c>
      <c r="F1434" t="s">
        <v>12</v>
      </c>
      <c r="G1434">
        <v>8.8999999999999996E-2</v>
      </c>
      <c r="H1434" s="413">
        <f>G1434*VLOOKUP(E1434,GWPs!$B$3:$C$6,2,FALSE)</f>
        <v>8.8999999999999996E-2</v>
      </c>
      <c r="I1434">
        <v>0</v>
      </c>
      <c r="J1434" s="413">
        <f>I1434*VLOOKUP(E1434,GWPs!$B$3:$C$6,2,FALSE)</f>
        <v>0</v>
      </c>
      <c r="K1434">
        <v>8.8999999999999996E-2</v>
      </c>
      <c r="L1434" s="413">
        <f>K1434*VLOOKUP(E1434,GWPs!$B$3:$C$6,2,FALSE)</f>
        <v>8.8999999999999996E-2</v>
      </c>
      <c r="N1434">
        <v>3</v>
      </c>
      <c r="O1434">
        <v>2</v>
      </c>
      <c r="P1434">
        <v>1</v>
      </c>
      <c r="Q1434">
        <v>3</v>
      </c>
      <c r="R1434">
        <v>1</v>
      </c>
    </row>
    <row r="1435" spans="1:18">
      <c r="A1435" t="str">
        <f>_xlfn.IFNA(IF(VLOOKUP(C1435,'2016_Detail_Commodity_v1.0'!C:C,1,FALSE)=C1435,"No change"),"Name changed")</f>
        <v>No change</v>
      </c>
      <c r="B1435" t="s">
        <v>1019</v>
      </c>
      <c r="C1435" t="s">
        <v>1020</v>
      </c>
      <c r="E1435" t="s">
        <v>3654</v>
      </c>
      <c r="F1435" t="s">
        <v>12</v>
      </c>
      <c r="G1435">
        <v>0</v>
      </c>
      <c r="H1435" s="413">
        <f>G1435*VLOOKUP(E1435,GWPs!$B$3:$C$6,2,FALSE)</f>
        <v>0</v>
      </c>
      <c r="I1435">
        <v>0</v>
      </c>
      <c r="J1435" s="413">
        <f>I1435*VLOOKUP(E1435,GWPs!$B$3:$C$6,2,FALSE)</f>
        <v>0</v>
      </c>
      <c r="K1435">
        <v>0</v>
      </c>
      <c r="L1435" s="413">
        <f>K1435*VLOOKUP(E1435,GWPs!$B$3:$C$6,2,FALSE)</f>
        <v>0</v>
      </c>
      <c r="N1435">
        <v>3</v>
      </c>
      <c r="O1435">
        <v>2</v>
      </c>
      <c r="P1435">
        <v>1</v>
      </c>
      <c r="Q1435">
        <v>1</v>
      </c>
      <c r="R1435">
        <v>1</v>
      </c>
    </row>
    <row r="1436" spans="1:18">
      <c r="A1436" t="str">
        <f>_xlfn.IFNA(IF(VLOOKUP(C1436,'2016_Detail_Commodity_v1.0'!C:C,1,FALSE)=C1436,"No change"),"Name changed")</f>
        <v>No change</v>
      </c>
      <c r="B1436" t="s">
        <v>1019</v>
      </c>
      <c r="C1436" t="s">
        <v>1020</v>
      </c>
      <c r="E1436" t="s">
        <v>3655</v>
      </c>
      <c r="F1436" t="s">
        <v>12</v>
      </c>
      <c r="G1436">
        <v>0</v>
      </c>
      <c r="H1436" s="413">
        <f>G1436*VLOOKUP(E1436,GWPs!$B$3:$C$6,2,FALSE)</f>
        <v>0</v>
      </c>
      <c r="I1436">
        <v>0</v>
      </c>
      <c r="J1436" s="413">
        <f>I1436*VLOOKUP(E1436,GWPs!$B$3:$C$6,2,FALSE)</f>
        <v>0</v>
      </c>
      <c r="K1436">
        <v>0</v>
      </c>
      <c r="L1436" s="413">
        <f>K1436*VLOOKUP(E1436,GWPs!$B$3:$C$6,2,FALSE)</f>
        <v>0</v>
      </c>
      <c r="N1436">
        <v>3</v>
      </c>
      <c r="O1436">
        <v>2</v>
      </c>
      <c r="P1436">
        <v>1</v>
      </c>
      <c r="Q1436">
        <v>2</v>
      </c>
      <c r="R1436">
        <v>1</v>
      </c>
    </row>
    <row r="1437" spans="1:18">
      <c r="A1437" t="str">
        <f>_xlfn.IFNA(IF(VLOOKUP(C1437,'2016_Detail_Commodity_v1.0'!C:C,1,FALSE)=C1437,"No change"),"Name changed")</f>
        <v>No change</v>
      </c>
      <c r="B1437" t="s">
        <v>1019</v>
      </c>
      <c r="C1437" t="s">
        <v>1020</v>
      </c>
      <c r="E1437" t="s">
        <v>15</v>
      </c>
      <c r="F1437" t="s">
        <v>16</v>
      </c>
      <c r="G1437">
        <v>3.0000000000000001E-3</v>
      </c>
      <c r="H1437" s="413">
        <f>G1437*VLOOKUP(E1437,GWPs!$B$3:$C$6,2,FALSE)</f>
        <v>3.0000000000000001E-3</v>
      </c>
      <c r="I1437">
        <v>0</v>
      </c>
      <c r="J1437" s="413">
        <f>I1437*VLOOKUP(E1437,GWPs!$B$3:$C$6,2,FALSE)</f>
        <v>0</v>
      </c>
      <c r="K1437">
        <v>3.0000000000000001E-3</v>
      </c>
      <c r="L1437" s="413">
        <f>K1437*VLOOKUP(E1437,GWPs!$B$3:$C$6,2,FALSE)</f>
        <v>3.0000000000000001E-3</v>
      </c>
      <c r="N1437">
        <v>4</v>
      </c>
      <c r="O1437">
        <v>2</v>
      </c>
      <c r="P1437">
        <v>1</v>
      </c>
      <c r="Q1437">
        <v>4</v>
      </c>
      <c r="R1437">
        <v>1</v>
      </c>
    </row>
    <row r="1438" spans="1:18">
      <c r="A1438" t="str">
        <f>_xlfn.IFNA(IF(VLOOKUP(C1438,'2016_Detail_Commodity_v1.0'!C:C,1,FALSE)=C1438,"No change"),"Name changed")</f>
        <v>No change</v>
      </c>
      <c r="B1438" t="s">
        <v>1021</v>
      </c>
      <c r="C1438" t="s">
        <v>1022</v>
      </c>
      <c r="E1438" t="s">
        <v>3653</v>
      </c>
      <c r="F1438" t="s">
        <v>12</v>
      </c>
      <c r="G1438">
        <v>0.10100000000000001</v>
      </c>
      <c r="H1438" s="413">
        <f>G1438*VLOOKUP(E1438,GWPs!$B$3:$C$6,2,FALSE)</f>
        <v>0.10100000000000001</v>
      </c>
      <c r="I1438">
        <v>0</v>
      </c>
      <c r="J1438" s="413">
        <f>I1438*VLOOKUP(E1438,GWPs!$B$3:$C$6,2,FALSE)</f>
        <v>0</v>
      </c>
      <c r="K1438">
        <v>0.10100000000000001</v>
      </c>
      <c r="L1438" s="413">
        <f>K1438*VLOOKUP(E1438,GWPs!$B$3:$C$6,2,FALSE)</f>
        <v>0.10100000000000001</v>
      </c>
      <c r="N1438">
        <v>3</v>
      </c>
      <c r="O1438">
        <v>2</v>
      </c>
      <c r="P1438">
        <v>1</v>
      </c>
      <c r="Q1438">
        <v>3</v>
      </c>
      <c r="R1438">
        <v>1</v>
      </c>
    </row>
    <row r="1439" spans="1:18">
      <c r="A1439" t="str">
        <f>_xlfn.IFNA(IF(VLOOKUP(C1439,'2016_Detail_Commodity_v1.0'!C:C,1,FALSE)=C1439,"No change"),"Name changed")</f>
        <v>No change</v>
      </c>
      <c r="B1439" t="s">
        <v>1021</v>
      </c>
      <c r="C1439" t="s">
        <v>1022</v>
      </c>
      <c r="E1439" t="s">
        <v>3654</v>
      </c>
      <c r="F1439" t="s">
        <v>12</v>
      </c>
      <c r="G1439">
        <v>0</v>
      </c>
      <c r="H1439" s="413">
        <f>G1439*VLOOKUP(E1439,GWPs!$B$3:$C$6,2,FALSE)</f>
        <v>0</v>
      </c>
      <c r="I1439">
        <v>0</v>
      </c>
      <c r="J1439" s="413">
        <f>I1439*VLOOKUP(E1439,GWPs!$B$3:$C$6,2,FALSE)</f>
        <v>0</v>
      </c>
      <c r="K1439">
        <v>0</v>
      </c>
      <c r="L1439" s="413">
        <f>K1439*VLOOKUP(E1439,GWPs!$B$3:$C$6,2,FALSE)</f>
        <v>0</v>
      </c>
      <c r="N1439">
        <v>3</v>
      </c>
      <c r="O1439">
        <v>2</v>
      </c>
      <c r="P1439">
        <v>1</v>
      </c>
      <c r="Q1439">
        <v>1</v>
      </c>
      <c r="R1439">
        <v>1</v>
      </c>
    </row>
    <row r="1440" spans="1:18">
      <c r="A1440" t="str">
        <f>_xlfn.IFNA(IF(VLOOKUP(C1440,'2016_Detail_Commodity_v1.0'!C:C,1,FALSE)=C1440,"No change"),"Name changed")</f>
        <v>No change</v>
      </c>
      <c r="B1440" t="s">
        <v>1021</v>
      </c>
      <c r="C1440" t="s">
        <v>1022</v>
      </c>
      <c r="E1440" t="s">
        <v>3655</v>
      </c>
      <c r="F1440" t="s">
        <v>12</v>
      </c>
      <c r="G1440">
        <v>0</v>
      </c>
      <c r="H1440" s="413">
        <f>G1440*VLOOKUP(E1440,GWPs!$B$3:$C$6,2,FALSE)</f>
        <v>0</v>
      </c>
      <c r="I1440">
        <v>0</v>
      </c>
      <c r="J1440" s="413">
        <f>I1440*VLOOKUP(E1440,GWPs!$B$3:$C$6,2,FALSE)</f>
        <v>0</v>
      </c>
      <c r="K1440">
        <v>0</v>
      </c>
      <c r="L1440" s="413">
        <f>K1440*VLOOKUP(E1440,GWPs!$B$3:$C$6,2,FALSE)</f>
        <v>0</v>
      </c>
      <c r="N1440">
        <v>3</v>
      </c>
      <c r="O1440">
        <v>2</v>
      </c>
      <c r="P1440">
        <v>1</v>
      </c>
      <c r="Q1440">
        <v>2</v>
      </c>
      <c r="R1440">
        <v>1</v>
      </c>
    </row>
    <row r="1441" spans="1:18">
      <c r="A1441" t="str">
        <f>_xlfn.IFNA(IF(VLOOKUP(C1441,'2016_Detail_Commodity_v1.0'!C:C,1,FALSE)=C1441,"No change"),"Name changed")</f>
        <v>No change</v>
      </c>
      <c r="B1441" t="s">
        <v>1021</v>
      </c>
      <c r="C1441" t="s">
        <v>1022</v>
      </c>
      <c r="E1441" t="s">
        <v>15</v>
      </c>
      <c r="F1441" t="s">
        <v>16</v>
      </c>
      <c r="G1441">
        <v>3.0000000000000001E-3</v>
      </c>
      <c r="H1441" s="413">
        <f>G1441*VLOOKUP(E1441,GWPs!$B$3:$C$6,2,FALSE)</f>
        <v>3.0000000000000001E-3</v>
      </c>
      <c r="I1441">
        <v>0</v>
      </c>
      <c r="J1441" s="413">
        <f>I1441*VLOOKUP(E1441,GWPs!$B$3:$C$6,2,FALSE)</f>
        <v>0</v>
      </c>
      <c r="K1441">
        <v>3.0000000000000001E-3</v>
      </c>
      <c r="L1441" s="413">
        <f>K1441*VLOOKUP(E1441,GWPs!$B$3:$C$6,2,FALSE)</f>
        <v>3.0000000000000001E-3</v>
      </c>
      <c r="N1441">
        <v>3</v>
      </c>
      <c r="O1441">
        <v>2</v>
      </c>
      <c r="P1441">
        <v>1</v>
      </c>
      <c r="Q1441">
        <v>3</v>
      </c>
      <c r="R1441">
        <v>1</v>
      </c>
    </row>
    <row r="1442" spans="1:18">
      <c r="A1442" t="str">
        <f>_xlfn.IFNA(IF(VLOOKUP(C1442,'2016_Detail_Commodity_v1.0'!C:C,1,FALSE)=C1442,"No change"),"Name changed")</f>
        <v>No change</v>
      </c>
      <c r="B1442" t="s">
        <v>1023</v>
      </c>
      <c r="C1442" t="s">
        <v>1024</v>
      </c>
      <c r="E1442" t="s">
        <v>3653</v>
      </c>
      <c r="F1442" t="s">
        <v>12</v>
      </c>
      <c r="G1442">
        <v>0.115</v>
      </c>
      <c r="H1442" s="413">
        <f>G1442*VLOOKUP(E1442,GWPs!$B$3:$C$6,2,FALSE)</f>
        <v>0.115</v>
      </c>
      <c r="I1442">
        <v>0</v>
      </c>
      <c r="J1442" s="413">
        <f>I1442*VLOOKUP(E1442,GWPs!$B$3:$C$6,2,FALSE)</f>
        <v>0</v>
      </c>
      <c r="K1442">
        <v>0.115</v>
      </c>
      <c r="L1442" s="413">
        <f>K1442*VLOOKUP(E1442,GWPs!$B$3:$C$6,2,FALSE)</f>
        <v>0.115</v>
      </c>
      <c r="N1442">
        <v>3</v>
      </c>
      <c r="O1442">
        <v>2</v>
      </c>
      <c r="P1442">
        <v>1</v>
      </c>
      <c r="Q1442">
        <v>3</v>
      </c>
      <c r="R1442">
        <v>1</v>
      </c>
    </row>
    <row r="1443" spans="1:18">
      <c r="A1443" t="str">
        <f>_xlfn.IFNA(IF(VLOOKUP(C1443,'2016_Detail_Commodity_v1.0'!C:C,1,FALSE)=C1443,"No change"),"Name changed")</f>
        <v>No change</v>
      </c>
      <c r="B1443" t="s">
        <v>1023</v>
      </c>
      <c r="C1443" t="s">
        <v>1024</v>
      </c>
      <c r="E1443" t="s">
        <v>3654</v>
      </c>
      <c r="F1443" t="s">
        <v>12</v>
      </c>
      <c r="G1443">
        <v>1E-3</v>
      </c>
      <c r="H1443" s="413">
        <f>G1443*VLOOKUP(E1443,GWPs!$B$3:$C$6,2,FALSE)</f>
        <v>2.8000000000000001E-2</v>
      </c>
      <c r="I1443">
        <v>0</v>
      </c>
      <c r="J1443" s="413">
        <f>I1443*VLOOKUP(E1443,GWPs!$B$3:$C$6,2,FALSE)</f>
        <v>0</v>
      </c>
      <c r="K1443">
        <v>1E-3</v>
      </c>
      <c r="L1443" s="413">
        <f>K1443*VLOOKUP(E1443,GWPs!$B$3:$C$6,2,FALSE)</f>
        <v>2.8000000000000001E-2</v>
      </c>
      <c r="N1443">
        <v>3</v>
      </c>
      <c r="O1443">
        <v>2</v>
      </c>
      <c r="P1443">
        <v>1</v>
      </c>
      <c r="Q1443">
        <v>1</v>
      </c>
      <c r="R1443">
        <v>1</v>
      </c>
    </row>
    <row r="1444" spans="1:18">
      <c r="A1444" t="str">
        <f>_xlfn.IFNA(IF(VLOOKUP(C1444,'2016_Detail_Commodity_v1.0'!C:C,1,FALSE)=C1444,"No change"),"Name changed")</f>
        <v>No change</v>
      </c>
      <c r="B1444" t="s">
        <v>1023</v>
      </c>
      <c r="C1444" t="s">
        <v>1024</v>
      </c>
      <c r="E1444" t="s">
        <v>3655</v>
      </c>
      <c r="F1444" t="s">
        <v>12</v>
      </c>
      <c r="G1444">
        <v>0</v>
      </c>
      <c r="H1444" s="413">
        <f>G1444*VLOOKUP(E1444,GWPs!$B$3:$C$6,2,FALSE)</f>
        <v>0</v>
      </c>
      <c r="I1444">
        <v>0</v>
      </c>
      <c r="J1444" s="413">
        <f>I1444*VLOOKUP(E1444,GWPs!$B$3:$C$6,2,FALSE)</f>
        <v>0</v>
      </c>
      <c r="K1444">
        <v>0</v>
      </c>
      <c r="L1444" s="413">
        <f>K1444*VLOOKUP(E1444,GWPs!$B$3:$C$6,2,FALSE)</f>
        <v>0</v>
      </c>
      <c r="N1444">
        <v>3</v>
      </c>
      <c r="O1444">
        <v>2</v>
      </c>
      <c r="P1444">
        <v>1</v>
      </c>
      <c r="Q1444">
        <v>3</v>
      </c>
      <c r="R1444">
        <v>1</v>
      </c>
    </row>
    <row r="1445" spans="1:18">
      <c r="A1445" t="str">
        <f>_xlfn.IFNA(IF(VLOOKUP(C1445,'2016_Detail_Commodity_v1.0'!C:C,1,FALSE)=C1445,"No change"),"Name changed")</f>
        <v>No change</v>
      </c>
      <c r="B1445" t="s">
        <v>1023</v>
      </c>
      <c r="C1445" t="s">
        <v>1024</v>
      </c>
      <c r="E1445" t="s">
        <v>15</v>
      </c>
      <c r="F1445" t="s">
        <v>16</v>
      </c>
      <c r="G1445">
        <v>3.0000000000000001E-3</v>
      </c>
      <c r="H1445" s="413">
        <f>G1445*VLOOKUP(E1445,GWPs!$B$3:$C$6,2,FALSE)</f>
        <v>3.0000000000000001E-3</v>
      </c>
      <c r="I1445">
        <v>0</v>
      </c>
      <c r="J1445" s="413">
        <f>I1445*VLOOKUP(E1445,GWPs!$B$3:$C$6,2,FALSE)</f>
        <v>0</v>
      </c>
      <c r="K1445">
        <v>3.0000000000000001E-3</v>
      </c>
      <c r="L1445" s="413">
        <f>K1445*VLOOKUP(E1445,GWPs!$B$3:$C$6,2,FALSE)</f>
        <v>3.0000000000000001E-3</v>
      </c>
      <c r="N1445">
        <v>4</v>
      </c>
      <c r="O1445">
        <v>2</v>
      </c>
      <c r="P1445">
        <v>1</v>
      </c>
      <c r="Q1445">
        <v>4</v>
      </c>
      <c r="R1445">
        <v>1</v>
      </c>
    </row>
    <row r="1446" spans="1:18">
      <c r="A1446" t="str">
        <f>_xlfn.IFNA(IF(VLOOKUP(C1446,'2016_Detail_Commodity_v1.0'!C:C,1,FALSE)=C1446,"No change"),"Name changed")</f>
        <v>No change</v>
      </c>
      <c r="B1446" t="s">
        <v>1025</v>
      </c>
      <c r="C1446" t="s">
        <v>1026</v>
      </c>
      <c r="E1446" t="s">
        <v>3653</v>
      </c>
      <c r="F1446" t="s">
        <v>12</v>
      </c>
      <c r="G1446">
        <v>0.1</v>
      </c>
      <c r="H1446" s="413">
        <f>G1446*VLOOKUP(E1446,GWPs!$B$3:$C$6,2,FALSE)</f>
        <v>0.1</v>
      </c>
      <c r="I1446">
        <v>0</v>
      </c>
      <c r="J1446" s="413">
        <f>I1446*VLOOKUP(E1446,GWPs!$B$3:$C$6,2,FALSE)</f>
        <v>0</v>
      </c>
      <c r="K1446">
        <v>0.1</v>
      </c>
      <c r="L1446" s="413">
        <f>K1446*VLOOKUP(E1446,GWPs!$B$3:$C$6,2,FALSE)</f>
        <v>0.1</v>
      </c>
      <c r="N1446">
        <v>3</v>
      </c>
      <c r="O1446">
        <v>2</v>
      </c>
      <c r="P1446">
        <v>1</v>
      </c>
      <c r="Q1446">
        <v>3</v>
      </c>
      <c r="R1446">
        <v>1</v>
      </c>
    </row>
    <row r="1447" spans="1:18">
      <c r="A1447" t="str">
        <f>_xlfn.IFNA(IF(VLOOKUP(C1447,'2016_Detail_Commodity_v1.0'!C:C,1,FALSE)=C1447,"No change"),"Name changed")</f>
        <v>No change</v>
      </c>
      <c r="B1447" t="s">
        <v>1025</v>
      </c>
      <c r="C1447" t="s">
        <v>1026</v>
      </c>
      <c r="E1447" t="s">
        <v>3654</v>
      </c>
      <c r="F1447" t="s">
        <v>12</v>
      </c>
      <c r="G1447">
        <v>0</v>
      </c>
      <c r="H1447" s="413">
        <f>G1447*VLOOKUP(E1447,GWPs!$B$3:$C$6,2,FALSE)</f>
        <v>0</v>
      </c>
      <c r="I1447">
        <v>0</v>
      </c>
      <c r="J1447" s="413">
        <f>I1447*VLOOKUP(E1447,GWPs!$B$3:$C$6,2,FALSE)</f>
        <v>0</v>
      </c>
      <c r="K1447">
        <v>0</v>
      </c>
      <c r="L1447" s="413">
        <f>K1447*VLOOKUP(E1447,GWPs!$B$3:$C$6,2,FALSE)</f>
        <v>0</v>
      </c>
      <c r="N1447">
        <v>3</v>
      </c>
      <c r="O1447">
        <v>2</v>
      </c>
      <c r="P1447">
        <v>1</v>
      </c>
      <c r="Q1447">
        <v>1</v>
      </c>
      <c r="R1447">
        <v>1</v>
      </c>
    </row>
    <row r="1448" spans="1:18">
      <c r="A1448" t="str">
        <f>_xlfn.IFNA(IF(VLOOKUP(C1448,'2016_Detail_Commodity_v1.0'!C:C,1,FALSE)=C1448,"No change"),"Name changed")</f>
        <v>No change</v>
      </c>
      <c r="B1448" t="s">
        <v>1025</v>
      </c>
      <c r="C1448" t="s">
        <v>1026</v>
      </c>
      <c r="E1448" t="s">
        <v>3655</v>
      </c>
      <c r="F1448" t="s">
        <v>12</v>
      </c>
      <c r="G1448">
        <v>0</v>
      </c>
      <c r="H1448" s="413">
        <f>G1448*VLOOKUP(E1448,GWPs!$B$3:$C$6,2,FALSE)</f>
        <v>0</v>
      </c>
      <c r="I1448">
        <v>0</v>
      </c>
      <c r="J1448" s="413">
        <f>I1448*VLOOKUP(E1448,GWPs!$B$3:$C$6,2,FALSE)</f>
        <v>0</v>
      </c>
      <c r="K1448">
        <v>0</v>
      </c>
      <c r="L1448" s="413">
        <f>K1448*VLOOKUP(E1448,GWPs!$B$3:$C$6,2,FALSE)</f>
        <v>0</v>
      </c>
      <c r="N1448">
        <v>3</v>
      </c>
      <c r="O1448">
        <v>2</v>
      </c>
      <c r="P1448">
        <v>1</v>
      </c>
      <c r="Q1448">
        <v>2</v>
      </c>
      <c r="R1448">
        <v>1</v>
      </c>
    </row>
    <row r="1449" spans="1:18">
      <c r="A1449" t="str">
        <f>_xlfn.IFNA(IF(VLOOKUP(C1449,'2016_Detail_Commodity_v1.0'!C:C,1,FALSE)=C1449,"No change"),"Name changed")</f>
        <v>No change</v>
      </c>
      <c r="B1449" t="s">
        <v>1025</v>
      </c>
      <c r="C1449" t="s">
        <v>1026</v>
      </c>
      <c r="E1449" t="s">
        <v>15</v>
      </c>
      <c r="F1449" t="s">
        <v>16</v>
      </c>
      <c r="G1449">
        <v>2E-3</v>
      </c>
      <c r="H1449" s="413">
        <f>G1449*VLOOKUP(E1449,GWPs!$B$3:$C$6,2,FALSE)</f>
        <v>2E-3</v>
      </c>
      <c r="I1449">
        <v>0</v>
      </c>
      <c r="J1449" s="413">
        <f>I1449*VLOOKUP(E1449,GWPs!$B$3:$C$6,2,FALSE)</f>
        <v>0</v>
      </c>
      <c r="K1449">
        <v>2E-3</v>
      </c>
      <c r="L1449" s="413">
        <f>K1449*VLOOKUP(E1449,GWPs!$B$3:$C$6,2,FALSE)</f>
        <v>2E-3</v>
      </c>
      <c r="N1449">
        <v>3</v>
      </c>
      <c r="O1449">
        <v>2</v>
      </c>
      <c r="P1449">
        <v>1</v>
      </c>
      <c r="Q1449">
        <v>3</v>
      </c>
      <c r="R1449">
        <v>1</v>
      </c>
    </row>
    <row r="1450" spans="1:18">
      <c r="A1450" t="str">
        <f>_xlfn.IFNA(IF(VLOOKUP(C1450,'2016_Detail_Commodity_v1.0'!C:C,1,FALSE)=C1450,"No change"),"Name changed")</f>
        <v>No change</v>
      </c>
      <c r="B1450" t="s">
        <v>1027</v>
      </c>
      <c r="C1450" t="s">
        <v>1028</v>
      </c>
      <c r="E1450" t="s">
        <v>3653</v>
      </c>
      <c r="F1450" t="s">
        <v>12</v>
      </c>
      <c r="G1450">
        <v>0.1</v>
      </c>
      <c r="H1450" s="413">
        <f>G1450*VLOOKUP(E1450,GWPs!$B$3:$C$6,2,FALSE)</f>
        <v>0.1</v>
      </c>
      <c r="I1450">
        <v>0</v>
      </c>
      <c r="J1450" s="413">
        <f>I1450*VLOOKUP(E1450,GWPs!$B$3:$C$6,2,FALSE)</f>
        <v>0</v>
      </c>
      <c r="K1450">
        <v>0.1</v>
      </c>
      <c r="L1450" s="413">
        <f>K1450*VLOOKUP(E1450,GWPs!$B$3:$C$6,2,FALSE)</f>
        <v>0.1</v>
      </c>
      <c r="N1450">
        <v>3</v>
      </c>
      <c r="O1450">
        <v>2</v>
      </c>
      <c r="P1450">
        <v>1</v>
      </c>
      <c r="Q1450">
        <v>3</v>
      </c>
      <c r="R1450">
        <v>1</v>
      </c>
    </row>
    <row r="1451" spans="1:18">
      <c r="A1451" t="str">
        <f>_xlfn.IFNA(IF(VLOOKUP(C1451,'2016_Detail_Commodity_v1.0'!C:C,1,FALSE)=C1451,"No change"),"Name changed")</f>
        <v>No change</v>
      </c>
      <c r="B1451" t="s">
        <v>1027</v>
      </c>
      <c r="C1451" t="s">
        <v>1028</v>
      </c>
      <c r="E1451" t="s">
        <v>3654</v>
      </c>
      <c r="F1451" t="s">
        <v>12</v>
      </c>
      <c r="G1451">
        <v>1E-3</v>
      </c>
      <c r="H1451" s="413">
        <f>G1451*VLOOKUP(E1451,GWPs!$B$3:$C$6,2,FALSE)</f>
        <v>2.8000000000000001E-2</v>
      </c>
      <c r="I1451">
        <v>0</v>
      </c>
      <c r="J1451" s="413">
        <f>I1451*VLOOKUP(E1451,GWPs!$B$3:$C$6,2,FALSE)</f>
        <v>0</v>
      </c>
      <c r="K1451">
        <v>1E-3</v>
      </c>
      <c r="L1451" s="413">
        <f>K1451*VLOOKUP(E1451,GWPs!$B$3:$C$6,2,FALSE)</f>
        <v>2.8000000000000001E-2</v>
      </c>
      <c r="N1451">
        <v>3</v>
      </c>
      <c r="O1451">
        <v>2</v>
      </c>
      <c r="P1451">
        <v>1</v>
      </c>
      <c r="Q1451">
        <v>1</v>
      </c>
      <c r="R1451">
        <v>1</v>
      </c>
    </row>
    <row r="1452" spans="1:18">
      <c r="A1452" t="str">
        <f>_xlfn.IFNA(IF(VLOOKUP(C1452,'2016_Detail_Commodity_v1.0'!C:C,1,FALSE)=C1452,"No change"),"Name changed")</f>
        <v>No change</v>
      </c>
      <c r="B1452" t="s">
        <v>1027</v>
      </c>
      <c r="C1452" t="s">
        <v>1028</v>
      </c>
      <c r="E1452" t="s">
        <v>3655</v>
      </c>
      <c r="F1452" t="s">
        <v>12</v>
      </c>
      <c r="G1452">
        <v>0</v>
      </c>
      <c r="H1452" s="413">
        <f>G1452*VLOOKUP(E1452,GWPs!$B$3:$C$6,2,FALSE)</f>
        <v>0</v>
      </c>
      <c r="I1452">
        <v>0</v>
      </c>
      <c r="J1452" s="413">
        <f>I1452*VLOOKUP(E1452,GWPs!$B$3:$C$6,2,FALSE)</f>
        <v>0</v>
      </c>
      <c r="K1452">
        <v>0</v>
      </c>
      <c r="L1452" s="413">
        <f>K1452*VLOOKUP(E1452,GWPs!$B$3:$C$6,2,FALSE)</f>
        <v>0</v>
      </c>
      <c r="N1452">
        <v>3</v>
      </c>
      <c r="O1452">
        <v>2</v>
      </c>
      <c r="P1452">
        <v>1</v>
      </c>
      <c r="Q1452">
        <v>3</v>
      </c>
      <c r="R1452">
        <v>1</v>
      </c>
    </row>
    <row r="1453" spans="1:18">
      <c r="A1453" t="str">
        <f>_xlfn.IFNA(IF(VLOOKUP(C1453,'2016_Detail_Commodity_v1.0'!C:C,1,FALSE)=C1453,"No change"),"Name changed")</f>
        <v>No change</v>
      </c>
      <c r="B1453" t="s">
        <v>1027</v>
      </c>
      <c r="C1453" t="s">
        <v>1028</v>
      </c>
      <c r="E1453" t="s">
        <v>15</v>
      </c>
      <c r="F1453" t="s">
        <v>16</v>
      </c>
      <c r="G1453">
        <v>4.0000000000000001E-3</v>
      </c>
      <c r="H1453" s="413">
        <f>G1453*VLOOKUP(E1453,GWPs!$B$3:$C$6,2,FALSE)</f>
        <v>4.0000000000000001E-3</v>
      </c>
      <c r="I1453">
        <v>0</v>
      </c>
      <c r="J1453" s="413">
        <f>I1453*VLOOKUP(E1453,GWPs!$B$3:$C$6,2,FALSE)</f>
        <v>0</v>
      </c>
      <c r="K1453">
        <v>4.0000000000000001E-3</v>
      </c>
      <c r="L1453" s="413">
        <f>K1453*VLOOKUP(E1453,GWPs!$B$3:$C$6,2,FALSE)</f>
        <v>4.0000000000000001E-3</v>
      </c>
      <c r="N1453">
        <v>4</v>
      </c>
      <c r="O1453">
        <v>2</v>
      </c>
      <c r="P1453">
        <v>1</v>
      </c>
      <c r="Q1453">
        <v>4</v>
      </c>
      <c r="R1453">
        <v>1</v>
      </c>
    </row>
    <row r="1454" spans="1:18">
      <c r="A1454" t="str">
        <f>_xlfn.IFNA(IF(VLOOKUP(C1454,'2016_Detail_Commodity_v1.0'!C:C,1,FALSE)=C1454,"No change"),"Name changed")</f>
        <v>No change</v>
      </c>
      <c r="B1454" t="s">
        <v>1029</v>
      </c>
      <c r="C1454" t="s">
        <v>1030</v>
      </c>
      <c r="E1454" t="s">
        <v>3653</v>
      </c>
      <c r="F1454" t="s">
        <v>12</v>
      </c>
      <c r="G1454">
        <v>0.155</v>
      </c>
      <c r="H1454" s="413">
        <f>G1454*VLOOKUP(E1454,GWPs!$B$3:$C$6,2,FALSE)</f>
        <v>0.155</v>
      </c>
      <c r="I1454">
        <v>0</v>
      </c>
      <c r="J1454" s="413">
        <f>I1454*VLOOKUP(E1454,GWPs!$B$3:$C$6,2,FALSE)</f>
        <v>0</v>
      </c>
      <c r="K1454">
        <v>0.155</v>
      </c>
      <c r="L1454" s="413">
        <f>K1454*VLOOKUP(E1454,GWPs!$B$3:$C$6,2,FALSE)</f>
        <v>0.155</v>
      </c>
      <c r="N1454">
        <v>3</v>
      </c>
      <c r="O1454">
        <v>2</v>
      </c>
      <c r="P1454">
        <v>1</v>
      </c>
      <c r="Q1454">
        <v>3</v>
      </c>
      <c r="R1454">
        <v>1</v>
      </c>
    </row>
    <row r="1455" spans="1:18">
      <c r="A1455" t="str">
        <f>_xlfn.IFNA(IF(VLOOKUP(C1455,'2016_Detail_Commodity_v1.0'!C:C,1,FALSE)=C1455,"No change"),"Name changed")</f>
        <v>No change</v>
      </c>
      <c r="B1455" t="s">
        <v>1029</v>
      </c>
      <c r="C1455" t="s">
        <v>1030</v>
      </c>
      <c r="E1455" t="s">
        <v>3654</v>
      </c>
      <c r="F1455" t="s">
        <v>12</v>
      </c>
      <c r="G1455">
        <v>1E-3</v>
      </c>
      <c r="H1455" s="413">
        <f>G1455*VLOOKUP(E1455,GWPs!$B$3:$C$6,2,FALSE)</f>
        <v>2.8000000000000001E-2</v>
      </c>
      <c r="I1455">
        <v>0</v>
      </c>
      <c r="J1455" s="413">
        <f>I1455*VLOOKUP(E1455,GWPs!$B$3:$C$6,2,FALSE)</f>
        <v>0</v>
      </c>
      <c r="K1455">
        <v>1E-3</v>
      </c>
      <c r="L1455" s="413">
        <f>K1455*VLOOKUP(E1455,GWPs!$B$3:$C$6,2,FALSE)</f>
        <v>2.8000000000000001E-2</v>
      </c>
      <c r="N1455">
        <v>3</v>
      </c>
      <c r="O1455">
        <v>2</v>
      </c>
      <c r="P1455">
        <v>1</v>
      </c>
      <c r="Q1455">
        <v>1</v>
      </c>
      <c r="R1455">
        <v>1</v>
      </c>
    </row>
    <row r="1456" spans="1:18">
      <c r="A1456" t="str">
        <f>_xlfn.IFNA(IF(VLOOKUP(C1456,'2016_Detail_Commodity_v1.0'!C:C,1,FALSE)=C1456,"No change"),"Name changed")</f>
        <v>No change</v>
      </c>
      <c r="B1456" t="s">
        <v>1029</v>
      </c>
      <c r="C1456" t="s">
        <v>1030</v>
      </c>
      <c r="E1456" t="s">
        <v>3655</v>
      </c>
      <c r="F1456" t="s">
        <v>12</v>
      </c>
      <c r="G1456">
        <v>0</v>
      </c>
      <c r="H1456" s="413">
        <f>G1456*VLOOKUP(E1456,GWPs!$B$3:$C$6,2,FALSE)</f>
        <v>0</v>
      </c>
      <c r="I1456">
        <v>0</v>
      </c>
      <c r="J1456" s="413">
        <f>I1456*VLOOKUP(E1456,GWPs!$B$3:$C$6,2,FALSE)</f>
        <v>0</v>
      </c>
      <c r="K1456">
        <v>0</v>
      </c>
      <c r="L1456" s="413">
        <f>K1456*VLOOKUP(E1456,GWPs!$B$3:$C$6,2,FALSE)</f>
        <v>0</v>
      </c>
      <c r="N1456">
        <v>3</v>
      </c>
      <c r="O1456">
        <v>2</v>
      </c>
      <c r="P1456">
        <v>1</v>
      </c>
      <c r="Q1456">
        <v>3</v>
      </c>
      <c r="R1456">
        <v>1</v>
      </c>
    </row>
    <row r="1457" spans="1:18">
      <c r="A1457" t="str">
        <f>_xlfn.IFNA(IF(VLOOKUP(C1457,'2016_Detail_Commodity_v1.0'!C:C,1,FALSE)=C1457,"No change"),"Name changed")</f>
        <v>No change</v>
      </c>
      <c r="B1457" t="s">
        <v>1029</v>
      </c>
      <c r="C1457" t="s">
        <v>1030</v>
      </c>
      <c r="E1457" t="s">
        <v>15</v>
      </c>
      <c r="F1457" t="s">
        <v>16</v>
      </c>
      <c r="G1457">
        <v>7.0000000000000001E-3</v>
      </c>
      <c r="H1457" s="413">
        <f>G1457*VLOOKUP(E1457,GWPs!$B$3:$C$6,2,FALSE)</f>
        <v>7.0000000000000001E-3</v>
      </c>
      <c r="I1457">
        <v>0</v>
      </c>
      <c r="J1457" s="413">
        <f>I1457*VLOOKUP(E1457,GWPs!$B$3:$C$6,2,FALSE)</f>
        <v>0</v>
      </c>
      <c r="K1457">
        <v>7.0000000000000001E-3</v>
      </c>
      <c r="L1457" s="413">
        <f>K1457*VLOOKUP(E1457,GWPs!$B$3:$C$6,2,FALSE)</f>
        <v>7.0000000000000001E-3</v>
      </c>
      <c r="N1457">
        <v>4</v>
      </c>
      <c r="O1457">
        <v>2</v>
      </c>
      <c r="P1457">
        <v>1</v>
      </c>
      <c r="Q1457">
        <v>4</v>
      </c>
      <c r="R1457">
        <v>1</v>
      </c>
    </row>
    <row r="1458" spans="1:18">
      <c r="A1458" t="str">
        <f>_xlfn.IFNA(IF(VLOOKUP(C1458,'2016_Detail_Commodity_v1.0'!C:C,1,FALSE)=C1458,"No change"),"Name changed")</f>
        <v>No change</v>
      </c>
      <c r="B1458" t="s">
        <v>1031</v>
      </c>
      <c r="C1458" t="s">
        <v>23</v>
      </c>
      <c r="E1458" t="s">
        <v>3653</v>
      </c>
      <c r="F1458" t="s">
        <v>12</v>
      </c>
      <c r="G1458">
        <v>0.13900000000000001</v>
      </c>
      <c r="H1458" s="413">
        <f>G1458*VLOOKUP(E1458,GWPs!$B$3:$C$6,2,FALSE)</f>
        <v>0.13900000000000001</v>
      </c>
      <c r="I1458">
        <v>0</v>
      </c>
      <c r="J1458" s="413">
        <f>I1458*VLOOKUP(E1458,GWPs!$B$3:$C$6,2,FALSE)</f>
        <v>0</v>
      </c>
      <c r="K1458">
        <v>0.13900000000000001</v>
      </c>
      <c r="L1458" s="413">
        <f>K1458*VLOOKUP(E1458,GWPs!$B$3:$C$6,2,FALSE)</f>
        <v>0.13900000000000001</v>
      </c>
      <c r="N1458">
        <v>3</v>
      </c>
      <c r="O1458">
        <v>2</v>
      </c>
      <c r="P1458">
        <v>1</v>
      </c>
      <c r="Q1458">
        <v>3</v>
      </c>
      <c r="R1458">
        <v>1</v>
      </c>
    </row>
    <row r="1459" spans="1:18">
      <c r="A1459" t="str">
        <f>_xlfn.IFNA(IF(VLOOKUP(C1459,'2016_Detail_Commodity_v1.0'!C:C,1,FALSE)=C1459,"No change"),"Name changed")</f>
        <v>No change</v>
      </c>
      <c r="B1459" t="s">
        <v>1031</v>
      </c>
      <c r="C1459" t="s">
        <v>23</v>
      </c>
      <c r="E1459" t="s">
        <v>3654</v>
      </c>
      <c r="F1459" t="s">
        <v>12</v>
      </c>
      <c r="G1459">
        <v>1E-3</v>
      </c>
      <c r="H1459" s="413">
        <f>G1459*VLOOKUP(E1459,GWPs!$B$3:$C$6,2,FALSE)</f>
        <v>2.8000000000000001E-2</v>
      </c>
      <c r="I1459">
        <v>0</v>
      </c>
      <c r="J1459" s="413">
        <f>I1459*VLOOKUP(E1459,GWPs!$B$3:$C$6,2,FALSE)</f>
        <v>0</v>
      </c>
      <c r="K1459">
        <v>1E-3</v>
      </c>
      <c r="L1459" s="413">
        <f>K1459*VLOOKUP(E1459,GWPs!$B$3:$C$6,2,FALSE)</f>
        <v>2.8000000000000001E-2</v>
      </c>
      <c r="N1459">
        <v>3</v>
      </c>
      <c r="O1459">
        <v>2</v>
      </c>
      <c r="P1459">
        <v>1</v>
      </c>
      <c r="Q1459">
        <v>1</v>
      </c>
      <c r="R1459">
        <v>1</v>
      </c>
    </row>
    <row r="1460" spans="1:18">
      <c r="A1460" t="str">
        <f>_xlfn.IFNA(IF(VLOOKUP(C1460,'2016_Detail_Commodity_v1.0'!C:C,1,FALSE)=C1460,"No change"),"Name changed")</f>
        <v>No change</v>
      </c>
      <c r="B1460" t="s">
        <v>1031</v>
      </c>
      <c r="C1460" t="s">
        <v>23</v>
      </c>
      <c r="E1460" t="s">
        <v>3655</v>
      </c>
      <c r="F1460" t="s">
        <v>12</v>
      </c>
      <c r="G1460">
        <v>0</v>
      </c>
      <c r="H1460" s="413">
        <f>G1460*VLOOKUP(E1460,GWPs!$B$3:$C$6,2,FALSE)</f>
        <v>0</v>
      </c>
      <c r="I1460">
        <v>0</v>
      </c>
      <c r="J1460" s="413">
        <f>I1460*VLOOKUP(E1460,GWPs!$B$3:$C$6,2,FALSE)</f>
        <v>0</v>
      </c>
      <c r="K1460">
        <v>0</v>
      </c>
      <c r="L1460" s="413">
        <f>K1460*VLOOKUP(E1460,GWPs!$B$3:$C$6,2,FALSE)</f>
        <v>0</v>
      </c>
      <c r="N1460">
        <v>3</v>
      </c>
      <c r="O1460">
        <v>2</v>
      </c>
      <c r="P1460">
        <v>1</v>
      </c>
      <c r="Q1460">
        <v>3</v>
      </c>
      <c r="R1460">
        <v>1</v>
      </c>
    </row>
    <row r="1461" spans="1:18">
      <c r="A1461" t="str">
        <f>_xlfn.IFNA(IF(VLOOKUP(C1461,'2016_Detail_Commodity_v1.0'!C:C,1,FALSE)=C1461,"No change"),"Name changed")</f>
        <v>No change</v>
      </c>
      <c r="B1461" t="s">
        <v>1031</v>
      </c>
      <c r="C1461" t="s">
        <v>23</v>
      </c>
      <c r="E1461" t="s">
        <v>15</v>
      </c>
      <c r="F1461" t="s">
        <v>16</v>
      </c>
      <c r="G1461">
        <v>5.0000000000000001E-3</v>
      </c>
      <c r="H1461" s="413">
        <f>G1461*VLOOKUP(E1461,GWPs!$B$3:$C$6,2,FALSE)</f>
        <v>5.0000000000000001E-3</v>
      </c>
      <c r="I1461">
        <v>0</v>
      </c>
      <c r="J1461" s="413">
        <f>I1461*VLOOKUP(E1461,GWPs!$B$3:$C$6,2,FALSE)</f>
        <v>0</v>
      </c>
      <c r="K1461">
        <v>5.0000000000000001E-3</v>
      </c>
      <c r="L1461" s="413">
        <f>K1461*VLOOKUP(E1461,GWPs!$B$3:$C$6,2,FALSE)</f>
        <v>5.0000000000000001E-3</v>
      </c>
      <c r="N1461">
        <v>4</v>
      </c>
      <c r="O1461">
        <v>2</v>
      </c>
      <c r="P1461">
        <v>1</v>
      </c>
      <c r="Q1461">
        <v>4</v>
      </c>
      <c r="R1461">
        <v>1</v>
      </c>
    </row>
    <row r="1462" spans="1:18">
      <c r="A1462" t="str">
        <f>_xlfn.IFNA(IF(VLOOKUP(C1462,'2016_Detail_Commodity_v1.0'!C:C,1,FALSE)=C1462,"No change"),"Name changed")</f>
        <v>No change</v>
      </c>
      <c r="B1462" t="s">
        <v>1032</v>
      </c>
      <c r="C1462" t="s">
        <v>1033</v>
      </c>
      <c r="E1462" t="s">
        <v>3653</v>
      </c>
      <c r="F1462" t="s">
        <v>12</v>
      </c>
      <c r="G1462">
        <v>0.13900000000000001</v>
      </c>
      <c r="H1462" s="413">
        <f>G1462*VLOOKUP(E1462,GWPs!$B$3:$C$6,2,FALSE)</f>
        <v>0.13900000000000001</v>
      </c>
      <c r="I1462">
        <v>0</v>
      </c>
      <c r="J1462" s="413">
        <f>I1462*VLOOKUP(E1462,GWPs!$B$3:$C$6,2,FALSE)</f>
        <v>0</v>
      </c>
      <c r="K1462">
        <v>0.13900000000000001</v>
      </c>
      <c r="L1462" s="413">
        <f>K1462*VLOOKUP(E1462,GWPs!$B$3:$C$6,2,FALSE)</f>
        <v>0.13900000000000001</v>
      </c>
      <c r="N1462">
        <v>3</v>
      </c>
      <c r="O1462">
        <v>2</v>
      </c>
      <c r="P1462">
        <v>1</v>
      </c>
      <c r="Q1462">
        <v>3</v>
      </c>
      <c r="R1462">
        <v>1</v>
      </c>
    </row>
    <row r="1463" spans="1:18">
      <c r="A1463" t="str">
        <f>_xlfn.IFNA(IF(VLOOKUP(C1463,'2016_Detail_Commodity_v1.0'!C:C,1,FALSE)=C1463,"No change"),"Name changed")</f>
        <v>No change</v>
      </c>
      <c r="B1463" t="s">
        <v>1032</v>
      </c>
      <c r="C1463" t="s">
        <v>1033</v>
      </c>
      <c r="E1463" t="s">
        <v>3654</v>
      </c>
      <c r="F1463" t="s">
        <v>12</v>
      </c>
      <c r="G1463">
        <v>1E-3</v>
      </c>
      <c r="H1463" s="413">
        <f>G1463*VLOOKUP(E1463,GWPs!$B$3:$C$6,2,FALSE)</f>
        <v>2.8000000000000001E-2</v>
      </c>
      <c r="I1463">
        <v>0</v>
      </c>
      <c r="J1463" s="413">
        <f>I1463*VLOOKUP(E1463,GWPs!$B$3:$C$6,2,FALSE)</f>
        <v>0</v>
      </c>
      <c r="K1463">
        <v>1E-3</v>
      </c>
      <c r="L1463" s="413">
        <f>K1463*VLOOKUP(E1463,GWPs!$B$3:$C$6,2,FALSE)</f>
        <v>2.8000000000000001E-2</v>
      </c>
      <c r="N1463">
        <v>3</v>
      </c>
      <c r="O1463">
        <v>2</v>
      </c>
      <c r="P1463">
        <v>1</v>
      </c>
      <c r="Q1463">
        <v>1</v>
      </c>
      <c r="R1463">
        <v>1</v>
      </c>
    </row>
    <row r="1464" spans="1:18">
      <c r="A1464" t="str">
        <f>_xlfn.IFNA(IF(VLOOKUP(C1464,'2016_Detail_Commodity_v1.0'!C:C,1,FALSE)=C1464,"No change"),"Name changed")</f>
        <v>No change</v>
      </c>
      <c r="B1464" t="s">
        <v>1032</v>
      </c>
      <c r="C1464" t="s">
        <v>1033</v>
      </c>
      <c r="E1464" t="s">
        <v>3655</v>
      </c>
      <c r="F1464" t="s">
        <v>12</v>
      </c>
      <c r="G1464">
        <v>0</v>
      </c>
      <c r="H1464" s="413">
        <f>G1464*VLOOKUP(E1464,GWPs!$B$3:$C$6,2,FALSE)</f>
        <v>0</v>
      </c>
      <c r="I1464">
        <v>0</v>
      </c>
      <c r="J1464" s="413">
        <f>I1464*VLOOKUP(E1464,GWPs!$B$3:$C$6,2,FALSE)</f>
        <v>0</v>
      </c>
      <c r="K1464">
        <v>0</v>
      </c>
      <c r="L1464" s="413">
        <f>K1464*VLOOKUP(E1464,GWPs!$B$3:$C$6,2,FALSE)</f>
        <v>0</v>
      </c>
      <c r="N1464">
        <v>4</v>
      </c>
      <c r="O1464">
        <v>2</v>
      </c>
      <c r="P1464">
        <v>1</v>
      </c>
      <c r="Q1464">
        <v>3</v>
      </c>
      <c r="R1464">
        <v>1</v>
      </c>
    </row>
    <row r="1465" spans="1:18">
      <c r="A1465" t="str">
        <f>_xlfn.IFNA(IF(VLOOKUP(C1465,'2016_Detail_Commodity_v1.0'!C:C,1,FALSE)=C1465,"No change"),"Name changed")</f>
        <v>No change</v>
      </c>
      <c r="B1465" t="s">
        <v>1032</v>
      </c>
      <c r="C1465" t="s">
        <v>1033</v>
      </c>
      <c r="E1465" t="s">
        <v>15</v>
      </c>
      <c r="F1465" t="s">
        <v>16</v>
      </c>
      <c r="G1465">
        <v>5.0000000000000001E-3</v>
      </c>
      <c r="H1465" s="413">
        <f>G1465*VLOOKUP(E1465,GWPs!$B$3:$C$6,2,FALSE)</f>
        <v>5.0000000000000001E-3</v>
      </c>
      <c r="I1465">
        <v>0</v>
      </c>
      <c r="J1465" s="413">
        <f>I1465*VLOOKUP(E1465,GWPs!$B$3:$C$6,2,FALSE)</f>
        <v>0</v>
      </c>
      <c r="K1465">
        <v>5.0000000000000001E-3</v>
      </c>
      <c r="L1465" s="413">
        <f>K1465*VLOOKUP(E1465,GWPs!$B$3:$C$6,2,FALSE)</f>
        <v>5.0000000000000001E-3</v>
      </c>
      <c r="N1465">
        <v>4</v>
      </c>
      <c r="O1465">
        <v>2</v>
      </c>
      <c r="P1465">
        <v>1</v>
      </c>
      <c r="Q1465">
        <v>5</v>
      </c>
      <c r="R1465">
        <v>1</v>
      </c>
    </row>
    <row r="1466" spans="1:18">
      <c r="A1466" t="str">
        <f>_xlfn.IFNA(IF(VLOOKUP(C1466,'2016_Detail_Commodity_v1.0'!C:C,1,FALSE)=C1466,"No change"),"Name changed")</f>
        <v>No change</v>
      </c>
      <c r="B1466" t="s">
        <v>1034</v>
      </c>
      <c r="C1466" t="s">
        <v>1035</v>
      </c>
      <c r="E1466" t="s">
        <v>3653</v>
      </c>
      <c r="F1466" t="s">
        <v>12</v>
      </c>
      <c r="G1466">
        <v>0.13400000000000001</v>
      </c>
      <c r="H1466" s="413">
        <f>G1466*VLOOKUP(E1466,GWPs!$B$3:$C$6,2,FALSE)</f>
        <v>0.13400000000000001</v>
      </c>
      <c r="I1466">
        <v>0</v>
      </c>
      <c r="J1466" s="413">
        <f>I1466*VLOOKUP(E1466,GWPs!$B$3:$C$6,2,FALSE)</f>
        <v>0</v>
      </c>
      <c r="K1466">
        <v>0.13400000000000001</v>
      </c>
      <c r="L1466" s="413">
        <f>K1466*VLOOKUP(E1466,GWPs!$B$3:$C$6,2,FALSE)</f>
        <v>0.13400000000000001</v>
      </c>
      <c r="N1466">
        <v>3</v>
      </c>
      <c r="O1466">
        <v>2</v>
      </c>
      <c r="P1466">
        <v>1</v>
      </c>
      <c r="Q1466">
        <v>3</v>
      </c>
      <c r="R1466">
        <v>1</v>
      </c>
    </row>
    <row r="1467" spans="1:18">
      <c r="A1467" t="str">
        <f>_xlfn.IFNA(IF(VLOOKUP(C1467,'2016_Detail_Commodity_v1.0'!C:C,1,FALSE)=C1467,"No change"),"Name changed")</f>
        <v>No change</v>
      </c>
      <c r="B1467" t="s">
        <v>1034</v>
      </c>
      <c r="C1467" t="s">
        <v>1035</v>
      </c>
      <c r="E1467" t="s">
        <v>3654</v>
      </c>
      <c r="F1467" t="s">
        <v>12</v>
      </c>
      <c r="G1467">
        <v>1E-3</v>
      </c>
      <c r="H1467" s="413">
        <f>G1467*VLOOKUP(E1467,GWPs!$B$3:$C$6,2,FALSE)</f>
        <v>2.8000000000000001E-2</v>
      </c>
      <c r="I1467">
        <v>0</v>
      </c>
      <c r="J1467" s="413">
        <f>I1467*VLOOKUP(E1467,GWPs!$B$3:$C$6,2,FALSE)</f>
        <v>0</v>
      </c>
      <c r="K1467">
        <v>1E-3</v>
      </c>
      <c r="L1467" s="413">
        <f>K1467*VLOOKUP(E1467,GWPs!$B$3:$C$6,2,FALSE)</f>
        <v>2.8000000000000001E-2</v>
      </c>
      <c r="N1467">
        <v>3</v>
      </c>
      <c r="O1467">
        <v>2</v>
      </c>
      <c r="P1467">
        <v>1</v>
      </c>
      <c r="Q1467">
        <v>1</v>
      </c>
      <c r="R1467">
        <v>1</v>
      </c>
    </row>
    <row r="1468" spans="1:18">
      <c r="A1468" t="str">
        <f>_xlfn.IFNA(IF(VLOOKUP(C1468,'2016_Detail_Commodity_v1.0'!C:C,1,FALSE)=C1468,"No change"),"Name changed")</f>
        <v>No change</v>
      </c>
      <c r="B1468" t="s">
        <v>1034</v>
      </c>
      <c r="C1468" t="s">
        <v>1035</v>
      </c>
      <c r="E1468" t="s">
        <v>3655</v>
      </c>
      <c r="F1468" t="s">
        <v>12</v>
      </c>
      <c r="G1468">
        <v>0</v>
      </c>
      <c r="H1468" s="413">
        <f>G1468*VLOOKUP(E1468,GWPs!$B$3:$C$6,2,FALSE)</f>
        <v>0</v>
      </c>
      <c r="I1468">
        <v>0</v>
      </c>
      <c r="J1468" s="413">
        <f>I1468*VLOOKUP(E1468,GWPs!$B$3:$C$6,2,FALSE)</f>
        <v>0</v>
      </c>
      <c r="K1468">
        <v>0</v>
      </c>
      <c r="L1468" s="413">
        <f>K1468*VLOOKUP(E1468,GWPs!$B$3:$C$6,2,FALSE)</f>
        <v>0</v>
      </c>
      <c r="N1468">
        <v>4</v>
      </c>
      <c r="O1468">
        <v>2</v>
      </c>
      <c r="P1468">
        <v>1</v>
      </c>
      <c r="Q1468">
        <v>4</v>
      </c>
      <c r="R1468">
        <v>1</v>
      </c>
    </row>
    <row r="1469" spans="1:18">
      <c r="A1469" t="str">
        <f>_xlfn.IFNA(IF(VLOOKUP(C1469,'2016_Detail_Commodity_v1.0'!C:C,1,FALSE)=C1469,"No change"),"Name changed")</f>
        <v>No change</v>
      </c>
      <c r="B1469" t="s">
        <v>1034</v>
      </c>
      <c r="C1469" t="s">
        <v>1035</v>
      </c>
      <c r="E1469" t="s">
        <v>15</v>
      </c>
      <c r="F1469" t="s">
        <v>16</v>
      </c>
      <c r="G1469">
        <v>8.9999999999999993E-3</v>
      </c>
      <c r="H1469" s="413">
        <f>G1469*VLOOKUP(E1469,GWPs!$B$3:$C$6,2,FALSE)</f>
        <v>8.9999999999999993E-3</v>
      </c>
      <c r="I1469">
        <v>0</v>
      </c>
      <c r="J1469" s="413">
        <f>I1469*VLOOKUP(E1469,GWPs!$B$3:$C$6,2,FALSE)</f>
        <v>0</v>
      </c>
      <c r="K1469">
        <v>8.9999999999999993E-3</v>
      </c>
      <c r="L1469" s="413">
        <f>K1469*VLOOKUP(E1469,GWPs!$B$3:$C$6,2,FALSE)</f>
        <v>8.9999999999999993E-3</v>
      </c>
      <c r="N1469">
        <v>4</v>
      </c>
      <c r="O1469">
        <v>2</v>
      </c>
      <c r="P1469">
        <v>1</v>
      </c>
      <c r="Q1469">
        <v>5</v>
      </c>
      <c r="R1469">
        <v>1</v>
      </c>
    </row>
    <row r="1470" spans="1:18">
      <c r="A1470" t="str">
        <f>_xlfn.IFNA(IF(VLOOKUP(C1470,'2016_Detail_Commodity_v1.0'!C:C,1,FALSE)=C1470,"No change"),"Name changed")</f>
        <v>No change</v>
      </c>
      <c r="B1470" t="s">
        <v>1036</v>
      </c>
      <c r="C1470" t="s">
        <v>1037</v>
      </c>
      <c r="E1470" t="s">
        <v>3653</v>
      </c>
      <c r="F1470" t="s">
        <v>12</v>
      </c>
      <c r="G1470">
        <v>0.13</v>
      </c>
      <c r="H1470" s="413">
        <f>G1470*VLOOKUP(E1470,GWPs!$B$3:$C$6,2,FALSE)</f>
        <v>0.13</v>
      </c>
      <c r="I1470">
        <v>0</v>
      </c>
      <c r="J1470" s="413">
        <f>I1470*VLOOKUP(E1470,GWPs!$B$3:$C$6,2,FALSE)</f>
        <v>0</v>
      </c>
      <c r="K1470">
        <v>0.13</v>
      </c>
      <c r="L1470" s="413">
        <f>K1470*VLOOKUP(E1470,GWPs!$B$3:$C$6,2,FALSE)</f>
        <v>0.13</v>
      </c>
      <c r="N1470">
        <v>3</v>
      </c>
      <c r="O1470">
        <v>2</v>
      </c>
      <c r="P1470">
        <v>1</v>
      </c>
      <c r="Q1470">
        <v>3</v>
      </c>
      <c r="R1470">
        <v>1</v>
      </c>
    </row>
    <row r="1471" spans="1:18">
      <c r="A1471" t="str">
        <f>_xlfn.IFNA(IF(VLOOKUP(C1471,'2016_Detail_Commodity_v1.0'!C:C,1,FALSE)=C1471,"No change"),"Name changed")</f>
        <v>No change</v>
      </c>
      <c r="B1471" t="s">
        <v>1036</v>
      </c>
      <c r="C1471" t="s">
        <v>1037</v>
      </c>
      <c r="E1471" t="s">
        <v>3654</v>
      </c>
      <c r="F1471" t="s">
        <v>12</v>
      </c>
      <c r="G1471">
        <v>1E-3</v>
      </c>
      <c r="H1471" s="413">
        <f>G1471*VLOOKUP(E1471,GWPs!$B$3:$C$6,2,FALSE)</f>
        <v>2.8000000000000001E-2</v>
      </c>
      <c r="I1471">
        <v>0</v>
      </c>
      <c r="J1471" s="413">
        <f>I1471*VLOOKUP(E1471,GWPs!$B$3:$C$6,2,FALSE)</f>
        <v>0</v>
      </c>
      <c r="K1471">
        <v>1E-3</v>
      </c>
      <c r="L1471" s="413">
        <f>K1471*VLOOKUP(E1471,GWPs!$B$3:$C$6,2,FALSE)</f>
        <v>2.8000000000000001E-2</v>
      </c>
      <c r="N1471">
        <v>3</v>
      </c>
      <c r="O1471">
        <v>2</v>
      </c>
      <c r="P1471">
        <v>1</v>
      </c>
      <c r="Q1471">
        <v>1</v>
      </c>
      <c r="R1471">
        <v>1</v>
      </c>
    </row>
    <row r="1472" spans="1:18">
      <c r="A1472" t="str">
        <f>_xlfn.IFNA(IF(VLOOKUP(C1472,'2016_Detail_Commodity_v1.0'!C:C,1,FALSE)=C1472,"No change"),"Name changed")</f>
        <v>No change</v>
      </c>
      <c r="B1472" t="s">
        <v>1036</v>
      </c>
      <c r="C1472" t="s">
        <v>1037</v>
      </c>
      <c r="E1472" t="s">
        <v>3655</v>
      </c>
      <c r="F1472" t="s">
        <v>12</v>
      </c>
      <c r="G1472">
        <v>0</v>
      </c>
      <c r="H1472" s="413">
        <f>G1472*VLOOKUP(E1472,GWPs!$B$3:$C$6,2,FALSE)</f>
        <v>0</v>
      </c>
      <c r="I1472">
        <v>0</v>
      </c>
      <c r="J1472" s="413">
        <f>I1472*VLOOKUP(E1472,GWPs!$B$3:$C$6,2,FALSE)</f>
        <v>0</v>
      </c>
      <c r="K1472">
        <v>0</v>
      </c>
      <c r="L1472" s="413">
        <f>K1472*VLOOKUP(E1472,GWPs!$B$3:$C$6,2,FALSE)</f>
        <v>0</v>
      </c>
      <c r="N1472">
        <v>4</v>
      </c>
      <c r="O1472">
        <v>2</v>
      </c>
      <c r="P1472">
        <v>1</v>
      </c>
      <c r="Q1472">
        <v>4</v>
      </c>
      <c r="R1472">
        <v>1</v>
      </c>
    </row>
    <row r="1473" spans="1:18">
      <c r="A1473" t="str">
        <f>_xlfn.IFNA(IF(VLOOKUP(C1473,'2016_Detail_Commodity_v1.0'!C:C,1,FALSE)=C1473,"No change"),"Name changed")</f>
        <v>No change</v>
      </c>
      <c r="B1473" t="s">
        <v>1036</v>
      </c>
      <c r="C1473" t="s">
        <v>1037</v>
      </c>
      <c r="E1473" t="s">
        <v>15</v>
      </c>
      <c r="F1473" t="s">
        <v>16</v>
      </c>
      <c r="G1473">
        <v>4.0000000000000001E-3</v>
      </c>
      <c r="H1473" s="413">
        <f>G1473*VLOOKUP(E1473,GWPs!$B$3:$C$6,2,FALSE)</f>
        <v>4.0000000000000001E-3</v>
      </c>
      <c r="I1473">
        <v>0</v>
      </c>
      <c r="J1473" s="413">
        <f>I1473*VLOOKUP(E1473,GWPs!$B$3:$C$6,2,FALSE)</f>
        <v>0</v>
      </c>
      <c r="K1473">
        <v>4.0000000000000001E-3</v>
      </c>
      <c r="L1473" s="413">
        <f>K1473*VLOOKUP(E1473,GWPs!$B$3:$C$6,2,FALSE)</f>
        <v>4.0000000000000001E-3</v>
      </c>
      <c r="N1473">
        <v>4</v>
      </c>
      <c r="O1473">
        <v>2</v>
      </c>
      <c r="P1473">
        <v>1</v>
      </c>
      <c r="Q1473">
        <v>4</v>
      </c>
      <c r="R1473">
        <v>1</v>
      </c>
    </row>
    <row r="1474" spans="1:18">
      <c r="A1474" t="str">
        <f>_xlfn.IFNA(IF(VLOOKUP(C1474,'2016_Detail_Commodity_v1.0'!C:C,1,FALSE)=C1474,"No change"),"Name changed")</f>
        <v>No change</v>
      </c>
      <c r="B1474" t="s">
        <v>1038</v>
      </c>
      <c r="C1474" t="s">
        <v>1039</v>
      </c>
      <c r="E1474" t="s">
        <v>3653</v>
      </c>
      <c r="F1474" t="s">
        <v>12</v>
      </c>
      <c r="G1474">
        <v>0.14299999999999999</v>
      </c>
      <c r="H1474" s="413">
        <f>G1474*VLOOKUP(E1474,GWPs!$B$3:$C$6,2,FALSE)</f>
        <v>0.14299999999999999</v>
      </c>
      <c r="I1474">
        <v>0</v>
      </c>
      <c r="J1474" s="413">
        <f>I1474*VLOOKUP(E1474,GWPs!$B$3:$C$6,2,FALSE)</f>
        <v>0</v>
      </c>
      <c r="K1474">
        <v>0.14299999999999999</v>
      </c>
      <c r="L1474" s="413">
        <f>K1474*VLOOKUP(E1474,GWPs!$B$3:$C$6,2,FALSE)</f>
        <v>0.14299999999999999</v>
      </c>
      <c r="N1474">
        <v>3</v>
      </c>
      <c r="O1474">
        <v>2</v>
      </c>
      <c r="P1474">
        <v>1</v>
      </c>
      <c r="Q1474">
        <v>3</v>
      </c>
      <c r="R1474">
        <v>1</v>
      </c>
    </row>
    <row r="1475" spans="1:18">
      <c r="A1475" t="str">
        <f>_xlfn.IFNA(IF(VLOOKUP(C1475,'2016_Detail_Commodity_v1.0'!C:C,1,FALSE)=C1475,"No change"),"Name changed")</f>
        <v>No change</v>
      </c>
      <c r="B1475" t="s">
        <v>1038</v>
      </c>
      <c r="C1475" t="s">
        <v>1039</v>
      </c>
      <c r="E1475" t="s">
        <v>3654</v>
      </c>
      <c r="F1475" t="s">
        <v>12</v>
      </c>
      <c r="G1475">
        <v>2E-3</v>
      </c>
      <c r="H1475" s="413">
        <f>G1475*VLOOKUP(E1475,GWPs!$B$3:$C$6,2,FALSE)</f>
        <v>5.6000000000000001E-2</v>
      </c>
      <c r="I1475">
        <v>0</v>
      </c>
      <c r="J1475" s="413">
        <f>I1475*VLOOKUP(E1475,GWPs!$B$3:$C$6,2,FALSE)</f>
        <v>0</v>
      </c>
      <c r="K1475">
        <v>2E-3</v>
      </c>
      <c r="L1475" s="413">
        <f>K1475*VLOOKUP(E1475,GWPs!$B$3:$C$6,2,FALSE)</f>
        <v>5.6000000000000001E-2</v>
      </c>
      <c r="N1475">
        <v>3</v>
      </c>
      <c r="O1475">
        <v>2</v>
      </c>
      <c r="P1475">
        <v>1</v>
      </c>
      <c r="Q1475">
        <v>1</v>
      </c>
      <c r="R1475">
        <v>1</v>
      </c>
    </row>
    <row r="1476" spans="1:18">
      <c r="A1476" t="str">
        <f>_xlfn.IFNA(IF(VLOOKUP(C1476,'2016_Detail_Commodity_v1.0'!C:C,1,FALSE)=C1476,"No change"),"Name changed")</f>
        <v>No change</v>
      </c>
      <c r="B1476" t="s">
        <v>1038</v>
      </c>
      <c r="C1476" t="s">
        <v>1039</v>
      </c>
      <c r="E1476" t="s">
        <v>3655</v>
      </c>
      <c r="F1476" t="s">
        <v>12</v>
      </c>
      <c r="G1476">
        <v>0</v>
      </c>
      <c r="H1476" s="413">
        <f>G1476*VLOOKUP(E1476,GWPs!$B$3:$C$6,2,FALSE)</f>
        <v>0</v>
      </c>
      <c r="I1476">
        <v>0</v>
      </c>
      <c r="J1476" s="413">
        <f>I1476*VLOOKUP(E1476,GWPs!$B$3:$C$6,2,FALSE)</f>
        <v>0</v>
      </c>
      <c r="K1476">
        <v>0</v>
      </c>
      <c r="L1476" s="413">
        <f>K1476*VLOOKUP(E1476,GWPs!$B$3:$C$6,2,FALSE)</f>
        <v>0</v>
      </c>
      <c r="N1476">
        <v>4</v>
      </c>
      <c r="O1476">
        <v>2</v>
      </c>
      <c r="P1476">
        <v>1</v>
      </c>
      <c r="Q1476">
        <v>3</v>
      </c>
      <c r="R1476">
        <v>1</v>
      </c>
    </row>
    <row r="1477" spans="1:18">
      <c r="A1477" t="str">
        <f>_xlfn.IFNA(IF(VLOOKUP(C1477,'2016_Detail_Commodity_v1.0'!C:C,1,FALSE)=C1477,"No change"),"Name changed")</f>
        <v>No change</v>
      </c>
      <c r="B1477" t="s">
        <v>1038</v>
      </c>
      <c r="C1477" t="s">
        <v>1039</v>
      </c>
      <c r="E1477" t="s">
        <v>15</v>
      </c>
      <c r="F1477" t="s">
        <v>16</v>
      </c>
      <c r="G1477">
        <v>4.0000000000000001E-3</v>
      </c>
      <c r="H1477" s="413">
        <f>G1477*VLOOKUP(E1477,GWPs!$B$3:$C$6,2,FALSE)</f>
        <v>4.0000000000000001E-3</v>
      </c>
      <c r="I1477">
        <v>0</v>
      </c>
      <c r="J1477" s="413">
        <f>I1477*VLOOKUP(E1477,GWPs!$B$3:$C$6,2,FALSE)</f>
        <v>0</v>
      </c>
      <c r="K1477">
        <v>4.0000000000000001E-3</v>
      </c>
      <c r="L1477" s="413">
        <f>K1477*VLOOKUP(E1477,GWPs!$B$3:$C$6,2,FALSE)</f>
        <v>4.0000000000000001E-3</v>
      </c>
      <c r="N1477">
        <v>4</v>
      </c>
      <c r="O1477">
        <v>2</v>
      </c>
      <c r="P1477">
        <v>1</v>
      </c>
      <c r="Q1477">
        <v>4</v>
      </c>
      <c r="R1477">
        <v>1</v>
      </c>
    </row>
    <row r="1478" spans="1:18">
      <c r="A1478" t="str">
        <f>_xlfn.IFNA(IF(VLOOKUP(C1478,'2016_Detail_Commodity_v1.0'!C:C,1,FALSE)=C1478,"No change"),"Name changed")</f>
        <v>No change</v>
      </c>
      <c r="B1478" t="s">
        <v>1040</v>
      </c>
      <c r="C1478" t="s">
        <v>1041</v>
      </c>
      <c r="E1478" t="s">
        <v>3653</v>
      </c>
      <c r="F1478" t="s">
        <v>12</v>
      </c>
      <c r="G1478">
        <v>0.19500000000000001</v>
      </c>
      <c r="H1478" s="413">
        <f>G1478*VLOOKUP(E1478,GWPs!$B$3:$C$6,2,FALSE)</f>
        <v>0.19500000000000001</v>
      </c>
      <c r="I1478">
        <v>0</v>
      </c>
      <c r="J1478" s="413">
        <f>I1478*VLOOKUP(E1478,GWPs!$B$3:$C$6,2,FALSE)</f>
        <v>0</v>
      </c>
      <c r="K1478">
        <v>0.19500000000000001</v>
      </c>
      <c r="L1478" s="413">
        <f>K1478*VLOOKUP(E1478,GWPs!$B$3:$C$6,2,FALSE)</f>
        <v>0.19500000000000001</v>
      </c>
      <c r="N1478">
        <v>3</v>
      </c>
      <c r="O1478">
        <v>2</v>
      </c>
      <c r="P1478">
        <v>1</v>
      </c>
      <c r="Q1478">
        <v>3</v>
      </c>
      <c r="R1478">
        <v>1</v>
      </c>
    </row>
    <row r="1479" spans="1:18">
      <c r="A1479" t="str">
        <f>_xlfn.IFNA(IF(VLOOKUP(C1479,'2016_Detail_Commodity_v1.0'!C:C,1,FALSE)=C1479,"No change"),"Name changed")</f>
        <v>No change</v>
      </c>
      <c r="B1479" t="s">
        <v>1040</v>
      </c>
      <c r="C1479" t="s">
        <v>1041</v>
      </c>
      <c r="E1479" t="s">
        <v>3654</v>
      </c>
      <c r="F1479" t="s">
        <v>12</v>
      </c>
      <c r="G1479">
        <v>2E-3</v>
      </c>
      <c r="H1479" s="413">
        <f>G1479*VLOOKUP(E1479,GWPs!$B$3:$C$6,2,FALSE)</f>
        <v>5.6000000000000001E-2</v>
      </c>
      <c r="I1479">
        <v>0</v>
      </c>
      <c r="J1479" s="413">
        <f>I1479*VLOOKUP(E1479,GWPs!$B$3:$C$6,2,FALSE)</f>
        <v>0</v>
      </c>
      <c r="K1479">
        <v>2E-3</v>
      </c>
      <c r="L1479" s="413">
        <f>K1479*VLOOKUP(E1479,GWPs!$B$3:$C$6,2,FALSE)</f>
        <v>5.6000000000000001E-2</v>
      </c>
      <c r="N1479">
        <v>3</v>
      </c>
      <c r="O1479">
        <v>2</v>
      </c>
      <c r="P1479">
        <v>1</v>
      </c>
      <c r="Q1479">
        <v>1</v>
      </c>
      <c r="R1479">
        <v>1</v>
      </c>
    </row>
    <row r="1480" spans="1:18">
      <c r="A1480" t="str">
        <f>_xlfn.IFNA(IF(VLOOKUP(C1480,'2016_Detail_Commodity_v1.0'!C:C,1,FALSE)=C1480,"No change"),"Name changed")</f>
        <v>No change</v>
      </c>
      <c r="B1480" t="s">
        <v>1040</v>
      </c>
      <c r="C1480" t="s">
        <v>1041</v>
      </c>
      <c r="E1480" t="s">
        <v>3655</v>
      </c>
      <c r="F1480" t="s">
        <v>12</v>
      </c>
      <c r="G1480">
        <v>0</v>
      </c>
      <c r="H1480" s="413">
        <f>G1480*VLOOKUP(E1480,GWPs!$B$3:$C$6,2,FALSE)</f>
        <v>0</v>
      </c>
      <c r="I1480">
        <v>0</v>
      </c>
      <c r="J1480" s="413">
        <f>I1480*VLOOKUP(E1480,GWPs!$B$3:$C$6,2,FALSE)</f>
        <v>0</v>
      </c>
      <c r="K1480">
        <v>0</v>
      </c>
      <c r="L1480" s="413">
        <f>K1480*VLOOKUP(E1480,GWPs!$B$3:$C$6,2,FALSE)</f>
        <v>0</v>
      </c>
      <c r="N1480">
        <v>4</v>
      </c>
      <c r="O1480">
        <v>2</v>
      </c>
      <c r="P1480">
        <v>1</v>
      </c>
      <c r="Q1480">
        <v>4</v>
      </c>
      <c r="R1480">
        <v>1</v>
      </c>
    </row>
    <row r="1481" spans="1:18">
      <c r="A1481" t="str">
        <f>_xlfn.IFNA(IF(VLOOKUP(C1481,'2016_Detail_Commodity_v1.0'!C:C,1,FALSE)=C1481,"No change"),"Name changed")</f>
        <v>No change</v>
      </c>
      <c r="B1481" t="s">
        <v>1040</v>
      </c>
      <c r="C1481" t="s">
        <v>1041</v>
      </c>
      <c r="E1481" t="s">
        <v>15</v>
      </c>
      <c r="F1481" t="s">
        <v>16</v>
      </c>
      <c r="G1481">
        <v>8.0000000000000002E-3</v>
      </c>
      <c r="H1481" s="413">
        <f>G1481*VLOOKUP(E1481,GWPs!$B$3:$C$6,2,FALSE)</f>
        <v>8.0000000000000002E-3</v>
      </c>
      <c r="I1481">
        <v>0</v>
      </c>
      <c r="J1481" s="413">
        <f>I1481*VLOOKUP(E1481,GWPs!$B$3:$C$6,2,FALSE)</f>
        <v>0</v>
      </c>
      <c r="K1481">
        <v>8.0000000000000002E-3</v>
      </c>
      <c r="L1481" s="413">
        <f>K1481*VLOOKUP(E1481,GWPs!$B$3:$C$6,2,FALSE)</f>
        <v>8.0000000000000002E-3</v>
      </c>
      <c r="N1481">
        <v>4</v>
      </c>
      <c r="O1481">
        <v>2</v>
      </c>
      <c r="P1481">
        <v>1</v>
      </c>
      <c r="Q1481">
        <v>4</v>
      </c>
      <c r="R1481">
        <v>1</v>
      </c>
    </row>
    <row r="1482" spans="1:18">
      <c r="A1482" t="str">
        <f>_xlfn.IFNA(IF(VLOOKUP(C1482,'2016_Detail_Commodity_v1.0'!C:C,1,FALSE)=C1482,"No change"),"Name changed")</f>
        <v>No change</v>
      </c>
      <c r="B1482" t="s">
        <v>1042</v>
      </c>
      <c r="C1482" t="s">
        <v>1043</v>
      </c>
      <c r="E1482" t="s">
        <v>3653</v>
      </c>
      <c r="F1482" t="s">
        <v>12</v>
      </c>
      <c r="G1482">
        <v>8.4000000000000005E-2</v>
      </c>
      <c r="H1482" s="413">
        <f>G1482*VLOOKUP(E1482,GWPs!$B$3:$C$6,2,FALSE)</f>
        <v>8.4000000000000005E-2</v>
      </c>
      <c r="I1482">
        <v>0</v>
      </c>
      <c r="J1482" s="413">
        <f>I1482*VLOOKUP(E1482,GWPs!$B$3:$C$6,2,FALSE)</f>
        <v>0</v>
      </c>
      <c r="K1482">
        <v>8.4000000000000005E-2</v>
      </c>
      <c r="L1482" s="413">
        <f>K1482*VLOOKUP(E1482,GWPs!$B$3:$C$6,2,FALSE)</f>
        <v>8.4000000000000005E-2</v>
      </c>
      <c r="N1482">
        <v>3</v>
      </c>
      <c r="O1482">
        <v>2</v>
      </c>
      <c r="P1482">
        <v>1</v>
      </c>
      <c r="Q1482">
        <v>3</v>
      </c>
      <c r="R1482">
        <v>1</v>
      </c>
    </row>
    <row r="1483" spans="1:18">
      <c r="A1483" t="str">
        <f>_xlfn.IFNA(IF(VLOOKUP(C1483,'2016_Detail_Commodity_v1.0'!C:C,1,FALSE)=C1483,"No change"),"Name changed")</f>
        <v>No change</v>
      </c>
      <c r="B1483" t="s">
        <v>1042</v>
      </c>
      <c r="C1483" t="s">
        <v>1043</v>
      </c>
      <c r="E1483" t="s">
        <v>3654</v>
      </c>
      <c r="F1483" t="s">
        <v>12</v>
      </c>
      <c r="G1483">
        <v>0</v>
      </c>
      <c r="H1483" s="413">
        <f>G1483*VLOOKUP(E1483,GWPs!$B$3:$C$6,2,FALSE)</f>
        <v>0</v>
      </c>
      <c r="I1483">
        <v>0</v>
      </c>
      <c r="J1483" s="413">
        <f>I1483*VLOOKUP(E1483,GWPs!$B$3:$C$6,2,FALSE)</f>
        <v>0</v>
      </c>
      <c r="K1483">
        <v>0</v>
      </c>
      <c r="L1483" s="413">
        <f>K1483*VLOOKUP(E1483,GWPs!$B$3:$C$6,2,FALSE)</f>
        <v>0</v>
      </c>
      <c r="N1483">
        <v>3</v>
      </c>
      <c r="O1483">
        <v>2</v>
      </c>
      <c r="P1483">
        <v>1</v>
      </c>
      <c r="Q1483">
        <v>1</v>
      </c>
      <c r="R1483">
        <v>1</v>
      </c>
    </row>
    <row r="1484" spans="1:18">
      <c r="A1484" t="str">
        <f>_xlfn.IFNA(IF(VLOOKUP(C1484,'2016_Detail_Commodity_v1.0'!C:C,1,FALSE)=C1484,"No change"),"Name changed")</f>
        <v>No change</v>
      </c>
      <c r="B1484" t="s">
        <v>1042</v>
      </c>
      <c r="C1484" t="s">
        <v>1043</v>
      </c>
      <c r="E1484" t="s">
        <v>3655</v>
      </c>
      <c r="F1484" t="s">
        <v>12</v>
      </c>
      <c r="G1484">
        <v>0</v>
      </c>
      <c r="H1484" s="413">
        <f>G1484*VLOOKUP(E1484,GWPs!$B$3:$C$6,2,FALSE)</f>
        <v>0</v>
      </c>
      <c r="I1484">
        <v>0</v>
      </c>
      <c r="J1484" s="413">
        <f>I1484*VLOOKUP(E1484,GWPs!$B$3:$C$6,2,FALSE)</f>
        <v>0</v>
      </c>
      <c r="K1484">
        <v>0</v>
      </c>
      <c r="L1484" s="413">
        <f>K1484*VLOOKUP(E1484,GWPs!$B$3:$C$6,2,FALSE)</f>
        <v>0</v>
      </c>
      <c r="N1484">
        <v>3</v>
      </c>
      <c r="O1484">
        <v>2</v>
      </c>
      <c r="P1484">
        <v>1</v>
      </c>
      <c r="Q1484">
        <v>3</v>
      </c>
      <c r="R1484">
        <v>1</v>
      </c>
    </row>
    <row r="1485" spans="1:18">
      <c r="A1485" t="str">
        <f>_xlfn.IFNA(IF(VLOOKUP(C1485,'2016_Detail_Commodity_v1.0'!C:C,1,FALSE)=C1485,"No change"),"Name changed")</f>
        <v>No change</v>
      </c>
      <c r="B1485" t="s">
        <v>1042</v>
      </c>
      <c r="C1485" t="s">
        <v>1043</v>
      </c>
      <c r="E1485" t="s">
        <v>15</v>
      </c>
      <c r="F1485" t="s">
        <v>16</v>
      </c>
      <c r="G1485">
        <v>2E-3</v>
      </c>
      <c r="H1485" s="413">
        <f>G1485*VLOOKUP(E1485,GWPs!$B$3:$C$6,2,FALSE)</f>
        <v>2E-3</v>
      </c>
      <c r="I1485">
        <v>0</v>
      </c>
      <c r="J1485" s="413">
        <f>I1485*VLOOKUP(E1485,GWPs!$B$3:$C$6,2,FALSE)</f>
        <v>0</v>
      </c>
      <c r="K1485">
        <v>2E-3</v>
      </c>
      <c r="L1485" s="413">
        <f>K1485*VLOOKUP(E1485,GWPs!$B$3:$C$6,2,FALSE)</f>
        <v>2E-3</v>
      </c>
      <c r="N1485">
        <v>4</v>
      </c>
      <c r="O1485">
        <v>2</v>
      </c>
      <c r="P1485">
        <v>1</v>
      </c>
      <c r="Q1485">
        <v>4</v>
      </c>
      <c r="R1485">
        <v>1</v>
      </c>
    </row>
    <row r="1486" spans="1:18">
      <c r="A1486" t="str">
        <f>_xlfn.IFNA(IF(VLOOKUP(C1486,'2016_Detail_Commodity_v1.0'!C:C,1,FALSE)=C1486,"No change"),"Name changed")</f>
        <v>No change</v>
      </c>
      <c r="B1486" t="s">
        <v>1044</v>
      </c>
      <c r="C1486" t="s">
        <v>1045</v>
      </c>
      <c r="E1486" t="s">
        <v>3653</v>
      </c>
      <c r="F1486" t="s">
        <v>12</v>
      </c>
      <c r="G1486">
        <v>6.6000000000000003E-2</v>
      </c>
      <c r="H1486" s="413">
        <f>G1486*VLOOKUP(E1486,GWPs!$B$3:$C$6,2,FALSE)</f>
        <v>6.6000000000000003E-2</v>
      </c>
      <c r="I1486">
        <v>0</v>
      </c>
      <c r="J1486" s="413">
        <f>I1486*VLOOKUP(E1486,GWPs!$B$3:$C$6,2,FALSE)</f>
        <v>0</v>
      </c>
      <c r="K1486">
        <v>6.6000000000000003E-2</v>
      </c>
      <c r="L1486" s="413">
        <f>K1486*VLOOKUP(E1486,GWPs!$B$3:$C$6,2,FALSE)</f>
        <v>6.6000000000000003E-2</v>
      </c>
      <c r="N1486">
        <v>3</v>
      </c>
      <c r="O1486">
        <v>2</v>
      </c>
      <c r="P1486">
        <v>1</v>
      </c>
      <c r="Q1486">
        <v>3</v>
      </c>
      <c r="R1486">
        <v>1</v>
      </c>
    </row>
    <row r="1487" spans="1:18">
      <c r="A1487" t="str">
        <f>_xlfn.IFNA(IF(VLOOKUP(C1487,'2016_Detail_Commodity_v1.0'!C:C,1,FALSE)=C1487,"No change"),"Name changed")</f>
        <v>No change</v>
      </c>
      <c r="B1487" t="s">
        <v>1044</v>
      </c>
      <c r="C1487" t="s">
        <v>1045</v>
      </c>
      <c r="E1487" t="s">
        <v>3654</v>
      </c>
      <c r="F1487" t="s">
        <v>12</v>
      </c>
      <c r="G1487">
        <v>0</v>
      </c>
      <c r="H1487" s="413">
        <f>G1487*VLOOKUP(E1487,GWPs!$B$3:$C$6,2,FALSE)</f>
        <v>0</v>
      </c>
      <c r="I1487">
        <v>0</v>
      </c>
      <c r="J1487" s="413">
        <f>I1487*VLOOKUP(E1487,GWPs!$B$3:$C$6,2,FALSE)</f>
        <v>0</v>
      </c>
      <c r="K1487">
        <v>0</v>
      </c>
      <c r="L1487" s="413">
        <f>K1487*VLOOKUP(E1487,GWPs!$B$3:$C$6,2,FALSE)</f>
        <v>0</v>
      </c>
      <c r="N1487">
        <v>3</v>
      </c>
      <c r="O1487">
        <v>2</v>
      </c>
      <c r="P1487">
        <v>1</v>
      </c>
      <c r="Q1487">
        <v>1</v>
      </c>
      <c r="R1487">
        <v>1</v>
      </c>
    </row>
    <row r="1488" spans="1:18">
      <c r="A1488" t="str">
        <f>_xlfn.IFNA(IF(VLOOKUP(C1488,'2016_Detail_Commodity_v1.0'!C:C,1,FALSE)=C1488,"No change"),"Name changed")</f>
        <v>No change</v>
      </c>
      <c r="B1488" t="s">
        <v>1044</v>
      </c>
      <c r="C1488" t="s">
        <v>1045</v>
      </c>
      <c r="E1488" t="s">
        <v>3655</v>
      </c>
      <c r="F1488" t="s">
        <v>12</v>
      </c>
      <c r="G1488">
        <v>0</v>
      </c>
      <c r="H1488" s="413">
        <f>G1488*VLOOKUP(E1488,GWPs!$B$3:$C$6,2,FALSE)</f>
        <v>0</v>
      </c>
      <c r="I1488">
        <v>0</v>
      </c>
      <c r="J1488" s="413">
        <f>I1488*VLOOKUP(E1488,GWPs!$B$3:$C$6,2,FALSE)</f>
        <v>0</v>
      </c>
      <c r="K1488">
        <v>0</v>
      </c>
      <c r="L1488" s="413">
        <f>K1488*VLOOKUP(E1488,GWPs!$B$3:$C$6,2,FALSE)</f>
        <v>0</v>
      </c>
      <c r="N1488">
        <v>4</v>
      </c>
      <c r="O1488">
        <v>2</v>
      </c>
      <c r="P1488">
        <v>1</v>
      </c>
      <c r="Q1488">
        <v>3</v>
      </c>
      <c r="R1488">
        <v>1</v>
      </c>
    </row>
    <row r="1489" spans="1:18">
      <c r="A1489" t="str">
        <f>_xlfn.IFNA(IF(VLOOKUP(C1489,'2016_Detail_Commodity_v1.0'!C:C,1,FALSE)=C1489,"No change"),"Name changed")</f>
        <v>No change</v>
      </c>
      <c r="B1489" t="s">
        <v>1044</v>
      </c>
      <c r="C1489" t="s">
        <v>1045</v>
      </c>
      <c r="E1489" t="s">
        <v>15</v>
      </c>
      <c r="F1489" t="s">
        <v>16</v>
      </c>
      <c r="G1489">
        <v>2E-3</v>
      </c>
      <c r="H1489" s="413">
        <f>G1489*VLOOKUP(E1489,GWPs!$B$3:$C$6,2,FALSE)</f>
        <v>2E-3</v>
      </c>
      <c r="I1489">
        <v>0</v>
      </c>
      <c r="J1489" s="413">
        <f>I1489*VLOOKUP(E1489,GWPs!$B$3:$C$6,2,FALSE)</f>
        <v>0</v>
      </c>
      <c r="K1489">
        <v>2E-3</v>
      </c>
      <c r="L1489" s="413">
        <f>K1489*VLOOKUP(E1489,GWPs!$B$3:$C$6,2,FALSE)</f>
        <v>2E-3</v>
      </c>
      <c r="N1489">
        <v>4</v>
      </c>
      <c r="O1489">
        <v>2</v>
      </c>
      <c r="P1489">
        <v>1</v>
      </c>
      <c r="Q1489">
        <v>4</v>
      </c>
      <c r="R1489">
        <v>1</v>
      </c>
    </row>
    <row r="1490" spans="1:18">
      <c r="A1490" t="str">
        <f>_xlfn.IFNA(IF(VLOOKUP(C1490,'2016_Detail_Commodity_v1.0'!C:C,1,FALSE)=C1490,"No change"),"Name changed")</f>
        <v>No change</v>
      </c>
      <c r="B1490" t="s">
        <v>1046</v>
      </c>
      <c r="C1490" t="s">
        <v>1047</v>
      </c>
      <c r="E1490" t="s">
        <v>3653</v>
      </c>
      <c r="F1490" t="s">
        <v>12</v>
      </c>
      <c r="G1490">
        <v>1.2999999999999999E-2</v>
      </c>
      <c r="H1490" s="413">
        <f>G1490*VLOOKUP(E1490,GWPs!$B$3:$C$6,2,FALSE)</f>
        <v>1.2999999999999999E-2</v>
      </c>
      <c r="I1490">
        <v>0</v>
      </c>
      <c r="J1490" s="413">
        <f>I1490*VLOOKUP(E1490,GWPs!$B$3:$C$6,2,FALSE)</f>
        <v>0</v>
      </c>
      <c r="K1490">
        <v>1.2999999999999999E-2</v>
      </c>
      <c r="L1490" s="413">
        <f>K1490*VLOOKUP(E1490,GWPs!$B$3:$C$6,2,FALSE)</f>
        <v>1.2999999999999999E-2</v>
      </c>
      <c r="N1490">
        <v>3</v>
      </c>
      <c r="O1490">
        <v>2</v>
      </c>
      <c r="P1490">
        <v>1</v>
      </c>
      <c r="Q1490">
        <v>3</v>
      </c>
      <c r="R1490">
        <v>1</v>
      </c>
    </row>
    <row r="1491" spans="1:18">
      <c r="A1491" t="str">
        <f>_xlfn.IFNA(IF(VLOOKUP(C1491,'2016_Detail_Commodity_v1.0'!C:C,1,FALSE)=C1491,"No change"),"Name changed")</f>
        <v>No change</v>
      </c>
      <c r="B1491" t="s">
        <v>1046</v>
      </c>
      <c r="C1491" t="s">
        <v>1047</v>
      </c>
      <c r="E1491" t="s">
        <v>3654</v>
      </c>
      <c r="F1491" t="s">
        <v>12</v>
      </c>
      <c r="G1491">
        <v>0</v>
      </c>
      <c r="H1491" s="413">
        <f>G1491*VLOOKUP(E1491,GWPs!$B$3:$C$6,2,FALSE)</f>
        <v>0</v>
      </c>
      <c r="I1491">
        <v>0</v>
      </c>
      <c r="J1491" s="413">
        <f>I1491*VLOOKUP(E1491,GWPs!$B$3:$C$6,2,FALSE)</f>
        <v>0</v>
      </c>
      <c r="K1491">
        <v>0</v>
      </c>
      <c r="L1491" s="413">
        <f>K1491*VLOOKUP(E1491,GWPs!$B$3:$C$6,2,FALSE)</f>
        <v>0</v>
      </c>
      <c r="N1491">
        <v>3</v>
      </c>
      <c r="O1491">
        <v>2</v>
      </c>
      <c r="P1491">
        <v>1</v>
      </c>
      <c r="Q1491">
        <v>1</v>
      </c>
      <c r="R1491">
        <v>1</v>
      </c>
    </row>
    <row r="1492" spans="1:18">
      <c r="A1492" t="str">
        <f>_xlfn.IFNA(IF(VLOOKUP(C1492,'2016_Detail_Commodity_v1.0'!C:C,1,FALSE)=C1492,"No change"),"Name changed")</f>
        <v>No change</v>
      </c>
      <c r="B1492" t="s">
        <v>1046</v>
      </c>
      <c r="C1492" t="s">
        <v>1047</v>
      </c>
      <c r="E1492" t="s">
        <v>3655</v>
      </c>
      <c r="F1492" t="s">
        <v>12</v>
      </c>
      <c r="G1492">
        <v>0</v>
      </c>
      <c r="H1492" s="413">
        <f>G1492*VLOOKUP(E1492,GWPs!$B$3:$C$6,2,FALSE)</f>
        <v>0</v>
      </c>
      <c r="I1492">
        <v>0</v>
      </c>
      <c r="J1492" s="413">
        <f>I1492*VLOOKUP(E1492,GWPs!$B$3:$C$6,2,FALSE)</f>
        <v>0</v>
      </c>
      <c r="K1492">
        <v>0</v>
      </c>
      <c r="L1492" s="413">
        <f>K1492*VLOOKUP(E1492,GWPs!$B$3:$C$6,2,FALSE)</f>
        <v>0</v>
      </c>
      <c r="N1492">
        <v>3</v>
      </c>
      <c r="O1492">
        <v>2</v>
      </c>
      <c r="P1492">
        <v>1</v>
      </c>
      <c r="Q1492">
        <v>3</v>
      </c>
      <c r="R1492">
        <v>1</v>
      </c>
    </row>
    <row r="1493" spans="1:18">
      <c r="A1493" t="str">
        <f>_xlfn.IFNA(IF(VLOOKUP(C1493,'2016_Detail_Commodity_v1.0'!C:C,1,FALSE)=C1493,"No change"),"Name changed")</f>
        <v>No change</v>
      </c>
      <c r="B1493" t="s">
        <v>1046</v>
      </c>
      <c r="C1493" t="s">
        <v>1047</v>
      </c>
      <c r="E1493" t="s">
        <v>15</v>
      </c>
      <c r="F1493" t="s">
        <v>16</v>
      </c>
      <c r="G1493">
        <v>0</v>
      </c>
      <c r="H1493" s="413">
        <f>G1493*VLOOKUP(E1493,GWPs!$B$3:$C$6,2,FALSE)</f>
        <v>0</v>
      </c>
      <c r="I1493">
        <v>0</v>
      </c>
      <c r="J1493" s="413">
        <f>I1493*VLOOKUP(E1493,GWPs!$B$3:$C$6,2,FALSE)</f>
        <v>0</v>
      </c>
      <c r="K1493">
        <v>0</v>
      </c>
      <c r="L1493" s="413">
        <f>K1493*VLOOKUP(E1493,GWPs!$B$3:$C$6,2,FALSE)</f>
        <v>0</v>
      </c>
      <c r="N1493">
        <v>4</v>
      </c>
      <c r="O1493">
        <v>2</v>
      </c>
      <c r="P1493">
        <v>1</v>
      </c>
      <c r="Q1493">
        <v>4</v>
      </c>
      <c r="R1493">
        <v>1</v>
      </c>
    </row>
    <row r="1494" spans="1:18">
      <c r="A1494" t="str">
        <f>_xlfn.IFNA(IF(VLOOKUP(C1494,'2016_Detail_Commodity_v1.0'!C:C,1,FALSE)=C1494,"No change"),"Name changed")</f>
        <v>No change</v>
      </c>
      <c r="B1494" t="s">
        <v>1048</v>
      </c>
      <c r="C1494" t="s">
        <v>1049</v>
      </c>
      <c r="E1494" t="s">
        <v>3653</v>
      </c>
      <c r="F1494" t="s">
        <v>12</v>
      </c>
      <c r="G1494">
        <v>8.1000000000000003E-2</v>
      </c>
      <c r="H1494" s="413">
        <f>G1494*VLOOKUP(E1494,GWPs!$B$3:$C$6,2,FALSE)</f>
        <v>8.1000000000000003E-2</v>
      </c>
      <c r="I1494">
        <v>0</v>
      </c>
      <c r="J1494" s="413">
        <f>I1494*VLOOKUP(E1494,GWPs!$B$3:$C$6,2,FALSE)</f>
        <v>0</v>
      </c>
      <c r="K1494">
        <v>8.1000000000000003E-2</v>
      </c>
      <c r="L1494" s="413">
        <f>K1494*VLOOKUP(E1494,GWPs!$B$3:$C$6,2,FALSE)</f>
        <v>8.1000000000000003E-2</v>
      </c>
      <c r="N1494">
        <v>3</v>
      </c>
      <c r="O1494">
        <v>2</v>
      </c>
      <c r="P1494">
        <v>1</v>
      </c>
      <c r="Q1494">
        <v>3</v>
      </c>
      <c r="R1494">
        <v>1</v>
      </c>
    </row>
    <row r="1495" spans="1:18">
      <c r="A1495" t="str">
        <f>_xlfn.IFNA(IF(VLOOKUP(C1495,'2016_Detail_Commodity_v1.0'!C:C,1,FALSE)=C1495,"No change"),"Name changed")</f>
        <v>No change</v>
      </c>
      <c r="B1495" t="s">
        <v>1048</v>
      </c>
      <c r="C1495" t="s">
        <v>1049</v>
      </c>
      <c r="E1495" t="s">
        <v>3654</v>
      </c>
      <c r="F1495" t="s">
        <v>12</v>
      </c>
      <c r="G1495">
        <v>0</v>
      </c>
      <c r="H1495" s="413">
        <f>G1495*VLOOKUP(E1495,GWPs!$B$3:$C$6,2,FALSE)</f>
        <v>0</v>
      </c>
      <c r="I1495">
        <v>0</v>
      </c>
      <c r="J1495" s="413">
        <f>I1495*VLOOKUP(E1495,GWPs!$B$3:$C$6,2,FALSE)</f>
        <v>0</v>
      </c>
      <c r="K1495">
        <v>0</v>
      </c>
      <c r="L1495" s="413">
        <f>K1495*VLOOKUP(E1495,GWPs!$B$3:$C$6,2,FALSE)</f>
        <v>0</v>
      </c>
      <c r="N1495">
        <v>3</v>
      </c>
      <c r="O1495">
        <v>2</v>
      </c>
      <c r="P1495">
        <v>1</v>
      </c>
      <c r="Q1495">
        <v>1</v>
      </c>
      <c r="R1495">
        <v>1</v>
      </c>
    </row>
    <row r="1496" spans="1:18">
      <c r="A1496" t="str">
        <f>_xlfn.IFNA(IF(VLOOKUP(C1496,'2016_Detail_Commodity_v1.0'!C:C,1,FALSE)=C1496,"No change"),"Name changed")</f>
        <v>No change</v>
      </c>
      <c r="B1496" t="s">
        <v>1048</v>
      </c>
      <c r="C1496" t="s">
        <v>1049</v>
      </c>
      <c r="E1496" t="s">
        <v>3655</v>
      </c>
      <c r="F1496" t="s">
        <v>12</v>
      </c>
      <c r="G1496">
        <v>0</v>
      </c>
      <c r="H1496" s="413">
        <f>G1496*VLOOKUP(E1496,GWPs!$B$3:$C$6,2,FALSE)</f>
        <v>0</v>
      </c>
      <c r="I1496">
        <v>0</v>
      </c>
      <c r="J1496" s="413">
        <f>I1496*VLOOKUP(E1496,GWPs!$B$3:$C$6,2,FALSE)</f>
        <v>0</v>
      </c>
      <c r="K1496">
        <v>0</v>
      </c>
      <c r="L1496" s="413">
        <f>K1496*VLOOKUP(E1496,GWPs!$B$3:$C$6,2,FALSE)</f>
        <v>0</v>
      </c>
      <c r="N1496">
        <v>4</v>
      </c>
      <c r="O1496">
        <v>2</v>
      </c>
      <c r="P1496">
        <v>1</v>
      </c>
      <c r="Q1496">
        <v>3</v>
      </c>
      <c r="R1496">
        <v>1</v>
      </c>
    </row>
    <row r="1497" spans="1:18">
      <c r="A1497" t="str">
        <f>_xlfn.IFNA(IF(VLOOKUP(C1497,'2016_Detail_Commodity_v1.0'!C:C,1,FALSE)=C1497,"No change"),"Name changed")</f>
        <v>No change</v>
      </c>
      <c r="B1497" t="s">
        <v>1048</v>
      </c>
      <c r="C1497" t="s">
        <v>1049</v>
      </c>
      <c r="E1497" t="s">
        <v>15</v>
      </c>
      <c r="F1497" t="s">
        <v>16</v>
      </c>
      <c r="G1497">
        <v>1E-3</v>
      </c>
      <c r="H1497" s="413">
        <f>G1497*VLOOKUP(E1497,GWPs!$B$3:$C$6,2,FALSE)</f>
        <v>1E-3</v>
      </c>
      <c r="I1497">
        <v>0</v>
      </c>
      <c r="J1497" s="413">
        <f>I1497*VLOOKUP(E1497,GWPs!$B$3:$C$6,2,FALSE)</f>
        <v>0</v>
      </c>
      <c r="K1497">
        <v>1E-3</v>
      </c>
      <c r="L1497" s="413">
        <f>K1497*VLOOKUP(E1497,GWPs!$B$3:$C$6,2,FALSE)</f>
        <v>1E-3</v>
      </c>
      <c r="N1497">
        <v>4</v>
      </c>
      <c r="O1497">
        <v>2</v>
      </c>
      <c r="P1497">
        <v>1</v>
      </c>
      <c r="Q1497">
        <v>4</v>
      </c>
      <c r="R1497">
        <v>1</v>
      </c>
    </row>
    <row r="1498" spans="1:18">
      <c r="A1498" t="str">
        <f>_xlfn.IFNA(IF(VLOOKUP(C1498,'2016_Detail_Commodity_v1.0'!C:C,1,FALSE)=C1498,"No change"),"Name changed")</f>
        <v>No change</v>
      </c>
      <c r="B1498" t="s">
        <v>1050</v>
      </c>
      <c r="C1498" t="s">
        <v>1051</v>
      </c>
      <c r="E1498" t="s">
        <v>3653</v>
      </c>
      <c r="F1498" t="s">
        <v>12</v>
      </c>
      <c r="G1498">
        <v>0.17199999999999999</v>
      </c>
      <c r="H1498" s="413">
        <f>G1498*VLOOKUP(E1498,GWPs!$B$3:$C$6,2,FALSE)</f>
        <v>0.17199999999999999</v>
      </c>
      <c r="I1498">
        <v>0</v>
      </c>
      <c r="J1498" s="413">
        <f>I1498*VLOOKUP(E1498,GWPs!$B$3:$C$6,2,FALSE)</f>
        <v>0</v>
      </c>
      <c r="K1498">
        <v>0.17199999999999999</v>
      </c>
      <c r="L1498" s="413">
        <f>K1498*VLOOKUP(E1498,GWPs!$B$3:$C$6,2,FALSE)</f>
        <v>0.17199999999999999</v>
      </c>
      <c r="N1498">
        <v>3</v>
      </c>
      <c r="O1498">
        <v>2</v>
      </c>
      <c r="P1498">
        <v>1</v>
      </c>
      <c r="Q1498">
        <v>3</v>
      </c>
      <c r="R1498">
        <v>1</v>
      </c>
    </row>
    <row r="1499" spans="1:18">
      <c r="A1499" t="str">
        <f>_xlfn.IFNA(IF(VLOOKUP(C1499,'2016_Detail_Commodity_v1.0'!C:C,1,FALSE)=C1499,"No change"),"Name changed")</f>
        <v>No change</v>
      </c>
      <c r="B1499" t="s">
        <v>1050</v>
      </c>
      <c r="C1499" t="s">
        <v>1051</v>
      </c>
      <c r="E1499" t="s">
        <v>3654</v>
      </c>
      <c r="F1499" t="s">
        <v>12</v>
      </c>
      <c r="G1499">
        <v>1E-3</v>
      </c>
      <c r="H1499" s="413">
        <f>G1499*VLOOKUP(E1499,GWPs!$B$3:$C$6,2,FALSE)</f>
        <v>2.8000000000000001E-2</v>
      </c>
      <c r="I1499">
        <v>0</v>
      </c>
      <c r="J1499" s="413">
        <f>I1499*VLOOKUP(E1499,GWPs!$B$3:$C$6,2,FALSE)</f>
        <v>0</v>
      </c>
      <c r="K1499">
        <v>1E-3</v>
      </c>
      <c r="L1499" s="413">
        <f>K1499*VLOOKUP(E1499,GWPs!$B$3:$C$6,2,FALSE)</f>
        <v>2.8000000000000001E-2</v>
      </c>
      <c r="N1499">
        <v>3</v>
      </c>
      <c r="O1499">
        <v>2</v>
      </c>
      <c r="P1499">
        <v>1</v>
      </c>
      <c r="Q1499">
        <v>1</v>
      </c>
      <c r="R1499">
        <v>1</v>
      </c>
    </row>
    <row r="1500" spans="1:18">
      <c r="A1500" t="str">
        <f>_xlfn.IFNA(IF(VLOOKUP(C1500,'2016_Detail_Commodity_v1.0'!C:C,1,FALSE)=C1500,"No change"),"Name changed")</f>
        <v>No change</v>
      </c>
      <c r="B1500" t="s">
        <v>1050</v>
      </c>
      <c r="C1500" t="s">
        <v>1051</v>
      </c>
      <c r="E1500" t="s">
        <v>3655</v>
      </c>
      <c r="F1500" t="s">
        <v>12</v>
      </c>
      <c r="G1500">
        <v>0</v>
      </c>
      <c r="H1500" s="413">
        <f>G1500*VLOOKUP(E1500,GWPs!$B$3:$C$6,2,FALSE)</f>
        <v>0</v>
      </c>
      <c r="I1500">
        <v>0</v>
      </c>
      <c r="J1500" s="413">
        <f>I1500*VLOOKUP(E1500,GWPs!$B$3:$C$6,2,FALSE)</f>
        <v>0</v>
      </c>
      <c r="K1500">
        <v>0</v>
      </c>
      <c r="L1500" s="413">
        <f>K1500*VLOOKUP(E1500,GWPs!$B$3:$C$6,2,FALSE)</f>
        <v>0</v>
      </c>
      <c r="N1500">
        <v>3</v>
      </c>
      <c r="O1500">
        <v>2</v>
      </c>
      <c r="P1500">
        <v>1</v>
      </c>
      <c r="Q1500">
        <v>3</v>
      </c>
      <c r="R1500">
        <v>1</v>
      </c>
    </row>
    <row r="1501" spans="1:18">
      <c r="A1501" t="str">
        <f>_xlfn.IFNA(IF(VLOOKUP(C1501,'2016_Detail_Commodity_v1.0'!C:C,1,FALSE)=C1501,"No change"),"Name changed")</f>
        <v>No change</v>
      </c>
      <c r="B1501" t="s">
        <v>1050</v>
      </c>
      <c r="C1501" t="s">
        <v>1051</v>
      </c>
      <c r="E1501" t="s">
        <v>15</v>
      </c>
      <c r="F1501" t="s">
        <v>16</v>
      </c>
      <c r="G1501">
        <v>3.0000000000000001E-3</v>
      </c>
      <c r="H1501" s="413">
        <f>G1501*VLOOKUP(E1501,GWPs!$B$3:$C$6,2,FALSE)</f>
        <v>3.0000000000000001E-3</v>
      </c>
      <c r="I1501">
        <v>0</v>
      </c>
      <c r="J1501" s="413">
        <f>I1501*VLOOKUP(E1501,GWPs!$B$3:$C$6,2,FALSE)</f>
        <v>0</v>
      </c>
      <c r="K1501">
        <v>3.0000000000000001E-3</v>
      </c>
      <c r="L1501" s="413">
        <f>K1501*VLOOKUP(E1501,GWPs!$B$3:$C$6,2,FALSE)</f>
        <v>3.0000000000000001E-3</v>
      </c>
      <c r="N1501">
        <v>4</v>
      </c>
      <c r="O1501">
        <v>2</v>
      </c>
      <c r="P1501">
        <v>1</v>
      </c>
      <c r="Q1501">
        <v>4</v>
      </c>
      <c r="R1501">
        <v>1</v>
      </c>
    </row>
    <row r="1502" spans="1:18">
      <c r="A1502" t="str">
        <f>_xlfn.IFNA(IF(VLOOKUP(C1502,'2016_Detail_Commodity_v1.0'!C:C,1,FALSE)=C1502,"No change"),"Name changed")</f>
        <v>No change</v>
      </c>
      <c r="B1502" t="s">
        <v>1052</v>
      </c>
      <c r="C1502" t="s">
        <v>1053</v>
      </c>
      <c r="E1502" t="s">
        <v>3653</v>
      </c>
      <c r="F1502" t="s">
        <v>12</v>
      </c>
      <c r="G1502">
        <v>0.122</v>
      </c>
      <c r="H1502" s="413">
        <f>G1502*VLOOKUP(E1502,GWPs!$B$3:$C$6,2,FALSE)</f>
        <v>0.122</v>
      </c>
      <c r="I1502">
        <v>0</v>
      </c>
      <c r="J1502" s="413">
        <f>I1502*VLOOKUP(E1502,GWPs!$B$3:$C$6,2,FALSE)</f>
        <v>0</v>
      </c>
      <c r="K1502">
        <v>0.122</v>
      </c>
      <c r="L1502" s="413">
        <f>K1502*VLOOKUP(E1502,GWPs!$B$3:$C$6,2,FALSE)</f>
        <v>0.122</v>
      </c>
      <c r="N1502">
        <v>3</v>
      </c>
      <c r="O1502">
        <v>2</v>
      </c>
      <c r="P1502">
        <v>1</v>
      </c>
      <c r="Q1502">
        <v>3</v>
      </c>
      <c r="R1502">
        <v>1</v>
      </c>
    </row>
    <row r="1503" spans="1:18">
      <c r="A1503" t="str">
        <f>_xlfn.IFNA(IF(VLOOKUP(C1503,'2016_Detail_Commodity_v1.0'!C:C,1,FALSE)=C1503,"No change"),"Name changed")</f>
        <v>No change</v>
      </c>
      <c r="B1503" t="s">
        <v>1052</v>
      </c>
      <c r="C1503" t="s">
        <v>1053</v>
      </c>
      <c r="E1503" t="s">
        <v>3654</v>
      </c>
      <c r="F1503" t="s">
        <v>12</v>
      </c>
      <c r="G1503">
        <v>1E-3</v>
      </c>
      <c r="H1503" s="413">
        <f>G1503*VLOOKUP(E1503,GWPs!$B$3:$C$6,2,FALSE)</f>
        <v>2.8000000000000001E-2</v>
      </c>
      <c r="I1503">
        <v>0</v>
      </c>
      <c r="J1503" s="413">
        <f>I1503*VLOOKUP(E1503,GWPs!$B$3:$C$6,2,FALSE)</f>
        <v>0</v>
      </c>
      <c r="K1503">
        <v>1E-3</v>
      </c>
      <c r="L1503" s="413">
        <f>K1503*VLOOKUP(E1503,GWPs!$B$3:$C$6,2,FALSE)</f>
        <v>2.8000000000000001E-2</v>
      </c>
      <c r="N1503">
        <v>3</v>
      </c>
      <c r="O1503">
        <v>2</v>
      </c>
      <c r="P1503">
        <v>1</v>
      </c>
      <c r="Q1503">
        <v>1</v>
      </c>
      <c r="R1503">
        <v>1</v>
      </c>
    </row>
    <row r="1504" spans="1:18">
      <c r="A1504" t="str">
        <f>_xlfn.IFNA(IF(VLOOKUP(C1504,'2016_Detail_Commodity_v1.0'!C:C,1,FALSE)=C1504,"No change"),"Name changed")</f>
        <v>No change</v>
      </c>
      <c r="B1504" t="s">
        <v>1052</v>
      </c>
      <c r="C1504" t="s">
        <v>1053</v>
      </c>
      <c r="E1504" t="s">
        <v>3655</v>
      </c>
      <c r="F1504" t="s">
        <v>12</v>
      </c>
      <c r="G1504">
        <v>0</v>
      </c>
      <c r="H1504" s="413">
        <f>G1504*VLOOKUP(E1504,GWPs!$B$3:$C$6,2,FALSE)</f>
        <v>0</v>
      </c>
      <c r="I1504">
        <v>0</v>
      </c>
      <c r="J1504" s="413">
        <f>I1504*VLOOKUP(E1504,GWPs!$B$3:$C$6,2,FALSE)</f>
        <v>0</v>
      </c>
      <c r="K1504">
        <v>0</v>
      </c>
      <c r="L1504" s="413">
        <f>K1504*VLOOKUP(E1504,GWPs!$B$3:$C$6,2,FALSE)</f>
        <v>0</v>
      </c>
      <c r="N1504">
        <v>4</v>
      </c>
      <c r="O1504">
        <v>2</v>
      </c>
      <c r="P1504">
        <v>1</v>
      </c>
      <c r="Q1504">
        <v>3</v>
      </c>
      <c r="R1504">
        <v>1</v>
      </c>
    </row>
    <row r="1505" spans="1:18">
      <c r="A1505" t="str">
        <f>_xlfn.IFNA(IF(VLOOKUP(C1505,'2016_Detail_Commodity_v1.0'!C:C,1,FALSE)=C1505,"No change"),"Name changed")</f>
        <v>No change</v>
      </c>
      <c r="B1505" t="s">
        <v>1052</v>
      </c>
      <c r="C1505" t="s">
        <v>1053</v>
      </c>
      <c r="E1505" t="s">
        <v>15</v>
      </c>
      <c r="F1505" t="s">
        <v>16</v>
      </c>
      <c r="G1505">
        <v>3.0000000000000001E-3</v>
      </c>
      <c r="H1505" s="413">
        <f>G1505*VLOOKUP(E1505,GWPs!$B$3:$C$6,2,FALSE)</f>
        <v>3.0000000000000001E-3</v>
      </c>
      <c r="I1505">
        <v>0</v>
      </c>
      <c r="J1505" s="413">
        <f>I1505*VLOOKUP(E1505,GWPs!$B$3:$C$6,2,FALSE)</f>
        <v>0</v>
      </c>
      <c r="K1505">
        <v>3.0000000000000001E-3</v>
      </c>
      <c r="L1505" s="413">
        <f>K1505*VLOOKUP(E1505,GWPs!$B$3:$C$6,2,FALSE)</f>
        <v>3.0000000000000001E-3</v>
      </c>
      <c r="N1505">
        <v>3</v>
      </c>
      <c r="O1505">
        <v>2</v>
      </c>
      <c r="P1505">
        <v>1</v>
      </c>
      <c r="Q1505">
        <v>4</v>
      </c>
      <c r="R1505">
        <v>1</v>
      </c>
    </row>
    <row r="1506" spans="1:18">
      <c r="A1506" t="str">
        <f>_xlfn.IFNA(IF(VLOOKUP(C1506,'2016_Detail_Commodity_v1.0'!C:C,1,FALSE)=C1506,"No change"),"Name changed")</f>
        <v>No change</v>
      </c>
      <c r="B1506" t="s">
        <v>1054</v>
      </c>
      <c r="C1506" t="s">
        <v>1055</v>
      </c>
      <c r="E1506" t="s">
        <v>3653</v>
      </c>
      <c r="F1506" t="s">
        <v>12</v>
      </c>
      <c r="G1506">
        <v>0.188</v>
      </c>
      <c r="H1506" s="413">
        <f>G1506*VLOOKUP(E1506,GWPs!$B$3:$C$6,2,FALSE)</f>
        <v>0.188</v>
      </c>
      <c r="I1506">
        <v>0</v>
      </c>
      <c r="J1506" s="413">
        <f>I1506*VLOOKUP(E1506,GWPs!$B$3:$C$6,2,FALSE)</f>
        <v>0</v>
      </c>
      <c r="K1506">
        <v>0.188</v>
      </c>
      <c r="L1506" s="413">
        <f>K1506*VLOOKUP(E1506,GWPs!$B$3:$C$6,2,FALSE)</f>
        <v>0.188</v>
      </c>
      <c r="N1506">
        <v>3</v>
      </c>
      <c r="O1506">
        <v>2</v>
      </c>
      <c r="P1506">
        <v>1</v>
      </c>
      <c r="Q1506">
        <v>3</v>
      </c>
      <c r="R1506">
        <v>1</v>
      </c>
    </row>
    <row r="1507" spans="1:18">
      <c r="A1507" t="str">
        <f>_xlfn.IFNA(IF(VLOOKUP(C1507,'2016_Detail_Commodity_v1.0'!C:C,1,FALSE)=C1507,"No change"),"Name changed")</f>
        <v>No change</v>
      </c>
      <c r="B1507" t="s">
        <v>1054</v>
      </c>
      <c r="C1507" t="s">
        <v>1055</v>
      </c>
      <c r="E1507" t="s">
        <v>3654</v>
      </c>
      <c r="F1507" t="s">
        <v>12</v>
      </c>
      <c r="G1507">
        <v>1E-3</v>
      </c>
      <c r="H1507" s="413">
        <f>G1507*VLOOKUP(E1507,GWPs!$B$3:$C$6,2,FALSE)</f>
        <v>2.8000000000000001E-2</v>
      </c>
      <c r="I1507">
        <v>0</v>
      </c>
      <c r="J1507" s="413">
        <f>I1507*VLOOKUP(E1507,GWPs!$B$3:$C$6,2,FALSE)</f>
        <v>0</v>
      </c>
      <c r="K1507">
        <v>1E-3</v>
      </c>
      <c r="L1507" s="413">
        <f>K1507*VLOOKUP(E1507,GWPs!$B$3:$C$6,2,FALSE)</f>
        <v>2.8000000000000001E-2</v>
      </c>
      <c r="N1507">
        <v>3</v>
      </c>
      <c r="O1507">
        <v>2</v>
      </c>
      <c r="P1507">
        <v>1</v>
      </c>
      <c r="Q1507">
        <v>1</v>
      </c>
      <c r="R1507">
        <v>1</v>
      </c>
    </row>
    <row r="1508" spans="1:18">
      <c r="A1508" t="str">
        <f>_xlfn.IFNA(IF(VLOOKUP(C1508,'2016_Detail_Commodity_v1.0'!C:C,1,FALSE)=C1508,"No change"),"Name changed")</f>
        <v>No change</v>
      </c>
      <c r="B1508" t="s">
        <v>1054</v>
      </c>
      <c r="C1508" t="s">
        <v>1055</v>
      </c>
      <c r="E1508" t="s">
        <v>3655</v>
      </c>
      <c r="F1508" t="s">
        <v>12</v>
      </c>
      <c r="G1508">
        <v>0</v>
      </c>
      <c r="H1508" s="413">
        <f>G1508*VLOOKUP(E1508,GWPs!$B$3:$C$6,2,FALSE)</f>
        <v>0</v>
      </c>
      <c r="I1508">
        <v>0</v>
      </c>
      <c r="J1508" s="413">
        <f>I1508*VLOOKUP(E1508,GWPs!$B$3:$C$6,2,FALSE)</f>
        <v>0</v>
      </c>
      <c r="K1508">
        <v>0</v>
      </c>
      <c r="L1508" s="413">
        <f>K1508*VLOOKUP(E1508,GWPs!$B$3:$C$6,2,FALSE)</f>
        <v>0</v>
      </c>
      <c r="N1508">
        <v>4</v>
      </c>
      <c r="O1508">
        <v>2</v>
      </c>
      <c r="P1508">
        <v>1</v>
      </c>
      <c r="Q1508">
        <v>3</v>
      </c>
      <c r="R1508">
        <v>1</v>
      </c>
    </row>
    <row r="1509" spans="1:18">
      <c r="A1509" t="str">
        <f>_xlfn.IFNA(IF(VLOOKUP(C1509,'2016_Detail_Commodity_v1.0'!C:C,1,FALSE)=C1509,"No change"),"Name changed")</f>
        <v>No change</v>
      </c>
      <c r="B1509" t="s">
        <v>1054</v>
      </c>
      <c r="C1509" t="s">
        <v>1055</v>
      </c>
      <c r="E1509" t="s">
        <v>15</v>
      </c>
      <c r="F1509" t="s">
        <v>16</v>
      </c>
      <c r="G1509">
        <v>6.0000000000000001E-3</v>
      </c>
      <c r="H1509" s="413">
        <f>G1509*VLOOKUP(E1509,GWPs!$B$3:$C$6,2,FALSE)</f>
        <v>6.0000000000000001E-3</v>
      </c>
      <c r="I1509">
        <v>0</v>
      </c>
      <c r="J1509" s="413">
        <f>I1509*VLOOKUP(E1509,GWPs!$B$3:$C$6,2,FALSE)</f>
        <v>0</v>
      </c>
      <c r="K1509">
        <v>6.0000000000000001E-3</v>
      </c>
      <c r="L1509" s="413">
        <f>K1509*VLOOKUP(E1509,GWPs!$B$3:$C$6,2,FALSE)</f>
        <v>6.0000000000000001E-3</v>
      </c>
      <c r="N1509">
        <v>4</v>
      </c>
      <c r="O1509">
        <v>2</v>
      </c>
      <c r="P1509">
        <v>1</v>
      </c>
      <c r="Q1509">
        <v>5</v>
      </c>
      <c r="R1509">
        <v>1</v>
      </c>
    </row>
    <row r="1510" spans="1:18">
      <c r="A1510" t="str">
        <f>_xlfn.IFNA(IF(VLOOKUP(C1510,'2016_Detail_Commodity_v1.0'!C:C,1,FALSE)=C1510,"No change"),"Name changed")</f>
        <v>No change</v>
      </c>
      <c r="B1510" t="s">
        <v>1056</v>
      </c>
      <c r="C1510" t="s">
        <v>1057</v>
      </c>
      <c r="E1510" t="s">
        <v>3653</v>
      </c>
      <c r="F1510" t="s">
        <v>12</v>
      </c>
      <c r="G1510">
        <v>0.252</v>
      </c>
      <c r="H1510" s="413">
        <f>G1510*VLOOKUP(E1510,GWPs!$B$3:$C$6,2,FALSE)</f>
        <v>0.252</v>
      </c>
      <c r="I1510">
        <v>0</v>
      </c>
      <c r="J1510" s="413">
        <f>I1510*VLOOKUP(E1510,GWPs!$B$3:$C$6,2,FALSE)</f>
        <v>0</v>
      </c>
      <c r="K1510">
        <v>0.252</v>
      </c>
      <c r="L1510" s="413">
        <f>K1510*VLOOKUP(E1510,GWPs!$B$3:$C$6,2,FALSE)</f>
        <v>0.252</v>
      </c>
      <c r="N1510">
        <v>3</v>
      </c>
      <c r="O1510">
        <v>2</v>
      </c>
      <c r="P1510">
        <v>1</v>
      </c>
      <c r="Q1510">
        <v>3</v>
      </c>
      <c r="R1510">
        <v>1</v>
      </c>
    </row>
    <row r="1511" spans="1:18">
      <c r="A1511" t="str">
        <f>_xlfn.IFNA(IF(VLOOKUP(C1511,'2016_Detail_Commodity_v1.0'!C:C,1,FALSE)=C1511,"No change"),"Name changed")</f>
        <v>No change</v>
      </c>
      <c r="B1511" t="s">
        <v>1056</v>
      </c>
      <c r="C1511" t="s">
        <v>1057</v>
      </c>
      <c r="E1511" t="s">
        <v>3654</v>
      </c>
      <c r="F1511" t="s">
        <v>12</v>
      </c>
      <c r="G1511">
        <v>2E-3</v>
      </c>
      <c r="H1511" s="413">
        <f>G1511*VLOOKUP(E1511,GWPs!$B$3:$C$6,2,FALSE)</f>
        <v>5.6000000000000001E-2</v>
      </c>
      <c r="I1511">
        <v>0</v>
      </c>
      <c r="J1511" s="413">
        <f>I1511*VLOOKUP(E1511,GWPs!$B$3:$C$6,2,FALSE)</f>
        <v>0</v>
      </c>
      <c r="K1511">
        <v>2E-3</v>
      </c>
      <c r="L1511" s="413">
        <f>K1511*VLOOKUP(E1511,GWPs!$B$3:$C$6,2,FALSE)</f>
        <v>5.6000000000000001E-2</v>
      </c>
      <c r="N1511">
        <v>3</v>
      </c>
      <c r="O1511">
        <v>2</v>
      </c>
      <c r="P1511">
        <v>1</v>
      </c>
      <c r="Q1511">
        <v>1</v>
      </c>
      <c r="R1511">
        <v>1</v>
      </c>
    </row>
    <row r="1512" spans="1:18">
      <c r="A1512" t="str">
        <f>_xlfn.IFNA(IF(VLOOKUP(C1512,'2016_Detail_Commodity_v1.0'!C:C,1,FALSE)=C1512,"No change"),"Name changed")</f>
        <v>No change</v>
      </c>
      <c r="B1512" t="s">
        <v>1056</v>
      </c>
      <c r="C1512" t="s">
        <v>1057</v>
      </c>
      <c r="E1512" t="s">
        <v>3655</v>
      </c>
      <c r="F1512" t="s">
        <v>12</v>
      </c>
      <c r="G1512">
        <v>0</v>
      </c>
      <c r="H1512" s="413">
        <f>G1512*VLOOKUP(E1512,GWPs!$B$3:$C$6,2,FALSE)</f>
        <v>0</v>
      </c>
      <c r="I1512">
        <v>0</v>
      </c>
      <c r="J1512" s="413">
        <f>I1512*VLOOKUP(E1512,GWPs!$B$3:$C$6,2,FALSE)</f>
        <v>0</v>
      </c>
      <c r="K1512">
        <v>0</v>
      </c>
      <c r="L1512" s="413">
        <f>K1512*VLOOKUP(E1512,GWPs!$B$3:$C$6,2,FALSE)</f>
        <v>0</v>
      </c>
      <c r="N1512">
        <v>4</v>
      </c>
      <c r="O1512">
        <v>2</v>
      </c>
      <c r="P1512">
        <v>1</v>
      </c>
      <c r="Q1512">
        <v>3</v>
      </c>
      <c r="R1512">
        <v>1</v>
      </c>
    </row>
    <row r="1513" spans="1:18">
      <c r="A1513" t="str">
        <f>_xlfn.IFNA(IF(VLOOKUP(C1513,'2016_Detail_Commodity_v1.0'!C:C,1,FALSE)=C1513,"No change"),"Name changed")</f>
        <v>No change</v>
      </c>
      <c r="B1513" t="s">
        <v>1056</v>
      </c>
      <c r="C1513" t="s">
        <v>1057</v>
      </c>
      <c r="E1513" t="s">
        <v>15</v>
      </c>
      <c r="F1513" t="s">
        <v>16</v>
      </c>
      <c r="G1513">
        <v>5.0000000000000001E-3</v>
      </c>
      <c r="H1513" s="413">
        <f>G1513*VLOOKUP(E1513,GWPs!$B$3:$C$6,2,FALSE)</f>
        <v>5.0000000000000001E-3</v>
      </c>
      <c r="I1513">
        <v>0</v>
      </c>
      <c r="J1513" s="413">
        <f>I1513*VLOOKUP(E1513,GWPs!$B$3:$C$6,2,FALSE)</f>
        <v>0</v>
      </c>
      <c r="K1513">
        <v>5.0000000000000001E-3</v>
      </c>
      <c r="L1513" s="413">
        <f>K1513*VLOOKUP(E1513,GWPs!$B$3:$C$6,2,FALSE)</f>
        <v>5.0000000000000001E-3</v>
      </c>
      <c r="N1513">
        <v>4</v>
      </c>
      <c r="O1513">
        <v>2</v>
      </c>
      <c r="P1513">
        <v>1</v>
      </c>
      <c r="Q1513">
        <v>4</v>
      </c>
      <c r="R1513">
        <v>1</v>
      </c>
    </row>
    <row r="1514" spans="1:18">
      <c r="A1514" t="str">
        <f>_xlfn.IFNA(IF(VLOOKUP(C1514,'2016_Detail_Commodity_v1.0'!C:C,1,FALSE)=C1514,"No change"),"Name changed")</f>
        <v>No change</v>
      </c>
      <c r="B1514" t="s">
        <v>1058</v>
      </c>
      <c r="C1514" t="s">
        <v>1059</v>
      </c>
      <c r="E1514" t="s">
        <v>3653</v>
      </c>
      <c r="F1514" t="s">
        <v>12</v>
      </c>
      <c r="G1514">
        <v>0.16900000000000001</v>
      </c>
      <c r="H1514" s="413">
        <f>G1514*VLOOKUP(E1514,GWPs!$B$3:$C$6,2,FALSE)</f>
        <v>0.16900000000000001</v>
      </c>
      <c r="I1514">
        <v>0</v>
      </c>
      <c r="J1514" s="413">
        <f>I1514*VLOOKUP(E1514,GWPs!$B$3:$C$6,2,FALSE)</f>
        <v>0</v>
      </c>
      <c r="K1514">
        <v>0.16900000000000001</v>
      </c>
      <c r="L1514" s="413">
        <f>K1514*VLOOKUP(E1514,GWPs!$B$3:$C$6,2,FALSE)</f>
        <v>0.16900000000000001</v>
      </c>
      <c r="N1514">
        <v>3</v>
      </c>
      <c r="O1514">
        <v>2</v>
      </c>
      <c r="P1514">
        <v>1</v>
      </c>
      <c r="Q1514">
        <v>3</v>
      </c>
      <c r="R1514">
        <v>1</v>
      </c>
    </row>
    <row r="1515" spans="1:18">
      <c r="A1515" t="str">
        <f>_xlfn.IFNA(IF(VLOOKUP(C1515,'2016_Detail_Commodity_v1.0'!C:C,1,FALSE)=C1515,"No change"),"Name changed")</f>
        <v>No change</v>
      </c>
      <c r="B1515" t="s">
        <v>1058</v>
      </c>
      <c r="C1515" t="s">
        <v>1059</v>
      </c>
      <c r="E1515" t="s">
        <v>3654</v>
      </c>
      <c r="F1515" t="s">
        <v>12</v>
      </c>
      <c r="G1515">
        <v>1E-3</v>
      </c>
      <c r="H1515" s="413">
        <f>G1515*VLOOKUP(E1515,GWPs!$B$3:$C$6,2,FALSE)</f>
        <v>2.8000000000000001E-2</v>
      </c>
      <c r="I1515">
        <v>0</v>
      </c>
      <c r="J1515" s="413">
        <f>I1515*VLOOKUP(E1515,GWPs!$B$3:$C$6,2,FALSE)</f>
        <v>0</v>
      </c>
      <c r="K1515">
        <v>1E-3</v>
      </c>
      <c r="L1515" s="413">
        <f>K1515*VLOOKUP(E1515,GWPs!$B$3:$C$6,2,FALSE)</f>
        <v>2.8000000000000001E-2</v>
      </c>
      <c r="N1515">
        <v>3</v>
      </c>
      <c r="O1515">
        <v>2</v>
      </c>
      <c r="P1515">
        <v>1</v>
      </c>
      <c r="Q1515">
        <v>1</v>
      </c>
      <c r="R1515">
        <v>1</v>
      </c>
    </row>
    <row r="1516" spans="1:18">
      <c r="A1516" t="str">
        <f>_xlfn.IFNA(IF(VLOOKUP(C1516,'2016_Detail_Commodity_v1.0'!C:C,1,FALSE)=C1516,"No change"),"Name changed")</f>
        <v>No change</v>
      </c>
      <c r="B1516" t="s">
        <v>1058</v>
      </c>
      <c r="C1516" t="s">
        <v>1059</v>
      </c>
      <c r="E1516" t="s">
        <v>3655</v>
      </c>
      <c r="F1516" t="s">
        <v>12</v>
      </c>
      <c r="G1516">
        <v>0</v>
      </c>
      <c r="H1516" s="413">
        <f>G1516*VLOOKUP(E1516,GWPs!$B$3:$C$6,2,FALSE)</f>
        <v>0</v>
      </c>
      <c r="I1516">
        <v>0</v>
      </c>
      <c r="J1516" s="413">
        <f>I1516*VLOOKUP(E1516,GWPs!$B$3:$C$6,2,FALSE)</f>
        <v>0</v>
      </c>
      <c r="K1516">
        <v>0</v>
      </c>
      <c r="L1516" s="413">
        <f>K1516*VLOOKUP(E1516,GWPs!$B$3:$C$6,2,FALSE)</f>
        <v>0</v>
      </c>
      <c r="N1516">
        <v>4</v>
      </c>
      <c r="O1516">
        <v>2</v>
      </c>
      <c r="P1516">
        <v>1</v>
      </c>
      <c r="Q1516">
        <v>3</v>
      </c>
      <c r="R1516">
        <v>1</v>
      </c>
    </row>
    <row r="1517" spans="1:18">
      <c r="A1517" t="str">
        <f>_xlfn.IFNA(IF(VLOOKUP(C1517,'2016_Detail_Commodity_v1.0'!C:C,1,FALSE)=C1517,"No change"),"Name changed")</f>
        <v>No change</v>
      </c>
      <c r="B1517" t="s">
        <v>1058</v>
      </c>
      <c r="C1517" t="s">
        <v>1059</v>
      </c>
      <c r="E1517" t="s">
        <v>15</v>
      </c>
      <c r="F1517" t="s">
        <v>16</v>
      </c>
      <c r="G1517">
        <v>3.0000000000000001E-3</v>
      </c>
      <c r="H1517" s="413">
        <f>G1517*VLOOKUP(E1517,GWPs!$B$3:$C$6,2,FALSE)</f>
        <v>3.0000000000000001E-3</v>
      </c>
      <c r="I1517">
        <v>0</v>
      </c>
      <c r="J1517" s="413">
        <f>I1517*VLOOKUP(E1517,GWPs!$B$3:$C$6,2,FALSE)</f>
        <v>0</v>
      </c>
      <c r="K1517">
        <v>3.0000000000000001E-3</v>
      </c>
      <c r="L1517" s="413">
        <f>K1517*VLOOKUP(E1517,GWPs!$B$3:$C$6,2,FALSE)</f>
        <v>3.0000000000000001E-3</v>
      </c>
      <c r="N1517">
        <v>4</v>
      </c>
      <c r="O1517">
        <v>2</v>
      </c>
      <c r="P1517">
        <v>1</v>
      </c>
      <c r="Q1517">
        <v>4</v>
      </c>
      <c r="R1517">
        <v>1</v>
      </c>
    </row>
    <row r="1518" spans="1:18">
      <c r="A1518" t="str">
        <f>_xlfn.IFNA(IF(VLOOKUP(C1518,'2016_Detail_Commodity_v1.0'!C:C,1,FALSE)=C1518,"No change"),"Name changed")</f>
        <v>No change</v>
      </c>
      <c r="B1518" t="s">
        <v>1060</v>
      </c>
      <c r="C1518" t="s">
        <v>1061</v>
      </c>
      <c r="E1518" t="s">
        <v>3653</v>
      </c>
      <c r="F1518" t="s">
        <v>12</v>
      </c>
      <c r="G1518">
        <v>0.2</v>
      </c>
      <c r="H1518" s="413">
        <f>G1518*VLOOKUP(E1518,GWPs!$B$3:$C$6,2,FALSE)</f>
        <v>0.2</v>
      </c>
      <c r="I1518">
        <v>0</v>
      </c>
      <c r="J1518" s="413">
        <f>I1518*VLOOKUP(E1518,GWPs!$B$3:$C$6,2,FALSE)</f>
        <v>0</v>
      </c>
      <c r="K1518">
        <v>0.2</v>
      </c>
      <c r="L1518" s="413">
        <f>K1518*VLOOKUP(E1518,GWPs!$B$3:$C$6,2,FALSE)</f>
        <v>0.2</v>
      </c>
      <c r="N1518">
        <v>3</v>
      </c>
      <c r="O1518">
        <v>2</v>
      </c>
      <c r="P1518">
        <v>1</v>
      </c>
      <c r="Q1518">
        <v>3</v>
      </c>
      <c r="R1518">
        <v>1</v>
      </c>
    </row>
    <row r="1519" spans="1:18">
      <c r="A1519" t="str">
        <f>_xlfn.IFNA(IF(VLOOKUP(C1519,'2016_Detail_Commodity_v1.0'!C:C,1,FALSE)=C1519,"No change"),"Name changed")</f>
        <v>No change</v>
      </c>
      <c r="B1519" t="s">
        <v>1060</v>
      </c>
      <c r="C1519" t="s">
        <v>1061</v>
      </c>
      <c r="E1519" t="s">
        <v>3654</v>
      </c>
      <c r="F1519" t="s">
        <v>12</v>
      </c>
      <c r="G1519">
        <v>2E-3</v>
      </c>
      <c r="H1519" s="413">
        <f>G1519*VLOOKUP(E1519,GWPs!$B$3:$C$6,2,FALSE)</f>
        <v>5.6000000000000001E-2</v>
      </c>
      <c r="I1519">
        <v>0</v>
      </c>
      <c r="J1519" s="413">
        <f>I1519*VLOOKUP(E1519,GWPs!$B$3:$C$6,2,FALSE)</f>
        <v>0</v>
      </c>
      <c r="K1519">
        <v>2E-3</v>
      </c>
      <c r="L1519" s="413">
        <f>K1519*VLOOKUP(E1519,GWPs!$B$3:$C$6,2,FALSE)</f>
        <v>5.6000000000000001E-2</v>
      </c>
      <c r="N1519">
        <v>3</v>
      </c>
      <c r="O1519">
        <v>2</v>
      </c>
      <c r="P1519">
        <v>1</v>
      </c>
      <c r="Q1519">
        <v>1</v>
      </c>
      <c r="R1519">
        <v>1</v>
      </c>
    </row>
    <row r="1520" spans="1:18">
      <c r="A1520" t="str">
        <f>_xlfn.IFNA(IF(VLOOKUP(C1520,'2016_Detail_Commodity_v1.0'!C:C,1,FALSE)=C1520,"No change"),"Name changed")</f>
        <v>No change</v>
      </c>
      <c r="B1520" t="s">
        <v>1060</v>
      </c>
      <c r="C1520" t="s">
        <v>1061</v>
      </c>
      <c r="E1520" t="s">
        <v>3655</v>
      </c>
      <c r="F1520" t="s">
        <v>12</v>
      </c>
      <c r="G1520">
        <v>0</v>
      </c>
      <c r="H1520" s="413">
        <f>G1520*VLOOKUP(E1520,GWPs!$B$3:$C$6,2,FALSE)</f>
        <v>0</v>
      </c>
      <c r="I1520">
        <v>0</v>
      </c>
      <c r="J1520" s="413">
        <f>I1520*VLOOKUP(E1520,GWPs!$B$3:$C$6,2,FALSE)</f>
        <v>0</v>
      </c>
      <c r="K1520">
        <v>0</v>
      </c>
      <c r="L1520" s="413">
        <f>K1520*VLOOKUP(E1520,GWPs!$B$3:$C$6,2,FALSE)</f>
        <v>0</v>
      </c>
      <c r="N1520">
        <v>4</v>
      </c>
      <c r="O1520">
        <v>2</v>
      </c>
      <c r="P1520">
        <v>1</v>
      </c>
      <c r="Q1520">
        <v>3</v>
      </c>
      <c r="R1520">
        <v>1</v>
      </c>
    </row>
    <row r="1521" spans="1:18">
      <c r="A1521" t="str">
        <f>_xlfn.IFNA(IF(VLOOKUP(C1521,'2016_Detail_Commodity_v1.0'!C:C,1,FALSE)=C1521,"No change"),"Name changed")</f>
        <v>No change</v>
      </c>
      <c r="B1521" t="s">
        <v>1060</v>
      </c>
      <c r="C1521" t="s">
        <v>1061</v>
      </c>
      <c r="E1521" t="s">
        <v>15</v>
      </c>
      <c r="F1521" t="s">
        <v>16</v>
      </c>
      <c r="G1521">
        <v>5.0000000000000001E-3</v>
      </c>
      <c r="H1521" s="413">
        <f>G1521*VLOOKUP(E1521,GWPs!$B$3:$C$6,2,FALSE)</f>
        <v>5.0000000000000001E-3</v>
      </c>
      <c r="I1521">
        <v>0</v>
      </c>
      <c r="J1521" s="413">
        <f>I1521*VLOOKUP(E1521,GWPs!$B$3:$C$6,2,FALSE)</f>
        <v>0</v>
      </c>
      <c r="K1521">
        <v>5.0000000000000001E-3</v>
      </c>
      <c r="L1521" s="413">
        <f>K1521*VLOOKUP(E1521,GWPs!$B$3:$C$6,2,FALSE)</f>
        <v>5.0000000000000001E-3</v>
      </c>
      <c r="N1521">
        <v>4</v>
      </c>
      <c r="O1521">
        <v>2</v>
      </c>
      <c r="P1521">
        <v>1</v>
      </c>
      <c r="Q1521">
        <v>4</v>
      </c>
      <c r="R1521">
        <v>1</v>
      </c>
    </row>
    <row r="1522" spans="1:18">
      <c r="A1522" t="str">
        <f>_xlfn.IFNA(IF(VLOOKUP(C1522,'2016_Detail_Commodity_v1.0'!C:C,1,FALSE)=C1522,"No change"),"Name changed")</f>
        <v>No change</v>
      </c>
      <c r="B1522" t="s">
        <v>1062</v>
      </c>
      <c r="C1522" t="s">
        <v>1063</v>
      </c>
      <c r="E1522" t="s">
        <v>3653</v>
      </c>
      <c r="F1522" t="s">
        <v>12</v>
      </c>
      <c r="G1522">
        <v>0.28000000000000003</v>
      </c>
      <c r="H1522" s="413">
        <f>G1522*VLOOKUP(E1522,GWPs!$B$3:$C$6,2,FALSE)</f>
        <v>0.28000000000000003</v>
      </c>
      <c r="I1522">
        <v>0</v>
      </c>
      <c r="J1522" s="413">
        <f>I1522*VLOOKUP(E1522,GWPs!$B$3:$C$6,2,FALSE)</f>
        <v>0</v>
      </c>
      <c r="K1522">
        <v>0.28000000000000003</v>
      </c>
      <c r="L1522" s="413">
        <f>K1522*VLOOKUP(E1522,GWPs!$B$3:$C$6,2,FALSE)</f>
        <v>0.28000000000000003</v>
      </c>
      <c r="N1522">
        <v>3</v>
      </c>
      <c r="O1522">
        <v>2</v>
      </c>
      <c r="P1522">
        <v>1</v>
      </c>
      <c r="Q1522">
        <v>3</v>
      </c>
      <c r="R1522">
        <v>1</v>
      </c>
    </row>
    <row r="1523" spans="1:18">
      <c r="A1523" t="str">
        <f>_xlfn.IFNA(IF(VLOOKUP(C1523,'2016_Detail_Commodity_v1.0'!C:C,1,FALSE)=C1523,"No change"),"Name changed")</f>
        <v>No change</v>
      </c>
      <c r="B1523" t="s">
        <v>1062</v>
      </c>
      <c r="C1523" t="s">
        <v>1063</v>
      </c>
      <c r="E1523" t="s">
        <v>3654</v>
      </c>
      <c r="F1523" t="s">
        <v>12</v>
      </c>
      <c r="G1523">
        <v>2E-3</v>
      </c>
      <c r="H1523" s="413">
        <f>G1523*VLOOKUP(E1523,GWPs!$B$3:$C$6,2,FALSE)</f>
        <v>5.6000000000000001E-2</v>
      </c>
      <c r="I1523">
        <v>0</v>
      </c>
      <c r="J1523" s="413">
        <f>I1523*VLOOKUP(E1523,GWPs!$B$3:$C$6,2,FALSE)</f>
        <v>0</v>
      </c>
      <c r="K1523">
        <v>2E-3</v>
      </c>
      <c r="L1523" s="413">
        <f>K1523*VLOOKUP(E1523,GWPs!$B$3:$C$6,2,FALSE)</f>
        <v>5.6000000000000001E-2</v>
      </c>
      <c r="N1523">
        <v>3</v>
      </c>
      <c r="O1523">
        <v>2</v>
      </c>
      <c r="P1523">
        <v>1</v>
      </c>
      <c r="Q1523">
        <v>1</v>
      </c>
      <c r="R1523">
        <v>1</v>
      </c>
    </row>
    <row r="1524" spans="1:18">
      <c r="A1524" t="str">
        <f>_xlfn.IFNA(IF(VLOOKUP(C1524,'2016_Detail_Commodity_v1.0'!C:C,1,FALSE)=C1524,"No change"),"Name changed")</f>
        <v>No change</v>
      </c>
      <c r="B1524" t="s">
        <v>1062</v>
      </c>
      <c r="C1524" t="s">
        <v>1063</v>
      </c>
      <c r="E1524" t="s">
        <v>3655</v>
      </c>
      <c r="F1524" t="s">
        <v>12</v>
      </c>
      <c r="G1524">
        <v>0</v>
      </c>
      <c r="H1524" s="413">
        <f>G1524*VLOOKUP(E1524,GWPs!$B$3:$C$6,2,FALSE)</f>
        <v>0</v>
      </c>
      <c r="I1524">
        <v>0</v>
      </c>
      <c r="J1524" s="413">
        <f>I1524*VLOOKUP(E1524,GWPs!$B$3:$C$6,2,FALSE)</f>
        <v>0</v>
      </c>
      <c r="K1524">
        <v>0</v>
      </c>
      <c r="L1524" s="413">
        <f>K1524*VLOOKUP(E1524,GWPs!$B$3:$C$6,2,FALSE)</f>
        <v>0</v>
      </c>
      <c r="N1524">
        <v>4</v>
      </c>
      <c r="O1524">
        <v>2</v>
      </c>
      <c r="P1524">
        <v>1</v>
      </c>
      <c r="Q1524">
        <v>3</v>
      </c>
      <c r="R1524">
        <v>1</v>
      </c>
    </row>
    <row r="1525" spans="1:18">
      <c r="A1525" t="str">
        <f>_xlfn.IFNA(IF(VLOOKUP(C1525,'2016_Detail_Commodity_v1.0'!C:C,1,FALSE)=C1525,"No change"),"Name changed")</f>
        <v>No change</v>
      </c>
      <c r="B1525" t="s">
        <v>1062</v>
      </c>
      <c r="C1525" t="s">
        <v>1063</v>
      </c>
      <c r="E1525" t="s">
        <v>15</v>
      </c>
      <c r="F1525" t="s">
        <v>16</v>
      </c>
      <c r="G1525">
        <v>0.01</v>
      </c>
      <c r="H1525" s="413">
        <f>G1525*VLOOKUP(E1525,GWPs!$B$3:$C$6,2,FALSE)</f>
        <v>0.01</v>
      </c>
      <c r="I1525">
        <v>0</v>
      </c>
      <c r="J1525" s="413">
        <f>I1525*VLOOKUP(E1525,GWPs!$B$3:$C$6,2,FALSE)</f>
        <v>0</v>
      </c>
      <c r="K1525">
        <v>0.01</v>
      </c>
      <c r="L1525" s="413">
        <f>K1525*VLOOKUP(E1525,GWPs!$B$3:$C$6,2,FALSE)</f>
        <v>0.01</v>
      </c>
      <c r="N1525">
        <v>4</v>
      </c>
      <c r="O1525">
        <v>2</v>
      </c>
      <c r="P1525">
        <v>1</v>
      </c>
      <c r="Q1525">
        <v>5</v>
      </c>
      <c r="R1525">
        <v>1</v>
      </c>
    </row>
    <row r="1526" spans="1:18">
      <c r="A1526" t="str">
        <f>_xlfn.IFNA(IF(VLOOKUP(C1526,'2016_Detail_Commodity_v1.0'!C:C,1,FALSE)=C1526,"No change"),"Name changed")</f>
        <v>No change</v>
      </c>
      <c r="B1526" t="s">
        <v>1064</v>
      </c>
      <c r="C1526" t="s">
        <v>1065</v>
      </c>
      <c r="E1526" t="s">
        <v>3653</v>
      </c>
      <c r="F1526" t="s">
        <v>12</v>
      </c>
      <c r="G1526">
        <v>0.14299999999999999</v>
      </c>
      <c r="H1526" s="413">
        <f>G1526*VLOOKUP(E1526,GWPs!$B$3:$C$6,2,FALSE)</f>
        <v>0.14299999999999999</v>
      </c>
      <c r="I1526">
        <v>0</v>
      </c>
      <c r="J1526" s="413">
        <f>I1526*VLOOKUP(E1526,GWPs!$B$3:$C$6,2,FALSE)</f>
        <v>0</v>
      </c>
      <c r="K1526">
        <v>0.14299999999999999</v>
      </c>
      <c r="L1526" s="413">
        <f>K1526*VLOOKUP(E1526,GWPs!$B$3:$C$6,2,FALSE)</f>
        <v>0.14299999999999999</v>
      </c>
      <c r="N1526">
        <v>3</v>
      </c>
      <c r="O1526">
        <v>2</v>
      </c>
      <c r="P1526">
        <v>1</v>
      </c>
      <c r="Q1526">
        <v>3</v>
      </c>
      <c r="R1526">
        <v>1</v>
      </c>
    </row>
    <row r="1527" spans="1:18">
      <c r="A1527" t="str">
        <f>_xlfn.IFNA(IF(VLOOKUP(C1527,'2016_Detail_Commodity_v1.0'!C:C,1,FALSE)=C1527,"No change"),"Name changed")</f>
        <v>No change</v>
      </c>
      <c r="B1527" t="s">
        <v>1064</v>
      </c>
      <c r="C1527" t="s">
        <v>1065</v>
      </c>
      <c r="E1527" t="s">
        <v>3654</v>
      </c>
      <c r="F1527" t="s">
        <v>12</v>
      </c>
      <c r="G1527">
        <v>1E-3</v>
      </c>
      <c r="H1527" s="413">
        <f>G1527*VLOOKUP(E1527,GWPs!$B$3:$C$6,2,FALSE)</f>
        <v>2.8000000000000001E-2</v>
      </c>
      <c r="I1527">
        <v>0</v>
      </c>
      <c r="J1527" s="413">
        <f>I1527*VLOOKUP(E1527,GWPs!$B$3:$C$6,2,FALSE)</f>
        <v>0</v>
      </c>
      <c r="K1527">
        <v>1E-3</v>
      </c>
      <c r="L1527" s="413">
        <f>K1527*VLOOKUP(E1527,GWPs!$B$3:$C$6,2,FALSE)</f>
        <v>2.8000000000000001E-2</v>
      </c>
      <c r="N1527">
        <v>3</v>
      </c>
      <c r="O1527">
        <v>2</v>
      </c>
      <c r="P1527">
        <v>1</v>
      </c>
      <c r="Q1527">
        <v>1</v>
      </c>
      <c r="R1527">
        <v>1</v>
      </c>
    </row>
    <row r="1528" spans="1:18">
      <c r="A1528" t="str">
        <f>_xlfn.IFNA(IF(VLOOKUP(C1528,'2016_Detail_Commodity_v1.0'!C:C,1,FALSE)=C1528,"No change"),"Name changed")</f>
        <v>No change</v>
      </c>
      <c r="B1528" t="s">
        <v>1064</v>
      </c>
      <c r="C1528" t="s">
        <v>1065</v>
      </c>
      <c r="E1528" t="s">
        <v>3655</v>
      </c>
      <c r="F1528" t="s">
        <v>12</v>
      </c>
      <c r="G1528">
        <v>0</v>
      </c>
      <c r="H1528" s="413">
        <f>G1528*VLOOKUP(E1528,GWPs!$B$3:$C$6,2,FALSE)</f>
        <v>0</v>
      </c>
      <c r="I1528">
        <v>0</v>
      </c>
      <c r="J1528" s="413">
        <f>I1528*VLOOKUP(E1528,GWPs!$B$3:$C$6,2,FALSE)</f>
        <v>0</v>
      </c>
      <c r="K1528">
        <v>0</v>
      </c>
      <c r="L1528" s="413">
        <f>K1528*VLOOKUP(E1528,GWPs!$B$3:$C$6,2,FALSE)</f>
        <v>0</v>
      </c>
      <c r="N1528">
        <v>4</v>
      </c>
      <c r="O1528">
        <v>2</v>
      </c>
      <c r="P1528">
        <v>1</v>
      </c>
      <c r="Q1528">
        <v>3</v>
      </c>
      <c r="R1528">
        <v>1</v>
      </c>
    </row>
    <row r="1529" spans="1:18">
      <c r="A1529" t="str">
        <f>_xlfn.IFNA(IF(VLOOKUP(C1529,'2016_Detail_Commodity_v1.0'!C:C,1,FALSE)=C1529,"No change"),"Name changed")</f>
        <v>No change</v>
      </c>
      <c r="B1529" t="s">
        <v>1064</v>
      </c>
      <c r="C1529" t="s">
        <v>1065</v>
      </c>
      <c r="E1529" t="s">
        <v>15</v>
      </c>
      <c r="F1529" t="s">
        <v>16</v>
      </c>
      <c r="G1529">
        <v>4.0000000000000001E-3</v>
      </c>
      <c r="H1529" s="413">
        <f>G1529*VLOOKUP(E1529,GWPs!$B$3:$C$6,2,FALSE)</f>
        <v>4.0000000000000001E-3</v>
      </c>
      <c r="I1529">
        <v>0</v>
      </c>
      <c r="J1529" s="413">
        <f>I1529*VLOOKUP(E1529,GWPs!$B$3:$C$6,2,FALSE)</f>
        <v>0</v>
      </c>
      <c r="K1529">
        <v>4.0000000000000001E-3</v>
      </c>
      <c r="L1529" s="413">
        <f>K1529*VLOOKUP(E1529,GWPs!$B$3:$C$6,2,FALSE)</f>
        <v>4.0000000000000001E-3</v>
      </c>
      <c r="N1529">
        <v>4</v>
      </c>
      <c r="O1529">
        <v>2</v>
      </c>
      <c r="P1529">
        <v>1</v>
      </c>
      <c r="Q1529">
        <v>5</v>
      </c>
      <c r="R1529">
        <v>1</v>
      </c>
    </row>
    <row r="1530" spans="1:18">
      <c r="A1530" t="str">
        <f>_xlfn.IFNA(IF(VLOOKUP(C1530,'2016_Detail_Commodity_v1.0'!C:C,1,FALSE)=C1530,"No change"),"Name changed")</f>
        <v>No change</v>
      </c>
      <c r="B1530" t="s">
        <v>1066</v>
      </c>
      <c r="C1530" t="s">
        <v>1067</v>
      </c>
      <c r="E1530" t="s">
        <v>3653</v>
      </c>
      <c r="F1530" t="s">
        <v>12</v>
      </c>
      <c r="G1530">
        <v>0.14000000000000001</v>
      </c>
      <c r="H1530" s="413">
        <f>G1530*VLOOKUP(E1530,GWPs!$B$3:$C$6,2,FALSE)</f>
        <v>0.14000000000000001</v>
      </c>
      <c r="I1530">
        <v>0</v>
      </c>
      <c r="J1530" s="413">
        <f>I1530*VLOOKUP(E1530,GWPs!$B$3:$C$6,2,FALSE)</f>
        <v>0</v>
      </c>
      <c r="K1530">
        <v>0.14000000000000001</v>
      </c>
      <c r="L1530" s="413">
        <f>K1530*VLOOKUP(E1530,GWPs!$B$3:$C$6,2,FALSE)</f>
        <v>0.14000000000000001</v>
      </c>
      <c r="N1530">
        <v>3</v>
      </c>
      <c r="O1530">
        <v>2</v>
      </c>
      <c r="P1530">
        <v>1</v>
      </c>
      <c r="Q1530">
        <v>3</v>
      </c>
      <c r="R1530">
        <v>1</v>
      </c>
    </row>
    <row r="1531" spans="1:18">
      <c r="A1531" t="str">
        <f>_xlfn.IFNA(IF(VLOOKUP(C1531,'2016_Detail_Commodity_v1.0'!C:C,1,FALSE)=C1531,"No change"),"Name changed")</f>
        <v>No change</v>
      </c>
      <c r="B1531" t="s">
        <v>1066</v>
      </c>
      <c r="C1531" t="s">
        <v>1067</v>
      </c>
      <c r="E1531" t="s">
        <v>3654</v>
      </c>
      <c r="F1531" t="s">
        <v>12</v>
      </c>
      <c r="G1531">
        <v>1E-3</v>
      </c>
      <c r="H1531" s="413">
        <f>G1531*VLOOKUP(E1531,GWPs!$B$3:$C$6,2,FALSE)</f>
        <v>2.8000000000000001E-2</v>
      </c>
      <c r="I1531">
        <v>0</v>
      </c>
      <c r="J1531" s="413">
        <f>I1531*VLOOKUP(E1531,GWPs!$B$3:$C$6,2,FALSE)</f>
        <v>0</v>
      </c>
      <c r="K1531">
        <v>1E-3</v>
      </c>
      <c r="L1531" s="413">
        <f>K1531*VLOOKUP(E1531,GWPs!$B$3:$C$6,2,FALSE)</f>
        <v>2.8000000000000001E-2</v>
      </c>
      <c r="N1531">
        <v>3</v>
      </c>
      <c r="O1531">
        <v>2</v>
      </c>
      <c r="P1531">
        <v>1</v>
      </c>
      <c r="Q1531">
        <v>1</v>
      </c>
      <c r="R1531">
        <v>1</v>
      </c>
    </row>
    <row r="1532" spans="1:18">
      <c r="A1532" t="str">
        <f>_xlfn.IFNA(IF(VLOOKUP(C1532,'2016_Detail_Commodity_v1.0'!C:C,1,FALSE)=C1532,"No change"),"Name changed")</f>
        <v>No change</v>
      </c>
      <c r="B1532" t="s">
        <v>1066</v>
      </c>
      <c r="C1532" t="s">
        <v>1067</v>
      </c>
      <c r="E1532" t="s">
        <v>3655</v>
      </c>
      <c r="F1532" t="s">
        <v>12</v>
      </c>
      <c r="G1532">
        <v>0</v>
      </c>
      <c r="H1532" s="413">
        <f>G1532*VLOOKUP(E1532,GWPs!$B$3:$C$6,2,FALSE)</f>
        <v>0</v>
      </c>
      <c r="I1532">
        <v>0</v>
      </c>
      <c r="J1532" s="413">
        <f>I1532*VLOOKUP(E1532,GWPs!$B$3:$C$6,2,FALSE)</f>
        <v>0</v>
      </c>
      <c r="K1532">
        <v>0</v>
      </c>
      <c r="L1532" s="413">
        <f>K1532*VLOOKUP(E1532,GWPs!$B$3:$C$6,2,FALSE)</f>
        <v>0</v>
      </c>
      <c r="N1532">
        <v>3</v>
      </c>
      <c r="O1532">
        <v>2</v>
      </c>
      <c r="P1532">
        <v>1</v>
      </c>
      <c r="Q1532">
        <v>3</v>
      </c>
      <c r="R1532">
        <v>1</v>
      </c>
    </row>
    <row r="1533" spans="1:18">
      <c r="A1533" t="str">
        <f>_xlfn.IFNA(IF(VLOOKUP(C1533,'2016_Detail_Commodity_v1.0'!C:C,1,FALSE)=C1533,"No change"),"Name changed")</f>
        <v>No change</v>
      </c>
      <c r="B1533" t="s">
        <v>1066</v>
      </c>
      <c r="C1533" t="s">
        <v>1067</v>
      </c>
      <c r="E1533" t="s">
        <v>15</v>
      </c>
      <c r="F1533" t="s">
        <v>16</v>
      </c>
      <c r="G1533">
        <v>3.0000000000000001E-3</v>
      </c>
      <c r="H1533" s="413">
        <f>G1533*VLOOKUP(E1533,GWPs!$B$3:$C$6,2,FALSE)</f>
        <v>3.0000000000000001E-3</v>
      </c>
      <c r="I1533">
        <v>0</v>
      </c>
      <c r="J1533" s="413">
        <f>I1533*VLOOKUP(E1533,GWPs!$B$3:$C$6,2,FALSE)</f>
        <v>0</v>
      </c>
      <c r="K1533">
        <v>3.0000000000000001E-3</v>
      </c>
      <c r="L1533" s="413">
        <f>K1533*VLOOKUP(E1533,GWPs!$B$3:$C$6,2,FALSE)</f>
        <v>3.0000000000000001E-3</v>
      </c>
      <c r="N1533">
        <v>3</v>
      </c>
      <c r="O1533">
        <v>2</v>
      </c>
      <c r="P1533">
        <v>1</v>
      </c>
      <c r="Q1533">
        <v>3</v>
      </c>
      <c r="R1533">
        <v>1</v>
      </c>
    </row>
    <row r="1534" spans="1:18">
      <c r="A1534" t="str">
        <f>_xlfn.IFNA(IF(VLOOKUP(C1534,'2016_Detail_Commodity_v1.0'!C:C,1,FALSE)=C1534,"No change"),"Name changed")</f>
        <v>No change</v>
      </c>
      <c r="B1534" t="s">
        <v>1068</v>
      </c>
      <c r="C1534" t="s">
        <v>1069</v>
      </c>
      <c r="E1534" t="s">
        <v>3653</v>
      </c>
      <c r="F1534" t="s">
        <v>12</v>
      </c>
      <c r="G1534">
        <v>9.1999999999999998E-2</v>
      </c>
      <c r="H1534" s="413">
        <f>G1534*VLOOKUP(E1534,GWPs!$B$3:$C$6,2,FALSE)</f>
        <v>9.1999999999999998E-2</v>
      </c>
      <c r="I1534">
        <v>0</v>
      </c>
      <c r="J1534" s="413">
        <f>I1534*VLOOKUP(E1534,GWPs!$B$3:$C$6,2,FALSE)</f>
        <v>0</v>
      </c>
      <c r="K1534">
        <v>9.1999999999999998E-2</v>
      </c>
      <c r="L1534" s="413">
        <f>K1534*VLOOKUP(E1534,GWPs!$B$3:$C$6,2,FALSE)</f>
        <v>9.1999999999999998E-2</v>
      </c>
      <c r="N1534">
        <v>3</v>
      </c>
      <c r="O1534">
        <v>2</v>
      </c>
      <c r="P1534">
        <v>1</v>
      </c>
      <c r="Q1534">
        <v>3</v>
      </c>
      <c r="R1534">
        <v>1</v>
      </c>
    </row>
    <row r="1535" spans="1:18">
      <c r="A1535" t="str">
        <f>_xlfn.IFNA(IF(VLOOKUP(C1535,'2016_Detail_Commodity_v1.0'!C:C,1,FALSE)=C1535,"No change"),"Name changed")</f>
        <v>No change</v>
      </c>
      <c r="B1535" t="s">
        <v>1068</v>
      </c>
      <c r="C1535" t="s">
        <v>1069</v>
      </c>
      <c r="E1535" t="s">
        <v>3654</v>
      </c>
      <c r="F1535" t="s">
        <v>12</v>
      </c>
      <c r="G1535">
        <v>0</v>
      </c>
      <c r="H1535" s="413">
        <f>G1535*VLOOKUP(E1535,GWPs!$B$3:$C$6,2,FALSE)</f>
        <v>0</v>
      </c>
      <c r="I1535">
        <v>0</v>
      </c>
      <c r="J1535" s="413">
        <f>I1535*VLOOKUP(E1535,GWPs!$B$3:$C$6,2,FALSE)</f>
        <v>0</v>
      </c>
      <c r="K1535">
        <v>0</v>
      </c>
      <c r="L1535" s="413">
        <f>K1535*VLOOKUP(E1535,GWPs!$B$3:$C$6,2,FALSE)</f>
        <v>0</v>
      </c>
      <c r="N1535">
        <v>3</v>
      </c>
      <c r="O1535">
        <v>2</v>
      </c>
      <c r="P1535">
        <v>1</v>
      </c>
      <c r="Q1535">
        <v>1</v>
      </c>
      <c r="R1535">
        <v>1</v>
      </c>
    </row>
    <row r="1536" spans="1:18">
      <c r="A1536" t="str">
        <f>_xlfn.IFNA(IF(VLOOKUP(C1536,'2016_Detail_Commodity_v1.0'!C:C,1,FALSE)=C1536,"No change"),"Name changed")</f>
        <v>No change</v>
      </c>
      <c r="B1536" t="s">
        <v>1068</v>
      </c>
      <c r="C1536" t="s">
        <v>1069</v>
      </c>
      <c r="E1536" t="s">
        <v>3655</v>
      </c>
      <c r="F1536" t="s">
        <v>12</v>
      </c>
      <c r="G1536">
        <v>0</v>
      </c>
      <c r="H1536" s="413">
        <f>G1536*VLOOKUP(E1536,GWPs!$B$3:$C$6,2,FALSE)</f>
        <v>0</v>
      </c>
      <c r="I1536">
        <v>0</v>
      </c>
      <c r="J1536" s="413">
        <f>I1536*VLOOKUP(E1536,GWPs!$B$3:$C$6,2,FALSE)</f>
        <v>0</v>
      </c>
      <c r="K1536">
        <v>0</v>
      </c>
      <c r="L1536" s="413">
        <f>K1536*VLOOKUP(E1536,GWPs!$B$3:$C$6,2,FALSE)</f>
        <v>0</v>
      </c>
      <c r="N1536">
        <v>3</v>
      </c>
      <c r="O1536">
        <v>2</v>
      </c>
      <c r="P1536">
        <v>1</v>
      </c>
      <c r="Q1536">
        <v>3</v>
      </c>
      <c r="R1536">
        <v>1</v>
      </c>
    </row>
    <row r="1537" spans="1:18">
      <c r="A1537" t="str">
        <f>_xlfn.IFNA(IF(VLOOKUP(C1537,'2016_Detail_Commodity_v1.0'!C:C,1,FALSE)=C1537,"No change"),"Name changed")</f>
        <v>No change</v>
      </c>
      <c r="B1537" t="s">
        <v>1068</v>
      </c>
      <c r="C1537" t="s">
        <v>1069</v>
      </c>
      <c r="E1537" t="s">
        <v>15</v>
      </c>
      <c r="F1537" t="s">
        <v>16</v>
      </c>
      <c r="G1537">
        <v>5.0000000000000001E-3</v>
      </c>
      <c r="H1537" s="413">
        <f>G1537*VLOOKUP(E1537,GWPs!$B$3:$C$6,2,FALSE)</f>
        <v>5.0000000000000001E-3</v>
      </c>
      <c r="I1537">
        <v>0</v>
      </c>
      <c r="J1537" s="413">
        <f>I1537*VLOOKUP(E1537,GWPs!$B$3:$C$6,2,FALSE)</f>
        <v>0</v>
      </c>
      <c r="K1537">
        <v>5.0000000000000001E-3</v>
      </c>
      <c r="L1537" s="413">
        <f>K1537*VLOOKUP(E1537,GWPs!$B$3:$C$6,2,FALSE)</f>
        <v>5.0000000000000001E-3</v>
      </c>
      <c r="N1537">
        <v>3</v>
      </c>
      <c r="O1537">
        <v>2</v>
      </c>
      <c r="P1537">
        <v>1</v>
      </c>
      <c r="Q1537">
        <v>2</v>
      </c>
      <c r="R1537">
        <v>1</v>
      </c>
    </row>
    <row r="1538" spans="1:18">
      <c r="A1538" t="str">
        <f>_xlfn.IFNA(IF(VLOOKUP(C1538,'2016_Detail_Commodity_v1.0'!C:C,1,FALSE)=C1538,"No change"),"Name changed")</f>
        <v>No change</v>
      </c>
      <c r="B1538" t="s">
        <v>1070</v>
      </c>
      <c r="C1538" t="s">
        <v>1071</v>
      </c>
      <c r="E1538" t="s">
        <v>3653</v>
      </c>
      <c r="F1538" t="s">
        <v>12</v>
      </c>
      <c r="G1538">
        <v>0.11700000000000001</v>
      </c>
      <c r="H1538" s="413">
        <f>G1538*VLOOKUP(E1538,GWPs!$B$3:$C$6,2,FALSE)</f>
        <v>0.11700000000000001</v>
      </c>
      <c r="I1538">
        <v>0</v>
      </c>
      <c r="J1538" s="413">
        <f>I1538*VLOOKUP(E1538,GWPs!$B$3:$C$6,2,FALSE)</f>
        <v>0</v>
      </c>
      <c r="K1538">
        <v>0.11700000000000001</v>
      </c>
      <c r="L1538" s="413">
        <f>K1538*VLOOKUP(E1538,GWPs!$B$3:$C$6,2,FALSE)</f>
        <v>0.11700000000000001</v>
      </c>
      <c r="N1538">
        <v>3</v>
      </c>
      <c r="O1538">
        <v>2</v>
      </c>
      <c r="P1538">
        <v>1</v>
      </c>
      <c r="Q1538">
        <v>3</v>
      </c>
      <c r="R1538">
        <v>1</v>
      </c>
    </row>
    <row r="1539" spans="1:18">
      <c r="A1539" t="str">
        <f>_xlfn.IFNA(IF(VLOOKUP(C1539,'2016_Detail_Commodity_v1.0'!C:C,1,FALSE)=C1539,"No change"),"Name changed")</f>
        <v>No change</v>
      </c>
      <c r="B1539" t="s">
        <v>1070</v>
      </c>
      <c r="C1539" t="s">
        <v>1071</v>
      </c>
      <c r="E1539" t="s">
        <v>3654</v>
      </c>
      <c r="F1539" t="s">
        <v>12</v>
      </c>
      <c r="G1539">
        <v>0</v>
      </c>
      <c r="H1539" s="413">
        <f>G1539*VLOOKUP(E1539,GWPs!$B$3:$C$6,2,FALSE)</f>
        <v>0</v>
      </c>
      <c r="I1539">
        <v>0</v>
      </c>
      <c r="J1539" s="413">
        <f>I1539*VLOOKUP(E1539,GWPs!$B$3:$C$6,2,FALSE)</f>
        <v>0</v>
      </c>
      <c r="K1539">
        <v>0</v>
      </c>
      <c r="L1539" s="413">
        <f>K1539*VLOOKUP(E1539,GWPs!$B$3:$C$6,2,FALSE)</f>
        <v>0</v>
      </c>
      <c r="N1539">
        <v>3</v>
      </c>
      <c r="O1539">
        <v>2</v>
      </c>
      <c r="P1539">
        <v>1</v>
      </c>
      <c r="Q1539">
        <v>1</v>
      </c>
      <c r="R1539">
        <v>1</v>
      </c>
    </row>
    <row r="1540" spans="1:18">
      <c r="A1540" t="str">
        <f>_xlfn.IFNA(IF(VLOOKUP(C1540,'2016_Detail_Commodity_v1.0'!C:C,1,FALSE)=C1540,"No change"),"Name changed")</f>
        <v>No change</v>
      </c>
      <c r="B1540" t="s">
        <v>1070</v>
      </c>
      <c r="C1540" t="s">
        <v>1071</v>
      </c>
      <c r="E1540" t="s">
        <v>3655</v>
      </c>
      <c r="F1540" t="s">
        <v>12</v>
      </c>
      <c r="G1540">
        <v>0</v>
      </c>
      <c r="H1540" s="413">
        <f>G1540*VLOOKUP(E1540,GWPs!$B$3:$C$6,2,FALSE)</f>
        <v>0</v>
      </c>
      <c r="I1540">
        <v>0</v>
      </c>
      <c r="J1540" s="413">
        <f>I1540*VLOOKUP(E1540,GWPs!$B$3:$C$6,2,FALSE)</f>
        <v>0</v>
      </c>
      <c r="K1540">
        <v>0</v>
      </c>
      <c r="L1540" s="413">
        <f>K1540*VLOOKUP(E1540,GWPs!$B$3:$C$6,2,FALSE)</f>
        <v>0</v>
      </c>
      <c r="N1540">
        <v>3</v>
      </c>
      <c r="O1540">
        <v>2</v>
      </c>
      <c r="P1540">
        <v>1</v>
      </c>
      <c r="Q1540">
        <v>3</v>
      </c>
      <c r="R1540">
        <v>1</v>
      </c>
    </row>
    <row r="1541" spans="1:18">
      <c r="A1541" t="str">
        <f>_xlfn.IFNA(IF(VLOOKUP(C1541,'2016_Detail_Commodity_v1.0'!C:C,1,FALSE)=C1541,"No change"),"Name changed")</f>
        <v>No change</v>
      </c>
      <c r="B1541" t="s">
        <v>1070</v>
      </c>
      <c r="C1541" t="s">
        <v>1071</v>
      </c>
      <c r="E1541" t="s">
        <v>15</v>
      </c>
      <c r="F1541" t="s">
        <v>16</v>
      </c>
      <c r="G1541">
        <v>2.1999999999999999E-2</v>
      </c>
      <c r="H1541" s="413">
        <f>G1541*VLOOKUP(E1541,GWPs!$B$3:$C$6,2,FALSE)</f>
        <v>2.1999999999999999E-2</v>
      </c>
      <c r="I1541">
        <v>0</v>
      </c>
      <c r="J1541" s="413">
        <f>I1541*VLOOKUP(E1541,GWPs!$B$3:$C$6,2,FALSE)</f>
        <v>0</v>
      </c>
      <c r="K1541">
        <v>2.1999999999999999E-2</v>
      </c>
      <c r="L1541" s="413">
        <f>K1541*VLOOKUP(E1541,GWPs!$B$3:$C$6,2,FALSE)</f>
        <v>2.1999999999999999E-2</v>
      </c>
      <c r="N1541">
        <v>4</v>
      </c>
      <c r="O1541">
        <v>2</v>
      </c>
      <c r="P1541">
        <v>1</v>
      </c>
      <c r="Q1541">
        <v>5</v>
      </c>
      <c r="R1541">
        <v>1</v>
      </c>
    </row>
    <row r="1542" spans="1:18">
      <c r="A1542" t="str">
        <f>_xlfn.IFNA(IF(VLOOKUP(C1542,'2016_Detail_Commodity_v1.0'!C:C,1,FALSE)=C1542,"No change"),"Name changed")</f>
        <v>No change</v>
      </c>
      <c r="B1542" t="s">
        <v>1072</v>
      </c>
      <c r="C1542" t="s">
        <v>1073</v>
      </c>
      <c r="E1542" t="s">
        <v>3653</v>
      </c>
      <c r="F1542" t="s">
        <v>12</v>
      </c>
      <c r="G1542">
        <v>9.0999999999999998E-2</v>
      </c>
      <c r="H1542" s="413">
        <f>G1542*VLOOKUP(E1542,GWPs!$B$3:$C$6,2,FALSE)</f>
        <v>9.0999999999999998E-2</v>
      </c>
      <c r="I1542">
        <v>0</v>
      </c>
      <c r="J1542" s="413">
        <f>I1542*VLOOKUP(E1542,GWPs!$B$3:$C$6,2,FALSE)</f>
        <v>0</v>
      </c>
      <c r="K1542">
        <v>9.0999999999999998E-2</v>
      </c>
      <c r="L1542" s="413">
        <f>K1542*VLOOKUP(E1542,GWPs!$B$3:$C$6,2,FALSE)</f>
        <v>9.0999999999999998E-2</v>
      </c>
      <c r="N1542">
        <v>3</v>
      </c>
      <c r="O1542">
        <v>2</v>
      </c>
      <c r="P1542">
        <v>1</v>
      </c>
      <c r="Q1542">
        <v>3</v>
      </c>
      <c r="R1542">
        <v>1</v>
      </c>
    </row>
    <row r="1543" spans="1:18">
      <c r="A1543" t="str">
        <f>_xlfn.IFNA(IF(VLOOKUP(C1543,'2016_Detail_Commodity_v1.0'!C:C,1,FALSE)=C1543,"No change"),"Name changed")</f>
        <v>No change</v>
      </c>
      <c r="B1543" t="s">
        <v>1072</v>
      </c>
      <c r="C1543" t="s">
        <v>1073</v>
      </c>
      <c r="E1543" t="s">
        <v>3654</v>
      </c>
      <c r="F1543" t="s">
        <v>12</v>
      </c>
      <c r="G1543">
        <v>0</v>
      </c>
      <c r="H1543" s="413">
        <f>G1543*VLOOKUP(E1543,GWPs!$B$3:$C$6,2,FALSE)</f>
        <v>0</v>
      </c>
      <c r="I1543">
        <v>0</v>
      </c>
      <c r="J1543" s="413">
        <f>I1543*VLOOKUP(E1543,GWPs!$B$3:$C$6,2,FALSE)</f>
        <v>0</v>
      </c>
      <c r="K1543">
        <v>0</v>
      </c>
      <c r="L1543" s="413">
        <f>K1543*VLOOKUP(E1543,GWPs!$B$3:$C$6,2,FALSE)</f>
        <v>0</v>
      </c>
      <c r="N1543">
        <v>3</v>
      </c>
      <c r="O1543">
        <v>2</v>
      </c>
      <c r="P1543">
        <v>1</v>
      </c>
      <c r="Q1543">
        <v>1</v>
      </c>
      <c r="R1543">
        <v>1</v>
      </c>
    </row>
    <row r="1544" spans="1:18">
      <c r="A1544" t="str">
        <f>_xlfn.IFNA(IF(VLOOKUP(C1544,'2016_Detail_Commodity_v1.0'!C:C,1,FALSE)=C1544,"No change"),"Name changed")</f>
        <v>No change</v>
      </c>
      <c r="B1544" t="s">
        <v>1072</v>
      </c>
      <c r="C1544" t="s">
        <v>1073</v>
      </c>
      <c r="E1544" t="s">
        <v>3655</v>
      </c>
      <c r="F1544" t="s">
        <v>12</v>
      </c>
      <c r="G1544">
        <v>0</v>
      </c>
      <c r="H1544" s="413">
        <f>G1544*VLOOKUP(E1544,GWPs!$B$3:$C$6,2,FALSE)</f>
        <v>0</v>
      </c>
      <c r="I1544">
        <v>0</v>
      </c>
      <c r="J1544" s="413">
        <f>I1544*VLOOKUP(E1544,GWPs!$B$3:$C$6,2,FALSE)</f>
        <v>0</v>
      </c>
      <c r="K1544">
        <v>0</v>
      </c>
      <c r="L1544" s="413">
        <f>K1544*VLOOKUP(E1544,GWPs!$B$3:$C$6,2,FALSE)</f>
        <v>0</v>
      </c>
      <c r="N1544">
        <v>3</v>
      </c>
      <c r="O1544">
        <v>2</v>
      </c>
      <c r="P1544">
        <v>1</v>
      </c>
      <c r="Q1544">
        <v>3</v>
      </c>
      <c r="R1544">
        <v>1</v>
      </c>
    </row>
    <row r="1545" spans="1:18">
      <c r="A1545" t="str">
        <f>_xlfn.IFNA(IF(VLOOKUP(C1545,'2016_Detail_Commodity_v1.0'!C:C,1,FALSE)=C1545,"No change"),"Name changed")</f>
        <v>No change</v>
      </c>
      <c r="B1545" t="s">
        <v>1072</v>
      </c>
      <c r="C1545" t="s">
        <v>1073</v>
      </c>
      <c r="E1545" t="s">
        <v>15</v>
      </c>
      <c r="F1545" t="s">
        <v>16</v>
      </c>
      <c r="G1545">
        <v>3.0000000000000001E-3</v>
      </c>
      <c r="H1545" s="413">
        <f>G1545*VLOOKUP(E1545,GWPs!$B$3:$C$6,2,FALSE)</f>
        <v>3.0000000000000001E-3</v>
      </c>
      <c r="I1545">
        <v>0</v>
      </c>
      <c r="J1545" s="413">
        <f>I1545*VLOOKUP(E1545,GWPs!$B$3:$C$6,2,FALSE)</f>
        <v>0</v>
      </c>
      <c r="K1545">
        <v>3.0000000000000001E-3</v>
      </c>
      <c r="L1545" s="413">
        <f>K1545*VLOOKUP(E1545,GWPs!$B$3:$C$6,2,FALSE)</f>
        <v>3.0000000000000001E-3</v>
      </c>
      <c r="N1545">
        <v>4</v>
      </c>
      <c r="O1545">
        <v>2</v>
      </c>
      <c r="P1545">
        <v>1</v>
      </c>
      <c r="Q1545">
        <v>4</v>
      </c>
      <c r="R1545">
        <v>1</v>
      </c>
    </row>
    <row r="1546" spans="1:18">
      <c r="A1546" t="str">
        <f>_xlfn.IFNA(IF(VLOOKUP(C1546,'2016_Detail_Commodity_v1.0'!C:C,1,FALSE)=C1546,"No change"),"Name changed")</f>
        <v>No change</v>
      </c>
      <c r="B1546" t="s">
        <v>1074</v>
      </c>
      <c r="C1546" t="s">
        <v>1075</v>
      </c>
      <c r="E1546" t="s">
        <v>3653</v>
      </c>
      <c r="F1546" t="s">
        <v>12</v>
      </c>
      <c r="G1546">
        <v>0.12</v>
      </c>
      <c r="H1546" s="413">
        <f>G1546*VLOOKUP(E1546,GWPs!$B$3:$C$6,2,FALSE)</f>
        <v>0.12</v>
      </c>
      <c r="I1546">
        <v>0</v>
      </c>
      <c r="J1546" s="413">
        <f>I1546*VLOOKUP(E1546,GWPs!$B$3:$C$6,2,FALSE)</f>
        <v>0</v>
      </c>
      <c r="K1546">
        <v>0.12</v>
      </c>
      <c r="L1546" s="413">
        <f>K1546*VLOOKUP(E1546,GWPs!$B$3:$C$6,2,FALSE)</f>
        <v>0.12</v>
      </c>
      <c r="N1546">
        <v>3</v>
      </c>
      <c r="O1546">
        <v>2</v>
      </c>
      <c r="P1546">
        <v>1</v>
      </c>
      <c r="Q1546">
        <v>3</v>
      </c>
      <c r="R1546">
        <v>1</v>
      </c>
    </row>
    <row r="1547" spans="1:18">
      <c r="A1547" t="str">
        <f>_xlfn.IFNA(IF(VLOOKUP(C1547,'2016_Detail_Commodity_v1.0'!C:C,1,FALSE)=C1547,"No change"),"Name changed")</f>
        <v>No change</v>
      </c>
      <c r="B1547" t="s">
        <v>1074</v>
      </c>
      <c r="C1547" t="s">
        <v>1075</v>
      </c>
      <c r="E1547" t="s">
        <v>3654</v>
      </c>
      <c r="F1547" t="s">
        <v>12</v>
      </c>
      <c r="G1547">
        <v>0</v>
      </c>
      <c r="H1547" s="413">
        <f>G1547*VLOOKUP(E1547,GWPs!$B$3:$C$6,2,FALSE)</f>
        <v>0</v>
      </c>
      <c r="I1547">
        <v>0</v>
      </c>
      <c r="J1547" s="413">
        <f>I1547*VLOOKUP(E1547,GWPs!$B$3:$C$6,2,FALSE)</f>
        <v>0</v>
      </c>
      <c r="K1547">
        <v>0</v>
      </c>
      <c r="L1547" s="413">
        <f>K1547*VLOOKUP(E1547,GWPs!$B$3:$C$6,2,FALSE)</f>
        <v>0</v>
      </c>
      <c r="N1547">
        <v>3</v>
      </c>
      <c r="O1547">
        <v>2</v>
      </c>
      <c r="P1547">
        <v>1</v>
      </c>
      <c r="Q1547">
        <v>1</v>
      </c>
      <c r="R1547">
        <v>1</v>
      </c>
    </row>
    <row r="1548" spans="1:18">
      <c r="A1548" t="str">
        <f>_xlfn.IFNA(IF(VLOOKUP(C1548,'2016_Detail_Commodity_v1.0'!C:C,1,FALSE)=C1548,"No change"),"Name changed")</f>
        <v>No change</v>
      </c>
      <c r="B1548" t="s">
        <v>1074</v>
      </c>
      <c r="C1548" t="s">
        <v>1075</v>
      </c>
      <c r="E1548" t="s">
        <v>3655</v>
      </c>
      <c r="F1548" t="s">
        <v>12</v>
      </c>
      <c r="G1548">
        <v>0</v>
      </c>
      <c r="H1548" s="413">
        <f>G1548*VLOOKUP(E1548,GWPs!$B$3:$C$6,2,FALSE)</f>
        <v>0</v>
      </c>
      <c r="I1548">
        <v>0</v>
      </c>
      <c r="J1548" s="413">
        <f>I1548*VLOOKUP(E1548,GWPs!$B$3:$C$6,2,FALSE)</f>
        <v>0</v>
      </c>
      <c r="K1548">
        <v>0</v>
      </c>
      <c r="L1548" s="413">
        <f>K1548*VLOOKUP(E1548,GWPs!$B$3:$C$6,2,FALSE)</f>
        <v>0</v>
      </c>
      <c r="N1548">
        <v>3</v>
      </c>
      <c r="O1548">
        <v>2</v>
      </c>
      <c r="P1548">
        <v>1</v>
      </c>
      <c r="Q1548">
        <v>3</v>
      </c>
      <c r="R1548">
        <v>1</v>
      </c>
    </row>
    <row r="1549" spans="1:18">
      <c r="A1549" t="str">
        <f>_xlfn.IFNA(IF(VLOOKUP(C1549,'2016_Detail_Commodity_v1.0'!C:C,1,FALSE)=C1549,"No change"),"Name changed")</f>
        <v>No change</v>
      </c>
      <c r="B1549" t="s">
        <v>1074</v>
      </c>
      <c r="C1549" t="s">
        <v>1075</v>
      </c>
      <c r="E1549" t="s">
        <v>15</v>
      </c>
      <c r="F1549" t="s">
        <v>16</v>
      </c>
      <c r="G1549">
        <v>2E-3</v>
      </c>
      <c r="H1549" s="413">
        <f>G1549*VLOOKUP(E1549,GWPs!$B$3:$C$6,2,FALSE)</f>
        <v>2E-3</v>
      </c>
      <c r="I1549">
        <v>0</v>
      </c>
      <c r="J1549" s="413">
        <f>I1549*VLOOKUP(E1549,GWPs!$B$3:$C$6,2,FALSE)</f>
        <v>0</v>
      </c>
      <c r="K1549">
        <v>2E-3</v>
      </c>
      <c r="L1549" s="413">
        <f>K1549*VLOOKUP(E1549,GWPs!$B$3:$C$6,2,FALSE)</f>
        <v>2E-3</v>
      </c>
      <c r="N1549">
        <v>4</v>
      </c>
      <c r="O1549">
        <v>2</v>
      </c>
      <c r="P1549">
        <v>1</v>
      </c>
      <c r="Q1549">
        <v>4</v>
      </c>
      <c r="R1549">
        <v>1</v>
      </c>
    </row>
    <row r="1550" spans="1:18">
      <c r="A1550" t="str">
        <f>_xlfn.IFNA(IF(VLOOKUP(C1550,'2016_Detail_Commodity_v1.0'!C:C,1,FALSE)=C1550,"No change"),"Name changed")</f>
        <v>No change</v>
      </c>
      <c r="B1550" t="s">
        <v>1076</v>
      </c>
      <c r="C1550" t="s">
        <v>1077</v>
      </c>
      <c r="E1550" t="s">
        <v>3653</v>
      </c>
      <c r="F1550" t="s">
        <v>12</v>
      </c>
      <c r="G1550">
        <v>3.4000000000000002E-2</v>
      </c>
      <c r="H1550" s="413">
        <f>G1550*VLOOKUP(E1550,GWPs!$B$3:$C$6,2,FALSE)</f>
        <v>3.4000000000000002E-2</v>
      </c>
      <c r="I1550">
        <v>0</v>
      </c>
      <c r="J1550" s="413">
        <f>I1550*VLOOKUP(E1550,GWPs!$B$3:$C$6,2,FALSE)</f>
        <v>0</v>
      </c>
      <c r="K1550">
        <v>3.4000000000000002E-2</v>
      </c>
      <c r="L1550" s="413">
        <f>K1550*VLOOKUP(E1550,GWPs!$B$3:$C$6,2,FALSE)</f>
        <v>3.4000000000000002E-2</v>
      </c>
      <c r="N1550">
        <v>3</v>
      </c>
      <c r="O1550">
        <v>2</v>
      </c>
      <c r="P1550">
        <v>1</v>
      </c>
      <c r="Q1550">
        <v>3</v>
      </c>
      <c r="R1550">
        <v>1</v>
      </c>
    </row>
    <row r="1551" spans="1:18">
      <c r="A1551" t="str">
        <f>_xlfn.IFNA(IF(VLOOKUP(C1551,'2016_Detail_Commodity_v1.0'!C:C,1,FALSE)=C1551,"No change"),"Name changed")</f>
        <v>No change</v>
      </c>
      <c r="B1551" t="s">
        <v>1076</v>
      </c>
      <c r="C1551" t="s">
        <v>1077</v>
      </c>
      <c r="E1551" t="s">
        <v>3654</v>
      </c>
      <c r="F1551" t="s">
        <v>12</v>
      </c>
      <c r="G1551">
        <v>0</v>
      </c>
      <c r="H1551" s="413">
        <f>G1551*VLOOKUP(E1551,GWPs!$B$3:$C$6,2,FALSE)</f>
        <v>0</v>
      </c>
      <c r="I1551">
        <v>0</v>
      </c>
      <c r="J1551" s="413">
        <f>I1551*VLOOKUP(E1551,GWPs!$B$3:$C$6,2,FALSE)</f>
        <v>0</v>
      </c>
      <c r="K1551">
        <v>0</v>
      </c>
      <c r="L1551" s="413">
        <f>K1551*VLOOKUP(E1551,GWPs!$B$3:$C$6,2,FALSE)</f>
        <v>0</v>
      </c>
      <c r="N1551">
        <v>4</v>
      </c>
      <c r="O1551">
        <v>2</v>
      </c>
      <c r="P1551">
        <v>1</v>
      </c>
      <c r="Q1551">
        <v>1</v>
      </c>
      <c r="R1551">
        <v>1</v>
      </c>
    </row>
    <row r="1552" spans="1:18">
      <c r="A1552" t="str">
        <f>_xlfn.IFNA(IF(VLOOKUP(C1552,'2016_Detail_Commodity_v1.0'!C:C,1,FALSE)=C1552,"No change"),"Name changed")</f>
        <v>No change</v>
      </c>
      <c r="B1552" t="s">
        <v>1076</v>
      </c>
      <c r="C1552" t="s">
        <v>1077</v>
      </c>
      <c r="E1552" t="s">
        <v>3655</v>
      </c>
      <c r="F1552" t="s">
        <v>12</v>
      </c>
      <c r="G1552">
        <v>0</v>
      </c>
      <c r="H1552" s="413">
        <f>G1552*VLOOKUP(E1552,GWPs!$B$3:$C$6,2,FALSE)</f>
        <v>0</v>
      </c>
      <c r="I1552">
        <v>0</v>
      </c>
      <c r="J1552" s="413">
        <f>I1552*VLOOKUP(E1552,GWPs!$B$3:$C$6,2,FALSE)</f>
        <v>0</v>
      </c>
      <c r="K1552">
        <v>0</v>
      </c>
      <c r="L1552" s="413">
        <f>K1552*VLOOKUP(E1552,GWPs!$B$3:$C$6,2,FALSE)</f>
        <v>0</v>
      </c>
      <c r="N1552">
        <v>4</v>
      </c>
      <c r="O1552">
        <v>2</v>
      </c>
      <c r="P1552">
        <v>1</v>
      </c>
      <c r="Q1552">
        <v>3</v>
      </c>
      <c r="R1552">
        <v>1</v>
      </c>
    </row>
    <row r="1553" spans="1:18">
      <c r="A1553" t="str">
        <f>_xlfn.IFNA(IF(VLOOKUP(C1553,'2016_Detail_Commodity_v1.0'!C:C,1,FALSE)=C1553,"No change"),"Name changed")</f>
        <v>No change</v>
      </c>
      <c r="B1553" t="s">
        <v>1076</v>
      </c>
      <c r="C1553" t="s">
        <v>1077</v>
      </c>
      <c r="E1553" t="s">
        <v>15</v>
      </c>
      <c r="F1553" t="s">
        <v>16</v>
      </c>
      <c r="G1553">
        <v>1E-3</v>
      </c>
      <c r="H1553" s="413">
        <f>G1553*VLOOKUP(E1553,GWPs!$B$3:$C$6,2,FALSE)</f>
        <v>1E-3</v>
      </c>
      <c r="I1553">
        <v>0</v>
      </c>
      <c r="J1553" s="413">
        <f>I1553*VLOOKUP(E1553,GWPs!$B$3:$C$6,2,FALSE)</f>
        <v>0</v>
      </c>
      <c r="K1553">
        <v>1E-3</v>
      </c>
      <c r="L1553" s="413">
        <f>K1553*VLOOKUP(E1553,GWPs!$B$3:$C$6,2,FALSE)</f>
        <v>1E-3</v>
      </c>
      <c r="N1553">
        <v>4</v>
      </c>
      <c r="O1553">
        <v>2</v>
      </c>
      <c r="P1553">
        <v>1</v>
      </c>
      <c r="Q1553">
        <v>4</v>
      </c>
      <c r="R1553">
        <v>1</v>
      </c>
    </row>
    <row r="1554" spans="1:18">
      <c r="A1554" t="str">
        <f>_xlfn.IFNA(IF(VLOOKUP(C1554,'2016_Detail_Commodity_v1.0'!C:C,1,FALSE)=C1554,"No change"),"Name changed")</f>
        <v>No change</v>
      </c>
      <c r="B1554" t="s">
        <v>1078</v>
      </c>
      <c r="C1554" t="s">
        <v>1079</v>
      </c>
      <c r="E1554" t="s">
        <v>3653</v>
      </c>
      <c r="F1554" t="s">
        <v>12</v>
      </c>
      <c r="G1554">
        <v>0.16200000000000001</v>
      </c>
      <c r="H1554" s="413">
        <f>G1554*VLOOKUP(E1554,GWPs!$B$3:$C$6,2,FALSE)</f>
        <v>0.16200000000000001</v>
      </c>
      <c r="I1554">
        <v>0</v>
      </c>
      <c r="J1554" s="413">
        <f>I1554*VLOOKUP(E1554,GWPs!$B$3:$C$6,2,FALSE)</f>
        <v>0</v>
      </c>
      <c r="K1554">
        <v>0.16200000000000001</v>
      </c>
      <c r="L1554" s="413">
        <f>K1554*VLOOKUP(E1554,GWPs!$B$3:$C$6,2,FALSE)</f>
        <v>0.16200000000000001</v>
      </c>
      <c r="N1554">
        <v>3</v>
      </c>
      <c r="O1554">
        <v>2</v>
      </c>
      <c r="P1554">
        <v>1</v>
      </c>
      <c r="Q1554">
        <v>3</v>
      </c>
      <c r="R1554">
        <v>1</v>
      </c>
    </row>
    <row r="1555" spans="1:18">
      <c r="A1555" t="str">
        <f>_xlfn.IFNA(IF(VLOOKUP(C1555,'2016_Detail_Commodity_v1.0'!C:C,1,FALSE)=C1555,"No change"),"Name changed")</f>
        <v>No change</v>
      </c>
      <c r="B1555" t="s">
        <v>1078</v>
      </c>
      <c r="C1555" t="s">
        <v>1079</v>
      </c>
      <c r="E1555" t="s">
        <v>3654</v>
      </c>
      <c r="F1555" t="s">
        <v>12</v>
      </c>
      <c r="G1555">
        <v>1E-3</v>
      </c>
      <c r="H1555" s="413">
        <f>G1555*VLOOKUP(E1555,GWPs!$B$3:$C$6,2,FALSE)</f>
        <v>2.8000000000000001E-2</v>
      </c>
      <c r="I1555">
        <v>0</v>
      </c>
      <c r="J1555" s="413">
        <f>I1555*VLOOKUP(E1555,GWPs!$B$3:$C$6,2,FALSE)</f>
        <v>0</v>
      </c>
      <c r="K1555">
        <v>1E-3</v>
      </c>
      <c r="L1555" s="413">
        <f>K1555*VLOOKUP(E1555,GWPs!$B$3:$C$6,2,FALSE)</f>
        <v>2.8000000000000001E-2</v>
      </c>
      <c r="N1555">
        <v>3</v>
      </c>
      <c r="O1555">
        <v>2</v>
      </c>
      <c r="P1555">
        <v>1</v>
      </c>
      <c r="Q1555">
        <v>1</v>
      </c>
      <c r="R1555">
        <v>1</v>
      </c>
    </row>
    <row r="1556" spans="1:18">
      <c r="A1556" t="str">
        <f>_xlfn.IFNA(IF(VLOOKUP(C1556,'2016_Detail_Commodity_v1.0'!C:C,1,FALSE)=C1556,"No change"),"Name changed")</f>
        <v>No change</v>
      </c>
      <c r="B1556" t="s">
        <v>1078</v>
      </c>
      <c r="C1556" t="s">
        <v>1079</v>
      </c>
      <c r="E1556" t="s">
        <v>3655</v>
      </c>
      <c r="F1556" t="s">
        <v>12</v>
      </c>
      <c r="G1556">
        <v>0</v>
      </c>
      <c r="H1556" s="413">
        <f>G1556*VLOOKUP(E1556,GWPs!$B$3:$C$6,2,FALSE)</f>
        <v>0</v>
      </c>
      <c r="I1556">
        <v>0</v>
      </c>
      <c r="J1556" s="413">
        <f>I1556*VLOOKUP(E1556,GWPs!$B$3:$C$6,2,FALSE)</f>
        <v>0</v>
      </c>
      <c r="K1556">
        <v>0</v>
      </c>
      <c r="L1556" s="413">
        <f>K1556*VLOOKUP(E1556,GWPs!$B$3:$C$6,2,FALSE)</f>
        <v>0</v>
      </c>
      <c r="N1556">
        <v>3</v>
      </c>
      <c r="O1556">
        <v>2</v>
      </c>
      <c r="P1556">
        <v>1</v>
      </c>
      <c r="Q1556">
        <v>2</v>
      </c>
      <c r="R1556">
        <v>1</v>
      </c>
    </row>
    <row r="1557" spans="1:18">
      <c r="A1557" t="str">
        <f>_xlfn.IFNA(IF(VLOOKUP(C1557,'2016_Detail_Commodity_v1.0'!C:C,1,FALSE)=C1557,"No change"),"Name changed")</f>
        <v>No change</v>
      </c>
      <c r="B1557" t="s">
        <v>1078</v>
      </c>
      <c r="C1557" t="s">
        <v>1079</v>
      </c>
      <c r="E1557" t="s">
        <v>15</v>
      </c>
      <c r="F1557" t="s">
        <v>16</v>
      </c>
      <c r="G1557">
        <v>3.0000000000000001E-3</v>
      </c>
      <c r="H1557" s="413">
        <f>G1557*VLOOKUP(E1557,GWPs!$B$3:$C$6,2,FALSE)</f>
        <v>3.0000000000000001E-3</v>
      </c>
      <c r="I1557">
        <v>0</v>
      </c>
      <c r="J1557" s="413">
        <f>I1557*VLOOKUP(E1557,GWPs!$B$3:$C$6,2,FALSE)</f>
        <v>0</v>
      </c>
      <c r="K1557">
        <v>3.0000000000000001E-3</v>
      </c>
      <c r="L1557" s="413">
        <f>K1557*VLOOKUP(E1557,GWPs!$B$3:$C$6,2,FALSE)</f>
        <v>3.0000000000000001E-3</v>
      </c>
      <c r="N1557">
        <v>4</v>
      </c>
      <c r="O1557">
        <v>2</v>
      </c>
      <c r="P1557">
        <v>1</v>
      </c>
      <c r="Q1557">
        <v>4</v>
      </c>
      <c r="R1557">
        <v>1</v>
      </c>
    </row>
    <row r="1558" spans="1:18">
      <c r="A1558" t="str">
        <f>_xlfn.IFNA(IF(VLOOKUP(C1558,'2016_Detail_Commodity_v1.0'!C:C,1,FALSE)=C1558,"No change"),"Name changed")</f>
        <v>No change</v>
      </c>
      <c r="B1558" t="s">
        <v>1080</v>
      </c>
      <c r="C1558" t="s">
        <v>1081</v>
      </c>
      <c r="E1558" t="s">
        <v>3653</v>
      </c>
      <c r="F1558" t="s">
        <v>12</v>
      </c>
      <c r="G1558">
        <v>0.108</v>
      </c>
      <c r="H1558" s="413">
        <f>G1558*VLOOKUP(E1558,GWPs!$B$3:$C$6,2,FALSE)</f>
        <v>0.108</v>
      </c>
      <c r="I1558">
        <v>0</v>
      </c>
      <c r="J1558" s="413">
        <f>I1558*VLOOKUP(E1558,GWPs!$B$3:$C$6,2,FALSE)</f>
        <v>0</v>
      </c>
      <c r="K1558">
        <v>0.108</v>
      </c>
      <c r="L1558" s="413">
        <f>K1558*VLOOKUP(E1558,GWPs!$B$3:$C$6,2,FALSE)</f>
        <v>0.108</v>
      </c>
      <c r="N1558">
        <v>3</v>
      </c>
      <c r="O1558">
        <v>2</v>
      </c>
      <c r="P1558">
        <v>1</v>
      </c>
      <c r="Q1558">
        <v>3</v>
      </c>
      <c r="R1558">
        <v>1</v>
      </c>
    </row>
    <row r="1559" spans="1:18">
      <c r="A1559" t="str">
        <f>_xlfn.IFNA(IF(VLOOKUP(C1559,'2016_Detail_Commodity_v1.0'!C:C,1,FALSE)=C1559,"No change"),"Name changed")</f>
        <v>No change</v>
      </c>
      <c r="B1559" t="s">
        <v>1080</v>
      </c>
      <c r="C1559" t="s">
        <v>1081</v>
      </c>
      <c r="E1559" t="s">
        <v>3654</v>
      </c>
      <c r="F1559" t="s">
        <v>12</v>
      </c>
      <c r="G1559">
        <v>1E-3</v>
      </c>
      <c r="H1559" s="413">
        <f>G1559*VLOOKUP(E1559,GWPs!$B$3:$C$6,2,FALSE)</f>
        <v>2.8000000000000001E-2</v>
      </c>
      <c r="I1559">
        <v>0</v>
      </c>
      <c r="J1559" s="413">
        <f>I1559*VLOOKUP(E1559,GWPs!$B$3:$C$6,2,FALSE)</f>
        <v>0</v>
      </c>
      <c r="K1559">
        <v>1E-3</v>
      </c>
      <c r="L1559" s="413">
        <f>K1559*VLOOKUP(E1559,GWPs!$B$3:$C$6,2,FALSE)</f>
        <v>2.8000000000000001E-2</v>
      </c>
      <c r="N1559">
        <v>3</v>
      </c>
      <c r="O1559">
        <v>2</v>
      </c>
      <c r="P1559">
        <v>1</v>
      </c>
      <c r="Q1559">
        <v>1</v>
      </c>
      <c r="R1559">
        <v>1</v>
      </c>
    </row>
    <row r="1560" spans="1:18">
      <c r="A1560" t="str">
        <f>_xlfn.IFNA(IF(VLOOKUP(C1560,'2016_Detail_Commodity_v1.0'!C:C,1,FALSE)=C1560,"No change"),"Name changed")</f>
        <v>No change</v>
      </c>
      <c r="B1560" t="s">
        <v>1080</v>
      </c>
      <c r="C1560" t="s">
        <v>1081</v>
      </c>
      <c r="E1560" t="s">
        <v>3655</v>
      </c>
      <c r="F1560" t="s">
        <v>12</v>
      </c>
      <c r="G1560">
        <v>0</v>
      </c>
      <c r="H1560" s="413">
        <f>G1560*VLOOKUP(E1560,GWPs!$B$3:$C$6,2,FALSE)</f>
        <v>0</v>
      </c>
      <c r="I1560">
        <v>0</v>
      </c>
      <c r="J1560" s="413">
        <f>I1560*VLOOKUP(E1560,GWPs!$B$3:$C$6,2,FALSE)</f>
        <v>0</v>
      </c>
      <c r="K1560">
        <v>0</v>
      </c>
      <c r="L1560" s="413">
        <f>K1560*VLOOKUP(E1560,GWPs!$B$3:$C$6,2,FALSE)</f>
        <v>0</v>
      </c>
      <c r="N1560">
        <v>3</v>
      </c>
      <c r="O1560">
        <v>2</v>
      </c>
      <c r="P1560">
        <v>1</v>
      </c>
      <c r="Q1560">
        <v>3</v>
      </c>
      <c r="R1560">
        <v>1</v>
      </c>
    </row>
    <row r="1561" spans="1:18">
      <c r="A1561" t="str">
        <f>_xlfn.IFNA(IF(VLOOKUP(C1561,'2016_Detail_Commodity_v1.0'!C:C,1,FALSE)=C1561,"No change"),"Name changed")</f>
        <v>No change</v>
      </c>
      <c r="B1561" t="s">
        <v>1080</v>
      </c>
      <c r="C1561" t="s">
        <v>1081</v>
      </c>
      <c r="E1561" t="s">
        <v>15</v>
      </c>
      <c r="F1561" t="s">
        <v>16</v>
      </c>
      <c r="G1561">
        <v>3.0000000000000001E-3</v>
      </c>
      <c r="H1561" s="413">
        <f>G1561*VLOOKUP(E1561,GWPs!$B$3:$C$6,2,FALSE)</f>
        <v>3.0000000000000001E-3</v>
      </c>
      <c r="I1561">
        <v>0</v>
      </c>
      <c r="J1561" s="413">
        <f>I1561*VLOOKUP(E1561,GWPs!$B$3:$C$6,2,FALSE)</f>
        <v>0</v>
      </c>
      <c r="K1561">
        <v>3.0000000000000001E-3</v>
      </c>
      <c r="L1561" s="413">
        <f>K1561*VLOOKUP(E1561,GWPs!$B$3:$C$6,2,FALSE)</f>
        <v>3.0000000000000001E-3</v>
      </c>
      <c r="N1561">
        <v>4</v>
      </c>
      <c r="O1561">
        <v>2</v>
      </c>
      <c r="P1561">
        <v>1</v>
      </c>
      <c r="Q1561">
        <v>4</v>
      </c>
      <c r="R1561">
        <v>1</v>
      </c>
    </row>
    <row r="1562" spans="1:18">
      <c r="A1562" t="str">
        <f>_xlfn.IFNA(IF(VLOOKUP(C1562,'2016_Detail_Commodity_v1.0'!C:C,1,FALSE)=C1562,"No change"),"Name changed")</f>
        <v>No change</v>
      </c>
      <c r="B1562" t="s">
        <v>1082</v>
      </c>
      <c r="C1562" t="s">
        <v>1083</v>
      </c>
      <c r="E1562" t="s">
        <v>3653</v>
      </c>
      <c r="F1562" t="s">
        <v>12</v>
      </c>
      <c r="G1562">
        <v>0.19600000000000001</v>
      </c>
      <c r="H1562" s="413">
        <f>G1562*VLOOKUP(E1562,GWPs!$B$3:$C$6,2,FALSE)</f>
        <v>0.19600000000000001</v>
      </c>
      <c r="I1562">
        <v>0</v>
      </c>
      <c r="J1562" s="413">
        <f>I1562*VLOOKUP(E1562,GWPs!$B$3:$C$6,2,FALSE)</f>
        <v>0</v>
      </c>
      <c r="K1562">
        <v>0.19600000000000001</v>
      </c>
      <c r="L1562" s="413">
        <f>K1562*VLOOKUP(E1562,GWPs!$B$3:$C$6,2,FALSE)</f>
        <v>0.19600000000000001</v>
      </c>
      <c r="N1562">
        <v>3</v>
      </c>
      <c r="O1562">
        <v>2</v>
      </c>
      <c r="P1562">
        <v>1</v>
      </c>
      <c r="Q1562">
        <v>3</v>
      </c>
      <c r="R1562">
        <v>1</v>
      </c>
    </row>
    <row r="1563" spans="1:18">
      <c r="A1563" t="str">
        <f>_xlfn.IFNA(IF(VLOOKUP(C1563,'2016_Detail_Commodity_v1.0'!C:C,1,FALSE)=C1563,"No change"),"Name changed")</f>
        <v>No change</v>
      </c>
      <c r="B1563" t="s">
        <v>1082</v>
      </c>
      <c r="C1563" t="s">
        <v>1083</v>
      </c>
      <c r="E1563" t="s">
        <v>3654</v>
      </c>
      <c r="F1563" t="s">
        <v>12</v>
      </c>
      <c r="G1563">
        <v>1E-3</v>
      </c>
      <c r="H1563" s="413">
        <f>G1563*VLOOKUP(E1563,GWPs!$B$3:$C$6,2,FALSE)</f>
        <v>2.8000000000000001E-2</v>
      </c>
      <c r="I1563">
        <v>0</v>
      </c>
      <c r="J1563" s="413">
        <f>I1563*VLOOKUP(E1563,GWPs!$B$3:$C$6,2,FALSE)</f>
        <v>0</v>
      </c>
      <c r="K1563">
        <v>1E-3</v>
      </c>
      <c r="L1563" s="413">
        <f>K1563*VLOOKUP(E1563,GWPs!$B$3:$C$6,2,FALSE)</f>
        <v>2.8000000000000001E-2</v>
      </c>
      <c r="N1563">
        <v>3</v>
      </c>
      <c r="O1563">
        <v>2</v>
      </c>
      <c r="P1563">
        <v>1</v>
      </c>
      <c r="Q1563">
        <v>1</v>
      </c>
      <c r="R1563">
        <v>1</v>
      </c>
    </row>
    <row r="1564" spans="1:18">
      <c r="A1564" t="str">
        <f>_xlfn.IFNA(IF(VLOOKUP(C1564,'2016_Detail_Commodity_v1.0'!C:C,1,FALSE)=C1564,"No change"),"Name changed")</f>
        <v>No change</v>
      </c>
      <c r="B1564" t="s">
        <v>1082</v>
      </c>
      <c r="C1564" t="s">
        <v>1083</v>
      </c>
      <c r="E1564" t="s">
        <v>3655</v>
      </c>
      <c r="F1564" t="s">
        <v>12</v>
      </c>
      <c r="G1564">
        <v>0</v>
      </c>
      <c r="H1564" s="413">
        <f>G1564*VLOOKUP(E1564,GWPs!$B$3:$C$6,2,FALSE)</f>
        <v>0</v>
      </c>
      <c r="I1564">
        <v>0</v>
      </c>
      <c r="J1564" s="413">
        <f>I1564*VLOOKUP(E1564,GWPs!$B$3:$C$6,2,FALSE)</f>
        <v>0</v>
      </c>
      <c r="K1564">
        <v>0</v>
      </c>
      <c r="L1564" s="413">
        <f>K1564*VLOOKUP(E1564,GWPs!$B$3:$C$6,2,FALSE)</f>
        <v>0</v>
      </c>
      <c r="N1564">
        <v>4</v>
      </c>
      <c r="O1564">
        <v>2</v>
      </c>
      <c r="P1564">
        <v>1</v>
      </c>
      <c r="Q1564">
        <v>3</v>
      </c>
      <c r="R1564">
        <v>1</v>
      </c>
    </row>
    <row r="1565" spans="1:18">
      <c r="A1565" t="str">
        <f>_xlfn.IFNA(IF(VLOOKUP(C1565,'2016_Detail_Commodity_v1.0'!C:C,1,FALSE)=C1565,"No change"),"Name changed")</f>
        <v>No change</v>
      </c>
      <c r="B1565" t="s">
        <v>1082</v>
      </c>
      <c r="C1565" t="s">
        <v>1083</v>
      </c>
      <c r="E1565" t="s">
        <v>15</v>
      </c>
      <c r="F1565" t="s">
        <v>16</v>
      </c>
      <c r="G1565">
        <v>5.0000000000000001E-3</v>
      </c>
      <c r="H1565" s="413">
        <f>G1565*VLOOKUP(E1565,GWPs!$B$3:$C$6,2,FALSE)</f>
        <v>5.0000000000000001E-3</v>
      </c>
      <c r="I1565">
        <v>0</v>
      </c>
      <c r="J1565" s="413">
        <f>I1565*VLOOKUP(E1565,GWPs!$B$3:$C$6,2,FALSE)</f>
        <v>0</v>
      </c>
      <c r="K1565">
        <v>5.0000000000000001E-3</v>
      </c>
      <c r="L1565" s="413">
        <f>K1565*VLOOKUP(E1565,GWPs!$B$3:$C$6,2,FALSE)</f>
        <v>5.0000000000000001E-3</v>
      </c>
      <c r="N1565">
        <v>4</v>
      </c>
      <c r="O1565">
        <v>2</v>
      </c>
      <c r="P1565">
        <v>1</v>
      </c>
      <c r="Q1565">
        <v>4</v>
      </c>
      <c r="R1565">
        <v>1</v>
      </c>
    </row>
    <row r="1566" spans="1:18">
      <c r="A1566" t="str">
        <f>_xlfn.IFNA(IF(VLOOKUP(C1566,'2016_Detail_Commodity_v1.0'!C:C,1,FALSE)=C1566,"No change"),"Name changed")</f>
        <v>No change</v>
      </c>
      <c r="B1566" t="s">
        <v>1084</v>
      </c>
      <c r="C1566" t="s">
        <v>1085</v>
      </c>
      <c r="E1566" t="s">
        <v>3653</v>
      </c>
      <c r="F1566" t="s">
        <v>12</v>
      </c>
      <c r="G1566">
        <v>6.7000000000000004E-2</v>
      </c>
      <c r="H1566" s="413">
        <f>G1566*VLOOKUP(E1566,GWPs!$B$3:$C$6,2,FALSE)</f>
        <v>6.7000000000000004E-2</v>
      </c>
      <c r="I1566">
        <v>0</v>
      </c>
      <c r="J1566" s="413">
        <f>I1566*VLOOKUP(E1566,GWPs!$B$3:$C$6,2,FALSE)</f>
        <v>0</v>
      </c>
      <c r="K1566">
        <v>6.7000000000000004E-2</v>
      </c>
      <c r="L1566" s="413">
        <f>K1566*VLOOKUP(E1566,GWPs!$B$3:$C$6,2,FALSE)</f>
        <v>6.7000000000000004E-2</v>
      </c>
      <c r="N1566">
        <v>3</v>
      </c>
      <c r="O1566">
        <v>2</v>
      </c>
      <c r="P1566">
        <v>1</v>
      </c>
      <c r="Q1566">
        <v>3</v>
      </c>
      <c r="R1566">
        <v>1</v>
      </c>
    </row>
    <row r="1567" spans="1:18">
      <c r="A1567" t="str">
        <f>_xlfn.IFNA(IF(VLOOKUP(C1567,'2016_Detail_Commodity_v1.0'!C:C,1,FALSE)=C1567,"No change"),"Name changed")</f>
        <v>No change</v>
      </c>
      <c r="B1567" t="s">
        <v>1084</v>
      </c>
      <c r="C1567" t="s">
        <v>1085</v>
      </c>
      <c r="E1567" t="s">
        <v>3654</v>
      </c>
      <c r="F1567" t="s">
        <v>12</v>
      </c>
      <c r="G1567">
        <v>0</v>
      </c>
      <c r="H1567" s="413">
        <f>G1567*VLOOKUP(E1567,GWPs!$B$3:$C$6,2,FALSE)</f>
        <v>0</v>
      </c>
      <c r="I1567">
        <v>0</v>
      </c>
      <c r="J1567" s="413">
        <f>I1567*VLOOKUP(E1567,GWPs!$B$3:$C$6,2,FALSE)</f>
        <v>0</v>
      </c>
      <c r="K1567">
        <v>0</v>
      </c>
      <c r="L1567" s="413">
        <f>K1567*VLOOKUP(E1567,GWPs!$B$3:$C$6,2,FALSE)</f>
        <v>0</v>
      </c>
      <c r="N1567">
        <v>3</v>
      </c>
      <c r="O1567">
        <v>2</v>
      </c>
      <c r="P1567">
        <v>1</v>
      </c>
      <c r="Q1567">
        <v>1</v>
      </c>
      <c r="R1567">
        <v>1</v>
      </c>
    </row>
    <row r="1568" spans="1:18">
      <c r="A1568" t="str">
        <f>_xlfn.IFNA(IF(VLOOKUP(C1568,'2016_Detail_Commodity_v1.0'!C:C,1,FALSE)=C1568,"No change"),"Name changed")</f>
        <v>No change</v>
      </c>
      <c r="B1568" t="s">
        <v>1084</v>
      </c>
      <c r="C1568" t="s">
        <v>1085</v>
      </c>
      <c r="E1568" t="s">
        <v>3655</v>
      </c>
      <c r="F1568" t="s">
        <v>12</v>
      </c>
      <c r="G1568">
        <v>0</v>
      </c>
      <c r="H1568" s="413">
        <f>G1568*VLOOKUP(E1568,GWPs!$B$3:$C$6,2,FALSE)</f>
        <v>0</v>
      </c>
      <c r="I1568">
        <v>0</v>
      </c>
      <c r="J1568" s="413">
        <f>I1568*VLOOKUP(E1568,GWPs!$B$3:$C$6,2,FALSE)</f>
        <v>0</v>
      </c>
      <c r="K1568">
        <v>0</v>
      </c>
      <c r="L1568" s="413">
        <f>K1568*VLOOKUP(E1568,GWPs!$B$3:$C$6,2,FALSE)</f>
        <v>0</v>
      </c>
      <c r="N1568">
        <v>3</v>
      </c>
      <c r="O1568">
        <v>2</v>
      </c>
      <c r="P1568">
        <v>1</v>
      </c>
      <c r="Q1568">
        <v>3</v>
      </c>
      <c r="R1568">
        <v>1</v>
      </c>
    </row>
    <row r="1569" spans="1:18">
      <c r="A1569" t="str">
        <f>_xlfn.IFNA(IF(VLOOKUP(C1569,'2016_Detail_Commodity_v1.0'!C:C,1,FALSE)=C1569,"No change"),"Name changed")</f>
        <v>No change</v>
      </c>
      <c r="B1569" t="s">
        <v>1084</v>
      </c>
      <c r="C1569" t="s">
        <v>1085</v>
      </c>
      <c r="E1569" t="s">
        <v>15</v>
      </c>
      <c r="F1569" t="s">
        <v>16</v>
      </c>
      <c r="G1569">
        <v>1E-3</v>
      </c>
      <c r="H1569" s="413">
        <f>G1569*VLOOKUP(E1569,GWPs!$B$3:$C$6,2,FALSE)</f>
        <v>1E-3</v>
      </c>
      <c r="I1569">
        <v>0</v>
      </c>
      <c r="J1569" s="413">
        <f>I1569*VLOOKUP(E1569,GWPs!$B$3:$C$6,2,FALSE)</f>
        <v>0</v>
      </c>
      <c r="K1569">
        <v>1E-3</v>
      </c>
      <c r="L1569" s="413">
        <f>K1569*VLOOKUP(E1569,GWPs!$B$3:$C$6,2,FALSE)</f>
        <v>1E-3</v>
      </c>
      <c r="N1569">
        <v>4</v>
      </c>
      <c r="O1569">
        <v>2</v>
      </c>
      <c r="P1569">
        <v>1</v>
      </c>
      <c r="Q1569">
        <v>4</v>
      </c>
      <c r="R1569">
        <v>1</v>
      </c>
    </row>
    <row r="1570" spans="1:18">
      <c r="A1570" t="str">
        <f>_xlfn.IFNA(IF(VLOOKUP(C1570,'2016_Detail_Commodity_v1.0'!C:C,1,FALSE)=C1570,"No change"),"Name changed")</f>
        <v>No change</v>
      </c>
      <c r="B1570" t="s">
        <v>1086</v>
      </c>
      <c r="C1570" t="s">
        <v>1087</v>
      </c>
      <c r="E1570" t="s">
        <v>3653</v>
      </c>
      <c r="F1570" t="s">
        <v>12</v>
      </c>
      <c r="G1570">
        <v>0.122</v>
      </c>
      <c r="H1570" s="413">
        <f>G1570*VLOOKUP(E1570,GWPs!$B$3:$C$6,2,FALSE)</f>
        <v>0.122</v>
      </c>
      <c r="I1570">
        <v>0</v>
      </c>
      <c r="J1570" s="413">
        <f>I1570*VLOOKUP(E1570,GWPs!$B$3:$C$6,2,FALSE)</f>
        <v>0</v>
      </c>
      <c r="K1570">
        <v>0.122</v>
      </c>
      <c r="L1570" s="413">
        <f>K1570*VLOOKUP(E1570,GWPs!$B$3:$C$6,2,FALSE)</f>
        <v>0.122</v>
      </c>
      <c r="N1570">
        <v>3</v>
      </c>
      <c r="O1570">
        <v>2</v>
      </c>
      <c r="P1570">
        <v>1</v>
      </c>
      <c r="Q1570">
        <v>3</v>
      </c>
      <c r="R1570">
        <v>1</v>
      </c>
    </row>
    <row r="1571" spans="1:18">
      <c r="A1571" t="str">
        <f>_xlfn.IFNA(IF(VLOOKUP(C1571,'2016_Detail_Commodity_v1.0'!C:C,1,FALSE)=C1571,"No change"),"Name changed")</f>
        <v>No change</v>
      </c>
      <c r="B1571" t="s">
        <v>1086</v>
      </c>
      <c r="C1571" t="s">
        <v>1087</v>
      </c>
      <c r="E1571" t="s">
        <v>3654</v>
      </c>
      <c r="F1571" t="s">
        <v>12</v>
      </c>
      <c r="G1571">
        <v>1E-3</v>
      </c>
      <c r="H1571" s="413">
        <f>G1571*VLOOKUP(E1571,GWPs!$B$3:$C$6,2,FALSE)</f>
        <v>2.8000000000000001E-2</v>
      </c>
      <c r="I1571">
        <v>0</v>
      </c>
      <c r="J1571" s="413">
        <f>I1571*VLOOKUP(E1571,GWPs!$B$3:$C$6,2,FALSE)</f>
        <v>0</v>
      </c>
      <c r="K1571">
        <v>1E-3</v>
      </c>
      <c r="L1571" s="413">
        <f>K1571*VLOOKUP(E1571,GWPs!$B$3:$C$6,2,FALSE)</f>
        <v>2.8000000000000001E-2</v>
      </c>
      <c r="N1571">
        <v>3</v>
      </c>
      <c r="O1571">
        <v>2</v>
      </c>
      <c r="P1571">
        <v>1</v>
      </c>
      <c r="Q1571">
        <v>1</v>
      </c>
      <c r="R1571">
        <v>1</v>
      </c>
    </row>
    <row r="1572" spans="1:18">
      <c r="A1572" t="str">
        <f>_xlfn.IFNA(IF(VLOOKUP(C1572,'2016_Detail_Commodity_v1.0'!C:C,1,FALSE)=C1572,"No change"),"Name changed")</f>
        <v>No change</v>
      </c>
      <c r="B1572" t="s">
        <v>1086</v>
      </c>
      <c r="C1572" t="s">
        <v>1087</v>
      </c>
      <c r="E1572" t="s">
        <v>3655</v>
      </c>
      <c r="F1572" t="s">
        <v>12</v>
      </c>
      <c r="G1572">
        <v>0</v>
      </c>
      <c r="H1572" s="413">
        <f>G1572*VLOOKUP(E1572,GWPs!$B$3:$C$6,2,FALSE)</f>
        <v>0</v>
      </c>
      <c r="I1572">
        <v>0</v>
      </c>
      <c r="J1572" s="413">
        <f>I1572*VLOOKUP(E1572,GWPs!$B$3:$C$6,2,FALSE)</f>
        <v>0</v>
      </c>
      <c r="K1572">
        <v>0</v>
      </c>
      <c r="L1572" s="413">
        <f>K1572*VLOOKUP(E1572,GWPs!$B$3:$C$6,2,FALSE)</f>
        <v>0</v>
      </c>
      <c r="N1572">
        <v>4</v>
      </c>
      <c r="O1572">
        <v>2</v>
      </c>
      <c r="P1572">
        <v>1</v>
      </c>
      <c r="Q1572">
        <v>3</v>
      </c>
      <c r="R1572">
        <v>1</v>
      </c>
    </row>
    <row r="1573" spans="1:18">
      <c r="A1573" t="str">
        <f>_xlfn.IFNA(IF(VLOOKUP(C1573,'2016_Detail_Commodity_v1.0'!C:C,1,FALSE)=C1573,"No change"),"Name changed")</f>
        <v>No change</v>
      </c>
      <c r="B1573" t="s">
        <v>1086</v>
      </c>
      <c r="C1573" t="s">
        <v>1087</v>
      </c>
      <c r="E1573" t="s">
        <v>15</v>
      </c>
      <c r="F1573" t="s">
        <v>16</v>
      </c>
      <c r="G1573">
        <v>8.9999999999999993E-3</v>
      </c>
      <c r="H1573" s="413">
        <f>G1573*VLOOKUP(E1573,GWPs!$B$3:$C$6,2,FALSE)</f>
        <v>8.9999999999999993E-3</v>
      </c>
      <c r="I1573">
        <v>0</v>
      </c>
      <c r="J1573" s="413">
        <f>I1573*VLOOKUP(E1573,GWPs!$B$3:$C$6,2,FALSE)</f>
        <v>0</v>
      </c>
      <c r="K1573">
        <v>8.9999999999999993E-3</v>
      </c>
      <c r="L1573" s="413">
        <f>K1573*VLOOKUP(E1573,GWPs!$B$3:$C$6,2,FALSE)</f>
        <v>8.9999999999999993E-3</v>
      </c>
      <c r="N1573">
        <v>4</v>
      </c>
      <c r="O1573">
        <v>2</v>
      </c>
      <c r="P1573">
        <v>1</v>
      </c>
      <c r="Q1573">
        <v>5</v>
      </c>
      <c r="R1573">
        <v>1</v>
      </c>
    </row>
    <row r="1574" spans="1:18">
      <c r="A1574" t="str">
        <f>_xlfn.IFNA(IF(VLOOKUP(C1574,'2016_Detail_Commodity_v1.0'!C:C,1,FALSE)=C1574,"No change"),"Name changed")</f>
        <v>No change</v>
      </c>
      <c r="B1574" t="s">
        <v>1088</v>
      </c>
      <c r="C1574" t="s">
        <v>1089</v>
      </c>
      <c r="E1574" t="s">
        <v>3653</v>
      </c>
      <c r="F1574" t="s">
        <v>12</v>
      </c>
      <c r="G1574">
        <v>0</v>
      </c>
      <c r="H1574" s="413">
        <f>G1574*VLOOKUP(E1574,GWPs!$B$3:$C$6,2,FALSE)</f>
        <v>0</v>
      </c>
      <c r="I1574">
        <v>0</v>
      </c>
      <c r="J1574" s="413">
        <f>I1574*VLOOKUP(E1574,GWPs!$B$3:$C$6,2,FALSE)</f>
        <v>0</v>
      </c>
      <c r="K1574">
        <v>0</v>
      </c>
      <c r="L1574" s="413">
        <f>K1574*VLOOKUP(E1574,GWPs!$B$3:$C$6,2,FALSE)</f>
        <v>0</v>
      </c>
      <c r="N1574">
        <v>4</v>
      </c>
      <c r="O1574">
        <v>2</v>
      </c>
      <c r="P1574">
        <v>1</v>
      </c>
      <c r="Q1574">
        <v>5</v>
      </c>
      <c r="R1574">
        <v>1</v>
      </c>
    </row>
    <row r="1575" spans="1:18">
      <c r="A1575" t="str">
        <f>_xlfn.IFNA(IF(VLOOKUP(C1575,'2016_Detail_Commodity_v1.0'!C:C,1,FALSE)=C1575,"No change"),"Name changed")</f>
        <v>No change</v>
      </c>
      <c r="B1575" t="s">
        <v>1088</v>
      </c>
      <c r="C1575" t="s">
        <v>1089</v>
      </c>
      <c r="E1575" t="s">
        <v>3654</v>
      </c>
      <c r="F1575" t="s">
        <v>12</v>
      </c>
      <c r="G1575">
        <v>0</v>
      </c>
      <c r="H1575" s="413">
        <f>G1575*VLOOKUP(E1575,GWPs!$B$3:$C$6,2,FALSE)</f>
        <v>0</v>
      </c>
      <c r="I1575">
        <v>0</v>
      </c>
      <c r="J1575" s="413">
        <f>I1575*VLOOKUP(E1575,GWPs!$B$3:$C$6,2,FALSE)</f>
        <v>0</v>
      </c>
      <c r="K1575">
        <v>0</v>
      </c>
      <c r="L1575" s="413">
        <f>K1575*VLOOKUP(E1575,GWPs!$B$3:$C$6,2,FALSE)</f>
        <v>0</v>
      </c>
      <c r="N1575">
        <v>4</v>
      </c>
      <c r="O1575">
        <v>2</v>
      </c>
      <c r="P1575">
        <v>1</v>
      </c>
      <c r="Q1575">
        <v>5</v>
      </c>
      <c r="R1575">
        <v>1</v>
      </c>
    </row>
    <row r="1576" spans="1:18">
      <c r="A1576" t="str">
        <f>_xlfn.IFNA(IF(VLOOKUP(C1576,'2016_Detail_Commodity_v1.0'!C:C,1,FALSE)=C1576,"No change"),"Name changed")</f>
        <v>No change</v>
      </c>
      <c r="B1576" t="s">
        <v>1088</v>
      </c>
      <c r="C1576" t="s">
        <v>1089</v>
      </c>
      <c r="E1576" t="s">
        <v>3655</v>
      </c>
      <c r="F1576" t="s">
        <v>12</v>
      </c>
      <c r="G1576">
        <v>0</v>
      </c>
      <c r="H1576" s="413">
        <f>G1576*VLOOKUP(E1576,GWPs!$B$3:$C$6,2,FALSE)</f>
        <v>0</v>
      </c>
      <c r="I1576">
        <v>0</v>
      </c>
      <c r="J1576" s="413">
        <f>I1576*VLOOKUP(E1576,GWPs!$B$3:$C$6,2,FALSE)</f>
        <v>0</v>
      </c>
      <c r="K1576">
        <v>0</v>
      </c>
      <c r="L1576" s="413">
        <f>K1576*VLOOKUP(E1576,GWPs!$B$3:$C$6,2,FALSE)</f>
        <v>0</v>
      </c>
      <c r="N1576">
        <v>4</v>
      </c>
      <c r="O1576">
        <v>2</v>
      </c>
      <c r="P1576">
        <v>1</v>
      </c>
      <c r="Q1576">
        <v>5</v>
      </c>
      <c r="R1576">
        <v>1</v>
      </c>
    </row>
    <row r="1577" spans="1:18">
      <c r="A1577" t="str">
        <f>_xlfn.IFNA(IF(VLOOKUP(C1577,'2016_Detail_Commodity_v1.0'!C:C,1,FALSE)=C1577,"No change"),"Name changed")</f>
        <v>No change</v>
      </c>
      <c r="B1577" t="s">
        <v>1088</v>
      </c>
      <c r="C1577" t="s">
        <v>1089</v>
      </c>
      <c r="E1577" t="s">
        <v>15</v>
      </c>
      <c r="F1577" t="s">
        <v>16</v>
      </c>
      <c r="G1577">
        <v>0</v>
      </c>
      <c r="H1577" s="413">
        <f>G1577*VLOOKUP(E1577,GWPs!$B$3:$C$6,2,FALSE)</f>
        <v>0</v>
      </c>
      <c r="I1577">
        <v>0</v>
      </c>
      <c r="J1577" s="413">
        <f>I1577*VLOOKUP(E1577,GWPs!$B$3:$C$6,2,FALSE)</f>
        <v>0</v>
      </c>
      <c r="K1577">
        <v>0</v>
      </c>
      <c r="L1577" s="413">
        <f>K1577*VLOOKUP(E1577,GWPs!$B$3:$C$6,2,FALSE)</f>
        <v>0</v>
      </c>
      <c r="N1577">
        <v>4</v>
      </c>
      <c r="O1577">
        <v>2</v>
      </c>
      <c r="P1577">
        <v>1</v>
      </c>
      <c r="Q1577">
        <v>5</v>
      </c>
      <c r="R1577">
        <v>1</v>
      </c>
    </row>
  </sheetData>
  <autoFilter ref="A1:L1577" xr:uid="{00000000-0009-0000-0000-000015000000}"/>
  <pageMargins left="0.7" right="0.7" top="0.75" bottom="0.75" header="0.3" footer="0.3"/>
  <pageSetup orientation="portrait"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tabColor rgb="FFFFFF00"/>
  </sheetPr>
  <dimension ref="A1:T265"/>
  <sheetViews>
    <sheetView zoomScale="70" zoomScaleNormal="70" workbookViewId="0">
      <selection activeCell="C9" sqref="C9"/>
    </sheetView>
  </sheetViews>
  <sheetFormatPr defaultRowHeight="14.25"/>
  <cols>
    <col min="1" max="1" width="12.375" customWidth="1"/>
    <col min="2" max="2" width="15.125" bestFit="1" customWidth="1"/>
    <col min="3" max="3" width="57.625" bestFit="1" customWidth="1"/>
    <col min="4" max="4" width="13.375" bestFit="1" customWidth="1"/>
    <col min="5" max="5" width="29.625" bestFit="1" customWidth="1"/>
    <col min="6" max="6" width="30.5" customWidth="1"/>
    <col min="7" max="7" width="35.125" bestFit="1" customWidth="1"/>
    <col min="8" max="8" width="37.125" bestFit="1" customWidth="1"/>
    <col min="9" max="9" width="22.375" customWidth="1"/>
    <col min="10" max="14" width="24.875" customWidth="1"/>
    <col min="16" max="16" width="57.625" bestFit="1" customWidth="1"/>
    <col min="17" max="17" width="20.75" customWidth="1"/>
    <col min="18" max="18" width="11.625" customWidth="1"/>
  </cols>
  <sheetData>
    <row r="1" spans="1:20" s="72" customFormat="1" ht="60">
      <c r="A1" s="72" t="s">
        <v>4221</v>
      </c>
      <c r="B1" s="72" t="s">
        <v>308</v>
      </c>
      <c r="C1" s="72" t="s">
        <v>309</v>
      </c>
      <c r="D1" s="72" t="s">
        <v>1</v>
      </c>
      <c r="E1" s="72" t="s">
        <v>2</v>
      </c>
      <c r="F1" s="404" t="s">
        <v>3</v>
      </c>
      <c r="G1" s="404" t="s">
        <v>4</v>
      </c>
      <c r="H1" s="404" t="s">
        <v>5</v>
      </c>
      <c r="I1" s="14" t="s">
        <v>3657</v>
      </c>
      <c r="J1" s="404" t="s">
        <v>6</v>
      </c>
      <c r="K1" s="404" t="s">
        <v>7</v>
      </c>
      <c r="L1" s="404" t="s">
        <v>8</v>
      </c>
      <c r="M1" s="404" t="s">
        <v>9</v>
      </c>
      <c r="N1" s="404" t="s">
        <v>10</v>
      </c>
      <c r="P1" s="408" t="s">
        <v>162</v>
      </c>
      <c r="Q1" s="409" t="s">
        <v>1092</v>
      </c>
      <c r="R1" s="466" t="s">
        <v>4229</v>
      </c>
      <c r="T1" s="498" t="s">
        <v>4259</v>
      </c>
    </row>
    <row r="2" spans="1:20">
      <c r="A2" t="e">
        <f>_xlfn.IFNA(IF(VLOOKUP(C2,#REF!,1,FALSE)=C2,"No change"),"Changed or new")</f>
        <v>#REF!</v>
      </c>
      <c r="B2" t="s">
        <v>29</v>
      </c>
      <c r="C2" t="s">
        <v>30</v>
      </c>
      <c r="D2" t="s">
        <v>3653</v>
      </c>
      <c r="E2" t="s">
        <v>12</v>
      </c>
      <c r="F2">
        <v>0.53200000000000003</v>
      </c>
      <c r="G2">
        <v>5.8000000000000003E-2</v>
      </c>
      <c r="H2">
        <v>0.59</v>
      </c>
      <c r="I2" s="12">
        <f>H2*VLOOKUP(D2,GWPs!$B$3:$C$6,2,FALSE)</f>
        <v>0.59</v>
      </c>
      <c r="J2">
        <v>4</v>
      </c>
      <c r="K2">
        <v>2</v>
      </c>
      <c r="L2">
        <v>1</v>
      </c>
      <c r="M2">
        <v>4</v>
      </c>
      <c r="N2">
        <v>1</v>
      </c>
      <c r="P2" t="s">
        <v>147</v>
      </c>
      <c r="Q2">
        <f>SUMIF(C:C,P2,I:I)</f>
        <v>0.188</v>
      </c>
      <c r="R2" s="464" t="s">
        <v>4230</v>
      </c>
    </row>
    <row r="3" spans="1:20">
      <c r="A3" t="e">
        <f>_xlfn.IFNA(IF(VLOOKUP(C3,#REF!,1,FALSE)=C3,"No change"),"Changed or new")</f>
        <v>#REF!</v>
      </c>
      <c r="B3" t="s">
        <v>29</v>
      </c>
      <c r="C3" t="s">
        <v>30</v>
      </c>
      <c r="D3" t="s">
        <v>3654</v>
      </c>
      <c r="E3" t="s">
        <v>12</v>
      </c>
      <c r="F3">
        <v>2.7E-2</v>
      </c>
      <c r="G3">
        <v>1E-3</v>
      </c>
      <c r="H3">
        <v>2.7E-2</v>
      </c>
      <c r="I3" s="12">
        <f>H3*VLOOKUP(D3,GWPs!$B$3:$C$6,2,FALSE)</f>
        <v>0.75600000000000001</v>
      </c>
      <c r="J3">
        <v>3</v>
      </c>
      <c r="K3">
        <v>2</v>
      </c>
      <c r="L3">
        <v>1</v>
      </c>
      <c r="M3">
        <v>1</v>
      </c>
      <c r="N3">
        <v>1</v>
      </c>
      <c r="P3" t="s">
        <v>130</v>
      </c>
      <c r="Q3">
        <f t="shared" ref="Q3:Q33" si="0">SUMIF(C:C,P3,I:I)</f>
        <v>0.114</v>
      </c>
      <c r="R3" s="464" t="s">
        <v>4230</v>
      </c>
    </row>
    <row r="4" spans="1:20">
      <c r="A4" t="e">
        <f>_xlfn.IFNA(IF(VLOOKUP(C4,#REF!,1,FALSE)=C4,"No change"),"Changed or new")</f>
        <v>#REF!</v>
      </c>
      <c r="B4" t="s">
        <v>29</v>
      </c>
      <c r="C4" t="s">
        <v>30</v>
      </c>
      <c r="D4" t="s">
        <v>3655</v>
      </c>
      <c r="E4" t="s">
        <v>12</v>
      </c>
      <c r="F4">
        <v>3.0000000000000001E-3</v>
      </c>
      <c r="G4">
        <v>0</v>
      </c>
      <c r="H4">
        <v>3.0000000000000001E-3</v>
      </c>
      <c r="I4" s="12">
        <f>H4*VLOOKUP(D4,GWPs!$B$3:$C$6,2,FALSE)</f>
        <v>0.79500000000000004</v>
      </c>
      <c r="J4">
        <v>4</v>
      </c>
      <c r="K4">
        <v>2</v>
      </c>
      <c r="L4">
        <v>1</v>
      </c>
      <c r="M4">
        <v>4</v>
      </c>
      <c r="N4">
        <v>1</v>
      </c>
      <c r="P4" t="s">
        <v>87</v>
      </c>
      <c r="Q4">
        <f t="shared" si="0"/>
        <v>0.98899999999999999</v>
      </c>
      <c r="R4" s="464" t="s">
        <v>4230</v>
      </c>
    </row>
    <row r="5" spans="1:20">
      <c r="A5" t="e">
        <f>_xlfn.IFNA(IF(VLOOKUP(C5,#REF!,1,FALSE)=C5,"No change"),"Changed or new")</f>
        <v>#REF!</v>
      </c>
      <c r="B5" t="s">
        <v>29</v>
      </c>
      <c r="C5" t="s">
        <v>30</v>
      </c>
      <c r="D5" t="s">
        <v>15</v>
      </c>
      <c r="E5" t="s">
        <v>16</v>
      </c>
      <c r="F5">
        <v>4.0000000000000001E-3</v>
      </c>
      <c r="G5">
        <v>0</v>
      </c>
      <c r="H5">
        <v>4.0000000000000001E-3</v>
      </c>
      <c r="I5" s="12">
        <f>H5*VLOOKUP(D5,GWPs!$B$3:$C$6,2,FALSE)</f>
        <v>4.0000000000000001E-3</v>
      </c>
      <c r="J5">
        <v>4</v>
      </c>
      <c r="K5">
        <v>2</v>
      </c>
      <c r="L5">
        <v>1</v>
      </c>
      <c r="M5">
        <v>4</v>
      </c>
      <c r="N5">
        <v>1</v>
      </c>
      <c r="P5" t="s">
        <v>136</v>
      </c>
      <c r="Q5">
        <f t="shared" si="0"/>
        <v>0.13</v>
      </c>
      <c r="R5" s="464" t="s">
        <v>4231</v>
      </c>
    </row>
    <row r="6" spans="1:20">
      <c r="A6" t="e">
        <f>_xlfn.IFNA(IF(VLOOKUP(C6,#REF!,1,FALSE)=C6,"No change"),"Changed or new")</f>
        <v>#REF!</v>
      </c>
      <c r="B6" t="s">
        <v>31</v>
      </c>
      <c r="C6" t="s">
        <v>32</v>
      </c>
      <c r="D6" t="s">
        <v>3653</v>
      </c>
      <c r="E6" t="s">
        <v>12</v>
      </c>
      <c r="F6">
        <v>0.20499999999999999</v>
      </c>
      <c r="G6">
        <v>1.7999999999999999E-2</v>
      </c>
      <c r="H6">
        <v>0.223</v>
      </c>
      <c r="I6" s="12">
        <f>H6*VLOOKUP(D6,GWPs!$B$3:$C$6,2,FALSE)</f>
        <v>0.223</v>
      </c>
      <c r="J6">
        <v>4</v>
      </c>
      <c r="K6">
        <v>2</v>
      </c>
      <c r="L6">
        <v>1</v>
      </c>
      <c r="M6">
        <v>4</v>
      </c>
      <c r="N6">
        <v>1</v>
      </c>
      <c r="P6" t="s">
        <v>145</v>
      </c>
      <c r="Q6">
        <f t="shared" si="0"/>
        <v>0.376</v>
      </c>
      <c r="R6" s="464" t="s">
        <v>4230</v>
      </c>
    </row>
    <row r="7" spans="1:20">
      <c r="A7" t="e">
        <f>_xlfn.IFNA(IF(VLOOKUP(C7,#REF!,1,FALSE)=C7,"No change"),"Changed or new")</f>
        <v>#REF!</v>
      </c>
      <c r="B7" t="s">
        <v>31</v>
      </c>
      <c r="C7" t="s">
        <v>32</v>
      </c>
      <c r="D7" t="s">
        <v>3654</v>
      </c>
      <c r="E7" t="s">
        <v>12</v>
      </c>
      <c r="F7">
        <v>3.0000000000000001E-3</v>
      </c>
      <c r="G7">
        <v>0</v>
      </c>
      <c r="H7">
        <v>3.0000000000000001E-3</v>
      </c>
      <c r="I7" s="12">
        <f>H7*VLOOKUP(D7,GWPs!$B$3:$C$6,2,FALSE)</f>
        <v>8.4000000000000005E-2</v>
      </c>
      <c r="J7">
        <v>3</v>
      </c>
      <c r="K7">
        <v>2</v>
      </c>
      <c r="L7">
        <v>1</v>
      </c>
      <c r="M7">
        <v>1</v>
      </c>
      <c r="N7">
        <v>1</v>
      </c>
      <c r="P7" t="s">
        <v>48</v>
      </c>
      <c r="Q7">
        <f t="shared" si="0"/>
        <v>0.115</v>
      </c>
      <c r="R7" s="464" t="s">
        <v>4231</v>
      </c>
    </row>
    <row r="8" spans="1:20">
      <c r="A8" t="e">
        <f>_xlfn.IFNA(IF(VLOOKUP(C8,#REF!,1,FALSE)=C8,"No change"),"Changed or new")</f>
        <v>#REF!</v>
      </c>
      <c r="B8" t="s">
        <v>31</v>
      </c>
      <c r="C8" t="s">
        <v>32</v>
      </c>
      <c r="D8" t="s">
        <v>3655</v>
      </c>
      <c r="E8" t="s">
        <v>12</v>
      </c>
      <c r="F8">
        <v>0</v>
      </c>
      <c r="G8">
        <v>0</v>
      </c>
      <c r="H8">
        <v>0</v>
      </c>
      <c r="I8" s="12">
        <f>H8*VLOOKUP(D8,GWPs!$B$3:$C$6,2,FALSE)</f>
        <v>0</v>
      </c>
      <c r="J8">
        <v>4</v>
      </c>
      <c r="K8">
        <v>2</v>
      </c>
      <c r="L8">
        <v>1</v>
      </c>
      <c r="M8">
        <v>4</v>
      </c>
      <c r="N8">
        <v>1</v>
      </c>
      <c r="P8" t="s">
        <v>109</v>
      </c>
      <c r="Q8">
        <f t="shared" si="0"/>
        <v>0.1</v>
      </c>
      <c r="R8" s="464" t="s">
        <v>4230</v>
      </c>
    </row>
    <row r="9" spans="1:20">
      <c r="A9" t="e">
        <f>_xlfn.IFNA(IF(VLOOKUP(C9,#REF!,1,FALSE)=C9,"No change"),"Changed or new")</f>
        <v>#REF!</v>
      </c>
      <c r="B9" t="s">
        <v>31</v>
      </c>
      <c r="C9" t="s">
        <v>32</v>
      </c>
      <c r="D9" t="s">
        <v>15</v>
      </c>
      <c r="E9" t="s">
        <v>16</v>
      </c>
      <c r="F9">
        <v>2E-3</v>
      </c>
      <c r="G9">
        <v>0</v>
      </c>
      <c r="H9">
        <v>2E-3</v>
      </c>
      <c r="I9" s="12">
        <f>H9*VLOOKUP(D9,GWPs!$B$3:$C$6,2,FALSE)</f>
        <v>2E-3</v>
      </c>
      <c r="J9">
        <v>4</v>
      </c>
      <c r="K9">
        <v>2</v>
      </c>
      <c r="L9">
        <v>1</v>
      </c>
      <c r="M9">
        <v>4</v>
      </c>
      <c r="N9">
        <v>1</v>
      </c>
      <c r="P9" t="s">
        <v>58</v>
      </c>
      <c r="Q9">
        <f t="shared" si="0"/>
        <v>0.54300000000000004</v>
      </c>
      <c r="R9" s="464" t="s">
        <v>4231</v>
      </c>
    </row>
    <row r="10" spans="1:20">
      <c r="A10" t="e">
        <f>_xlfn.IFNA(IF(VLOOKUP(C10,#REF!,1,FALSE)=C10,"No change"),"Changed or new")</f>
        <v>#REF!</v>
      </c>
      <c r="B10" t="s">
        <v>33</v>
      </c>
      <c r="C10" t="s">
        <v>34</v>
      </c>
      <c r="D10" t="s">
        <v>3653</v>
      </c>
      <c r="E10" t="s">
        <v>12</v>
      </c>
      <c r="F10">
        <v>0.48</v>
      </c>
      <c r="G10">
        <v>3.9E-2</v>
      </c>
      <c r="H10">
        <v>0.51900000000000002</v>
      </c>
      <c r="I10" s="12">
        <f>H10*VLOOKUP(D10,GWPs!$B$3:$C$6,2,FALSE)</f>
        <v>0.51900000000000002</v>
      </c>
      <c r="J10">
        <v>4</v>
      </c>
      <c r="K10">
        <v>2</v>
      </c>
      <c r="L10">
        <v>1</v>
      </c>
      <c r="M10">
        <v>3</v>
      </c>
      <c r="N10">
        <v>1</v>
      </c>
      <c r="P10" t="s">
        <v>70</v>
      </c>
      <c r="Q10">
        <f t="shared" si="0"/>
        <v>0.1</v>
      </c>
      <c r="R10" s="464" t="s">
        <v>4231</v>
      </c>
    </row>
    <row r="11" spans="1:20">
      <c r="A11" t="e">
        <f>_xlfn.IFNA(IF(VLOOKUP(C11,#REF!,1,FALSE)=C11,"No change"),"Changed or new")</f>
        <v>#REF!</v>
      </c>
      <c r="B11" t="s">
        <v>33</v>
      </c>
      <c r="C11" t="s">
        <v>34</v>
      </c>
      <c r="D11" t="s">
        <v>3654</v>
      </c>
      <c r="E11" t="s">
        <v>12</v>
      </c>
      <c r="F11">
        <v>2.1999999999999999E-2</v>
      </c>
      <c r="G11">
        <v>0</v>
      </c>
      <c r="H11">
        <v>2.3E-2</v>
      </c>
      <c r="I11" s="12">
        <f>H11*VLOOKUP(D11,GWPs!$B$3:$C$6,2,FALSE)</f>
        <v>0.64400000000000002</v>
      </c>
      <c r="J11">
        <v>4</v>
      </c>
      <c r="K11">
        <v>2</v>
      </c>
      <c r="L11">
        <v>1</v>
      </c>
      <c r="M11">
        <v>1</v>
      </c>
      <c r="N11">
        <v>1</v>
      </c>
      <c r="P11" t="s">
        <v>126</v>
      </c>
      <c r="Q11">
        <f t="shared" si="0"/>
        <v>7.9000000000000001E-2</v>
      </c>
      <c r="R11" s="464" t="s">
        <v>4231</v>
      </c>
    </row>
    <row r="12" spans="1:20">
      <c r="A12" t="e">
        <f>_xlfn.IFNA(IF(VLOOKUP(C12,#REF!,1,FALSE)=C12,"No change"),"Changed or new")</f>
        <v>#REF!</v>
      </c>
      <c r="B12" t="s">
        <v>33</v>
      </c>
      <c r="C12" t="s">
        <v>34</v>
      </c>
      <c r="D12" t="s">
        <v>3655</v>
      </c>
      <c r="E12" t="s">
        <v>12</v>
      </c>
      <c r="F12">
        <v>0</v>
      </c>
      <c r="G12">
        <v>0</v>
      </c>
      <c r="H12">
        <v>0</v>
      </c>
      <c r="I12" s="12">
        <f>H12*VLOOKUP(D12,GWPs!$B$3:$C$6,2,FALSE)</f>
        <v>0</v>
      </c>
      <c r="J12">
        <v>3</v>
      </c>
      <c r="K12">
        <v>2</v>
      </c>
      <c r="L12">
        <v>1</v>
      </c>
      <c r="M12">
        <v>3</v>
      </c>
      <c r="N12">
        <v>1</v>
      </c>
      <c r="P12" t="s">
        <v>42</v>
      </c>
      <c r="Q12">
        <f t="shared" si="0"/>
        <v>0.317</v>
      </c>
      <c r="R12" s="464" t="s">
        <v>4231</v>
      </c>
    </row>
    <row r="13" spans="1:20">
      <c r="A13" t="e">
        <f>_xlfn.IFNA(IF(VLOOKUP(C13,#REF!,1,FALSE)=C13,"No change"),"Changed or new")</f>
        <v>#REF!</v>
      </c>
      <c r="B13" t="s">
        <v>33</v>
      </c>
      <c r="C13" t="s">
        <v>34</v>
      </c>
      <c r="D13" t="s">
        <v>15</v>
      </c>
      <c r="E13" t="s">
        <v>16</v>
      </c>
      <c r="F13">
        <v>3.0000000000000001E-3</v>
      </c>
      <c r="G13">
        <v>0</v>
      </c>
      <c r="H13">
        <v>3.0000000000000001E-3</v>
      </c>
      <c r="I13" s="12">
        <f>H13*VLOOKUP(D13,GWPs!$B$3:$C$6,2,FALSE)</f>
        <v>3.0000000000000001E-3</v>
      </c>
      <c r="J13">
        <v>4</v>
      </c>
      <c r="K13">
        <v>2</v>
      </c>
      <c r="L13">
        <v>1</v>
      </c>
      <c r="M13">
        <v>4</v>
      </c>
      <c r="N13">
        <v>1</v>
      </c>
      <c r="P13" t="s">
        <v>111</v>
      </c>
      <c r="Q13">
        <f t="shared" si="0"/>
        <v>0.156</v>
      </c>
      <c r="R13" s="464" t="s">
        <v>4231</v>
      </c>
    </row>
    <row r="14" spans="1:20">
      <c r="A14" t="e">
        <f>_xlfn.IFNA(IF(VLOOKUP(C14,#REF!,1,FALSE)=C14,"No change"),"Changed or new")</f>
        <v>#REF!</v>
      </c>
      <c r="B14" t="s">
        <v>35</v>
      </c>
      <c r="C14" t="s">
        <v>36</v>
      </c>
      <c r="D14" t="s">
        <v>3653</v>
      </c>
      <c r="E14" t="s">
        <v>12</v>
      </c>
      <c r="F14">
        <v>0.58699999999999997</v>
      </c>
      <c r="G14">
        <v>0.13300000000000001</v>
      </c>
      <c r="H14">
        <v>0.72</v>
      </c>
      <c r="I14" s="12">
        <f>H14*VLOOKUP(D14,GWPs!$B$3:$C$6,2,FALSE)</f>
        <v>0.72</v>
      </c>
      <c r="J14">
        <v>4</v>
      </c>
      <c r="K14">
        <v>2</v>
      </c>
      <c r="L14">
        <v>1</v>
      </c>
      <c r="M14">
        <v>4</v>
      </c>
      <c r="N14">
        <v>1</v>
      </c>
      <c r="P14" t="s">
        <v>134</v>
      </c>
      <c r="Q14">
        <f t="shared" si="0"/>
        <v>0.20399999999999999</v>
      </c>
      <c r="R14" s="464" t="s">
        <v>4230</v>
      </c>
    </row>
    <row r="15" spans="1:20">
      <c r="A15" t="e">
        <f>_xlfn.IFNA(IF(VLOOKUP(C15,#REF!,1,FALSE)=C15,"No change"),"Changed or new")</f>
        <v>#REF!</v>
      </c>
      <c r="B15" t="s">
        <v>35</v>
      </c>
      <c r="C15" t="s">
        <v>36</v>
      </c>
      <c r="D15" t="s">
        <v>3654</v>
      </c>
      <c r="E15" t="s">
        <v>12</v>
      </c>
      <c r="F15">
        <v>1.9E-2</v>
      </c>
      <c r="G15">
        <v>1E-3</v>
      </c>
      <c r="H15">
        <v>0.02</v>
      </c>
      <c r="I15" s="12">
        <f>H15*VLOOKUP(D15,GWPs!$B$3:$C$6,2,FALSE)</f>
        <v>0.56000000000000005</v>
      </c>
      <c r="J15">
        <v>4</v>
      </c>
      <c r="K15">
        <v>2</v>
      </c>
      <c r="L15">
        <v>1</v>
      </c>
      <c r="M15">
        <v>1</v>
      </c>
      <c r="N15">
        <v>1</v>
      </c>
      <c r="P15" t="s">
        <v>72</v>
      </c>
      <c r="Q15">
        <f t="shared" si="0"/>
        <v>0.24100000000000002</v>
      </c>
      <c r="R15" s="464" t="s">
        <v>4230</v>
      </c>
    </row>
    <row r="16" spans="1:20">
      <c r="A16" t="e">
        <f>_xlfn.IFNA(IF(VLOOKUP(C16,#REF!,1,FALSE)=C16,"No change"),"Changed or new")</f>
        <v>#REF!</v>
      </c>
      <c r="B16" t="s">
        <v>35</v>
      </c>
      <c r="C16" t="s">
        <v>36</v>
      </c>
      <c r="D16" t="s">
        <v>3655</v>
      </c>
      <c r="E16" t="s">
        <v>12</v>
      </c>
      <c r="F16">
        <v>0</v>
      </c>
      <c r="G16">
        <v>0</v>
      </c>
      <c r="H16">
        <v>0</v>
      </c>
      <c r="I16" s="12">
        <f>H16*VLOOKUP(D16,GWPs!$B$3:$C$6,2,FALSE)</f>
        <v>0</v>
      </c>
      <c r="J16">
        <v>4</v>
      </c>
      <c r="K16">
        <v>2</v>
      </c>
      <c r="L16">
        <v>1</v>
      </c>
      <c r="M16">
        <v>3</v>
      </c>
      <c r="N16">
        <v>1</v>
      </c>
      <c r="P16" t="s">
        <v>66</v>
      </c>
      <c r="Q16">
        <f t="shared" si="0"/>
        <v>0.30700000000000005</v>
      </c>
      <c r="R16" s="464" t="s">
        <v>4230</v>
      </c>
    </row>
    <row r="17" spans="1:18">
      <c r="A17" t="e">
        <f>_xlfn.IFNA(IF(VLOOKUP(C17,#REF!,1,FALSE)=C17,"No change"),"Changed or new")</f>
        <v>#REF!</v>
      </c>
      <c r="B17" t="s">
        <v>35</v>
      </c>
      <c r="C17" t="s">
        <v>36</v>
      </c>
      <c r="D17" t="s">
        <v>15</v>
      </c>
      <c r="E17" t="s">
        <v>16</v>
      </c>
      <c r="F17">
        <v>4.0000000000000001E-3</v>
      </c>
      <c r="G17">
        <v>0</v>
      </c>
      <c r="H17">
        <v>4.0000000000000001E-3</v>
      </c>
      <c r="I17" s="12">
        <f>H17*VLOOKUP(D17,GWPs!$B$3:$C$6,2,FALSE)</f>
        <v>4.0000000000000001E-3</v>
      </c>
      <c r="J17">
        <v>4</v>
      </c>
      <c r="K17">
        <v>2</v>
      </c>
      <c r="L17">
        <v>1</v>
      </c>
      <c r="M17">
        <v>4</v>
      </c>
      <c r="N17">
        <v>1</v>
      </c>
      <c r="P17" t="s">
        <v>30</v>
      </c>
      <c r="Q17">
        <f t="shared" si="0"/>
        <v>2.145</v>
      </c>
      <c r="R17" s="464" t="s">
        <v>4230</v>
      </c>
    </row>
    <row r="18" spans="1:18">
      <c r="A18" t="e">
        <f>_xlfn.IFNA(IF(VLOOKUP(C18,#REF!,1,FALSE)=C18,"No change"),"Changed or new")</f>
        <v>#REF!</v>
      </c>
      <c r="B18" t="s">
        <v>37</v>
      </c>
      <c r="C18" t="s">
        <v>38</v>
      </c>
      <c r="D18" t="s">
        <v>3653</v>
      </c>
      <c r="E18" t="s">
        <v>12</v>
      </c>
      <c r="F18">
        <v>0.38800000000000001</v>
      </c>
      <c r="G18">
        <v>0</v>
      </c>
      <c r="H18">
        <v>0.38800000000000001</v>
      </c>
      <c r="I18" s="12">
        <f>H18*VLOOKUP(D18,GWPs!$B$3:$C$6,2,FALSE)</f>
        <v>0.38800000000000001</v>
      </c>
      <c r="J18">
        <v>4</v>
      </c>
      <c r="K18">
        <v>2</v>
      </c>
      <c r="L18">
        <v>1</v>
      </c>
      <c r="M18">
        <v>4</v>
      </c>
      <c r="N18">
        <v>1</v>
      </c>
      <c r="P18" t="s">
        <v>113</v>
      </c>
      <c r="Q18">
        <f t="shared" si="0"/>
        <v>5.5E-2</v>
      </c>
      <c r="R18" s="464" t="s">
        <v>4230</v>
      </c>
    </row>
    <row r="19" spans="1:18">
      <c r="A19" t="e">
        <f>_xlfn.IFNA(IF(VLOOKUP(C19,#REF!,1,FALSE)=C19,"No change"),"Changed or new")</f>
        <v>#REF!</v>
      </c>
      <c r="B19" t="s">
        <v>37</v>
      </c>
      <c r="C19" t="s">
        <v>38</v>
      </c>
      <c r="D19" t="s">
        <v>3654</v>
      </c>
      <c r="E19" t="s">
        <v>12</v>
      </c>
      <c r="F19">
        <v>7.0000000000000001E-3</v>
      </c>
      <c r="G19">
        <v>0</v>
      </c>
      <c r="H19">
        <v>7.0000000000000001E-3</v>
      </c>
      <c r="I19" s="12">
        <f>H19*VLOOKUP(D19,GWPs!$B$3:$C$6,2,FALSE)</f>
        <v>0.19600000000000001</v>
      </c>
      <c r="J19">
        <v>4</v>
      </c>
      <c r="K19">
        <v>2</v>
      </c>
      <c r="L19">
        <v>1</v>
      </c>
      <c r="M19">
        <v>1</v>
      </c>
      <c r="N19">
        <v>1</v>
      </c>
      <c r="P19" t="s">
        <v>44</v>
      </c>
      <c r="Q19">
        <f t="shared" si="0"/>
        <v>0.747</v>
      </c>
      <c r="R19" s="464" t="s">
        <v>4231</v>
      </c>
    </row>
    <row r="20" spans="1:18">
      <c r="A20" t="e">
        <f>_xlfn.IFNA(IF(VLOOKUP(C20,#REF!,1,FALSE)=C20,"No change"),"Changed or new")</f>
        <v>#REF!</v>
      </c>
      <c r="B20" t="s">
        <v>37</v>
      </c>
      <c r="C20" t="s">
        <v>38</v>
      </c>
      <c r="D20" t="s">
        <v>3655</v>
      </c>
      <c r="E20" t="s">
        <v>12</v>
      </c>
      <c r="F20">
        <v>0</v>
      </c>
      <c r="G20">
        <v>0</v>
      </c>
      <c r="H20">
        <v>0</v>
      </c>
      <c r="I20" s="12">
        <f>H20*VLOOKUP(D20,GWPs!$B$3:$C$6,2,FALSE)</f>
        <v>0</v>
      </c>
      <c r="J20">
        <v>4</v>
      </c>
      <c r="K20">
        <v>2</v>
      </c>
      <c r="L20">
        <v>1</v>
      </c>
      <c r="M20">
        <v>4</v>
      </c>
      <c r="N20">
        <v>1</v>
      </c>
      <c r="P20" t="s">
        <v>19</v>
      </c>
      <c r="Q20">
        <f t="shared" si="0"/>
        <v>0.245</v>
      </c>
      <c r="R20" s="464" t="s">
        <v>4230</v>
      </c>
    </row>
    <row r="21" spans="1:18">
      <c r="A21" t="e">
        <f>_xlfn.IFNA(IF(VLOOKUP(C21,#REF!,1,FALSE)=C21,"No change"),"Changed or new")</f>
        <v>#REF!</v>
      </c>
      <c r="B21" t="s">
        <v>37</v>
      </c>
      <c r="C21" t="s">
        <v>38</v>
      </c>
      <c r="D21" t="s">
        <v>15</v>
      </c>
      <c r="E21" t="s">
        <v>16</v>
      </c>
      <c r="F21">
        <v>4.0000000000000001E-3</v>
      </c>
      <c r="G21">
        <v>0</v>
      </c>
      <c r="H21">
        <v>4.0000000000000001E-3</v>
      </c>
      <c r="I21" s="12">
        <f>H21*VLOOKUP(D21,GWPs!$B$3:$C$6,2,FALSE)</f>
        <v>4.0000000000000001E-3</v>
      </c>
      <c r="J21">
        <v>4</v>
      </c>
      <c r="K21">
        <v>2</v>
      </c>
      <c r="L21">
        <v>1</v>
      </c>
      <c r="M21">
        <v>4</v>
      </c>
      <c r="N21">
        <v>1</v>
      </c>
      <c r="P21" t="s">
        <v>149</v>
      </c>
      <c r="Q21">
        <f t="shared" si="0"/>
        <v>0.22800000000000001</v>
      </c>
      <c r="R21" s="464" t="s">
        <v>4230</v>
      </c>
    </row>
    <row r="22" spans="1:18">
      <c r="A22" t="e">
        <f>_xlfn.IFNA(IF(VLOOKUP(C22,#REF!,1,FALSE)=C22,"No change"),"Changed or new")</f>
        <v>#REF!</v>
      </c>
      <c r="B22" t="s">
        <v>39</v>
      </c>
      <c r="C22" t="s">
        <v>40</v>
      </c>
      <c r="D22" t="s">
        <v>3653</v>
      </c>
      <c r="E22" t="s">
        <v>12</v>
      </c>
      <c r="F22">
        <v>2.6680000000000001</v>
      </c>
      <c r="G22">
        <v>0</v>
      </c>
      <c r="H22">
        <v>2.6680000000000001</v>
      </c>
      <c r="I22" s="12">
        <f>H22*VLOOKUP(D22,GWPs!$B$3:$C$6,2,FALSE)</f>
        <v>2.6680000000000001</v>
      </c>
      <c r="J22">
        <v>2</v>
      </c>
      <c r="K22">
        <v>2</v>
      </c>
      <c r="L22">
        <v>1</v>
      </c>
      <c r="M22">
        <v>2</v>
      </c>
      <c r="N22">
        <v>1</v>
      </c>
      <c r="P22" t="s">
        <v>32</v>
      </c>
      <c r="Q22">
        <f t="shared" si="0"/>
        <v>0.309</v>
      </c>
      <c r="R22" s="464" t="s">
        <v>4230</v>
      </c>
    </row>
    <row r="23" spans="1:18">
      <c r="A23" t="e">
        <f>_xlfn.IFNA(IF(VLOOKUP(C23,#REF!,1,FALSE)=C23,"No change"),"Changed or new")</f>
        <v>#REF!</v>
      </c>
      <c r="B23" t="s">
        <v>39</v>
      </c>
      <c r="C23" t="s">
        <v>40</v>
      </c>
      <c r="D23" t="s">
        <v>3654</v>
      </c>
      <c r="E23" t="s">
        <v>12</v>
      </c>
      <c r="F23">
        <v>5.0000000000000001E-3</v>
      </c>
      <c r="G23">
        <v>0</v>
      </c>
      <c r="H23">
        <v>5.0000000000000001E-3</v>
      </c>
      <c r="I23" s="12">
        <f>H23*VLOOKUP(D23,GWPs!$B$3:$C$6,2,FALSE)</f>
        <v>0.14000000000000001</v>
      </c>
      <c r="J23">
        <v>4</v>
      </c>
      <c r="K23">
        <v>2</v>
      </c>
      <c r="L23">
        <v>1</v>
      </c>
      <c r="M23">
        <v>1</v>
      </c>
      <c r="N23">
        <v>1</v>
      </c>
      <c r="P23" t="s">
        <v>119</v>
      </c>
      <c r="Q23">
        <f t="shared" si="0"/>
        <v>0.19600000000000001</v>
      </c>
      <c r="R23" s="464" t="s">
        <v>4230</v>
      </c>
    </row>
    <row r="24" spans="1:18">
      <c r="A24" t="e">
        <f>_xlfn.IFNA(IF(VLOOKUP(C24,#REF!,1,FALSE)=C24,"No change"),"Changed or new")</f>
        <v>#REF!</v>
      </c>
      <c r="B24" t="s">
        <v>39</v>
      </c>
      <c r="C24" t="s">
        <v>40</v>
      </c>
      <c r="D24" t="s">
        <v>3655</v>
      </c>
      <c r="E24" t="s">
        <v>12</v>
      </c>
      <c r="F24">
        <v>0</v>
      </c>
      <c r="G24">
        <v>0</v>
      </c>
      <c r="H24">
        <v>0</v>
      </c>
      <c r="I24" s="12">
        <f>H24*VLOOKUP(D24,GWPs!$B$3:$C$6,2,FALSE)</f>
        <v>0</v>
      </c>
      <c r="J24">
        <v>3</v>
      </c>
      <c r="K24">
        <v>2</v>
      </c>
      <c r="L24">
        <v>1</v>
      </c>
      <c r="M24">
        <v>2</v>
      </c>
      <c r="N24">
        <v>1</v>
      </c>
      <c r="P24" t="s">
        <v>77</v>
      </c>
      <c r="Q24">
        <f t="shared" si="0"/>
        <v>0.22999999999999998</v>
      </c>
      <c r="R24" s="464" t="s">
        <v>4231</v>
      </c>
    </row>
    <row r="25" spans="1:18">
      <c r="A25" t="e">
        <f>_xlfn.IFNA(IF(VLOOKUP(C25,#REF!,1,FALSE)=C25,"No change"),"Changed or new")</f>
        <v>#REF!</v>
      </c>
      <c r="B25" t="s">
        <v>39</v>
      </c>
      <c r="C25" t="s">
        <v>40</v>
      </c>
      <c r="D25" t="s">
        <v>15</v>
      </c>
      <c r="E25" t="s">
        <v>16</v>
      </c>
      <c r="F25">
        <v>0.01</v>
      </c>
      <c r="G25">
        <v>0</v>
      </c>
      <c r="H25">
        <v>0.01</v>
      </c>
      <c r="I25" s="12">
        <f>H25*VLOOKUP(D25,GWPs!$B$3:$C$6,2,FALSE)</f>
        <v>0.01</v>
      </c>
      <c r="J25">
        <v>2</v>
      </c>
      <c r="K25">
        <v>2</v>
      </c>
      <c r="L25">
        <v>1</v>
      </c>
      <c r="M25">
        <v>2</v>
      </c>
      <c r="N25">
        <v>1</v>
      </c>
      <c r="P25" t="s">
        <v>20</v>
      </c>
      <c r="Q25">
        <f t="shared" si="0"/>
        <v>0.20799999999999999</v>
      </c>
      <c r="R25" s="464" t="s">
        <v>4230</v>
      </c>
    </row>
    <row r="26" spans="1:18">
      <c r="A26" t="e">
        <f>_xlfn.IFNA(IF(VLOOKUP(C26,#REF!,1,FALSE)=C26,"No change"),"Changed or new")</f>
        <v>#REF!</v>
      </c>
      <c r="B26" t="s">
        <v>41</v>
      </c>
      <c r="C26" t="s">
        <v>42</v>
      </c>
      <c r="D26" t="s">
        <v>3653</v>
      </c>
      <c r="E26" t="s">
        <v>12</v>
      </c>
      <c r="F26">
        <v>0.23899999999999999</v>
      </c>
      <c r="G26">
        <v>0</v>
      </c>
      <c r="H26">
        <v>0.23899999999999999</v>
      </c>
      <c r="I26" s="12">
        <f>H26*VLOOKUP(D26,GWPs!$B$3:$C$6,2,FALSE)</f>
        <v>0.23899999999999999</v>
      </c>
      <c r="J26">
        <v>3</v>
      </c>
      <c r="K26">
        <v>2</v>
      </c>
      <c r="L26">
        <v>1</v>
      </c>
      <c r="M26">
        <v>4</v>
      </c>
      <c r="N26">
        <v>1</v>
      </c>
      <c r="P26" t="s">
        <v>23</v>
      </c>
      <c r="Q26">
        <f t="shared" si="0"/>
        <v>0.17599999999999999</v>
      </c>
      <c r="R26" s="464" t="s">
        <v>4230</v>
      </c>
    </row>
    <row r="27" spans="1:18">
      <c r="A27" t="e">
        <f>_xlfn.IFNA(IF(VLOOKUP(C27,#REF!,1,FALSE)=C27,"No change"),"Changed or new")</f>
        <v>#REF!</v>
      </c>
      <c r="B27" t="s">
        <v>41</v>
      </c>
      <c r="C27" t="s">
        <v>42</v>
      </c>
      <c r="D27" t="s">
        <v>3654</v>
      </c>
      <c r="E27" t="s">
        <v>12</v>
      </c>
      <c r="F27">
        <v>2E-3</v>
      </c>
      <c r="G27">
        <v>0</v>
      </c>
      <c r="H27">
        <v>2E-3</v>
      </c>
      <c r="I27" s="12">
        <f>H27*VLOOKUP(D27,GWPs!$B$3:$C$6,2,FALSE)</f>
        <v>5.6000000000000001E-2</v>
      </c>
      <c r="J27">
        <v>4</v>
      </c>
      <c r="K27">
        <v>2</v>
      </c>
      <c r="L27">
        <v>1</v>
      </c>
      <c r="M27">
        <v>1</v>
      </c>
      <c r="N27">
        <v>1</v>
      </c>
      <c r="P27" t="s">
        <v>153</v>
      </c>
      <c r="Q27">
        <f t="shared" si="0"/>
        <v>1.9E-2</v>
      </c>
      <c r="R27" s="464" t="s">
        <v>4230</v>
      </c>
    </row>
    <row r="28" spans="1:18">
      <c r="A28" t="e">
        <f>_xlfn.IFNA(IF(VLOOKUP(C28,#REF!,1,FALSE)=C28,"No change"),"Changed or new")</f>
        <v>#REF!</v>
      </c>
      <c r="B28" t="s">
        <v>41</v>
      </c>
      <c r="C28" t="s">
        <v>42</v>
      </c>
      <c r="D28" t="s">
        <v>3655</v>
      </c>
      <c r="E28" t="s">
        <v>12</v>
      </c>
      <c r="F28">
        <v>0</v>
      </c>
      <c r="G28">
        <v>0</v>
      </c>
      <c r="H28">
        <v>0</v>
      </c>
      <c r="I28" s="12">
        <f>H28*VLOOKUP(D28,GWPs!$B$3:$C$6,2,FALSE)</f>
        <v>0</v>
      </c>
      <c r="J28">
        <v>4</v>
      </c>
      <c r="K28">
        <v>2</v>
      </c>
      <c r="L28">
        <v>1</v>
      </c>
      <c r="M28">
        <v>3</v>
      </c>
      <c r="N28">
        <v>1</v>
      </c>
      <c r="P28" t="s">
        <v>117</v>
      </c>
      <c r="Q28">
        <f t="shared" si="0"/>
        <v>3.6000000000000004E-2</v>
      </c>
      <c r="R28" s="464" t="s">
        <v>4230</v>
      </c>
    </row>
    <row r="29" spans="1:18">
      <c r="A29" t="e">
        <f>_xlfn.IFNA(IF(VLOOKUP(C29,#REF!,1,FALSE)=C29,"No change"),"Changed or new")</f>
        <v>#REF!</v>
      </c>
      <c r="B29" t="s">
        <v>41</v>
      </c>
      <c r="C29" t="s">
        <v>42</v>
      </c>
      <c r="D29" t="s">
        <v>15</v>
      </c>
      <c r="E29" t="s">
        <v>16</v>
      </c>
      <c r="F29">
        <v>2.1999999999999999E-2</v>
      </c>
      <c r="G29">
        <v>0</v>
      </c>
      <c r="H29">
        <v>2.1999999999999999E-2</v>
      </c>
      <c r="I29" s="12">
        <f>H29*VLOOKUP(D29,GWPs!$B$3:$C$6,2,FALSE)</f>
        <v>2.1999999999999999E-2</v>
      </c>
      <c r="J29">
        <v>4</v>
      </c>
      <c r="K29">
        <v>2</v>
      </c>
      <c r="L29">
        <v>1</v>
      </c>
      <c r="M29">
        <v>5</v>
      </c>
      <c r="N29">
        <v>1</v>
      </c>
      <c r="P29" t="s">
        <v>22</v>
      </c>
      <c r="Q29">
        <f t="shared" si="0"/>
        <v>5.8000000000000003E-2</v>
      </c>
      <c r="R29" s="464" t="s">
        <v>4230</v>
      </c>
    </row>
    <row r="30" spans="1:18">
      <c r="A30" t="e">
        <f>_xlfn.IFNA(IF(VLOOKUP(C30,#REF!,1,FALSE)=C30,"No change"),"Changed or new")</f>
        <v>#REF!</v>
      </c>
      <c r="B30" t="s">
        <v>43</v>
      </c>
      <c r="C30" t="s">
        <v>44</v>
      </c>
      <c r="D30" t="s">
        <v>3653</v>
      </c>
      <c r="E30" t="s">
        <v>12</v>
      </c>
      <c r="F30">
        <v>0.28799999999999998</v>
      </c>
      <c r="G30">
        <v>1.7999999999999999E-2</v>
      </c>
      <c r="H30">
        <v>0.30599999999999999</v>
      </c>
      <c r="I30" s="12">
        <f>H30*VLOOKUP(D30,GWPs!$B$3:$C$6,2,FALSE)</f>
        <v>0.30599999999999999</v>
      </c>
      <c r="J30">
        <v>3</v>
      </c>
      <c r="K30">
        <v>2</v>
      </c>
      <c r="L30">
        <v>1</v>
      </c>
      <c r="M30">
        <v>4</v>
      </c>
      <c r="N30">
        <v>1</v>
      </c>
      <c r="P30" t="s">
        <v>68</v>
      </c>
      <c r="Q30">
        <f t="shared" si="0"/>
        <v>0.26200000000000001</v>
      </c>
      <c r="R30" s="464" t="s">
        <v>4230</v>
      </c>
    </row>
    <row r="31" spans="1:18">
      <c r="A31" t="e">
        <f>_xlfn.IFNA(IF(VLOOKUP(C31,#REF!,1,FALSE)=C31,"No change"),"Changed or new")</f>
        <v>#REF!</v>
      </c>
      <c r="B31" t="s">
        <v>43</v>
      </c>
      <c r="C31" t="s">
        <v>44</v>
      </c>
      <c r="D31" t="s">
        <v>3654</v>
      </c>
      <c r="E31" t="s">
        <v>12</v>
      </c>
      <c r="F31">
        <v>6.0000000000000001E-3</v>
      </c>
      <c r="G31">
        <v>0</v>
      </c>
      <c r="H31">
        <v>6.0000000000000001E-3</v>
      </c>
      <c r="I31" s="12">
        <f>H31*VLOOKUP(D31,GWPs!$B$3:$C$6,2,FALSE)</f>
        <v>0.16800000000000001</v>
      </c>
      <c r="J31">
        <v>3</v>
      </c>
      <c r="K31">
        <v>2</v>
      </c>
      <c r="L31">
        <v>1</v>
      </c>
      <c r="M31">
        <v>1</v>
      </c>
      <c r="N31">
        <v>1</v>
      </c>
      <c r="P31" t="s">
        <v>128</v>
      </c>
      <c r="Q31">
        <f t="shared" si="0"/>
        <v>0.113</v>
      </c>
      <c r="R31" s="464" t="s">
        <v>4230</v>
      </c>
    </row>
    <row r="32" spans="1:18">
      <c r="A32" t="e">
        <f>_xlfn.IFNA(IF(VLOOKUP(C32,#REF!,1,FALSE)=C32,"No change"),"Changed or new")</f>
        <v>#REF!</v>
      </c>
      <c r="B32" t="s">
        <v>43</v>
      </c>
      <c r="C32" t="s">
        <v>44</v>
      </c>
      <c r="D32" t="s">
        <v>3655</v>
      </c>
      <c r="E32" t="s">
        <v>12</v>
      </c>
      <c r="F32">
        <v>1E-3</v>
      </c>
      <c r="G32">
        <v>0</v>
      </c>
      <c r="H32">
        <v>1E-3</v>
      </c>
      <c r="I32" s="12">
        <f>H32*VLOOKUP(D32,GWPs!$B$3:$C$6,2,FALSE)</f>
        <v>0.26500000000000001</v>
      </c>
      <c r="J32">
        <v>4</v>
      </c>
      <c r="K32">
        <v>2</v>
      </c>
      <c r="L32">
        <v>1</v>
      </c>
      <c r="M32">
        <v>4</v>
      </c>
      <c r="N32">
        <v>1</v>
      </c>
      <c r="P32" t="s">
        <v>36</v>
      </c>
      <c r="Q32">
        <f t="shared" si="0"/>
        <v>1.284</v>
      </c>
      <c r="R32" s="464" t="s">
        <v>4230</v>
      </c>
    </row>
    <row r="33" spans="1:18">
      <c r="A33" t="e">
        <f>_xlfn.IFNA(IF(VLOOKUP(C33,#REF!,1,FALSE)=C33,"No change"),"Changed or new")</f>
        <v>#REF!</v>
      </c>
      <c r="B33" t="s">
        <v>43</v>
      </c>
      <c r="C33" t="s">
        <v>44</v>
      </c>
      <c r="D33" t="s">
        <v>15</v>
      </c>
      <c r="E33" t="s">
        <v>16</v>
      </c>
      <c r="F33">
        <v>8.0000000000000002E-3</v>
      </c>
      <c r="G33">
        <v>0</v>
      </c>
      <c r="H33">
        <v>8.0000000000000002E-3</v>
      </c>
      <c r="I33" s="12">
        <f>H33*VLOOKUP(D33,GWPs!$B$3:$C$6,2,FALSE)</f>
        <v>8.0000000000000002E-3</v>
      </c>
      <c r="J33">
        <v>4</v>
      </c>
      <c r="K33">
        <v>2</v>
      </c>
      <c r="L33">
        <v>1</v>
      </c>
      <c r="M33">
        <v>4</v>
      </c>
      <c r="N33">
        <v>1</v>
      </c>
      <c r="P33" t="s">
        <v>79</v>
      </c>
      <c r="Q33">
        <f t="shared" si="0"/>
        <v>0.157</v>
      </c>
      <c r="R33" s="464" t="s">
        <v>4231</v>
      </c>
    </row>
    <row r="34" spans="1:18">
      <c r="A34" t="e">
        <f>_xlfn.IFNA(IF(VLOOKUP(C34,#REF!,1,FALSE)=C34,"No change"),"Changed or new")</f>
        <v>#REF!</v>
      </c>
      <c r="B34" t="s">
        <v>45</v>
      </c>
      <c r="C34" t="s">
        <v>46</v>
      </c>
      <c r="D34" t="s">
        <v>3653</v>
      </c>
      <c r="E34" t="s">
        <v>12</v>
      </c>
      <c r="F34">
        <v>0.22500000000000001</v>
      </c>
      <c r="G34">
        <v>2.5999999999999999E-2</v>
      </c>
      <c r="H34">
        <v>0.251</v>
      </c>
      <c r="I34" s="12">
        <f>H34*VLOOKUP(D34,GWPs!$B$3:$C$6,2,FALSE)</f>
        <v>0.251</v>
      </c>
      <c r="J34">
        <v>3</v>
      </c>
      <c r="K34">
        <v>2</v>
      </c>
      <c r="L34">
        <v>1</v>
      </c>
      <c r="M34">
        <v>4</v>
      </c>
      <c r="N34">
        <v>1</v>
      </c>
      <c r="P34" t="s">
        <v>124</v>
      </c>
      <c r="Q34">
        <f t="shared" ref="Q34:Q65" si="1">SUMIF(C:C,P34,I:I)</f>
        <v>0.14900000000000002</v>
      </c>
      <c r="R34" s="464" t="s">
        <v>4231</v>
      </c>
    </row>
    <row r="35" spans="1:18">
      <c r="A35" t="e">
        <f>_xlfn.IFNA(IF(VLOOKUP(C35,#REF!,1,FALSE)=C35,"No change"),"Changed or new")</f>
        <v>#REF!</v>
      </c>
      <c r="B35" t="s">
        <v>45</v>
      </c>
      <c r="C35" t="s">
        <v>46</v>
      </c>
      <c r="D35" t="s">
        <v>3654</v>
      </c>
      <c r="E35" t="s">
        <v>12</v>
      </c>
      <c r="F35">
        <v>1E-3</v>
      </c>
      <c r="G35">
        <v>0</v>
      </c>
      <c r="H35">
        <v>1E-3</v>
      </c>
      <c r="I35" s="12">
        <f>H35*VLOOKUP(D35,GWPs!$B$3:$C$6,2,FALSE)</f>
        <v>2.8000000000000001E-2</v>
      </c>
      <c r="J35">
        <v>3</v>
      </c>
      <c r="K35">
        <v>2</v>
      </c>
      <c r="L35">
        <v>1</v>
      </c>
      <c r="M35">
        <v>1</v>
      </c>
      <c r="N35">
        <v>1</v>
      </c>
      <c r="P35" t="s">
        <v>107</v>
      </c>
      <c r="Q35">
        <f t="shared" si="1"/>
        <v>5.8000000000000003E-2</v>
      </c>
      <c r="R35" s="464" t="s">
        <v>4230</v>
      </c>
    </row>
    <row r="36" spans="1:18">
      <c r="A36" t="e">
        <f>_xlfn.IFNA(IF(VLOOKUP(C36,#REF!,1,FALSE)=C36,"No change"),"Changed or new")</f>
        <v>#REF!</v>
      </c>
      <c r="B36" t="s">
        <v>45</v>
      </c>
      <c r="C36" t="s">
        <v>46</v>
      </c>
      <c r="D36" t="s">
        <v>3655</v>
      </c>
      <c r="E36" t="s">
        <v>12</v>
      </c>
      <c r="F36">
        <v>0</v>
      </c>
      <c r="G36">
        <v>0</v>
      </c>
      <c r="H36">
        <v>0</v>
      </c>
      <c r="I36" s="12">
        <f>H36*VLOOKUP(D36,GWPs!$B$3:$C$6,2,FALSE)</f>
        <v>0</v>
      </c>
      <c r="J36">
        <v>4</v>
      </c>
      <c r="K36">
        <v>2</v>
      </c>
      <c r="L36">
        <v>1</v>
      </c>
      <c r="M36">
        <v>3</v>
      </c>
      <c r="N36">
        <v>1</v>
      </c>
      <c r="P36" t="s">
        <v>83</v>
      </c>
      <c r="Q36">
        <f t="shared" si="1"/>
        <v>0.153</v>
      </c>
      <c r="R36" s="464" t="s">
        <v>4230</v>
      </c>
    </row>
    <row r="37" spans="1:18">
      <c r="A37" t="e">
        <f>_xlfn.IFNA(IF(VLOOKUP(C37,#REF!,1,FALSE)=C37,"No change"),"Changed or new")</f>
        <v>#REF!</v>
      </c>
      <c r="B37" t="s">
        <v>45</v>
      </c>
      <c r="C37" t="s">
        <v>46</v>
      </c>
      <c r="D37" t="s">
        <v>15</v>
      </c>
      <c r="E37" t="s">
        <v>16</v>
      </c>
      <c r="F37">
        <v>6.0000000000000001E-3</v>
      </c>
      <c r="G37">
        <v>0</v>
      </c>
      <c r="H37">
        <v>6.0000000000000001E-3</v>
      </c>
      <c r="I37" s="12">
        <f>H37*VLOOKUP(D37,GWPs!$B$3:$C$6,2,FALSE)</f>
        <v>6.0000000000000001E-3</v>
      </c>
      <c r="J37">
        <v>3</v>
      </c>
      <c r="K37">
        <v>2</v>
      </c>
      <c r="L37">
        <v>1</v>
      </c>
      <c r="M37">
        <v>3</v>
      </c>
      <c r="N37">
        <v>1</v>
      </c>
      <c r="P37" t="s">
        <v>74</v>
      </c>
      <c r="Q37">
        <f t="shared" si="1"/>
        <v>0.27900000000000003</v>
      </c>
      <c r="R37" s="464" t="s">
        <v>4230</v>
      </c>
    </row>
    <row r="38" spans="1:18">
      <c r="A38" t="e">
        <f>_xlfn.IFNA(IF(VLOOKUP(C38,#REF!,1,FALSE)=C38,"No change"),"Changed or new")</f>
        <v>#REF!</v>
      </c>
      <c r="B38" t="s">
        <v>47</v>
      </c>
      <c r="C38" t="s">
        <v>48</v>
      </c>
      <c r="D38" t="s">
        <v>3653</v>
      </c>
      <c r="E38" t="s">
        <v>12</v>
      </c>
      <c r="F38">
        <v>5.8000000000000003E-2</v>
      </c>
      <c r="G38">
        <v>2.5999999999999999E-2</v>
      </c>
      <c r="H38">
        <v>8.4000000000000005E-2</v>
      </c>
      <c r="I38" s="12">
        <f>H38*VLOOKUP(D38,GWPs!$B$3:$C$6,2,FALSE)</f>
        <v>8.4000000000000005E-2</v>
      </c>
      <c r="J38">
        <v>3</v>
      </c>
      <c r="K38">
        <v>2</v>
      </c>
      <c r="L38">
        <v>1</v>
      </c>
      <c r="M38">
        <v>3</v>
      </c>
      <c r="N38">
        <v>1</v>
      </c>
      <c r="P38" t="s">
        <v>62</v>
      </c>
      <c r="Q38">
        <f t="shared" si="1"/>
        <v>0.80200000000000005</v>
      </c>
      <c r="R38" s="464" t="s">
        <v>4230</v>
      </c>
    </row>
    <row r="39" spans="1:18">
      <c r="A39" t="e">
        <f>_xlfn.IFNA(IF(VLOOKUP(C39,#REF!,1,FALSE)=C39,"No change"),"Changed or new")</f>
        <v>#REF!</v>
      </c>
      <c r="B39" t="s">
        <v>47</v>
      </c>
      <c r="C39" t="s">
        <v>48</v>
      </c>
      <c r="D39" t="s">
        <v>3654</v>
      </c>
      <c r="E39" t="s">
        <v>12</v>
      </c>
      <c r="F39">
        <v>0</v>
      </c>
      <c r="G39">
        <v>0</v>
      </c>
      <c r="H39">
        <v>1E-3</v>
      </c>
      <c r="I39" s="12">
        <f>H39*VLOOKUP(D39,GWPs!$B$3:$C$6,2,FALSE)</f>
        <v>2.8000000000000001E-2</v>
      </c>
      <c r="J39">
        <v>3</v>
      </c>
      <c r="K39">
        <v>2</v>
      </c>
      <c r="L39">
        <v>1</v>
      </c>
      <c r="M39">
        <v>1</v>
      </c>
      <c r="N39">
        <v>1</v>
      </c>
      <c r="P39" t="s">
        <v>139</v>
      </c>
      <c r="Q39">
        <f t="shared" si="1"/>
        <v>0.16700000000000001</v>
      </c>
      <c r="R39" s="464" t="s">
        <v>4231</v>
      </c>
    </row>
    <row r="40" spans="1:18">
      <c r="A40" t="e">
        <f>_xlfn.IFNA(IF(VLOOKUP(C40,#REF!,1,FALSE)=C40,"No change"),"Changed or new")</f>
        <v>#REF!</v>
      </c>
      <c r="B40" t="s">
        <v>47</v>
      </c>
      <c r="C40" t="s">
        <v>48</v>
      </c>
      <c r="D40" t="s">
        <v>3655</v>
      </c>
      <c r="E40" t="s">
        <v>12</v>
      </c>
      <c r="F40">
        <v>0</v>
      </c>
      <c r="G40">
        <v>0</v>
      </c>
      <c r="H40">
        <v>0</v>
      </c>
      <c r="I40" s="12">
        <f>H40*VLOOKUP(D40,GWPs!$B$3:$C$6,2,FALSE)</f>
        <v>0</v>
      </c>
      <c r="J40">
        <v>4</v>
      </c>
      <c r="K40">
        <v>2</v>
      </c>
      <c r="L40">
        <v>1</v>
      </c>
      <c r="M40">
        <v>4</v>
      </c>
      <c r="N40">
        <v>1</v>
      </c>
      <c r="P40" t="s">
        <v>34</v>
      </c>
      <c r="Q40">
        <f t="shared" si="1"/>
        <v>1.1659999999999999</v>
      </c>
      <c r="R40" s="464" t="s">
        <v>4230</v>
      </c>
    </row>
    <row r="41" spans="1:18">
      <c r="A41" t="e">
        <f>_xlfn.IFNA(IF(VLOOKUP(C41,#REF!,1,FALSE)=C41,"No change"),"Changed or new")</f>
        <v>#REF!</v>
      </c>
      <c r="B41" t="s">
        <v>47</v>
      </c>
      <c r="C41" t="s">
        <v>48</v>
      </c>
      <c r="D41" t="s">
        <v>15</v>
      </c>
      <c r="E41" t="s">
        <v>16</v>
      </c>
      <c r="F41">
        <v>3.0000000000000001E-3</v>
      </c>
      <c r="G41">
        <v>0</v>
      </c>
      <c r="H41">
        <v>3.0000000000000001E-3</v>
      </c>
      <c r="I41" s="12">
        <f>H41*VLOOKUP(D41,GWPs!$B$3:$C$6,2,FALSE)</f>
        <v>3.0000000000000001E-3</v>
      </c>
      <c r="J41">
        <v>4</v>
      </c>
      <c r="K41">
        <v>2</v>
      </c>
      <c r="L41">
        <v>1</v>
      </c>
      <c r="M41">
        <v>4</v>
      </c>
      <c r="N41">
        <v>1</v>
      </c>
      <c r="P41" t="s">
        <v>21</v>
      </c>
      <c r="Q41">
        <f t="shared" si="1"/>
        <v>0.39100000000000001</v>
      </c>
      <c r="R41" s="464" t="s">
        <v>4230</v>
      </c>
    </row>
    <row r="42" spans="1:18">
      <c r="A42" t="e">
        <f>_xlfn.IFNA(IF(VLOOKUP(C42,#REF!,1,FALSE)=C42,"No change"),"Changed or new")</f>
        <v>#REF!</v>
      </c>
      <c r="B42" t="s">
        <v>49</v>
      </c>
      <c r="C42" t="s">
        <v>50</v>
      </c>
      <c r="D42" t="s">
        <v>3653</v>
      </c>
      <c r="E42" t="s">
        <v>12</v>
      </c>
      <c r="F42">
        <v>0.19800000000000001</v>
      </c>
      <c r="G42">
        <v>2.5000000000000001E-2</v>
      </c>
      <c r="H42">
        <v>0.222</v>
      </c>
      <c r="I42" s="12">
        <f>H42*VLOOKUP(D42,GWPs!$B$3:$C$6,2,FALSE)</f>
        <v>0.222</v>
      </c>
      <c r="J42">
        <v>3</v>
      </c>
      <c r="K42">
        <v>2</v>
      </c>
      <c r="L42">
        <v>1</v>
      </c>
      <c r="M42">
        <v>3</v>
      </c>
      <c r="N42">
        <v>1</v>
      </c>
      <c r="P42" t="s">
        <v>103</v>
      </c>
      <c r="Q42">
        <f t="shared" si="1"/>
        <v>0.17199999999999999</v>
      </c>
      <c r="R42" s="464" t="s">
        <v>4230</v>
      </c>
    </row>
    <row r="43" spans="1:18">
      <c r="A43" t="e">
        <f>_xlfn.IFNA(IF(VLOOKUP(C43,#REF!,1,FALSE)=C43,"No change"),"Changed or new")</f>
        <v>#REF!</v>
      </c>
      <c r="B43" t="s">
        <v>49</v>
      </c>
      <c r="C43" t="s">
        <v>50</v>
      </c>
      <c r="D43" t="s">
        <v>3654</v>
      </c>
      <c r="E43" t="s">
        <v>12</v>
      </c>
      <c r="F43">
        <v>1E-3</v>
      </c>
      <c r="G43">
        <v>0</v>
      </c>
      <c r="H43">
        <v>1E-3</v>
      </c>
      <c r="I43" s="12">
        <f>H43*VLOOKUP(D43,GWPs!$B$3:$C$6,2,FALSE)</f>
        <v>2.8000000000000001E-2</v>
      </c>
      <c r="J43">
        <v>3</v>
      </c>
      <c r="K43">
        <v>2</v>
      </c>
      <c r="L43">
        <v>1</v>
      </c>
      <c r="M43">
        <v>1</v>
      </c>
      <c r="N43">
        <v>1</v>
      </c>
      <c r="P43" t="s">
        <v>151</v>
      </c>
      <c r="Q43">
        <f t="shared" si="1"/>
        <v>0.154</v>
      </c>
      <c r="R43" s="464" t="s">
        <v>4231</v>
      </c>
    </row>
    <row r="44" spans="1:18">
      <c r="A44" t="e">
        <f>_xlfn.IFNA(IF(VLOOKUP(C44,#REF!,1,FALSE)=C44,"No change"),"Changed or new")</f>
        <v>#REF!</v>
      </c>
      <c r="B44" t="s">
        <v>49</v>
      </c>
      <c r="C44" t="s">
        <v>50</v>
      </c>
      <c r="D44" t="s">
        <v>3655</v>
      </c>
      <c r="E44" t="s">
        <v>12</v>
      </c>
      <c r="F44">
        <v>0</v>
      </c>
      <c r="G44">
        <v>0</v>
      </c>
      <c r="H44">
        <v>0</v>
      </c>
      <c r="I44" s="12">
        <f>H44*VLOOKUP(D44,GWPs!$B$3:$C$6,2,FALSE)</f>
        <v>0</v>
      </c>
      <c r="J44">
        <v>4</v>
      </c>
      <c r="K44">
        <v>2</v>
      </c>
      <c r="L44">
        <v>1</v>
      </c>
      <c r="M44">
        <v>3</v>
      </c>
      <c r="N44">
        <v>1</v>
      </c>
      <c r="P44" t="s">
        <v>99</v>
      </c>
      <c r="Q44">
        <f t="shared" si="1"/>
        <v>0.41399999999999998</v>
      </c>
      <c r="R44" s="464" t="s">
        <v>4230</v>
      </c>
    </row>
    <row r="45" spans="1:18">
      <c r="A45" t="e">
        <f>_xlfn.IFNA(IF(VLOOKUP(C45,#REF!,1,FALSE)=C45,"No change"),"Changed or new")</f>
        <v>#REF!</v>
      </c>
      <c r="B45" t="s">
        <v>49</v>
      </c>
      <c r="C45" t="s">
        <v>50</v>
      </c>
      <c r="D45" t="s">
        <v>15</v>
      </c>
      <c r="E45" t="s">
        <v>16</v>
      </c>
      <c r="F45">
        <v>1.0999999999999999E-2</v>
      </c>
      <c r="G45">
        <v>0</v>
      </c>
      <c r="H45">
        <v>1.0999999999999999E-2</v>
      </c>
      <c r="I45" s="12">
        <f>H45*VLOOKUP(D45,GWPs!$B$3:$C$6,2,FALSE)</f>
        <v>1.0999999999999999E-2</v>
      </c>
      <c r="J45">
        <v>4</v>
      </c>
      <c r="K45">
        <v>2</v>
      </c>
      <c r="L45">
        <v>1</v>
      </c>
      <c r="M45">
        <v>5</v>
      </c>
      <c r="N45">
        <v>1</v>
      </c>
      <c r="P45" t="s">
        <v>18</v>
      </c>
      <c r="Q45">
        <f t="shared" si="1"/>
        <v>0.17499999999999999</v>
      </c>
      <c r="R45" s="464" t="s">
        <v>4230</v>
      </c>
    </row>
    <row r="46" spans="1:18">
      <c r="A46" t="e">
        <f>_xlfn.IFNA(IF(VLOOKUP(C46,#REF!,1,FALSE)=C46,"No change"),"Changed or new")</f>
        <v>#REF!</v>
      </c>
      <c r="B46" t="s">
        <v>51</v>
      </c>
      <c r="C46" t="s">
        <v>52</v>
      </c>
      <c r="D46" t="s">
        <v>3653</v>
      </c>
      <c r="E46" t="s">
        <v>12</v>
      </c>
      <c r="F46">
        <v>0.46700000000000003</v>
      </c>
      <c r="G46">
        <v>2.5999999999999999E-2</v>
      </c>
      <c r="H46">
        <v>0.49399999999999999</v>
      </c>
      <c r="I46" s="12">
        <f>H46*VLOOKUP(D46,GWPs!$B$3:$C$6,2,FALSE)</f>
        <v>0.49399999999999999</v>
      </c>
      <c r="J46">
        <v>3</v>
      </c>
      <c r="K46">
        <v>2</v>
      </c>
      <c r="L46">
        <v>1</v>
      </c>
      <c r="M46">
        <v>4</v>
      </c>
      <c r="N46">
        <v>1</v>
      </c>
      <c r="P46" t="s">
        <v>52</v>
      </c>
      <c r="Q46">
        <f t="shared" si="1"/>
        <v>0.55600000000000005</v>
      </c>
      <c r="R46" s="464" t="s">
        <v>4231</v>
      </c>
    </row>
    <row r="47" spans="1:18">
      <c r="A47" t="e">
        <f>_xlfn.IFNA(IF(VLOOKUP(C47,#REF!,1,FALSE)=C47,"No change"),"Changed or new")</f>
        <v>#REF!</v>
      </c>
      <c r="B47" t="s">
        <v>51</v>
      </c>
      <c r="C47" t="s">
        <v>52</v>
      </c>
      <c r="D47" t="s">
        <v>3654</v>
      </c>
      <c r="E47" t="s">
        <v>12</v>
      </c>
      <c r="F47">
        <v>1E-3</v>
      </c>
      <c r="G47">
        <v>0</v>
      </c>
      <c r="H47">
        <v>2E-3</v>
      </c>
      <c r="I47" s="12">
        <f>H47*VLOOKUP(D47,GWPs!$B$3:$C$6,2,FALSE)</f>
        <v>5.6000000000000001E-2</v>
      </c>
      <c r="J47">
        <v>3</v>
      </c>
      <c r="K47">
        <v>2</v>
      </c>
      <c r="L47">
        <v>1</v>
      </c>
      <c r="M47">
        <v>1</v>
      </c>
      <c r="N47">
        <v>1</v>
      </c>
      <c r="P47" t="s">
        <v>143</v>
      </c>
      <c r="Q47">
        <f t="shared" si="1"/>
        <v>6.8000000000000005E-2</v>
      </c>
      <c r="R47" s="464" t="s">
        <v>4230</v>
      </c>
    </row>
    <row r="48" spans="1:18">
      <c r="A48" t="e">
        <f>_xlfn.IFNA(IF(VLOOKUP(C48,#REF!,1,FALSE)=C48,"No change"),"Changed or new")</f>
        <v>#REF!</v>
      </c>
      <c r="B48" t="s">
        <v>51</v>
      </c>
      <c r="C48" t="s">
        <v>52</v>
      </c>
      <c r="D48" t="s">
        <v>3655</v>
      </c>
      <c r="E48" t="s">
        <v>12</v>
      </c>
      <c r="F48">
        <v>0</v>
      </c>
      <c r="G48">
        <v>0</v>
      </c>
      <c r="H48">
        <v>0</v>
      </c>
      <c r="I48" s="12">
        <f>H48*VLOOKUP(D48,GWPs!$B$3:$C$6,2,FALSE)</f>
        <v>0</v>
      </c>
      <c r="J48">
        <v>3</v>
      </c>
      <c r="K48">
        <v>2</v>
      </c>
      <c r="L48">
        <v>1</v>
      </c>
      <c r="M48">
        <v>3</v>
      </c>
      <c r="N48">
        <v>1</v>
      </c>
      <c r="P48" t="s">
        <v>56</v>
      </c>
      <c r="Q48">
        <f t="shared" si="1"/>
        <v>1.0549999999999999</v>
      </c>
      <c r="R48" s="464" t="s">
        <v>4230</v>
      </c>
    </row>
    <row r="49" spans="1:18">
      <c r="A49" t="e">
        <f>_xlfn.IFNA(IF(VLOOKUP(C49,#REF!,1,FALSE)=C49,"No change"),"Changed or new")</f>
        <v>#REF!</v>
      </c>
      <c r="B49" t="s">
        <v>51</v>
      </c>
      <c r="C49" t="s">
        <v>52</v>
      </c>
      <c r="D49" t="s">
        <v>15</v>
      </c>
      <c r="E49" t="s">
        <v>16</v>
      </c>
      <c r="F49">
        <v>6.0000000000000001E-3</v>
      </c>
      <c r="G49">
        <v>0</v>
      </c>
      <c r="H49">
        <v>6.0000000000000001E-3</v>
      </c>
      <c r="I49" s="12">
        <f>H49*VLOOKUP(D49,GWPs!$B$3:$C$6,2,FALSE)</f>
        <v>6.0000000000000001E-3</v>
      </c>
      <c r="J49">
        <v>3</v>
      </c>
      <c r="K49">
        <v>2</v>
      </c>
      <c r="L49">
        <v>1</v>
      </c>
      <c r="M49">
        <v>4</v>
      </c>
      <c r="N49">
        <v>1</v>
      </c>
      <c r="P49" t="s">
        <v>97</v>
      </c>
      <c r="Q49">
        <f t="shared" si="1"/>
        <v>1.879</v>
      </c>
      <c r="R49" s="464" t="s">
        <v>4230</v>
      </c>
    </row>
    <row r="50" spans="1:18">
      <c r="A50" t="e">
        <f>_xlfn.IFNA(IF(VLOOKUP(C50,#REF!,1,FALSE)=C50,"No change"),"Changed or new")</f>
        <v>#REF!</v>
      </c>
      <c r="B50" t="s">
        <v>53</v>
      </c>
      <c r="C50" t="s">
        <v>54</v>
      </c>
      <c r="D50" t="s">
        <v>3653</v>
      </c>
      <c r="E50" t="s">
        <v>12</v>
      </c>
      <c r="F50">
        <v>0.249</v>
      </c>
      <c r="G50">
        <v>2.3E-2</v>
      </c>
      <c r="H50">
        <v>0.27300000000000002</v>
      </c>
      <c r="I50" s="12">
        <f>H50*VLOOKUP(D50,GWPs!$B$3:$C$6,2,FALSE)</f>
        <v>0.27300000000000002</v>
      </c>
      <c r="J50">
        <v>3</v>
      </c>
      <c r="K50">
        <v>2</v>
      </c>
      <c r="L50">
        <v>1</v>
      </c>
      <c r="M50">
        <v>4</v>
      </c>
      <c r="N50">
        <v>1</v>
      </c>
      <c r="P50" t="s">
        <v>60</v>
      </c>
      <c r="Q50">
        <f t="shared" si="1"/>
        <v>0.35300000000000004</v>
      </c>
      <c r="R50" s="464" t="s">
        <v>4230</v>
      </c>
    </row>
    <row r="51" spans="1:18">
      <c r="A51" t="e">
        <f>_xlfn.IFNA(IF(VLOOKUP(C51,#REF!,1,FALSE)=C51,"No change"),"Changed or new")</f>
        <v>#REF!</v>
      </c>
      <c r="B51" t="s">
        <v>53</v>
      </c>
      <c r="C51" t="s">
        <v>54</v>
      </c>
      <c r="D51" t="s">
        <v>3654</v>
      </c>
      <c r="E51" t="s">
        <v>12</v>
      </c>
      <c r="F51">
        <v>1E-3</v>
      </c>
      <c r="G51">
        <v>0</v>
      </c>
      <c r="H51">
        <v>1E-3</v>
      </c>
      <c r="I51" s="12">
        <f>H51*VLOOKUP(D51,GWPs!$B$3:$C$6,2,FALSE)</f>
        <v>2.8000000000000001E-2</v>
      </c>
      <c r="J51">
        <v>3</v>
      </c>
      <c r="K51">
        <v>2</v>
      </c>
      <c r="L51">
        <v>1</v>
      </c>
      <c r="M51">
        <v>1</v>
      </c>
      <c r="N51">
        <v>1</v>
      </c>
      <c r="P51" t="s">
        <v>64</v>
      </c>
      <c r="Q51">
        <f t="shared" si="1"/>
        <v>0.80700000000000005</v>
      </c>
      <c r="R51" s="464" t="s">
        <v>4230</v>
      </c>
    </row>
    <row r="52" spans="1:18">
      <c r="A52" t="e">
        <f>_xlfn.IFNA(IF(VLOOKUP(C52,#REF!,1,FALSE)=C52,"No change"),"Changed or new")</f>
        <v>#REF!</v>
      </c>
      <c r="B52" t="s">
        <v>53</v>
      </c>
      <c r="C52" t="s">
        <v>54</v>
      </c>
      <c r="D52" t="s">
        <v>3655</v>
      </c>
      <c r="E52" t="s">
        <v>12</v>
      </c>
      <c r="F52">
        <v>0</v>
      </c>
      <c r="G52">
        <v>0</v>
      </c>
      <c r="H52">
        <v>0</v>
      </c>
      <c r="I52" s="12">
        <f>H52*VLOOKUP(D52,GWPs!$B$3:$C$6,2,FALSE)</f>
        <v>0</v>
      </c>
      <c r="J52">
        <v>3</v>
      </c>
      <c r="K52">
        <v>2</v>
      </c>
      <c r="L52">
        <v>1</v>
      </c>
      <c r="M52">
        <v>3</v>
      </c>
      <c r="N52">
        <v>1</v>
      </c>
      <c r="P52" t="s">
        <v>54</v>
      </c>
      <c r="Q52">
        <f t="shared" si="1"/>
        <v>0.30500000000000005</v>
      </c>
      <c r="R52" s="464" t="s">
        <v>4230</v>
      </c>
    </row>
    <row r="53" spans="1:18">
      <c r="A53" t="e">
        <f>_xlfn.IFNA(IF(VLOOKUP(C53,#REF!,1,FALSE)=C53,"No change"),"Changed or new")</f>
        <v>#REF!</v>
      </c>
      <c r="B53" t="s">
        <v>53</v>
      </c>
      <c r="C53" t="s">
        <v>54</v>
      </c>
      <c r="D53" t="s">
        <v>15</v>
      </c>
      <c r="E53" t="s">
        <v>16</v>
      </c>
      <c r="F53">
        <v>4.0000000000000001E-3</v>
      </c>
      <c r="G53">
        <v>0</v>
      </c>
      <c r="H53">
        <v>4.0000000000000001E-3</v>
      </c>
      <c r="I53" s="12">
        <f>H53*VLOOKUP(D53,GWPs!$B$3:$C$6,2,FALSE)</f>
        <v>4.0000000000000001E-3</v>
      </c>
      <c r="J53">
        <v>3</v>
      </c>
      <c r="K53">
        <v>2</v>
      </c>
      <c r="L53">
        <v>1</v>
      </c>
      <c r="M53">
        <v>4</v>
      </c>
      <c r="N53">
        <v>1</v>
      </c>
      <c r="P53" t="s">
        <v>105</v>
      </c>
      <c r="Q53">
        <f t="shared" si="1"/>
        <v>6.7000000000000004E-2</v>
      </c>
      <c r="R53" s="464" t="s">
        <v>4231</v>
      </c>
    </row>
    <row r="54" spans="1:18">
      <c r="A54" t="e">
        <f>_xlfn.IFNA(IF(VLOOKUP(C54,#REF!,1,FALSE)=C54,"No change"),"Changed or new")</f>
        <v>#REF!</v>
      </c>
      <c r="B54" t="s">
        <v>55</v>
      </c>
      <c r="C54" t="s">
        <v>56</v>
      </c>
      <c r="D54" t="s">
        <v>3653</v>
      </c>
      <c r="E54" t="s">
        <v>12</v>
      </c>
      <c r="F54">
        <v>0.60899999999999999</v>
      </c>
      <c r="G54">
        <v>2.3E-2</v>
      </c>
      <c r="H54">
        <v>0.63200000000000001</v>
      </c>
      <c r="I54" s="12">
        <f>H54*VLOOKUP(D54,GWPs!$B$3:$C$6,2,FALSE)</f>
        <v>0.63200000000000001</v>
      </c>
      <c r="J54">
        <v>4</v>
      </c>
      <c r="K54">
        <v>2</v>
      </c>
      <c r="L54">
        <v>1</v>
      </c>
      <c r="M54">
        <v>3</v>
      </c>
      <c r="N54">
        <v>1</v>
      </c>
      <c r="P54" t="s">
        <v>89</v>
      </c>
      <c r="Q54">
        <f t="shared" si="1"/>
        <v>0.71500000000000008</v>
      </c>
      <c r="R54" s="464" t="s">
        <v>4230</v>
      </c>
    </row>
    <row r="55" spans="1:18">
      <c r="A55" t="e">
        <f>_xlfn.IFNA(IF(VLOOKUP(C55,#REF!,1,FALSE)=C55,"No change"),"Changed or new")</f>
        <v>#REF!</v>
      </c>
      <c r="B55" t="s">
        <v>55</v>
      </c>
      <c r="C55" t="s">
        <v>56</v>
      </c>
      <c r="D55" t="s">
        <v>3654</v>
      </c>
      <c r="E55" t="s">
        <v>12</v>
      </c>
      <c r="F55">
        <v>1.4999999999999999E-2</v>
      </c>
      <c r="G55">
        <v>0</v>
      </c>
      <c r="H55">
        <v>1.4999999999999999E-2</v>
      </c>
      <c r="I55" s="12">
        <f>H55*VLOOKUP(D55,GWPs!$B$3:$C$6,2,FALSE)</f>
        <v>0.42</v>
      </c>
      <c r="J55">
        <v>4</v>
      </c>
      <c r="K55">
        <v>2</v>
      </c>
      <c r="L55">
        <v>1</v>
      </c>
      <c r="M55">
        <v>1</v>
      </c>
      <c r="N55">
        <v>1</v>
      </c>
      <c r="P55" t="s">
        <v>121</v>
      </c>
      <c r="Q55">
        <f t="shared" si="1"/>
        <v>0.13700000000000001</v>
      </c>
      <c r="R55" s="464" t="s">
        <v>4230</v>
      </c>
    </row>
    <row r="56" spans="1:18">
      <c r="A56" t="e">
        <f>_xlfn.IFNA(IF(VLOOKUP(C56,#REF!,1,FALSE)=C56,"No change"),"Changed or new")</f>
        <v>#REF!</v>
      </c>
      <c r="B56" t="s">
        <v>55</v>
      </c>
      <c r="C56" t="s">
        <v>56</v>
      </c>
      <c r="D56" t="s">
        <v>3655</v>
      </c>
      <c r="E56" t="s">
        <v>12</v>
      </c>
      <c r="F56">
        <v>0</v>
      </c>
      <c r="G56">
        <v>0</v>
      </c>
      <c r="H56">
        <v>0</v>
      </c>
      <c r="I56" s="12">
        <f>H56*VLOOKUP(D56,GWPs!$B$3:$C$6,2,FALSE)</f>
        <v>0</v>
      </c>
      <c r="J56">
        <v>3</v>
      </c>
      <c r="K56">
        <v>2</v>
      </c>
      <c r="L56">
        <v>1</v>
      </c>
      <c r="M56">
        <v>3</v>
      </c>
      <c r="N56">
        <v>1</v>
      </c>
      <c r="P56" t="s">
        <v>115</v>
      </c>
      <c r="Q56">
        <f t="shared" si="1"/>
        <v>8.5000000000000006E-2</v>
      </c>
      <c r="R56" s="464" t="s">
        <v>4230</v>
      </c>
    </row>
    <row r="57" spans="1:18">
      <c r="A57" t="e">
        <f>_xlfn.IFNA(IF(VLOOKUP(C57,#REF!,1,FALSE)=C57,"No change"),"Changed or new")</f>
        <v>#REF!</v>
      </c>
      <c r="B57" t="s">
        <v>55</v>
      </c>
      <c r="C57" t="s">
        <v>56</v>
      </c>
      <c r="D57" t="s">
        <v>15</v>
      </c>
      <c r="E57" t="s">
        <v>16</v>
      </c>
      <c r="F57">
        <v>3.0000000000000001E-3</v>
      </c>
      <c r="G57">
        <v>0</v>
      </c>
      <c r="H57">
        <v>3.0000000000000001E-3</v>
      </c>
      <c r="I57" s="12">
        <f>H57*VLOOKUP(D57,GWPs!$B$3:$C$6,2,FALSE)</f>
        <v>3.0000000000000001E-3</v>
      </c>
      <c r="J57">
        <v>4</v>
      </c>
      <c r="K57">
        <v>2</v>
      </c>
      <c r="L57">
        <v>1</v>
      </c>
      <c r="M57">
        <v>4</v>
      </c>
      <c r="N57">
        <v>1</v>
      </c>
      <c r="P57" t="s">
        <v>141</v>
      </c>
      <c r="Q57">
        <f t="shared" si="1"/>
        <v>0.17599999999999999</v>
      </c>
      <c r="R57" s="464" t="s">
        <v>4230</v>
      </c>
    </row>
    <row r="58" spans="1:18">
      <c r="A58" t="e">
        <f>_xlfn.IFNA(IF(VLOOKUP(C58,#REF!,1,FALSE)=C58,"No change"),"Changed or new")</f>
        <v>#REF!</v>
      </c>
      <c r="B58" t="s">
        <v>57</v>
      </c>
      <c r="C58" t="s">
        <v>58</v>
      </c>
      <c r="D58" t="s">
        <v>3653</v>
      </c>
      <c r="E58" t="s">
        <v>12</v>
      </c>
      <c r="F58">
        <v>0.45900000000000002</v>
      </c>
      <c r="G58">
        <v>1.7999999999999999E-2</v>
      </c>
      <c r="H58">
        <v>0.47699999999999998</v>
      </c>
      <c r="I58" s="12">
        <f>H58*VLOOKUP(D58,GWPs!$B$3:$C$6,2,FALSE)</f>
        <v>0.47699999999999998</v>
      </c>
      <c r="J58">
        <v>4</v>
      </c>
      <c r="K58">
        <v>2</v>
      </c>
      <c r="L58">
        <v>1</v>
      </c>
      <c r="M58">
        <v>4</v>
      </c>
      <c r="N58">
        <v>1</v>
      </c>
      <c r="P58" t="s">
        <v>38</v>
      </c>
      <c r="Q58">
        <f t="shared" si="1"/>
        <v>0.58800000000000008</v>
      </c>
      <c r="R58" s="464" t="s">
        <v>4230</v>
      </c>
    </row>
    <row r="59" spans="1:18">
      <c r="A59" t="e">
        <f>_xlfn.IFNA(IF(VLOOKUP(C59,#REF!,1,FALSE)=C59,"No change"),"Changed or new")</f>
        <v>#REF!</v>
      </c>
      <c r="B59" t="s">
        <v>57</v>
      </c>
      <c r="C59" t="s">
        <v>58</v>
      </c>
      <c r="D59" t="s">
        <v>3654</v>
      </c>
      <c r="E59" t="s">
        <v>12</v>
      </c>
      <c r="F59">
        <v>2E-3</v>
      </c>
      <c r="G59">
        <v>0</v>
      </c>
      <c r="H59">
        <v>2E-3</v>
      </c>
      <c r="I59" s="12">
        <f>H59*VLOOKUP(D59,GWPs!$B$3:$C$6,2,FALSE)</f>
        <v>5.6000000000000001E-2</v>
      </c>
      <c r="J59">
        <v>4</v>
      </c>
      <c r="K59">
        <v>2</v>
      </c>
      <c r="L59">
        <v>1</v>
      </c>
      <c r="M59">
        <v>1</v>
      </c>
      <c r="N59">
        <v>1</v>
      </c>
      <c r="P59" t="s">
        <v>46</v>
      </c>
      <c r="Q59">
        <f t="shared" si="1"/>
        <v>0.28500000000000003</v>
      </c>
      <c r="R59" s="464" t="s">
        <v>4231</v>
      </c>
    </row>
    <row r="60" spans="1:18">
      <c r="A60" t="e">
        <f>_xlfn.IFNA(IF(VLOOKUP(C60,#REF!,1,FALSE)=C60,"No change"),"Changed or new")</f>
        <v>#REF!</v>
      </c>
      <c r="B60" t="s">
        <v>57</v>
      </c>
      <c r="C60" t="s">
        <v>58</v>
      </c>
      <c r="D60" t="s">
        <v>3655</v>
      </c>
      <c r="E60" t="s">
        <v>12</v>
      </c>
      <c r="F60">
        <v>0</v>
      </c>
      <c r="G60">
        <v>0</v>
      </c>
      <c r="H60">
        <v>0</v>
      </c>
      <c r="I60" s="12">
        <f>H60*VLOOKUP(D60,GWPs!$B$3:$C$6,2,FALSE)</f>
        <v>0</v>
      </c>
      <c r="J60">
        <v>3</v>
      </c>
      <c r="K60">
        <v>2</v>
      </c>
      <c r="L60">
        <v>1</v>
      </c>
      <c r="M60">
        <v>2</v>
      </c>
      <c r="N60">
        <v>1</v>
      </c>
      <c r="P60" t="s">
        <v>95</v>
      </c>
      <c r="Q60">
        <f t="shared" si="1"/>
        <v>0.38600000000000001</v>
      </c>
      <c r="R60" s="464" t="s">
        <v>4230</v>
      </c>
    </row>
    <row r="61" spans="1:18">
      <c r="A61" t="e">
        <f>_xlfn.IFNA(IF(VLOOKUP(C61,#REF!,1,FALSE)=C61,"No change"),"Changed or new")</f>
        <v>#REF!</v>
      </c>
      <c r="B61" t="s">
        <v>57</v>
      </c>
      <c r="C61" t="s">
        <v>58</v>
      </c>
      <c r="D61" t="s">
        <v>15</v>
      </c>
      <c r="E61" t="s">
        <v>16</v>
      </c>
      <c r="F61">
        <v>0.01</v>
      </c>
      <c r="G61">
        <v>0</v>
      </c>
      <c r="H61">
        <v>0.01</v>
      </c>
      <c r="I61" s="12">
        <f>H61*VLOOKUP(D61,GWPs!$B$3:$C$6,2,FALSE)</f>
        <v>0.01</v>
      </c>
      <c r="J61">
        <v>3</v>
      </c>
      <c r="K61">
        <v>2</v>
      </c>
      <c r="L61">
        <v>1</v>
      </c>
      <c r="M61">
        <v>3</v>
      </c>
      <c r="N61">
        <v>1</v>
      </c>
      <c r="P61" t="s">
        <v>93</v>
      </c>
      <c r="Q61">
        <f t="shared" si="1"/>
        <v>1.345</v>
      </c>
      <c r="R61" s="464" t="s">
        <v>4230</v>
      </c>
    </row>
    <row r="62" spans="1:18">
      <c r="A62" t="e">
        <f>_xlfn.IFNA(IF(VLOOKUP(C62,#REF!,1,FALSE)=C62,"No change"),"Changed or new")</f>
        <v>#REF!</v>
      </c>
      <c r="B62" t="s">
        <v>59</v>
      </c>
      <c r="C62" t="s">
        <v>60</v>
      </c>
      <c r="D62" t="s">
        <v>3653</v>
      </c>
      <c r="E62" t="s">
        <v>12</v>
      </c>
      <c r="F62">
        <v>0.30099999999999999</v>
      </c>
      <c r="G62">
        <v>1.2999999999999999E-2</v>
      </c>
      <c r="H62">
        <v>0.314</v>
      </c>
      <c r="I62" s="12">
        <f>H62*VLOOKUP(D62,GWPs!$B$3:$C$6,2,FALSE)</f>
        <v>0.314</v>
      </c>
      <c r="J62">
        <v>3</v>
      </c>
      <c r="K62">
        <v>2</v>
      </c>
      <c r="L62">
        <v>1</v>
      </c>
      <c r="M62">
        <v>3</v>
      </c>
      <c r="N62">
        <v>1</v>
      </c>
      <c r="P62" t="s">
        <v>40</v>
      </c>
      <c r="Q62">
        <f t="shared" si="1"/>
        <v>2.8180000000000001</v>
      </c>
      <c r="R62" s="464" t="s">
        <v>4230</v>
      </c>
    </row>
    <row r="63" spans="1:18">
      <c r="A63" t="e">
        <f>_xlfn.IFNA(IF(VLOOKUP(C63,#REF!,1,FALSE)=C63,"No change"),"Changed or new")</f>
        <v>#REF!</v>
      </c>
      <c r="B63" t="s">
        <v>59</v>
      </c>
      <c r="C63" t="s">
        <v>60</v>
      </c>
      <c r="D63" t="s">
        <v>3654</v>
      </c>
      <c r="E63" t="s">
        <v>12</v>
      </c>
      <c r="F63">
        <v>1E-3</v>
      </c>
      <c r="G63">
        <v>0</v>
      </c>
      <c r="H63">
        <v>1E-3</v>
      </c>
      <c r="I63" s="12">
        <f>H63*VLOOKUP(D63,GWPs!$B$3:$C$6,2,FALSE)</f>
        <v>2.8000000000000001E-2</v>
      </c>
      <c r="J63">
        <v>3</v>
      </c>
      <c r="K63">
        <v>2</v>
      </c>
      <c r="L63">
        <v>1</v>
      </c>
      <c r="M63">
        <v>1</v>
      </c>
      <c r="N63">
        <v>1</v>
      </c>
      <c r="P63" t="s">
        <v>101</v>
      </c>
      <c r="Q63">
        <f t="shared" si="1"/>
        <v>0.54900000000000004</v>
      </c>
      <c r="R63" s="464" t="s">
        <v>4230</v>
      </c>
    </row>
    <row r="64" spans="1:18">
      <c r="A64" t="e">
        <f>_xlfn.IFNA(IF(VLOOKUP(C64,#REF!,1,FALSE)=C64,"No change"),"Changed or new")</f>
        <v>#REF!</v>
      </c>
      <c r="B64" t="s">
        <v>59</v>
      </c>
      <c r="C64" t="s">
        <v>60</v>
      </c>
      <c r="D64" t="s">
        <v>3655</v>
      </c>
      <c r="E64" t="s">
        <v>12</v>
      </c>
      <c r="F64">
        <v>0</v>
      </c>
      <c r="G64">
        <v>0</v>
      </c>
      <c r="H64">
        <v>0</v>
      </c>
      <c r="I64" s="12">
        <f>H64*VLOOKUP(D64,GWPs!$B$3:$C$6,2,FALSE)</f>
        <v>0</v>
      </c>
      <c r="J64">
        <v>3</v>
      </c>
      <c r="K64">
        <v>2</v>
      </c>
      <c r="L64">
        <v>1</v>
      </c>
      <c r="M64">
        <v>2</v>
      </c>
      <c r="N64">
        <v>1</v>
      </c>
      <c r="P64" t="s">
        <v>132</v>
      </c>
      <c r="Q64">
        <f t="shared" si="1"/>
        <v>1.4230000000000003</v>
      </c>
      <c r="R64" s="464" t="s">
        <v>4230</v>
      </c>
    </row>
    <row r="65" spans="1:18">
      <c r="A65" t="e">
        <f>_xlfn.IFNA(IF(VLOOKUP(C65,#REF!,1,FALSE)=C65,"No change"),"Changed or new")</f>
        <v>#REF!</v>
      </c>
      <c r="B65" t="s">
        <v>59</v>
      </c>
      <c r="C65" t="s">
        <v>60</v>
      </c>
      <c r="D65" t="s">
        <v>15</v>
      </c>
      <c r="E65" t="s">
        <v>16</v>
      </c>
      <c r="F65">
        <v>1.0999999999999999E-2</v>
      </c>
      <c r="G65">
        <v>0</v>
      </c>
      <c r="H65">
        <v>1.0999999999999999E-2</v>
      </c>
      <c r="I65" s="12">
        <f>H65*VLOOKUP(D65,GWPs!$B$3:$C$6,2,FALSE)</f>
        <v>1.0999999999999999E-2</v>
      </c>
      <c r="J65">
        <v>4</v>
      </c>
      <c r="K65">
        <v>2</v>
      </c>
      <c r="L65">
        <v>1</v>
      </c>
      <c r="M65">
        <v>4</v>
      </c>
      <c r="N65">
        <v>1</v>
      </c>
      <c r="P65" t="s">
        <v>91</v>
      </c>
      <c r="Q65">
        <f t="shared" si="1"/>
        <v>0.7609999999999999</v>
      </c>
      <c r="R65" s="464" t="s">
        <v>4230</v>
      </c>
    </row>
    <row r="66" spans="1:18">
      <c r="A66" t="e">
        <f>_xlfn.IFNA(IF(VLOOKUP(C66,#REF!,1,FALSE)=C66,"No change"),"Changed or new")</f>
        <v>#REF!</v>
      </c>
      <c r="B66" t="s">
        <v>61</v>
      </c>
      <c r="C66" t="s">
        <v>62</v>
      </c>
      <c r="D66" t="s">
        <v>3653</v>
      </c>
      <c r="E66" t="s">
        <v>12</v>
      </c>
      <c r="F66">
        <v>0.69399999999999995</v>
      </c>
      <c r="G66">
        <v>4.8000000000000001E-2</v>
      </c>
      <c r="H66">
        <v>0.74199999999999999</v>
      </c>
      <c r="I66" s="12">
        <f>H66*VLOOKUP(D66,GWPs!$B$3:$C$6,2,FALSE)</f>
        <v>0.74199999999999999</v>
      </c>
      <c r="J66">
        <v>3</v>
      </c>
      <c r="K66">
        <v>2</v>
      </c>
      <c r="L66">
        <v>1</v>
      </c>
      <c r="M66">
        <v>3</v>
      </c>
      <c r="N66">
        <v>1</v>
      </c>
      <c r="P66" t="s">
        <v>81</v>
      </c>
      <c r="Q66">
        <f>SUMIF(C:C,P66,I:I)</f>
        <v>0.159</v>
      </c>
      <c r="R66" s="464" t="s">
        <v>4231</v>
      </c>
    </row>
    <row r="67" spans="1:18">
      <c r="A67" t="e">
        <f>_xlfn.IFNA(IF(VLOOKUP(C67,#REF!,1,FALSE)=C67,"No change"),"Changed or new")</f>
        <v>#REF!</v>
      </c>
      <c r="B67" t="s">
        <v>61</v>
      </c>
      <c r="C67" t="s">
        <v>62</v>
      </c>
      <c r="D67" t="s">
        <v>3654</v>
      </c>
      <c r="E67" t="s">
        <v>12</v>
      </c>
      <c r="F67">
        <v>2E-3</v>
      </c>
      <c r="G67">
        <v>0</v>
      </c>
      <c r="H67">
        <v>2E-3</v>
      </c>
      <c r="I67" s="12">
        <f>H67*VLOOKUP(D67,GWPs!$B$3:$C$6,2,FALSE)</f>
        <v>5.6000000000000001E-2</v>
      </c>
      <c r="J67">
        <v>4</v>
      </c>
      <c r="K67">
        <v>2</v>
      </c>
      <c r="L67">
        <v>1</v>
      </c>
      <c r="M67">
        <v>1</v>
      </c>
      <c r="N67">
        <v>1</v>
      </c>
      <c r="P67" t="s">
        <v>50</v>
      </c>
      <c r="Q67">
        <f>SUMIF(C:C,P67,I:I)</f>
        <v>0.26100000000000001</v>
      </c>
      <c r="R67" s="464" t="s">
        <v>4230</v>
      </c>
    </row>
    <row r="68" spans="1:18">
      <c r="A68" t="e">
        <f>_xlfn.IFNA(IF(VLOOKUP(C68,#REF!,1,FALSE)=C68,"No change"),"Changed or new")</f>
        <v>#REF!</v>
      </c>
      <c r="B68" t="s">
        <v>61</v>
      </c>
      <c r="C68" t="s">
        <v>62</v>
      </c>
      <c r="D68" t="s">
        <v>3655</v>
      </c>
      <c r="E68" t="s">
        <v>12</v>
      </c>
      <c r="F68">
        <v>0</v>
      </c>
      <c r="G68">
        <v>0</v>
      </c>
      <c r="H68">
        <v>0</v>
      </c>
      <c r="I68" s="12">
        <f>H68*VLOOKUP(D68,GWPs!$B$3:$C$6,2,FALSE)</f>
        <v>0</v>
      </c>
      <c r="J68">
        <v>3</v>
      </c>
      <c r="K68">
        <v>2</v>
      </c>
      <c r="L68">
        <v>1</v>
      </c>
      <c r="M68">
        <v>3</v>
      </c>
      <c r="N68">
        <v>1</v>
      </c>
    </row>
    <row r="69" spans="1:18">
      <c r="A69" t="e">
        <f>_xlfn.IFNA(IF(VLOOKUP(C69,#REF!,1,FALSE)=C69,"No change"),"Changed or new")</f>
        <v>#REF!</v>
      </c>
      <c r="B69" t="s">
        <v>61</v>
      </c>
      <c r="C69" t="s">
        <v>62</v>
      </c>
      <c r="D69" t="s">
        <v>15</v>
      </c>
      <c r="E69" t="s">
        <v>16</v>
      </c>
      <c r="F69">
        <v>4.0000000000000001E-3</v>
      </c>
      <c r="G69">
        <v>0</v>
      </c>
      <c r="H69">
        <v>4.0000000000000001E-3</v>
      </c>
      <c r="I69" s="12">
        <f>H69*VLOOKUP(D69,GWPs!$B$3:$C$6,2,FALSE)</f>
        <v>4.0000000000000001E-3</v>
      </c>
      <c r="J69">
        <v>4</v>
      </c>
      <c r="K69">
        <v>2</v>
      </c>
      <c r="L69">
        <v>1</v>
      </c>
      <c r="M69">
        <v>4</v>
      </c>
      <c r="N69">
        <v>1</v>
      </c>
    </row>
    <row r="70" spans="1:18">
      <c r="A70" t="e">
        <f>_xlfn.IFNA(IF(VLOOKUP(C70,#REF!,1,FALSE)=C70,"No change"),"Changed or new")</f>
        <v>#REF!</v>
      </c>
      <c r="B70" t="s">
        <v>63</v>
      </c>
      <c r="C70" t="s">
        <v>64</v>
      </c>
      <c r="D70" t="s">
        <v>3653</v>
      </c>
      <c r="E70" t="s">
        <v>12</v>
      </c>
      <c r="F70">
        <v>0.65700000000000003</v>
      </c>
      <c r="G70">
        <v>1.9E-2</v>
      </c>
      <c r="H70">
        <v>0.67600000000000005</v>
      </c>
      <c r="I70" s="12">
        <f>H70*VLOOKUP(D70,GWPs!$B$3:$C$6,2,FALSE)</f>
        <v>0.67600000000000005</v>
      </c>
      <c r="J70">
        <v>2</v>
      </c>
      <c r="K70">
        <v>2</v>
      </c>
      <c r="L70">
        <v>1</v>
      </c>
      <c r="M70">
        <v>2</v>
      </c>
      <c r="N70">
        <v>1</v>
      </c>
    </row>
    <row r="71" spans="1:18">
      <c r="A71" t="e">
        <f>_xlfn.IFNA(IF(VLOOKUP(C71,#REF!,1,FALSE)=C71,"No change"),"Changed or new")</f>
        <v>#REF!</v>
      </c>
      <c r="B71" t="s">
        <v>63</v>
      </c>
      <c r="C71" t="s">
        <v>64</v>
      </c>
      <c r="D71" t="s">
        <v>3654</v>
      </c>
      <c r="E71" t="s">
        <v>12</v>
      </c>
      <c r="F71">
        <v>3.0000000000000001E-3</v>
      </c>
      <c r="G71">
        <v>0</v>
      </c>
      <c r="H71">
        <v>4.0000000000000001E-3</v>
      </c>
      <c r="I71" s="12">
        <f>H71*VLOOKUP(D71,GWPs!$B$3:$C$6,2,FALSE)</f>
        <v>0.112</v>
      </c>
      <c r="J71">
        <v>4</v>
      </c>
      <c r="K71">
        <v>2</v>
      </c>
      <c r="L71">
        <v>1</v>
      </c>
      <c r="M71">
        <v>1</v>
      </c>
      <c r="N71">
        <v>1</v>
      </c>
    </row>
    <row r="72" spans="1:18">
      <c r="A72" t="e">
        <f>_xlfn.IFNA(IF(VLOOKUP(C72,#REF!,1,FALSE)=C72,"No change"),"Changed or new")</f>
        <v>#REF!</v>
      </c>
      <c r="B72" t="s">
        <v>63</v>
      </c>
      <c r="C72" t="s">
        <v>64</v>
      </c>
      <c r="D72" t="s">
        <v>3655</v>
      </c>
      <c r="E72" t="s">
        <v>12</v>
      </c>
      <c r="F72">
        <v>0</v>
      </c>
      <c r="G72">
        <v>0</v>
      </c>
      <c r="H72">
        <v>0</v>
      </c>
      <c r="I72" s="12">
        <f>H72*VLOOKUP(D72,GWPs!$B$3:$C$6,2,FALSE)</f>
        <v>0</v>
      </c>
      <c r="J72">
        <v>3</v>
      </c>
      <c r="K72">
        <v>2</v>
      </c>
      <c r="L72">
        <v>1</v>
      </c>
      <c r="M72">
        <v>3</v>
      </c>
      <c r="N72">
        <v>1</v>
      </c>
    </row>
    <row r="73" spans="1:18">
      <c r="A73" t="e">
        <f>_xlfn.IFNA(IF(VLOOKUP(C73,#REF!,1,FALSE)=C73,"No change"),"Changed or new")</f>
        <v>#REF!</v>
      </c>
      <c r="B73" t="s">
        <v>63</v>
      </c>
      <c r="C73" t="s">
        <v>64</v>
      </c>
      <c r="D73" t="s">
        <v>15</v>
      </c>
      <c r="E73" t="s">
        <v>16</v>
      </c>
      <c r="F73">
        <v>1.9E-2</v>
      </c>
      <c r="G73">
        <v>0</v>
      </c>
      <c r="H73">
        <v>1.9E-2</v>
      </c>
      <c r="I73" s="12">
        <f>H73*VLOOKUP(D73,GWPs!$B$3:$C$6,2,FALSE)</f>
        <v>1.9E-2</v>
      </c>
      <c r="J73">
        <v>3</v>
      </c>
      <c r="K73">
        <v>2</v>
      </c>
      <c r="L73">
        <v>1</v>
      </c>
      <c r="M73">
        <v>2</v>
      </c>
      <c r="N73">
        <v>1</v>
      </c>
    </row>
    <row r="74" spans="1:18">
      <c r="A74" t="e">
        <f>_xlfn.IFNA(IF(VLOOKUP(C74,#REF!,1,FALSE)=C74,"No change"),"Changed or new")</f>
        <v>#REF!</v>
      </c>
      <c r="B74" t="s">
        <v>65</v>
      </c>
      <c r="C74" t="s">
        <v>66</v>
      </c>
      <c r="D74" t="s">
        <v>3653</v>
      </c>
      <c r="E74" t="s">
        <v>12</v>
      </c>
      <c r="F74">
        <v>0.25700000000000001</v>
      </c>
      <c r="G74">
        <v>1.4E-2</v>
      </c>
      <c r="H74">
        <v>0.27100000000000002</v>
      </c>
      <c r="I74" s="12">
        <f>H74*VLOOKUP(D74,GWPs!$B$3:$C$6,2,FALSE)</f>
        <v>0.27100000000000002</v>
      </c>
      <c r="J74">
        <v>3</v>
      </c>
      <c r="K74">
        <v>2</v>
      </c>
      <c r="L74">
        <v>1</v>
      </c>
      <c r="M74">
        <v>3</v>
      </c>
      <c r="N74">
        <v>1</v>
      </c>
    </row>
    <row r="75" spans="1:18">
      <c r="A75" t="e">
        <f>_xlfn.IFNA(IF(VLOOKUP(C75,#REF!,1,FALSE)=C75,"No change"),"Changed or new")</f>
        <v>#REF!</v>
      </c>
      <c r="B75" t="s">
        <v>65</v>
      </c>
      <c r="C75" t="s">
        <v>66</v>
      </c>
      <c r="D75" t="s">
        <v>3654</v>
      </c>
      <c r="E75" t="s">
        <v>12</v>
      </c>
      <c r="F75">
        <v>1E-3</v>
      </c>
      <c r="G75">
        <v>0</v>
      </c>
      <c r="H75">
        <v>1E-3</v>
      </c>
      <c r="I75" s="12">
        <f>H75*VLOOKUP(D75,GWPs!$B$3:$C$6,2,FALSE)</f>
        <v>2.8000000000000001E-2</v>
      </c>
      <c r="J75">
        <v>4</v>
      </c>
      <c r="K75">
        <v>2</v>
      </c>
      <c r="L75">
        <v>1</v>
      </c>
      <c r="M75">
        <v>1</v>
      </c>
      <c r="N75">
        <v>1</v>
      </c>
    </row>
    <row r="76" spans="1:18">
      <c r="A76" t="e">
        <f>_xlfn.IFNA(IF(VLOOKUP(C76,#REF!,1,FALSE)=C76,"No change"),"Changed or new")</f>
        <v>#REF!</v>
      </c>
      <c r="B76" t="s">
        <v>65</v>
      </c>
      <c r="C76" t="s">
        <v>66</v>
      </c>
      <c r="D76" t="s">
        <v>3655</v>
      </c>
      <c r="E76" t="s">
        <v>12</v>
      </c>
      <c r="F76">
        <v>0</v>
      </c>
      <c r="G76">
        <v>0</v>
      </c>
      <c r="H76">
        <v>0</v>
      </c>
      <c r="I76" s="12">
        <f>H76*VLOOKUP(D76,GWPs!$B$3:$C$6,2,FALSE)</f>
        <v>0</v>
      </c>
      <c r="J76">
        <v>3</v>
      </c>
      <c r="K76">
        <v>2</v>
      </c>
      <c r="L76">
        <v>1</v>
      </c>
      <c r="M76">
        <v>3</v>
      </c>
      <c r="N76">
        <v>1</v>
      </c>
    </row>
    <row r="77" spans="1:18">
      <c r="A77" t="e">
        <f>_xlfn.IFNA(IF(VLOOKUP(C77,#REF!,1,FALSE)=C77,"No change"),"Changed or new")</f>
        <v>#REF!</v>
      </c>
      <c r="B77" t="s">
        <v>65</v>
      </c>
      <c r="C77" t="s">
        <v>66</v>
      </c>
      <c r="D77" t="s">
        <v>15</v>
      </c>
      <c r="E77" t="s">
        <v>16</v>
      </c>
      <c r="F77">
        <v>8.0000000000000002E-3</v>
      </c>
      <c r="G77">
        <v>0</v>
      </c>
      <c r="H77">
        <v>8.0000000000000002E-3</v>
      </c>
      <c r="I77" s="12">
        <f>H77*VLOOKUP(D77,GWPs!$B$3:$C$6,2,FALSE)</f>
        <v>8.0000000000000002E-3</v>
      </c>
      <c r="J77">
        <v>3</v>
      </c>
      <c r="K77">
        <v>2</v>
      </c>
      <c r="L77">
        <v>1</v>
      </c>
      <c r="M77">
        <v>3</v>
      </c>
      <c r="N77">
        <v>1</v>
      </c>
    </row>
    <row r="78" spans="1:18">
      <c r="A78" t="e">
        <f>_xlfn.IFNA(IF(VLOOKUP(C78,#REF!,1,FALSE)=C78,"No change"),"Changed or new")</f>
        <v>#REF!</v>
      </c>
      <c r="B78" t="s">
        <v>67</v>
      </c>
      <c r="C78" t="s">
        <v>68</v>
      </c>
      <c r="D78" t="s">
        <v>3653</v>
      </c>
      <c r="E78" t="s">
        <v>12</v>
      </c>
      <c r="F78">
        <v>0.17499999999999999</v>
      </c>
      <c r="G78">
        <v>1.4E-2</v>
      </c>
      <c r="H78">
        <v>0.189</v>
      </c>
      <c r="I78" s="12">
        <f>H78*VLOOKUP(D78,GWPs!$B$3:$C$6,2,FALSE)</f>
        <v>0.189</v>
      </c>
      <c r="J78">
        <v>3</v>
      </c>
      <c r="K78">
        <v>2</v>
      </c>
      <c r="L78">
        <v>1</v>
      </c>
      <c r="M78">
        <v>3</v>
      </c>
      <c r="N78">
        <v>1</v>
      </c>
    </row>
    <row r="79" spans="1:18">
      <c r="A79" t="e">
        <f>_xlfn.IFNA(IF(VLOOKUP(C79,#REF!,1,FALSE)=C79,"No change"),"Changed or new")</f>
        <v>#REF!</v>
      </c>
      <c r="B79" t="s">
        <v>67</v>
      </c>
      <c r="C79" t="s">
        <v>68</v>
      </c>
      <c r="D79" t="s">
        <v>3654</v>
      </c>
      <c r="E79" t="s">
        <v>12</v>
      </c>
      <c r="F79">
        <v>1E-3</v>
      </c>
      <c r="G79">
        <v>0</v>
      </c>
      <c r="H79">
        <v>1E-3</v>
      </c>
      <c r="I79" s="12">
        <f>H79*VLOOKUP(D79,GWPs!$B$3:$C$6,2,FALSE)</f>
        <v>2.8000000000000001E-2</v>
      </c>
      <c r="J79">
        <v>4</v>
      </c>
      <c r="K79">
        <v>2</v>
      </c>
      <c r="L79">
        <v>1</v>
      </c>
      <c r="M79">
        <v>1</v>
      </c>
      <c r="N79">
        <v>1</v>
      </c>
    </row>
    <row r="80" spans="1:18">
      <c r="A80" t="e">
        <f>_xlfn.IFNA(IF(VLOOKUP(C80,#REF!,1,FALSE)=C80,"No change"),"Changed or new")</f>
        <v>#REF!</v>
      </c>
      <c r="B80" t="s">
        <v>67</v>
      </c>
      <c r="C80" t="s">
        <v>68</v>
      </c>
      <c r="D80" t="s">
        <v>3655</v>
      </c>
      <c r="E80" t="s">
        <v>12</v>
      </c>
      <c r="F80">
        <v>0</v>
      </c>
      <c r="G80">
        <v>0</v>
      </c>
      <c r="H80">
        <v>0</v>
      </c>
      <c r="I80" s="12">
        <f>H80*VLOOKUP(D80,GWPs!$B$3:$C$6,2,FALSE)</f>
        <v>0</v>
      </c>
      <c r="J80">
        <v>3</v>
      </c>
      <c r="K80">
        <v>2</v>
      </c>
      <c r="L80">
        <v>1</v>
      </c>
      <c r="M80">
        <v>3</v>
      </c>
      <c r="N80">
        <v>1</v>
      </c>
    </row>
    <row r="81" spans="1:14">
      <c r="A81" t="e">
        <f>_xlfn.IFNA(IF(VLOOKUP(C81,#REF!,1,FALSE)=C81,"No change"),"Changed or new")</f>
        <v>#REF!</v>
      </c>
      <c r="B81" t="s">
        <v>67</v>
      </c>
      <c r="C81" t="s">
        <v>68</v>
      </c>
      <c r="D81" t="s">
        <v>15</v>
      </c>
      <c r="E81" t="s">
        <v>16</v>
      </c>
      <c r="F81">
        <v>4.4999999999999998E-2</v>
      </c>
      <c r="G81">
        <v>0</v>
      </c>
      <c r="H81">
        <v>4.4999999999999998E-2</v>
      </c>
      <c r="I81" s="12">
        <f>H81*VLOOKUP(D81,GWPs!$B$3:$C$6,2,FALSE)</f>
        <v>4.4999999999999998E-2</v>
      </c>
      <c r="J81">
        <v>4</v>
      </c>
      <c r="K81">
        <v>2</v>
      </c>
      <c r="L81">
        <v>1</v>
      </c>
      <c r="M81">
        <v>5</v>
      </c>
      <c r="N81">
        <v>1</v>
      </c>
    </row>
    <row r="82" spans="1:14">
      <c r="A82" t="e">
        <f>_xlfn.IFNA(IF(VLOOKUP(C82,#REF!,1,FALSE)=C82,"No change"),"Changed or new")</f>
        <v>#REF!</v>
      </c>
      <c r="B82" t="s">
        <v>69</v>
      </c>
      <c r="C82" t="s">
        <v>70</v>
      </c>
      <c r="D82" t="s">
        <v>3653</v>
      </c>
      <c r="E82" t="s">
        <v>12</v>
      </c>
      <c r="F82">
        <v>7.1999999999999995E-2</v>
      </c>
      <c r="G82">
        <v>1.2E-2</v>
      </c>
      <c r="H82">
        <v>8.5000000000000006E-2</v>
      </c>
      <c r="I82" s="12">
        <f>H82*VLOOKUP(D82,GWPs!$B$3:$C$6,2,FALSE)</f>
        <v>8.5000000000000006E-2</v>
      </c>
      <c r="J82">
        <v>3</v>
      </c>
      <c r="K82">
        <v>2</v>
      </c>
      <c r="L82">
        <v>1</v>
      </c>
      <c r="M82">
        <v>3</v>
      </c>
      <c r="N82">
        <v>1</v>
      </c>
    </row>
    <row r="83" spans="1:14">
      <c r="A83" t="e">
        <f>_xlfn.IFNA(IF(VLOOKUP(C83,#REF!,1,FALSE)=C83,"No change"),"Changed or new")</f>
        <v>#REF!</v>
      </c>
      <c r="B83" t="s">
        <v>69</v>
      </c>
      <c r="C83" t="s">
        <v>70</v>
      </c>
      <c r="D83" t="s">
        <v>3654</v>
      </c>
      <c r="E83" t="s">
        <v>12</v>
      </c>
      <c r="F83">
        <v>0</v>
      </c>
      <c r="G83">
        <v>0</v>
      </c>
      <c r="H83">
        <v>0</v>
      </c>
      <c r="I83" s="12">
        <f>H83*VLOOKUP(D83,GWPs!$B$3:$C$6,2,FALSE)</f>
        <v>0</v>
      </c>
      <c r="J83">
        <v>3</v>
      </c>
      <c r="K83">
        <v>2</v>
      </c>
      <c r="L83">
        <v>1</v>
      </c>
      <c r="M83">
        <v>1</v>
      </c>
      <c r="N83">
        <v>1</v>
      </c>
    </row>
    <row r="84" spans="1:14">
      <c r="A84" t="e">
        <f>_xlfn.IFNA(IF(VLOOKUP(C84,#REF!,1,FALSE)=C84,"No change"),"Changed or new")</f>
        <v>#REF!</v>
      </c>
      <c r="B84" t="s">
        <v>69</v>
      </c>
      <c r="C84" t="s">
        <v>70</v>
      </c>
      <c r="D84" t="s">
        <v>3655</v>
      </c>
      <c r="E84" t="s">
        <v>12</v>
      </c>
      <c r="F84">
        <v>0</v>
      </c>
      <c r="G84">
        <v>0</v>
      </c>
      <c r="H84">
        <v>0</v>
      </c>
      <c r="I84" s="12">
        <f>H84*VLOOKUP(D84,GWPs!$B$3:$C$6,2,FALSE)</f>
        <v>0</v>
      </c>
      <c r="J84">
        <v>3</v>
      </c>
      <c r="K84">
        <v>2</v>
      </c>
      <c r="L84">
        <v>1</v>
      </c>
      <c r="M84">
        <v>2</v>
      </c>
      <c r="N84">
        <v>1</v>
      </c>
    </row>
    <row r="85" spans="1:14">
      <c r="A85" t="e">
        <f>_xlfn.IFNA(IF(VLOOKUP(C85,#REF!,1,FALSE)=C85,"No change"),"Changed or new")</f>
        <v>#REF!</v>
      </c>
      <c r="B85" t="s">
        <v>69</v>
      </c>
      <c r="C85" t="s">
        <v>70</v>
      </c>
      <c r="D85" t="s">
        <v>15</v>
      </c>
      <c r="E85" t="s">
        <v>16</v>
      </c>
      <c r="F85">
        <v>1.4999999999999999E-2</v>
      </c>
      <c r="G85">
        <v>0</v>
      </c>
      <c r="H85">
        <v>1.4999999999999999E-2</v>
      </c>
      <c r="I85" s="12">
        <f>H85*VLOOKUP(D85,GWPs!$B$3:$C$6,2,FALSE)</f>
        <v>1.4999999999999999E-2</v>
      </c>
      <c r="J85">
        <v>2</v>
      </c>
      <c r="K85">
        <v>2</v>
      </c>
      <c r="L85">
        <v>1</v>
      </c>
      <c r="M85">
        <v>1</v>
      </c>
      <c r="N85">
        <v>1</v>
      </c>
    </row>
    <row r="86" spans="1:14">
      <c r="A86" t="e">
        <f>_xlfn.IFNA(IF(VLOOKUP(C86,#REF!,1,FALSE)=C86,"No change"),"Changed or new")</f>
        <v>#REF!</v>
      </c>
      <c r="B86" t="s">
        <v>71</v>
      </c>
      <c r="C86" t="s">
        <v>72</v>
      </c>
      <c r="D86" t="s">
        <v>3653</v>
      </c>
      <c r="E86" t="s">
        <v>12</v>
      </c>
      <c r="F86">
        <v>0.182</v>
      </c>
      <c r="G86">
        <v>0.02</v>
      </c>
      <c r="H86">
        <v>0.20200000000000001</v>
      </c>
      <c r="I86" s="12">
        <f>H86*VLOOKUP(D86,GWPs!$B$3:$C$6,2,FALSE)</f>
        <v>0.20200000000000001</v>
      </c>
      <c r="J86">
        <v>3</v>
      </c>
      <c r="K86">
        <v>2</v>
      </c>
      <c r="L86">
        <v>1</v>
      </c>
      <c r="M86">
        <v>3</v>
      </c>
      <c r="N86">
        <v>1</v>
      </c>
    </row>
    <row r="87" spans="1:14">
      <c r="A87" t="e">
        <f>_xlfn.IFNA(IF(VLOOKUP(C87,#REF!,1,FALSE)=C87,"No change"),"Changed or new")</f>
        <v>#REF!</v>
      </c>
      <c r="B87" t="s">
        <v>71</v>
      </c>
      <c r="C87" t="s">
        <v>72</v>
      </c>
      <c r="D87" t="s">
        <v>3654</v>
      </c>
      <c r="E87" t="s">
        <v>12</v>
      </c>
      <c r="F87">
        <v>1E-3</v>
      </c>
      <c r="G87">
        <v>0</v>
      </c>
      <c r="H87">
        <v>1E-3</v>
      </c>
      <c r="I87" s="12">
        <f>H87*VLOOKUP(D87,GWPs!$B$3:$C$6,2,FALSE)</f>
        <v>2.8000000000000001E-2</v>
      </c>
      <c r="J87">
        <v>4</v>
      </c>
      <c r="K87">
        <v>2</v>
      </c>
      <c r="L87">
        <v>1</v>
      </c>
      <c r="M87">
        <v>1</v>
      </c>
      <c r="N87">
        <v>1</v>
      </c>
    </row>
    <row r="88" spans="1:14">
      <c r="A88" t="e">
        <f>_xlfn.IFNA(IF(VLOOKUP(C88,#REF!,1,FALSE)=C88,"No change"),"Changed or new")</f>
        <v>#REF!</v>
      </c>
      <c r="B88" t="s">
        <v>71</v>
      </c>
      <c r="C88" t="s">
        <v>72</v>
      </c>
      <c r="D88" t="s">
        <v>3655</v>
      </c>
      <c r="E88" t="s">
        <v>12</v>
      </c>
      <c r="F88">
        <v>0</v>
      </c>
      <c r="G88">
        <v>0</v>
      </c>
      <c r="H88">
        <v>0</v>
      </c>
      <c r="I88" s="12">
        <f>H88*VLOOKUP(D88,GWPs!$B$3:$C$6,2,FALSE)</f>
        <v>0</v>
      </c>
      <c r="J88">
        <v>3</v>
      </c>
      <c r="K88">
        <v>2</v>
      </c>
      <c r="L88">
        <v>1</v>
      </c>
      <c r="M88">
        <v>3</v>
      </c>
      <c r="N88">
        <v>1</v>
      </c>
    </row>
    <row r="89" spans="1:14">
      <c r="A89" t="e">
        <f>_xlfn.IFNA(IF(VLOOKUP(C89,#REF!,1,FALSE)=C89,"No change"),"Changed or new")</f>
        <v>#REF!</v>
      </c>
      <c r="B89" t="s">
        <v>71</v>
      </c>
      <c r="C89" t="s">
        <v>72</v>
      </c>
      <c r="D89" t="s">
        <v>15</v>
      </c>
      <c r="E89" t="s">
        <v>16</v>
      </c>
      <c r="F89">
        <v>1.0999999999999999E-2</v>
      </c>
      <c r="G89">
        <v>0</v>
      </c>
      <c r="H89">
        <v>1.0999999999999999E-2</v>
      </c>
      <c r="I89" s="12">
        <f>H89*VLOOKUP(D89,GWPs!$B$3:$C$6,2,FALSE)</f>
        <v>1.0999999999999999E-2</v>
      </c>
      <c r="J89">
        <v>4</v>
      </c>
      <c r="K89">
        <v>2</v>
      </c>
      <c r="L89">
        <v>1</v>
      </c>
      <c r="M89">
        <v>4</v>
      </c>
      <c r="N89">
        <v>1</v>
      </c>
    </row>
    <row r="90" spans="1:14">
      <c r="A90" t="e">
        <f>_xlfn.IFNA(IF(VLOOKUP(C90,#REF!,1,FALSE)=C90,"No change"),"Changed or new")</f>
        <v>#REF!</v>
      </c>
      <c r="B90" t="s">
        <v>73</v>
      </c>
      <c r="C90" t="s">
        <v>74</v>
      </c>
      <c r="D90" t="s">
        <v>3653</v>
      </c>
      <c r="E90" t="s">
        <v>12</v>
      </c>
      <c r="F90">
        <v>0.219</v>
      </c>
      <c r="G90">
        <v>1.2E-2</v>
      </c>
      <c r="H90">
        <v>0.23100000000000001</v>
      </c>
      <c r="I90" s="12">
        <f>H90*VLOOKUP(D90,GWPs!$B$3:$C$6,2,FALSE)</f>
        <v>0.23100000000000001</v>
      </c>
      <c r="J90">
        <v>3</v>
      </c>
      <c r="K90">
        <v>2</v>
      </c>
      <c r="L90">
        <v>1</v>
      </c>
      <c r="M90">
        <v>3</v>
      </c>
      <c r="N90">
        <v>1</v>
      </c>
    </row>
    <row r="91" spans="1:14">
      <c r="A91" t="e">
        <f>_xlfn.IFNA(IF(VLOOKUP(C91,#REF!,1,FALSE)=C91,"No change"),"Changed or new")</f>
        <v>#REF!</v>
      </c>
      <c r="B91" t="s">
        <v>73</v>
      </c>
      <c r="C91" t="s">
        <v>74</v>
      </c>
      <c r="D91" t="s">
        <v>3654</v>
      </c>
      <c r="E91" t="s">
        <v>12</v>
      </c>
      <c r="F91">
        <v>1E-3</v>
      </c>
      <c r="G91">
        <v>0</v>
      </c>
      <c r="H91">
        <v>1E-3</v>
      </c>
      <c r="I91" s="12">
        <f>H91*VLOOKUP(D91,GWPs!$B$3:$C$6,2,FALSE)</f>
        <v>2.8000000000000001E-2</v>
      </c>
      <c r="J91">
        <v>4</v>
      </c>
      <c r="K91">
        <v>2</v>
      </c>
      <c r="L91">
        <v>1</v>
      </c>
      <c r="M91">
        <v>1</v>
      </c>
      <c r="N91">
        <v>1</v>
      </c>
    </row>
    <row r="92" spans="1:14">
      <c r="A92" t="e">
        <f>_xlfn.IFNA(IF(VLOOKUP(C92,#REF!,1,FALSE)=C92,"No change"),"Changed or new")</f>
        <v>#REF!</v>
      </c>
      <c r="B92" t="s">
        <v>73</v>
      </c>
      <c r="C92" t="s">
        <v>74</v>
      </c>
      <c r="D92" t="s">
        <v>3655</v>
      </c>
      <c r="E92" t="s">
        <v>12</v>
      </c>
      <c r="F92">
        <v>0</v>
      </c>
      <c r="G92">
        <v>0</v>
      </c>
      <c r="H92">
        <v>0</v>
      </c>
      <c r="I92" s="12">
        <f>H92*VLOOKUP(D92,GWPs!$B$3:$C$6,2,FALSE)</f>
        <v>0</v>
      </c>
      <c r="J92">
        <v>3</v>
      </c>
      <c r="K92">
        <v>2</v>
      </c>
      <c r="L92">
        <v>1</v>
      </c>
      <c r="M92">
        <v>3</v>
      </c>
      <c r="N92">
        <v>1</v>
      </c>
    </row>
    <row r="93" spans="1:14">
      <c r="A93" t="e">
        <f>_xlfn.IFNA(IF(VLOOKUP(C93,#REF!,1,FALSE)=C93,"No change"),"Changed or new")</f>
        <v>#REF!</v>
      </c>
      <c r="B93" t="s">
        <v>73</v>
      </c>
      <c r="C93" t="s">
        <v>74</v>
      </c>
      <c r="D93" t="s">
        <v>15</v>
      </c>
      <c r="E93" t="s">
        <v>16</v>
      </c>
      <c r="F93">
        <v>0.02</v>
      </c>
      <c r="G93">
        <v>0</v>
      </c>
      <c r="H93">
        <v>0.02</v>
      </c>
      <c r="I93" s="12">
        <f>H93*VLOOKUP(D93,GWPs!$B$3:$C$6,2,FALSE)</f>
        <v>0.02</v>
      </c>
      <c r="J93">
        <v>4</v>
      </c>
      <c r="K93">
        <v>2</v>
      </c>
      <c r="L93">
        <v>1</v>
      </c>
      <c r="M93">
        <v>4</v>
      </c>
      <c r="N93">
        <v>1</v>
      </c>
    </row>
    <row r="94" spans="1:14">
      <c r="A94" t="e">
        <f>_xlfn.IFNA(IF(VLOOKUP(C94,#REF!,1,FALSE)=C94,"No change"),"Changed or new")</f>
        <v>#REF!</v>
      </c>
      <c r="B94" t="s">
        <v>75</v>
      </c>
      <c r="C94" t="s">
        <v>18</v>
      </c>
      <c r="D94" t="s">
        <v>3653</v>
      </c>
      <c r="E94" t="s">
        <v>12</v>
      </c>
      <c r="F94">
        <v>0.13500000000000001</v>
      </c>
      <c r="G94">
        <v>8.0000000000000002E-3</v>
      </c>
      <c r="H94">
        <v>0.14199999999999999</v>
      </c>
      <c r="I94" s="12">
        <f>H94*VLOOKUP(D94,GWPs!$B$3:$C$6,2,FALSE)</f>
        <v>0.14199999999999999</v>
      </c>
      <c r="J94">
        <v>3</v>
      </c>
      <c r="K94">
        <v>2</v>
      </c>
      <c r="L94">
        <v>1</v>
      </c>
      <c r="M94">
        <v>3</v>
      </c>
      <c r="N94">
        <v>1</v>
      </c>
    </row>
    <row r="95" spans="1:14">
      <c r="A95" t="e">
        <f>_xlfn.IFNA(IF(VLOOKUP(C95,#REF!,1,FALSE)=C95,"No change"),"Changed or new")</f>
        <v>#REF!</v>
      </c>
      <c r="B95" t="s">
        <v>75</v>
      </c>
      <c r="C95" t="s">
        <v>18</v>
      </c>
      <c r="D95" t="s">
        <v>3654</v>
      </c>
      <c r="E95" t="s">
        <v>12</v>
      </c>
      <c r="F95">
        <v>1E-3</v>
      </c>
      <c r="G95">
        <v>0</v>
      </c>
      <c r="H95">
        <v>1E-3</v>
      </c>
      <c r="I95" s="12">
        <f>H95*VLOOKUP(D95,GWPs!$B$3:$C$6,2,FALSE)</f>
        <v>2.8000000000000001E-2</v>
      </c>
      <c r="J95">
        <v>3</v>
      </c>
      <c r="K95">
        <v>2</v>
      </c>
      <c r="L95">
        <v>1</v>
      </c>
      <c r="M95">
        <v>1</v>
      </c>
      <c r="N95">
        <v>1</v>
      </c>
    </row>
    <row r="96" spans="1:14">
      <c r="A96" t="e">
        <f>_xlfn.IFNA(IF(VLOOKUP(C96,#REF!,1,FALSE)=C96,"No change"),"Changed or new")</f>
        <v>#REF!</v>
      </c>
      <c r="B96" t="s">
        <v>75</v>
      </c>
      <c r="C96" t="s">
        <v>18</v>
      </c>
      <c r="D96" t="s">
        <v>3655</v>
      </c>
      <c r="E96" t="s">
        <v>12</v>
      </c>
      <c r="F96">
        <v>0</v>
      </c>
      <c r="G96">
        <v>0</v>
      </c>
      <c r="H96">
        <v>0</v>
      </c>
      <c r="I96" s="12">
        <f>H96*VLOOKUP(D96,GWPs!$B$3:$C$6,2,FALSE)</f>
        <v>0</v>
      </c>
      <c r="J96">
        <v>3</v>
      </c>
      <c r="K96">
        <v>2</v>
      </c>
      <c r="L96">
        <v>1</v>
      </c>
      <c r="M96">
        <v>3</v>
      </c>
      <c r="N96">
        <v>1</v>
      </c>
    </row>
    <row r="97" spans="1:14">
      <c r="A97" t="e">
        <f>_xlfn.IFNA(IF(VLOOKUP(C97,#REF!,1,FALSE)=C97,"No change"),"Changed or new")</f>
        <v>#REF!</v>
      </c>
      <c r="B97" t="s">
        <v>75</v>
      </c>
      <c r="C97" t="s">
        <v>18</v>
      </c>
      <c r="D97" t="s">
        <v>15</v>
      </c>
      <c r="E97" t="s">
        <v>16</v>
      </c>
      <c r="F97">
        <v>5.0000000000000001E-3</v>
      </c>
      <c r="G97">
        <v>0</v>
      </c>
      <c r="H97">
        <v>5.0000000000000001E-3</v>
      </c>
      <c r="I97" s="12">
        <f>H97*VLOOKUP(D97,GWPs!$B$3:$C$6,2,FALSE)</f>
        <v>5.0000000000000001E-3</v>
      </c>
      <c r="J97">
        <v>3</v>
      </c>
      <c r="K97">
        <v>2</v>
      </c>
      <c r="L97">
        <v>1</v>
      </c>
      <c r="M97">
        <v>3</v>
      </c>
      <c r="N97">
        <v>1</v>
      </c>
    </row>
    <row r="98" spans="1:14">
      <c r="A98" t="e">
        <f>_xlfn.IFNA(IF(VLOOKUP(C98,#REF!,1,FALSE)=C98,"No change"),"Changed or new")</f>
        <v>#REF!</v>
      </c>
      <c r="B98" t="s">
        <v>76</v>
      </c>
      <c r="C98" t="s">
        <v>77</v>
      </c>
      <c r="D98" t="s">
        <v>3653</v>
      </c>
      <c r="E98" t="s">
        <v>12</v>
      </c>
      <c r="F98">
        <v>0.13300000000000001</v>
      </c>
      <c r="G98">
        <v>4.4999999999999998E-2</v>
      </c>
      <c r="H98">
        <v>0.17899999999999999</v>
      </c>
      <c r="I98" s="12">
        <f>H98*VLOOKUP(D98,GWPs!$B$3:$C$6,2,FALSE)</f>
        <v>0.17899999999999999</v>
      </c>
      <c r="J98">
        <v>3</v>
      </c>
      <c r="K98">
        <v>2</v>
      </c>
      <c r="L98">
        <v>1</v>
      </c>
      <c r="M98">
        <v>3</v>
      </c>
      <c r="N98">
        <v>1</v>
      </c>
    </row>
    <row r="99" spans="1:14">
      <c r="A99" t="e">
        <f>_xlfn.IFNA(IF(VLOOKUP(C99,#REF!,1,FALSE)=C99,"No change"),"Changed or new")</f>
        <v>#REF!</v>
      </c>
      <c r="B99" t="s">
        <v>76</v>
      </c>
      <c r="C99" t="s">
        <v>77</v>
      </c>
      <c r="D99" t="s">
        <v>3654</v>
      </c>
      <c r="E99" t="s">
        <v>12</v>
      </c>
      <c r="F99">
        <v>1E-3</v>
      </c>
      <c r="G99">
        <v>0</v>
      </c>
      <c r="H99">
        <v>1E-3</v>
      </c>
      <c r="I99" s="12">
        <f>H99*VLOOKUP(D99,GWPs!$B$3:$C$6,2,FALSE)</f>
        <v>2.8000000000000001E-2</v>
      </c>
      <c r="J99">
        <v>3</v>
      </c>
      <c r="K99">
        <v>2</v>
      </c>
      <c r="L99">
        <v>1</v>
      </c>
      <c r="M99">
        <v>1</v>
      </c>
      <c r="N99">
        <v>1</v>
      </c>
    </row>
    <row r="100" spans="1:14">
      <c r="A100" t="e">
        <f>_xlfn.IFNA(IF(VLOOKUP(C100,#REF!,1,FALSE)=C100,"No change"),"Changed or new")</f>
        <v>#REF!</v>
      </c>
      <c r="B100" t="s">
        <v>76</v>
      </c>
      <c r="C100" t="s">
        <v>77</v>
      </c>
      <c r="D100" t="s">
        <v>3655</v>
      </c>
      <c r="E100" t="s">
        <v>12</v>
      </c>
      <c r="F100">
        <v>0</v>
      </c>
      <c r="G100">
        <v>0</v>
      </c>
      <c r="H100">
        <v>0</v>
      </c>
      <c r="I100" s="12">
        <f>H100*VLOOKUP(D100,GWPs!$B$3:$C$6,2,FALSE)</f>
        <v>0</v>
      </c>
      <c r="J100">
        <v>3</v>
      </c>
      <c r="K100">
        <v>2</v>
      </c>
      <c r="L100">
        <v>1</v>
      </c>
      <c r="M100">
        <v>3</v>
      </c>
      <c r="N100">
        <v>1</v>
      </c>
    </row>
    <row r="101" spans="1:14">
      <c r="A101" t="e">
        <f>_xlfn.IFNA(IF(VLOOKUP(C101,#REF!,1,FALSE)=C101,"No change"),"Changed or new")</f>
        <v>#REF!</v>
      </c>
      <c r="B101" t="s">
        <v>76</v>
      </c>
      <c r="C101" t="s">
        <v>77</v>
      </c>
      <c r="D101" t="s">
        <v>15</v>
      </c>
      <c r="E101" t="s">
        <v>16</v>
      </c>
      <c r="F101">
        <v>2.3E-2</v>
      </c>
      <c r="G101">
        <v>0</v>
      </c>
      <c r="H101">
        <v>2.3E-2</v>
      </c>
      <c r="I101" s="12">
        <f>H101*VLOOKUP(D101,GWPs!$B$3:$C$6,2,FALSE)</f>
        <v>2.3E-2</v>
      </c>
      <c r="J101">
        <v>4</v>
      </c>
      <c r="K101">
        <v>2</v>
      </c>
      <c r="L101">
        <v>1</v>
      </c>
      <c r="M101">
        <v>5</v>
      </c>
      <c r="N101">
        <v>1</v>
      </c>
    </row>
    <row r="102" spans="1:14">
      <c r="A102" t="e">
        <f>_xlfn.IFNA(IF(VLOOKUP(C102,#REF!,1,FALSE)=C102,"No change"),"Changed or new")</f>
        <v>#REF!</v>
      </c>
      <c r="B102" t="s">
        <v>78</v>
      </c>
      <c r="C102" t="s">
        <v>79</v>
      </c>
      <c r="D102" t="s">
        <v>3653</v>
      </c>
      <c r="E102" t="s">
        <v>12</v>
      </c>
      <c r="F102">
        <v>9.4E-2</v>
      </c>
      <c r="G102">
        <v>2.9000000000000001E-2</v>
      </c>
      <c r="H102">
        <v>0.123</v>
      </c>
      <c r="I102" s="12">
        <f>H102*VLOOKUP(D102,GWPs!$B$3:$C$6,2,FALSE)</f>
        <v>0.123</v>
      </c>
      <c r="J102">
        <v>3</v>
      </c>
      <c r="K102">
        <v>2</v>
      </c>
      <c r="L102">
        <v>1</v>
      </c>
      <c r="M102">
        <v>3</v>
      </c>
      <c r="N102">
        <v>1</v>
      </c>
    </row>
    <row r="103" spans="1:14">
      <c r="A103" t="e">
        <f>_xlfn.IFNA(IF(VLOOKUP(C103,#REF!,1,FALSE)=C103,"No change"),"Changed or new")</f>
        <v>#REF!</v>
      </c>
      <c r="B103" t="s">
        <v>78</v>
      </c>
      <c r="C103" t="s">
        <v>79</v>
      </c>
      <c r="D103" t="s">
        <v>3654</v>
      </c>
      <c r="E103" t="s">
        <v>12</v>
      </c>
      <c r="F103">
        <v>0</v>
      </c>
      <c r="G103">
        <v>0</v>
      </c>
      <c r="H103">
        <v>1E-3</v>
      </c>
      <c r="I103" s="12">
        <f>H103*VLOOKUP(D103,GWPs!$B$3:$C$6,2,FALSE)</f>
        <v>2.8000000000000001E-2</v>
      </c>
      <c r="J103">
        <v>3</v>
      </c>
      <c r="K103">
        <v>2</v>
      </c>
      <c r="L103">
        <v>1</v>
      </c>
      <c r="M103">
        <v>1</v>
      </c>
      <c r="N103">
        <v>1</v>
      </c>
    </row>
    <row r="104" spans="1:14">
      <c r="A104" t="e">
        <f>_xlfn.IFNA(IF(VLOOKUP(C104,#REF!,1,FALSE)=C104,"No change"),"Changed or new")</f>
        <v>#REF!</v>
      </c>
      <c r="B104" t="s">
        <v>78</v>
      </c>
      <c r="C104" t="s">
        <v>79</v>
      </c>
      <c r="D104" t="s">
        <v>3655</v>
      </c>
      <c r="E104" t="s">
        <v>12</v>
      </c>
      <c r="F104">
        <v>0</v>
      </c>
      <c r="G104">
        <v>0</v>
      </c>
      <c r="H104">
        <v>0</v>
      </c>
      <c r="I104" s="12">
        <f>H104*VLOOKUP(D104,GWPs!$B$3:$C$6,2,FALSE)</f>
        <v>0</v>
      </c>
      <c r="J104">
        <v>3</v>
      </c>
      <c r="K104">
        <v>2</v>
      </c>
      <c r="L104">
        <v>1</v>
      </c>
      <c r="M104">
        <v>3</v>
      </c>
      <c r="N104">
        <v>1</v>
      </c>
    </row>
    <row r="105" spans="1:14">
      <c r="A105" t="e">
        <f>_xlfn.IFNA(IF(VLOOKUP(C105,#REF!,1,FALSE)=C105,"No change"),"Changed or new")</f>
        <v>#REF!</v>
      </c>
      <c r="B105" t="s">
        <v>78</v>
      </c>
      <c r="C105" t="s">
        <v>79</v>
      </c>
      <c r="D105" t="s">
        <v>15</v>
      </c>
      <c r="E105" t="s">
        <v>16</v>
      </c>
      <c r="F105">
        <v>6.0000000000000001E-3</v>
      </c>
      <c r="G105">
        <v>0</v>
      </c>
      <c r="H105">
        <v>6.0000000000000001E-3</v>
      </c>
      <c r="I105" s="12">
        <f>H105*VLOOKUP(D105,GWPs!$B$3:$C$6,2,FALSE)</f>
        <v>6.0000000000000001E-3</v>
      </c>
      <c r="J105">
        <v>4</v>
      </c>
      <c r="K105">
        <v>2</v>
      </c>
      <c r="L105">
        <v>1</v>
      </c>
      <c r="M105">
        <v>4</v>
      </c>
      <c r="N105">
        <v>1</v>
      </c>
    </row>
    <row r="106" spans="1:14">
      <c r="A106" t="e">
        <f>_xlfn.IFNA(IF(VLOOKUP(C106,#REF!,1,FALSE)=C106,"No change"),"Changed or new")</f>
        <v>#REF!</v>
      </c>
      <c r="B106" t="s">
        <v>80</v>
      </c>
      <c r="C106" t="s">
        <v>81</v>
      </c>
      <c r="D106" t="s">
        <v>3653</v>
      </c>
      <c r="E106" t="s">
        <v>12</v>
      </c>
      <c r="F106">
        <v>0.127</v>
      </c>
      <c r="G106">
        <v>0</v>
      </c>
      <c r="H106">
        <v>0.127</v>
      </c>
      <c r="I106" s="12">
        <f>H106*VLOOKUP(D106,GWPs!$B$3:$C$6,2,FALSE)</f>
        <v>0.127</v>
      </c>
      <c r="J106">
        <v>3</v>
      </c>
      <c r="K106">
        <v>2</v>
      </c>
      <c r="L106">
        <v>1</v>
      </c>
      <c r="M106">
        <v>3</v>
      </c>
      <c r="N106">
        <v>1</v>
      </c>
    </row>
    <row r="107" spans="1:14">
      <c r="A107" t="e">
        <f>_xlfn.IFNA(IF(VLOOKUP(C107,#REF!,1,FALSE)=C107,"No change"),"Changed or new")</f>
        <v>#REF!</v>
      </c>
      <c r="B107" t="s">
        <v>80</v>
      </c>
      <c r="C107" t="s">
        <v>81</v>
      </c>
      <c r="D107" t="s">
        <v>3654</v>
      </c>
      <c r="E107" t="s">
        <v>12</v>
      </c>
      <c r="F107">
        <v>1E-3</v>
      </c>
      <c r="G107">
        <v>0</v>
      </c>
      <c r="H107">
        <v>1E-3</v>
      </c>
      <c r="I107" s="12">
        <f>H107*VLOOKUP(D107,GWPs!$B$3:$C$6,2,FALSE)</f>
        <v>2.8000000000000001E-2</v>
      </c>
      <c r="J107">
        <v>3</v>
      </c>
      <c r="K107">
        <v>2</v>
      </c>
      <c r="L107">
        <v>1</v>
      </c>
      <c r="M107">
        <v>1</v>
      </c>
      <c r="N107">
        <v>1</v>
      </c>
    </row>
    <row r="108" spans="1:14">
      <c r="A108" t="e">
        <f>_xlfn.IFNA(IF(VLOOKUP(C108,#REF!,1,FALSE)=C108,"No change"),"Changed or new")</f>
        <v>#REF!</v>
      </c>
      <c r="B108" t="s">
        <v>80</v>
      </c>
      <c r="C108" t="s">
        <v>81</v>
      </c>
      <c r="D108" t="s">
        <v>3655</v>
      </c>
      <c r="E108" t="s">
        <v>12</v>
      </c>
      <c r="F108">
        <v>0</v>
      </c>
      <c r="G108">
        <v>0</v>
      </c>
      <c r="H108">
        <v>0</v>
      </c>
      <c r="I108" s="12">
        <f>H108*VLOOKUP(D108,GWPs!$B$3:$C$6,2,FALSE)</f>
        <v>0</v>
      </c>
      <c r="J108">
        <v>4</v>
      </c>
      <c r="K108">
        <v>2</v>
      </c>
      <c r="L108">
        <v>1</v>
      </c>
      <c r="M108">
        <v>3</v>
      </c>
      <c r="N108">
        <v>1</v>
      </c>
    </row>
    <row r="109" spans="1:14">
      <c r="A109" t="e">
        <f>_xlfn.IFNA(IF(VLOOKUP(C109,#REF!,1,FALSE)=C109,"No change"),"Changed or new")</f>
        <v>#REF!</v>
      </c>
      <c r="B109" t="s">
        <v>80</v>
      </c>
      <c r="C109" t="s">
        <v>81</v>
      </c>
      <c r="D109" t="s">
        <v>15</v>
      </c>
      <c r="E109" t="s">
        <v>16</v>
      </c>
      <c r="F109">
        <v>4.0000000000000001E-3</v>
      </c>
      <c r="G109">
        <v>0</v>
      </c>
      <c r="H109">
        <v>4.0000000000000001E-3</v>
      </c>
      <c r="I109" s="12">
        <f>H109*VLOOKUP(D109,GWPs!$B$3:$C$6,2,FALSE)</f>
        <v>4.0000000000000001E-3</v>
      </c>
      <c r="J109">
        <v>4</v>
      </c>
      <c r="K109">
        <v>2</v>
      </c>
      <c r="L109">
        <v>1</v>
      </c>
      <c r="M109">
        <v>4</v>
      </c>
      <c r="N109">
        <v>1</v>
      </c>
    </row>
    <row r="110" spans="1:14">
      <c r="A110" t="e">
        <f>_xlfn.IFNA(IF(VLOOKUP(C110,#REF!,1,FALSE)=C110,"No change"),"Changed or new")</f>
        <v>#REF!</v>
      </c>
      <c r="B110" t="s">
        <v>82</v>
      </c>
      <c r="C110" t="s">
        <v>83</v>
      </c>
      <c r="D110" t="s">
        <v>3653</v>
      </c>
      <c r="E110" t="s">
        <v>12</v>
      </c>
      <c r="F110">
        <v>0.123</v>
      </c>
      <c r="G110">
        <v>0</v>
      </c>
      <c r="H110">
        <v>0.123</v>
      </c>
      <c r="I110" s="12">
        <f>H110*VLOOKUP(D110,GWPs!$B$3:$C$6,2,FALSE)</f>
        <v>0.123</v>
      </c>
      <c r="J110">
        <v>3</v>
      </c>
      <c r="K110">
        <v>2</v>
      </c>
      <c r="L110">
        <v>1</v>
      </c>
      <c r="M110">
        <v>3</v>
      </c>
      <c r="N110">
        <v>1</v>
      </c>
    </row>
    <row r="111" spans="1:14">
      <c r="A111" t="e">
        <f>_xlfn.IFNA(IF(VLOOKUP(C111,#REF!,1,FALSE)=C111,"No change"),"Changed or new")</f>
        <v>#REF!</v>
      </c>
      <c r="B111" t="s">
        <v>82</v>
      </c>
      <c r="C111" t="s">
        <v>83</v>
      </c>
      <c r="D111" t="s">
        <v>3654</v>
      </c>
      <c r="E111" t="s">
        <v>12</v>
      </c>
      <c r="F111">
        <v>1E-3</v>
      </c>
      <c r="G111">
        <v>0</v>
      </c>
      <c r="H111">
        <v>1E-3</v>
      </c>
      <c r="I111" s="12">
        <f>H111*VLOOKUP(D111,GWPs!$B$3:$C$6,2,FALSE)</f>
        <v>2.8000000000000001E-2</v>
      </c>
      <c r="J111">
        <v>3</v>
      </c>
      <c r="K111">
        <v>2</v>
      </c>
      <c r="L111">
        <v>1</v>
      </c>
      <c r="M111">
        <v>1</v>
      </c>
      <c r="N111">
        <v>1</v>
      </c>
    </row>
    <row r="112" spans="1:14">
      <c r="A112" t="e">
        <f>_xlfn.IFNA(IF(VLOOKUP(C112,#REF!,1,FALSE)=C112,"No change"),"Changed or new")</f>
        <v>#REF!</v>
      </c>
      <c r="B112" t="s">
        <v>82</v>
      </c>
      <c r="C112" t="s">
        <v>83</v>
      </c>
      <c r="D112" t="s">
        <v>3655</v>
      </c>
      <c r="E112" t="s">
        <v>12</v>
      </c>
      <c r="F112">
        <v>0</v>
      </c>
      <c r="G112">
        <v>0</v>
      </c>
      <c r="H112">
        <v>0</v>
      </c>
      <c r="I112" s="12">
        <f>H112*VLOOKUP(D112,GWPs!$B$3:$C$6,2,FALSE)</f>
        <v>0</v>
      </c>
      <c r="J112">
        <v>4</v>
      </c>
      <c r="K112">
        <v>2</v>
      </c>
      <c r="L112">
        <v>1</v>
      </c>
      <c r="M112">
        <v>3</v>
      </c>
      <c r="N112">
        <v>1</v>
      </c>
    </row>
    <row r="113" spans="1:14">
      <c r="A113" t="e">
        <f>_xlfn.IFNA(IF(VLOOKUP(C113,#REF!,1,FALSE)=C113,"No change"),"Changed or new")</f>
        <v>#REF!</v>
      </c>
      <c r="B113" t="s">
        <v>82</v>
      </c>
      <c r="C113" t="s">
        <v>83</v>
      </c>
      <c r="D113" t="s">
        <v>15</v>
      </c>
      <c r="E113" t="s">
        <v>16</v>
      </c>
      <c r="F113">
        <v>2E-3</v>
      </c>
      <c r="G113">
        <v>0</v>
      </c>
      <c r="H113">
        <v>2E-3</v>
      </c>
      <c r="I113" s="12">
        <f>H113*VLOOKUP(D113,GWPs!$B$3:$C$6,2,FALSE)</f>
        <v>2E-3</v>
      </c>
      <c r="J113">
        <v>4</v>
      </c>
      <c r="K113">
        <v>2</v>
      </c>
      <c r="L113">
        <v>1</v>
      </c>
      <c r="M113">
        <v>4</v>
      </c>
      <c r="N113">
        <v>1</v>
      </c>
    </row>
    <row r="114" spans="1:14">
      <c r="A114" t="e">
        <f>_xlfn.IFNA(IF(VLOOKUP(C114,#REF!,1,FALSE)=C114,"No change"),"Changed or new")</f>
        <v>#REF!</v>
      </c>
      <c r="B114" t="s">
        <v>84</v>
      </c>
      <c r="C114" t="s">
        <v>19</v>
      </c>
      <c r="D114" t="s">
        <v>3653</v>
      </c>
      <c r="E114" t="s">
        <v>12</v>
      </c>
      <c r="F114">
        <v>0.21299999999999999</v>
      </c>
      <c r="G114">
        <v>0</v>
      </c>
      <c r="H114">
        <v>0.21299999999999999</v>
      </c>
      <c r="I114" s="12">
        <f>H114*VLOOKUP(D114,GWPs!$B$3:$C$6,2,FALSE)</f>
        <v>0.21299999999999999</v>
      </c>
      <c r="J114">
        <v>2</v>
      </c>
      <c r="K114">
        <v>2</v>
      </c>
      <c r="L114">
        <v>1</v>
      </c>
      <c r="M114">
        <v>3</v>
      </c>
      <c r="N114">
        <v>1</v>
      </c>
    </row>
    <row r="115" spans="1:14">
      <c r="A115" t="e">
        <f>_xlfn.IFNA(IF(VLOOKUP(C115,#REF!,1,FALSE)=C115,"No change"),"Changed or new")</f>
        <v>#REF!</v>
      </c>
      <c r="B115" t="s">
        <v>84</v>
      </c>
      <c r="C115" t="s">
        <v>19</v>
      </c>
      <c r="D115" t="s">
        <v>3654</v>
      </c>
      <c r="E115" t="s">
        <v>12</v>
      </c>
      <c r="F115">
        <v>1E-3</v>
      </c>
      <c r="G115">
        <v>0</v>
      </c>
      <c r="H115">
        <v>1E-3</v>
      </c>
      <c r="I115" s="12">
        <f>H115*VLOOKUP(D115,GWPs!$B$3:$C$6,2,FALSE)</f>
        <v>2.8000000000000001E-2</v>
      </c>
      <c r="J115">
        <v>3</v>
      </c>
      <c r="K115">
        <v>2</v>
      </c>
      <c r="L115">
        <v>1</v>
      </c>
      <c r="M115">
        <v>1</v>
      </c>
      <c r="N115">
        <v>1</v>
      </c>
    </row>
    <row r="116" spans="1:14">
      <c r="A116" t="e">
        <f>_xlfn.IFNA(IF(VLOOKUP(C116,#REF!,1,FALSE)=C116,"No change"),"Changed or new")</f>
        <v>#REF!</v>
      </c>
      <c r="B116" t="s">
        <v>84</v>
      </c>
      <c r="C116" t="s">
        <v>19</v>
      </c>
      <c r="D116" t="s">
        <v>3655</v>
      </c>
      <c r="E116" t="s">
        <v>12</v>
      </c>
      <c r="F116">
        <v>0</v>
      </c>
      <c r="G116">
        <v>0</v>
      </c>
      <c r="H116">
        <v>0</v>
      </c>
      <c r="I116" s="12">
        <f>H116*VLOOKUP(D116,GWPs!$B$3:$C$6,2,FALSE)</f>
        <v>0</v>
      </c>
      <c r="J116">
        <v>4</v>
      </c>
      <c r="K116">
        <v>2</v>
      </c>
      <c r="L116">
        <v>1</v>
      </c>
      <c r="M116">
        <v>4</v>
      </c>
      <c r="N116">
        <v>1</v>
      </c>
    </row>
    <row r="117" spans="1:14">
      <c r="A117" t="e">
        <f>_xlfn.IFNA(IF(VLOOKUP(C117,#REF!,1,FALSE)=C117,"No change"),"Changed or new")</f>
        <v>#REF!</v>
      </c>
      <c r="B117" t="s">
        <v>84</v>
      </c>
      <c r="C117" t="s">
        <v>19</v>
      </c>
      <c r="D117" t="s">
        <v>15</v>
      </c>
      <c r="E117" t="s">
        <v>16</v>
      </c>
      <c r="F117">
        <v>4.0000000000000001E-3</v>
      </c>
      <c r="G117">
        <v>0</v>
      </c>
      <c r="H117">
        <v>4.0000000000000001E-3</v>
      </c>
      <c r="I117" s="12">
        <f>H117*VLOOKUP(D117,GWPs!$B$3:$C$6,2,FALSE)</f>
        <v>4.0000000000000001E-3</v>
      </c>
      <c r="J117">
        <v>4</v>
      </c>
      <c r="K117">
        <v>2</v>
      </c>
      <c r="L117">
        <v>1</v>
      </c>
      <c r="M117">
        <v>4</v>
      </c>
      <c r="N117">
        <v>1</v>
      </c>
    </row>
    <row r="118" spans="1:14">
      <c r="A118" t="e">
        <f>_xlfn.IFNA(IF(VLOOKUP(C118,#REF!,1,FALSE)=C118,"No change"),"Changed or new")</f>
        <v>#REF!</v>
      </c>
      <c r="B118" t="s">
        <v>85</v>
      </c>
      <c r="C118" t="s">
        <v>20</v>
      </c>
      <c r="D118" t="s">
        <v>3653</v>
      </c>
      <c r="E118" t="s">
        <v>12</v>
      </c>
      <c r="F118">
        <v>0.17699999999999999</v>
      </c>
      <c r="G118">
        <v>0</v>
      </c>
      <c r="H118">
        <v>0.17699999999999999</v>
      </c>
      <c r="I118" s="12">
        <f>H118*VLOOKUP(D118,GWPs!$B$3:$C$6,2,FALSE)</f>
        <v>0.17699999999999999</v>
      </c>
      <c r="J118">
        <v>2</v>
      </c>
      <c r="K118">
        <v>2</v>
      </c>
      <c r="L118">
        <v>1</v>
      </c>
      <c r="M118">
        <v>3</v>
      </c>
      <c r="N118">
        <v>1</v>
      </c>
    </row>
    <row r="119" spans="1:14">
      <c r="A119" t="e">
        <f>_xlfn.IFNA(IF(VLOOKUP(C119,#REF!,1,FALSE)=C119,"No change"),"Changed or new")</f>
        <v>#REF!</v>
      </c>
      <c r="B119" t="s">
        <v>85</v>
      </c>
      <c r="C119" t="s">
        <v>20</v>
      </c>
      <c r="D119" t="s">
        <v>3654</v>
      </c>
      <c r="E119" t="s">
        <v>12</v>
      </c>
      <c r="F119">
        <v>1E-3</v>
      </c>
      <c r="G119">
        <v>0</v>
      </c>
      <c r="H119">
        <v>1E-3</v>
      </c>
      <c r="I119" s="12">
        <f>H119*VLOOKUP(D119,GWPs!$B$3:$C$6,2,FALSE)</f>
        <v>2.8000000000000001E-2</v>
      </c>
      <c r="J119">
        <v>3</v>
      </c>
      <c r="K119">
        <v>2</v>
      </c>
      <c r="L119">
        <v>1</v>
      </c>
      <c r="M119">
        <v>1</v>
      </c>
      <c r="N119">
        <v>1</v>
      </c>
    </row>
    <row r="120" spans="1:14">
      <c r="A120" t="e">
        <f>_xlfn.IFNA(IF(VLOOKUP(C120,#REF!,1,FALSE)=C120,"No change"),"Changed or new")</f>
        <v>#REF!</v>
      </c>
      <c r="B120" t="s">
        <v>85</v>
      </c>
      <c r="C120" t="s">
        <v>20</v>
      </c>
      <c r="D120" t="s">
        <v>3655</v>
      </c>
      <c r="E120" t="s">
        <v>12</v>
      </c>
      <c r="F120">
        <v>0</v>
      </c>
      <c r="G120">
        <v>0</v>
      </c>
      <c r="H120">
        <v>0</v>
      </c>
      <c r="I120" s="12">
        <f>H120*VLOOKUP(D120,GWPs!$B$3:$C$6,2,FALSE)</f>
        <v>0</v>
      </c>
      <c r="J120">
        <v>4</v>
      </c>
      <c r="K120">
        <v>2</v>
      </c>
      <c r="L120">
        <v>1</v>
      </c>
      <c r="M120">
        <v>3</v>
      </c>
      <c r="N120">
        <v>1</v>
      </c>
    </row>
    <row r="121" spans="1:14">
      <c r="A121" t="e">
        <f>_xlfn.IFNA(IF(VLOOKUP(C121,#REF!,1,FALSE)=C121,"No change"),"Changed or new")</f>
        <v>#REF!</v>
      </c>
      <c r="B121" t="s">
        <v>85</v>
      </c>
      <c r="C121" t="s">
        <v>20</v>
      </c>
      <c r="D121" t="s">
        <v>15</v>
      </c>
      <c r="E121" t="s">
        <v>16</v>
      </c>
      <c r="F121">
        <v>3.0000000000000001E-3</v>
      </c>
      <c r="G121">
        <v>0</v>
      </c>
      <c r="H121">
        <v>3.0000000000000001E-3</v>
      </c>
      <c r="I121" s="12">
        <f>H121*VLOOKUP(D121,GWPs!$B$3:$C$6,2,FALSE)</f>
        <v>3.0000000000000001E-3</v>
      </c>
      <c r="J121">
        <v>4</v>
      </c>
      <c r="K121">
        <v>2</v>
      </c>
      <c r="L121">
        <v>1</v>
      </c>
      <c r="M121">
        <v>4</v>
      </c>
      <c r="N121">
        <v>1</v>
      </c>
    </row>
    <row r="122" spans="1:14">
      <c r="A122" t="e">
        <f>_xlfn.IFNA(IF(VLOOKUP(C122,#REF!,1,FALSE)=C122,"No change"),"Changed or new")</f>
        <v>#REF!</v>
      </c>
      <c r="B122" t="s">
        <v>86</v>
      </c>
      <c r="C122" t="s">
        <v>87</v>
      </c>
      <c r="D122" t="s">
        <v>3653</v>
      </c>
      <c r="E122" t="s">
        <v>12</v>
      </c>
      <c r="F122">
        <v>0.90300000000000002</v>
      </c>
      <c r="G122">
        <v>0</v>
      </c>
      <c r="H122">
        <v>0.90300000000000002</v>
      </c>
      <c r="I122" s="12">
        <f>H122*VLOOKUP(D122,GWPs!$B$3:$C$6,2,FALSE)</f>
        <v>0.90300000000000002</v>
      </c>
      <c r="J122">
        <v>4</v>
      </c>
      <c r="K122">
        <v>2</v>
      </c>
      <c r="L122">
        <v>1</v>
      </c>
      <c r="M122">
        <v>1</v>
      </c>
      <c r="N122">
        <v>1</v>
      </c>
    </row>
    <row r="123" spans="1:14">
      <c r="A123" t="e">
        <f>_xlfn.IFNA(IF(VLOOKUP(C123,#REF!,1,FALSE)=C123,"No change"),"Changed or new")</f>
        <v>#REF!</v>
      </c>
      <c r="B123" t="s">
        <v>86</v>
      </c>
      <c r="C123" t="s">
        <v>87</v>
      </c>
      <c r="D123" t="s">
        <v>3654</v>
      </c>
      <c r="E123" t="s">
        <v>12</v>
      </c>
      <c r="F123">
        <v>3.0000000000000001E-3</v>
      </c>
      <c r="G123">
        <v>0</v>
      </c>
      <c r="H123">
        <v>3.0000000000000001E-3</v>
      </c>
      <c r="I123" s="12">
        <f>H123*VLOOKUP(D123,GWPs!$B$3:$C$6,2,FALSE)</f>
        <v>8.4000000000000005E-2</v>
      </c>
      <c r="J123">
        <v>4</v>
      </c>
      <c r="K123">
        <v>2</v>
      </c>
      <c r="L123">
        <v>1</v>
      </c>
      <c r="M123">
        <v>1</v>
      </c>
      <c r="N123">
        <v>1</v>
      </c>
    </row>
    <row r="124" spans="1:14">
      <c r="A124" t="e">
        <f>_xlfn.IFNA(IF(VLOOKUP(C124,#REF!,1,FALSE)=C124,"No change"),"Changed or new")</f>
        <v>#REF!</v>
      </c>
      <c r="B124" t="s">
        <v>86</v>
      </c>
      <c r="C124" t="s">
        <v>87</v>
      </c>
      <c r="D124" t="s">
        <v>3655</v>
      </c>
      <c r="E124" t="s">
        <v>12</v>
      </c>
      <c r="F124">
        <v>0</v>
      </c>
      <c r="G124">
        <v>0</v>
      </c>
      <c r="H124">
        <v>0</v>
      </c>
      <c r="I124" s="12">
        <f>H124*VLOOKUP(D124,GWPs!$B$3:$C$6,2,FALSE)</f>
        <v>0</v>
      </c>
      <c r="J124">
        <v>4</v>
      </c>
      <c r="K124">
        <v>2</v>
      </c>
      <c r="L124">
        <v>1</v>
      </c>
      <c r="M124">
        <v>4</v>
      </c>
      <c r="N124">
        <v>1</v>
      </c>
    </row>
    <row r="125" spans="1:14">
      <c r="A125" t="e">
        <f>_xlfn.IFNA(IF(VLOOKUP(C125,#REF!,1,FALSE)=C125,"No change"),"Changed or new")</f>
        <v>#REF!</v>
      </c>
      <c r="B125" t="s">
        <v>86</v>
      </c>
      <c r="C125" t="s">
        <v>87</v>
      </c>
      <c r="D125" t="s">
        <v>15</v>
      </c>
      <c r="E125" t="s">
        <v>16</v>
      </c>
      <c r="F125">
        <v>2E-3</v>
      </c>
      <c r="G125">
        <v>0</v>
      </c>
      <c r="H125">
        <v>2E-3</v>
      </c>
      <c r="I125" s="12">
        <f>H125*VLOOKUP(D125,GWPs!$B$3:$C$6,2,FALSE)</f>
        <v>2E-3</v>
      </c>
      <c r="J125">
        <v>4</v>
      </c>
      <c r="K125">
        <v>2</v>
      </c>
      <c r="L125">
        <v>1</v>
      </c>
      <c r="M125">
        <v>4</v>
      </c>
      <c r="N125">
        <v>1</v>
      </c>
    </row>
    <row r="126" spans="1:14">
      <c r="A126" t="e">
        <f>_xlfn.IFNA(IF(VLOOKUP(C126,#REF!,1,FALSE)=C126,"No change"),"Changed or new")</f>
        <v>#REF!</v>
      </c>
      <c r="B126" t="s">
        <v>88</v>
      </c>
      <c r="C126" t="s">
        <v>89</v>
      </c>
      <c r="D126" t="s">
        <v>3653</v>
      </c>
      <c r="E126" t="s">
        <v>12</v>
      </c>
      <c r="F126">
        <v>0.65500000000000003</v>
      </c>
      <c r="G126">
        <v>0</v>
      </c>
      <c r="H126">
        <v>0.65500000000000003</v>
      </c>
      <c r="I126" s="12">
        <f>H126*VLOOKUP(D126,GWPs!$B$3:$C$6,2,FALSE)</f>
        <v>0.65500000000000003</v>
      </c>
      <c r="J126">
        <v>4</v>
      </c>
      <c r="K126">
        <v>2</v>
      </c>
      <c r="L126">
        <v>1</v>
      </c>
      <c r="M126">
        <v>4</v>
      </c>
      <c r="N126">
        <v>1</v>
      </c>
    </row>
    <row r="127" spans="1:14">
      <c r="A127" t="e">
        <f>_xlfn.IFNA(IF(VLOOKUP(C127,#REF!,1,FALSE)=C127,"No change"),"Changed or new")</f>
        <v>#REF!</v>
      </c>
      <c r="B127" t="s">
        <v>88</v>
      </c>
      <c r="C127" t="s">
        <v>89</v>
      </c>
      <c r="D127" t="s">
        <v>3654</v>
      </c>
      <c r="E127" t="s">
        <v>12</v>
      </c>
      <c r="F127">
        <v>2E-3</v>
      </c>
      <c r="G127">
        <v>0</v>
      </c>
      <c r="H127">
        <v>2E-3</v>
      </c>
      <c r="I127" s="12">
        <f>H127*VLOOKUP(D127,GWPs!$B$3:$C$6,2,FALSE)</f>
        <v>5.6000000000000001E-2</v>
      </c>
      <c r="J127">
        <v>4</v>
      </c>
      <c r="K127">
        <v>2</v>
      </c>
      <c r="L127">
        <v>1</v>
      </c>
      <c r="M127">
        <v>1</v>
      </c>
      <c r="N127">
        <v>1</v>
      </c>
    </row>
    <row r="128" spans="1:14">
      <c r="A128" t="e">
        <f>_xlfn.IFNA(IF(VLOOKUP(C128,#REF!,1,FALSE)=C128,"No change"),"Changed or new")</f>
        <v>#REF!</v>
      </c>
      <c r="B128" t="s">
        <v>88</v>
      </c>
      <c r="C128" t="s">
        <v>89</v>
      </c>
      <c r="D128" t="s">
        <v>3655</v>
      </c>
      <c r="E128" t="s">
        <v>12</v>
      </c>
      <c r="F128">
        <v>0</v>
      </c>
      <c r="G128">
        <v>0</v>
      </c>
      <c r="H128">
        <v>0</v>
      </c>
      <c r="I128" s="12">
        <f>H128*VLOOKUP(D128,GWPs!$B$3:$C$6,2,FALSE)</f>
        <v>0</v>
      </c>
      <c r="J128">
        <v>4</v>
      </c>
      <c r="K128">
        <v>2</v>
      </c>
      <c r="L128">
        <v>1</v>
      </c>
      <c r="M128">
        <v>4</v>
      </c>
      <c r="N128">
        <v>1</v>
      </c>
    </row>
    <row r="129" spans="1:14">
      <c r="A129" t="e">
        <f>_xlfn.IFNA(IF(VLOOKUP(C129,#REF!,1,FALSE)=C129,"No change"),"Changed or new")</f>
        <v>#REF!</v>
      </c>
      <c r="B129" t="s">
        <v>88</v>
      </c>
      <c r="C129" t="s">
        <v>89</v>
      </c>
      <c r="D129" t="s">
        <v>15</v>
      </c>
      <c r="E129" t="s">
        <v>16</v>
      </c>
      <c r="F129">
        <v>4.0000000000000001E-3</v>
      </c>
      <c r="G129">
        <v>0</v>
      </c>
      <c r="H129">
        <v>4.0000000000000001E-3</v>
      </c>
      <c r="I129" s="12">
        <f>H129*VLOOKUP(D129,GWPs!$B$3:$C$6,2,FALSE)</f>
        <v>4.0000000000000001E-3</v>
      </c>
      <c r="J129">
        <v>4</v>
      </c>
      <c r="K129">
        <v>2</v>
      </c>
      <c r="L129">
        <v>1</v>
      </c>
      <c r="M129">
        <v>4</v>
      </c>
      <c r="N129">
        <v>1</v>
      </c>
    </row>
    <row r="130" spans="1:14">
      <c r="A130" t="e">
        <f>_xlfn.IFNA(IF(VLOOKUP(C130,#REF!,1,FALSE)=C130,"No change"),"Changed or new")</f>
        <v>#REF!</v>
      </c>
      <c r="B130" t="s">
        <v>90</v>
      </c>
      <c r="C130" t="s">
        <v>91</v>
      </c>
      <c r="D130" t="s">
        <v>3653</v>
      </c>
      <c r="E130" t="s">
        <v>12</v>
      </c>
      <c r="F130">
        <v>0.61799999999999999</v>
      </c>
      <c r="G130">
        <v>0</v>
      </c>
      <c r="H130">
        <v>0.61799999999999999</v>
      </c>
      <c r="I130" s="12">
        <f>H130*VLOOKUP(D130,GWPs!$B$3:$C$6,2,FALSE)</f>
        <v>0.61799999999999999</v>
      </c>
      <c r="J130">
        <v>4</v>
      </c>
      <c r="K130">
        <v>2</v>
      </c>
      <c r="L130">
        <v>1</v>
      </c>
      <c r="M130">
        <v>2</v>
      </c>
      <c r="N130">
        <v>1</v>
      </c>
    </row>
    <row r="131" spans="1:14">
      <c r="A131" t="e">
        <f>_xlfn.IFNA(IF(VLOOKUP(C131,#REF!,1,FALSE)=C131,"No change"),"Changed or new")</f>
        <v>#REF!</v>
      </c>
      <c r="B131" t="s">
        <v>90</v>
      </c>
      <c r="C131" t="s">
        <v>91</v>
      </c>
      <c r="D131" t="s">
        <v>3654</v>
      </c>
      <c r="E131" t="s">
        <v>12</v>
      </c>
      <c r="F131">
        <v>3.0000000000000001E-3</v>
      </c>
      <c r="G131">
        <v>0</v>
      </c>
      <c r="H131">
        <v>3.0000000000000001E-3</v>
      </c>
      <c r="I131" s="12">
        <f>H131*VLOOKUP(D131,GWPs!$B$3:$C$6,2,FALSE)</f>
        <v>8.4000000000000005E-2</v>
      </c>
      <c r="J131">
        <v>4</v>
      </c>
      <c r="K131">
        <v>2</v>
      </c>
      <c r="L131">
        <v>1</v>
      </c>
      <c r="M131">
        <v>2</v>
      </c>
      <c r="N131">
        <v>1</v>
      </c>
    </row>
    <row r="132" spans="1:14">
      <c r="A132" t="e">
        <f>_xlfn.IFNA(IF(VLOOKUP(C132,#REF!,1,FALSE)=C132,"No change"),"Changed or new")</f>
        <v>#REF!</v>
      </c>
      <c r="B132" t="s">
        <v>90</v>
      </c>
      <c r="C132" t="s">
        <v>91</v>
      </c>
      <c r="D132" t="s">
        <v>3655</v>
      </c>
      <c r="E132" t="s">
        <v>12</v>
      </c>
      <c r="F132">
        <v>0</v>
      </c>
      <c r="G132">
        <v>0</v>
      </c>
      <c r="H132">
        <v>0</v>
      </c>
      <c r="I132" s="12">
        <f>H132*VLOOKUP(D132,GWPs!$B$3:$C$6,2,FALSE)</f>
        <v>0</v>
      </c>
      <c r="J132">
        <v>4</v>
      </c>
      <c r="K132">
        <v>2</v>
      </c>
      <c r="L132">
        <v>1</v>
      </c>
      <c r="M132">
        <v>4</v>
      </c>
      <c r="N132">
        <v>1</v>
      </c>
    </row>
    <row r="133" spans="1:14">
      <c r="A133" t="e">
        <f>_xlfn.IFNA(IF(VLOOKUP(C133,#REF!,1,FALSE)=C133,"No change"),"Changed or new")</f>
        <v>#REF!</v>
      </c>
      <c r="B133" t="s">
        <v>90</v>
      </c>
      <c r="C133" t="s">
        <v>91</v>
      </c>
      <c r="D133" t="s">
        <v>15</v>
      </c>
      <c r="E133" t="s">
        <v>16</v>
      </c>
      <c r="F133">
        <v>5.8999999999999997E-2</v>
      </c>
      <c r="G133">
        <v>0</v>
      </c>
      <c r="H133">
        <v>5.8999999999999997E-2</v>
      </c>
      <c r="I133" s="12">
        <f>H133*VLOOKUP(D133,GWPs!$B$3:$C$6,2,FALSE)</f>
        <v>5.8999999999999997E-2</v>
      </c>
      <c r="J133">
        <v>4</v>
      </c>
      <c r="K133">
        <v>2</v>
      </c>
      <c r="L133">
        <v>1</v>
      </c>
      <c r="M133">
        <v>5</v>
      </c>
      <c r="N133">
        <v>1</v>
      </c>
    </row>
    <row r="134" spans="1:14">
      <c r="A134" t="e">
        <f>_xlfn.IFNA(IF(VLOOKUP(C134,#REF!,1,FALSE)=C134,"No change"),"Changed or new")</f>
        <v>#REF!</v>
      </c>
      <c r="B134" t="s">
        <v>92</v>
      </c>
      <c r="C134" t="s">
        <v>93</v>
      </c>
      <c r="D134" t="s">
        <v>3653</v>
      </c>
      <c r="E134" t="s">
        <v>12</v>
      </c>
      <c r="F134">
        <v>1.24</v>
      </c>
      <c r="G134">
        <v>0</v>
      </c>
      <c r="H134">
        <v>1.24</v>
      </c>
      <c r="I134" s="12">
        <f>H134*VLOOKUP(D134,GWPs!$B$3:$C$6,2,FALSE)</f>
        <v>1.24</v>
      </c>
      <c r="J134">
        <v>4</v>
      </c>
      <c r="K134">
        <v>2</v>
      </c>
      <c r="L134">
        <v>1</v>
      </c>
      <c r="M134">
        <v>4</v>
      </c>
      <c r="N134">
        <v>1</v>
      </c>
    </row>
    <row r="135" spans="1:14">
      <c r="A135" t="e">
        <f>_xlfn.IFNA(IF(VLOOKUP(C135,#REF!,1,FALSE)=C135,"No change"),"Changed or new")</f>
        <v>#REF!</v>
      </c>
      <c r="B135" t="s">
        <v>92</v>
      </c>
      <c r="C135" t="s">
        <v>93</v>
      </c>
      <c r="D135" t="s">
        <v>3654</v>
      </c>
      <c r="E135" t="s">
        <v>12</v>
      </c>
      <c r="F135">
        <v>3.0000000000000001E-3</v>
      </c>
      <c r="G135">
        <v>0</v>
      </c>
      <c r="H135">
        <v>3.0000000000000001E-3</v>
      </c>
      <c r="I135" s="12">
        <f>H135*VLOOKUP(D135,GWPs!$B$3:$C$6,2,FALSE)</f>
        <v>8.4000000000000005E-2</v>
      </c>
      <c r="J135">
        <v>4</v>
      </c>
      <c r="K135">
        <v>2</v>
      </c>
      <c r="L135">
        <v>1</v>
      </c>
      <c r="M135">
        <v>1</v>
      </c>
      <c r="N135">
        <v>1</v>
      </c>
    </row>
    <row r="136" spans="1:14">
      <c r="A136" t="e">
        <f>_xlfn.IFNA(IF(VLOOKUP(C136,#REF!,1,FALSE)=C136,"No change"),"Changed or new")</f>
        <v>#REF!</v>
      </c>
      <c r="B136" t="s">
        <v>92</v>
      </c>
      <c r="C136" t="s">
        <v>93</v>
      </c>
      <c r="D136" t="s">
        <v>3655</v>
      </c>
      <c r="E136" t="s">
        <v>12</v>
      </c>
      <c r="F136">
        <v>0</v>
      </c>
      <c r="G136">
        <v>0</v>
      </c>
      <c r="H136">
        <v>0</v>
      </c>
      <c r="I136" s="12">
        <f>H136*VLOOKUP(D136,GWPs!$B$3:$C$6,2,FALSE)</f>
        <v>0</v>
      </c>
      <c r="J136">
        <v>4</v>
      </c>
      <c r="K136">
        <v>2</v>
      </c>
      <c r="L136">
        <v>1</v>
      </c>
      <c r="M136">
        <v>3</v>
      </c>
      <c r="N136">
        <v>1</v>
      </c>
    </row>
    <row r="137" spans="1:14">
      <c r="A137" t="e">
        <f>_xlfn.IFNA(IF(VLOOKUP(C137,#REF!,1,FALSE)=C137,"No change"),"Changed or new")</f>
        <v>#REF!</v>
      </c>
      <c r="B137" t="s">
        <v>92</v>
      </c>
      <c r="C137" t="s">
        <v>93</v>
      </c>
      <c r="D137" t="s">
        <v>15</v>
      </c>
      <c r="E137" t="s">
        <v>16</v>
      </c>
      <c r="F137">
        <v>2.1000000000000001E-2</v>
      </c>
      <c r="G137">
        <v>0</v>
      </c>
      <c r="H137">
        <v>2.1000000000000001E-2</v>
      </c>
      <c r="I137" s="12">
        <f>H137*VLOOKUP(D137,GWPs!$B$3:$C$6,2,FALSE)</f>
        <v>2.1000000000000001E-2</v>
      </c>
      <c r="J137">
        <v>4</v>
      </c>
      <c r="K137">
        <v>2</v>
      </c>
      <c r="L137">
        <v>1</v>
      </c>
      <c r="M137">
        <v>5</v>
      </c>
      <c r="N137">
        <v>1</v>
      </c>
    </row>
    <row r="138" spans="1:14">
      <c r="A138" t="e">
        <f>_xlfn.IFNA(IF(VLOOKUP(C138,#REF!,1,FALSE)=C138,"No change"),"Changed or new")</f>
        <v>#REF!</v>
      </c>
      <c r="B138" t="s">
        <v>94</v>
      </c>
      <c r="C138" t="s">
        <v>95</v>
      </c>
      <c r="D138" t="s">
        <v>3653</v>
      </c>
      <c r="E138" t="s">
        <v>12</v>
      </c>
      <c r="F138">
        <v>0.32400000000000001</v>
      </c>
      <c r="G138">
        <v>0</v>
      </c>
      <c r="H138">
        <v>0.32400000000000001</v>
      </c>
      <c r="I138" s="12">
        <f>H138*VLOOKUP(D138,GWPs!$B$3:$C$6,2,FALSE)</f>
        <v>0.32400000000000001</v>
      </c>
      <c r="J138">
        <v>3</v>
      </c>
      <c r="K138">
        <v>2</v>
      </c>
      <c r="L138">
        <v>1</v>
      </c>
      <c r="M138">
        <v>3</v>
      </c>
      <c r="N138">
        <v>1</v>
      </c>
    </row>
    <row r="139" spans="1:14">
      <c r="A139" t="e">
        <f>_xlfn.IFNA(IF(VLOOKUP(C139,#REF!,1,FALSE)=C139,"No change"),"Changed or new")</f>
        <v>#REF!</v>
      </c>
      <c r="B139" t="s">
        <v>94</v>
      </c>
      <c r="C139" t="s">
        <v>95</v>
      </c>
      <c r="D139" t="s">
        <v>3654</v>
      </c>
      <c r="E139" t="s">
        <v>12</v>
      </c>
      <c r="F139">
        <v>2E-3</v>
      </c>
      <c r="G139">
        <v>0</v>
      </c>
      <c r="H139">
        <v>2E-3</v>
      </c>
      <c r="I139" s="12">
        <f>H139*VLOOKUP(D139,GWPs!$B$3:$C$6,2,FALSE)</f>
        <v>5.6000000000000001E-2</v>
      </c>
      <c r="J139">
        <v>4</v>
      </c>
      <c r="K139">
        <v>2</v>
      </c>
      <c r="L139">
        <v>1</v>
      </c>
      <c r="M139">
        <v>1</v>
      </c>
      <c r="N139">
        <v>1</v>
      </c>
    </row>
    <row r="140" spans="1:14">
      <c r="A140" t="e">
        <f>_xlfn.IFNA(IF(VLOOKUP(C140,#REF!,1,FALSE)=C140,"No change"),"Changed or new")</f>
        <v>#REF!</v>
      </c>
      <c r="B140" t="s">
        <v>94</v>
      </c>
      <c r="C140" t="s">
        <v>95</v>
      </c>
      <c r="D140" t="s">
        <v>3655</v>
      </c>
      <c r="E140" t="s">
        <v>12</v>
      </c>
      <c r="F140">
        <v>0</v>
      </c>
      <c r="G140">
        <v>0</v>
      </c>
      <c r="H140">
        <v>0</v>
      </c>
      <c r="I140" s="12">
        <f>H140*VLOOKUP(D140,GWPs!$B$3:$C$6,2,FALSE)</f>
        <v>0</v>
      </c>
      <c r="J140">
        <v>4</v>
      </c>
      <c r="K140">
        <v>2</v>
      </c>
      <c r="L140">
        <v>1</v>
      </c>
      <c r="M140">
        <v>3</v>
      </c>
      <c r="N140">
        <v>1</v>
      </c>
    </row>
    <row r="141" spans="1:14">
      <c r="A141" t="e">
        <f>_xlfn.IFNA(IF(VLOOKUP(C141,#REF!,1,FALSE)=C141,"No change"),"Changed or new")</f>
        <v>#REF!</v>
      </c>
      <c r="B141" t="s">
        <v>94</v>
      </c>
      <c r="C141" t="s">
        <v>95</v>
      </c>
      <c r="D141" t="s">
        <v>15</v>
      </c>
      <c r="E141" t="s">
        <v>16</v>
      </c>
      <c r="F141">
        <v>6.0000000000000001E-3</v>
      </c>
      <c r="G141">
        <v>0</v>
      </c>
      <c r="H141">
        <v>6.0000000000000001E-3</v>
      </c>
      <c r="I141" s="12">
        <f>H141*VLOOKUP(D141,GWPs!$B$3:$C$6,2,FALSE)</f>
        <v>6.0000000000000001E-3</v>
      </c>
      <c r="J141">
        <v>4</v>
      </c>
      <c r="K141">
        <v>2</v>
      </c>
      <c r="L141">
        <v>1</v>
      </c>
      <c r="M141">
        <v>5</v>
      </c>
      <c r="N141">
        <v>1</v>
      </c>
    </row>
    <row r="142" spans="1:14">
      <c r="A142" t="e">
        <f>_xlfn.IFNA(IF(VLOOKUP(C142,#REF!,1,FALSE)=C142,"No change"),"Changed or new")</f>
        <v>#REF!</v>
      </c>
      <c r="B142" t="s">
        <v>96</v>
      </c>
      <c r="C142" t="s">
        <v>97</v>
      </c>
      <c r="D142" t="s">
        <v>3653</v>
      </c>
      <c r="E142" t="s">
        <v>12</v>
      </c>
      <c r="F142">
        <v>1.1100000000000001</v>
      </c>
      <c r="G142">
        <v>0</v>
      </c>
      <c r="H142">
        <v>1.1100000000000001</v>
      </c>
      <c r="I142" s="12">
        <f>H142*VLOOKUP(D142,GWPs!$B$3:$C$6,2,FALSE)</f>
        <v>1.1100000000000001</v>
      </c>
      <c r="J142">
        <v>4</v>
      </c>
      <c r="K142">
        <v>2</v>
      </c>
      <c r="L142">
        <v>1</v>
      </c>
      <c r="M142">
        <v>1</v>
      </c>
      <c r="N142">
        <v>1</v>
      </c>
    </row>
    <row r="143" spans="1:14">
      <c r="A143" t="e">
        <f>_xlfn.IFNA(IF(VLOOKUP(C143,#REF!,1,FALSE)=C143,"No change"),"Changed or new")</f>
        <v>#REF!</v>
      </c>
      <c r="B143" t="s">
        <v>96</v>
      </c>
      <c r="C143" t="s">
        <v>97</v>
      </c>
      <c r="D143" t="s">
        <v>3654</v>
      </c>
      <c r="E143" t="s">
        <v>12</v>
      </c>
      <c r="F143">
        <v>2.7E-2</v>
      </c>
      <c r="G143">
        <v>0</v>
      </c>
      <c r="H143">
        <v>2.7E-2</v>
      </c>
      <c r="I143" s="12">
        <f>H143*VLOOKUP(D143,GWPs!$B$3:$C$6,2,FALSE)</f>
        <v>0.75600000000000001</v>
      </c>
      <c r="J143">
        <v>4</v>
      </c>
      <c r="K143">
        <v>2</v>
      </c>
      <c r="L143">
        <v>1</v>
      </c>
      <c r="M143">
        <v>1</v>
      </c>
      <c r="N143">
        <v>1</v>
      </c>
    </row>
    <row r="144" spans="1:14">
      <c r="A144" t="e">
        <f>_xlfn.IFNA(IF(VLOOKUP(C144,#REF!,1,FALSE)=C144,"No change"),"Changed or new")</f>
        <v>#REF!</v>
      </c>
      <c r="B144" t="s">
        <v>96</v>
      </c>
      <c r="C144" t="s">
        <v>97</v>
      </c>
      <c r="D144" t="s">
        <v>3655</v>
      </c>
      <c r="E144" t="s">
        <v>12</v>
      </c>
      <c r="F144">
        <v>0</v>
      </c>
      <c r="G144">
        <v>0</v>
      </c>
      <c r="H144">
        <v>0</v>
      </c>
      <c r="I144" s="12">
        <f>H144*VLOOKUP(D144,GWPs!$B$3:$C$6,2,FALSE)</f>
        <v>0</v>
      </c>
      <c r="J144">
        <v>3</v>
      </c>
      <c r="K144">
        <v>2</v>
      </c>
      <c r="L144">
        <v>1</v>
      </c>
      <c r="M144">
        <v>3</v>
      </c>
      <c r="N144">
        <v>1</v>
      </c>
    </row>
    <row r="145" spans="1:14">
      <c r="A145" t="e">
        <f>_xlfn.IFNA(IF(VLOOKUP(C145,#REF!,1,FALSE)=C145,"No change"),"Changed or new")</f>
        <v>#REF!</v>
      </c>
      <c r="B145" t="s">
        <v>96</v>
      </c>
      <c r="C145" t="s">
        <v>97</v>
      </c>
      <c r="D145" t="s">
        <v>15</v>
      </c>
      <c r="E145" t="s">
        <v>16</v>
      </c>
      <c r="F145">
        <v>1.2999999999999999E-2</v>
      </c>
      <c r="G145">
        <v>0</v>
      </c>
      <c r="H145">
        <v>1.2999999999999999E-2</v>
      </c>
      <c r="I145" s="12">
        <f>H145*VLOOKUP(D145,GWPs!$B$3:$C$6,2,FALSE)</f>
        <v>1.2999999999999999E-2</v>
      </c>
      <c r="J145">
        <v>4</v>
      </c>
      <c r="K145">
        <v>2</v>
      </c>
      <c r="L145">
        <v>1</v>
      </c>
      <c r="M145">
        <v>5</v>
      </c>
      <c r="N145">
        <v>1</v>
      </c>
    </row>
    <row r="146" spans="1:14">
      <c r="A146" t="e">
        <f>_xlfn.IFNA(IF(VLOOKUP(C146,#REF!,1,FALSE)=C146,"No change"),"Changed or new")</f>
        <v>#REF!</v>
      </c>
      <c r="B146" t="s">
        <v>98</v>
      </c>
      <c r="C146" t="s">
        <v>99</v>
      </c>
      <c r="D146" t="s">
        <v>3653</v>
      </c>
      <c r="E146" t="s">
        <v>12</v>
      </c>
      <c r="F146">
        <v>0.35299999999999998</v>
      </c>
      <c r="G146">
        <v>0</v>
      </c>
      <c r="H146">
        <v>0.35299999999999998</v>
      </c>
      <c r="I146" s="12">
        <f>H146*VLOOKUP(D146,GWPs!$B$3:$C$6,2,FALSE)</f>
        <v>0.35299999999999998</v>
      </c>
      <c r="J146">
        <v>4</v>
      </c>
      <c r="K146">
        <v>2</v>
      </c>
      <c r="L146">
        <v>1</v>
      </c>
      <c r="M146">
        <v>3</v>
      </c>
      <c r="N146">
        <v>1</v>
      </c>
    </row>
    <row r="147" spans="1:14">
      <c r="A147" t="e">
        <f>_xlfn.IFNA(IF(VLOOKUP(C147,#REF!,1,FALSE)=C147,"No change"),"Changed or new")</f>
        <v>#REF!</v>
      </c>
      <c r="B147" t="s">
        <v>98</v>
      </c>
      <c r="C147" t="s">
        <v>99</v>
      </c>
      <c r="D147" t="s">
        <v>3654</v>
      </c>
      <c r="E147" t="s">
        <v>12</v>
      </c>
      <c r="F147">
        <v>2E-3</v>
      </c>
      <c r="G147">
        <v>0</v>
      </c>
      <c r="H147">
        <v>2E-3</v>
      </c>
      <c r="I147" s="12">
        <f>H147*VLOOKUP(D147,GWPs!$B$3:$C$6,2,FALSE)</f>
        <v>5.6000000000000001E-2</v>
      </c>
      <c r="J147">
        <v>4</v>
      </c>
      <c r="K147">
        <v>2</v>
      </c>
      <c r="L147">
        <v>1</v>
      </c>
      <c r="M147">
        <v>2</v>
      </c>
      <c r="N147">
        <v>1</v>
      </c>
    </row>
    <row r="148" spans="1:14">
      <c r="A148" t="e">
        <f>_xlfn.IFNA(IF(VLOOKUP(C148,#REF!,1,FALSE)=C148,"No change"),"Changed or new")</f>
        <v>#REF!</v>
      </c>
      <c r="B148" t="s">
        <v>98</v>
      </c>
      <c r="C148" t="s">
        <v>99</v>
      </c>
      <c r="D148" t="s">
        <v>3655</v>
      </c>
      <c r="E148" t="s">
        <v>12</v>
      </c>
      <c r="F148">
        <v>0</v>
      </c>
      <c r="G148">
        <v>0</v>
      </c>
      <c r="H148">
        <v>0</v>
      </c>
      <c r="I148" s="12">
        <f>H148*VLOOKUP(D148,GWPs!$B$3:$C$6,2,FALSE)</f>
        <v>0</v>
      </c>
      <c r="J148">
        <v>4</v>
      </c>
      <c r="K148">
        <v>2</v>
      </c>
      <c r="L148">
        <v>1</v>
      </c>
      <c r="M148">
        <v>4</v>
      </c>
      <c r="N148">
        <v>1</v>
      </c>
    </row>
    <row r="149" spans="1:14">
      <c r="A149" t="e">
        <f>_xlfn.IFNA(IF(VLOOKUP(C149,#REF!,1,FALSE)=C149,"No change"),"Changed or new")</f>
        <v>#REF!</v>
      </c>
      <c r="B149" t="s">
        <v>98</v>
      </c>
      <c r="C149" t="s">
        <v>99</v>
      </c>
      <c r="D149" t="s">
        <v>15</v>
      </c>
      <c r="E149" t="s">
        <v>16</v>
      </c>
      <c r="F149">
        <v>5.0000000000000001E-3</v>
      </c>
      <c r="G149">
        <v>0</v>
      </c>
      <c r="H149">
        <v>5.0000000000000001E-3</v>
      </c>
      <c r="I149" s="12">
        <f>H149*VLOOKUP(D149,GWPs!$B$3:$C$6,2,FALSE)</f>
        <v>5.0000000000000001E-3</v>
      </c>
      <c r="J149">
        <v>4</v>
      </c>
      <c r="K149">
        <v>2</v>
      </c>
      <c r="L149">
        <v>1</v>
      </c>
      <c r="M149">
        <v>4</v>
      </c>
      <c r="N149">
        <v>1</v>
      </c>
    </row>
    <row r="150" spans="1:14">
      <c r="A150" t="e">
        <f>_xlfn.IFNA(IF(VLOOKUP(C150,#REF!,1,FALSE)=C150,"No change"),"Changed or new")</f>
        <v>#REF!</v>
      </c>
      <c r="B150" t="s">
        <v>100</v>
      </c>
      <c r="C150" t="s">
        <v>101</v>
      </c>
      <c r="D150" t="s">
        <v>3653</v>
      </c>
      <c r="E150" t="s">
        <v>12</v>
      </c>
      <c r="F150">
        <v>0.48799999999999999</v>
      </c>
      <c r="G150">
        <v>0</v>
      </c>
      <c r="H150">
        <v>0.48799999999999999</v>
      </c>
      <c r="I150" s="12">
        <f>H150*VLOOKUP(D150,GWPs!$B$3:$C$6,2,FALSE)</f>
        <v>0.48799999999999999</v>
      </c>
      <c r="J150">
        <v>2</v>
      </c>
      <c r="K150">
        <v>2</v>
      </c>
      <c r="L150">
        <v>1</v>
      </c>
      <c r="M150">
        <v>2</v>
      </c>
      <c r="N150">
        <v>1</v>
      </c>
    </row>
    <row r="151" spans="1:14">
      <c r="A151" t="e">
        <f>_xlfn.IFNA(IF(VLOOKUP(C151,#REF!,1,FALSE)=C151,"No change"),"Changed or new")</f>
        <v>#REF!</v>
      </c>
      <c r="B151" t="s">
        <v>100</v>
      </c>
      <c r="C151" t="s">
        <v>101</v>
      </c>
      <c r="D151" t="s">
        <v>3654</v>
      </c>
      <c r="E151" t="s">
        <v>12</v>
      </c>
      <c r="F151">
        <v>2E-3</v>
      </c>
      <c r="G151">
        <v>0</v>
      </c>
      <c r="H151">
        <v>2E-3</v>
      </c>
      <c r="I151" s="12">
        <f>H151*VLOOKUP(D151,GWPs!$B$3:$C$6,2,FALSE)</f>
        <v>5.6000000000000001E-2</v>
      </c>
      <c r="J151">
        <v>3</v>
      </c>
      <c r="K151">
        <v>2</v>
      </c>
      <c r="L151">
        <v>1</v>
      </c>
      <c r="M151">
        <v>1</v>
      </c>
      <c r="N151">
        <v>1</v>
      </c>
    </row>
    <row r="152" spans="1:14">
      <c r="A152" t="e">
        <f>_xlfn.IFNA(IF(VLOOKUP(C152,#REF!,1,FALSE)=C152,"No change"),"Changed or new")</f>
        <v>#REF!</v>
      </c>
      <c r="B152" t="s">
        <v>100</v>
      </c>
      <c r="C152" t="s">
        <v>101</v>
      </c>
      <c r="D152" t="s">
        <v>3655</v>
      </c>
      <c r="E152" t="s">
        <v>12</v>
      </c>
      <c r="F152">
        <v>0</v>
      </c>
      <c r="G152">
        <v>0</v>
      </c>
      <c r="H152">
        <v>0</v>
      </c>
      <c r="I152" s="12">
        <f>H152*VLOOKUP(D152,GWPs!$B$3:$C$6,2,FALSE)</f>
        <v>0</v>
      </c>
      <c r="J152">
        <v>3</v>
      </c>
      <c r="K152">
        <v>2</v>
      </c>
      <c r="L152">
        <v>1</v>
      </c>
      <c r="M152">
        <v>2</v>
      </c>
      <c r="N152">
        <v>1</v>
      </c>
    </row>
    <row r="153" spans="1:14">
      <c r="A153" t="e">
        <f>_xlfn.IFNA(IF(VLOOKUP(C153,#REF!,1,FALSE)=C153,"No change"),"Changed or new")</f>
        <v>#REF!</v>
      </c>
      <c r="B153" t="s">
        <v>100</v>
      </c>
      <c r="C153" t="s">
        <v>101</v>
      </c>
      <c r="D153" t="s">
        <v>15</v>
      </c>
      <c r="E153" t="s">
        <v>16</v>
      </c>
      <c r="F153">
        <v>5.0000000000000001E-3</v>
      </c>
      <c r="G153">
        <v>0</v>
      </c>
      <c r="H153">
        <v>5.0000000000000001E-3</v>
      </c>
      <c r="I153" s="12">
        <f>H153*VLOOKUP(D153,GWPs!$B$3:$C$6,2,FALSE)</f>
        <v>5.0000000000000001E-3</v>
      </c>
      <c r="J153">
        <v>3</v>
      </c>
      <c r="K153">
        <v>2</v>
      </c>
      <c r="L153">
        <v>1</v>
      </c>
      <c r="M153">
        <v>3</v>
      </c>
      <c r="N153">
        <v>1</v>
      </c>
    </row>
    <row r="154" spans="1:14">
      <c r="A154" t="e">
        <f>_xlfn.IFNA(IF(VLOOKUP(C154,#REF!,1,FALSE)=C154,"No change"),"Changed or new")</f>
        <v>#REF!</v>
      </c>
      <c r="B154" t="s">
        <v>102</v>
      </c>
      <c r="C154" t="s">
        <v>103</v>
      </c>
      <c r="D154" t="s">
        <v>3653</v>
      </c>
      <c r="E154" t="s">
        <v>12</v>
      </c>
      <c r="F154">
        <v>0.14099999999999999</v>
      </c>
      <c r="G154">
        <v>0</v>
      </c>
      <c r="H154">
        <v>0.14099999999999999</v>
      </c>
      <c r="I154" s="12">
        <f>H154*VLOOKUP(D154,GWPs!$B$3:$C$6,2,FALSE)</f>
        <v>0.14099999999999999</v>
      </c>
      <c r="J154">
        <v>3</v>
      </c>
      <c r="K154">
        <v>2</v>
      </c>
      <c r="L154">
        <v>1</v>
      </c>
      <c r="M154">
        <v>3</v>
      </c>
      <c r="N154">
        <v>1</v>
      </c>
    </row>
    <row r="155" spans="1:14">
      <c r="A155" t="e">
        <f>_xlfn.IFNA(IF(VLOOKUP(C155,#REF!,1,FALSE)=C155,"No change"),"Changed or new")</f>
        <v>#REF!</v>
      </c>
      <c r="B155" t="s">
        <v>102</v>
      </c>
      <c r="C155" t="s">
        <v>103</v>
      </c>
      <c r="D155" t="s">
        <v>3654</v>
      </c>
      <c r="E155" t="s">
        <v>12</v>
      </c>
      <c r="F155">
        <v>1E-3</v>
      </c>
      <c r="G155">
        <v>0</v>
      </c>
      <c r="H155">
        <v>1E-3</v>
      </c>
      <c r="I155" s="12">
        <f>H155*VLOOKUP(D155,GWPs!$B$3:$C$6,2,FALSE)</f>
        <v>2.8000000000000001E-2</v>
      </c>
      <c r="J155">
        <v>3</v>
      </c>
      <c r="K155">
        <v>2</v>
      </c>
      <c r="L155">
        <v>1</v>
      </c>
      <c r="M155">
        <v>1</v>
      </c>
      <c r="N155">
        <v>1</v>
      </c>
    </row>
    <row r="156" spans="1:14">
      <c r="A156" t="e">
        <f>_xlfn.IFNA(IF(VLOOKUP(C156,#REF!,1,FALSE)=C156,"No change"),"Changed or new")</f>
        <v>#REF!</v>
      </c>
      <c r="B156" t="s">
        <v>102</v>
      </c>
      <c r="C156" t="s">
        <v>103</v>
      </c>
      <c r="D156" t="s">
        <v>3655</v>
      </c>
      <c r="E156" t="s">
        <v>12</v>
      </c>
      <c r="F156">
        <v>0</v>
      </c>
      <c r="G156">
        <v>0</v>
      </c>
      <c r="H156">
        <v>0</v>
      </c>
      <c r="I156" s="12">
        <f>H156*VLOOKUP(D156,GWPs!$B$3:$C$6,2,FALSE)</f>
        <v>0</v>
      </c>
      <c r="J156">
        <v>3</v>
      </c>
      <c r="K156">
        <v>2</v>
      </c>
      <c r="L156">
        <v>1</v>
      </c>
      <c r="M156">
        <v>3</v>
      </c>
      <c r="N156">
        <v>1</v>
      </c>
    </row>
    <row r="157" spans="1:14">
      <c r="A157" t="e">
        <f>_xlfn.IFNA(IF(VLOOKUP(C157,#REF!,1,FALSE)=C157,"No change"),"Changed or new")</f>
        <v>#REF!</v>
      </c>
      <c r="B157" t="s">
        <v>102</v>
      </c>
      <c r="C157" t="s">
        <v>103</v>
      </c>
      <c r="D157" t="s">
        <v>15</v>
      </c>
      <c r="E157" t="s">
        <v>16</v>
      </c>
      <c r="F157">
        <v>3.0000000000000001E-3</v>
      </c>
      <c r="G157">
        <v>0</v>
      </c>
      <c r="H157">
        <v>3.0000000000000001E-3</v>
      </c>
      <c r="I157" s="12">
        <f>H157*VLOOKUP(D157,GWPs!$B$3:$C$6,2,FALSE)</f>
        <v>3.0000000000000001E-3</v>
      </c>
      <c r="J157">
        <v>4</v>
      </c>
      <c r="K157">
        <v>2</v>
      </c>
      <c r="L157">
        <v>1</v>
      </c>
      <c r="M157">
        <v>4</v>
      </c>
      <c r="N157">
        <v>1</v>
      </c>
    </row>
    <row r="158" spans="1:14">
      <c r="A158" t="e">
        <f>_xlfn.IFNA(IF(VLOOKUP(C158,#REF!,1,FALSE)=C158,"No change"),"Changed or new")</f>
        <v>#REF!</v>
      </c>
      <c r="B158" t="s">
        <v>104</v>
      </c>
      <c r="C158" t="s">
        <v>105</v>
      </c>
      <c r="D158" t="s">
        <v>3653</v>
      </c>
      <c r="E158" t="s">
        <v>12</v>
      </c>
      <c r="F158">
        <v>5.0999999999999997E-2</v>
      </c>
      <c r="G158">
        <v>1.2999999999999999E-2</v>
      </c>
      <c r="H158">
        <v>6.5000000000000002E-2</v>
      </c>
      <c r="I158" s="12">
        <f>H158*VLOOKUP(D158,GWPs!$B$3:$C$6,2,FALSE)</f>
        <v>6.5000000000000002E-2</v>
      </c>
      <c r="J158">
        <v>3</v>
      </c>
      <c r="K158">
        <v>2</v>
      </c>
      <c r="L158">
        <v>1</v>
      </c>
      <c r="M158">
        <v>3</v>
      </c>
      <c r="N158">
        <v>1</v>
      </c>
    </row>
    <row r="159" spans="1:14">
      <c r="A159" t="e">
        <f>_xlfn.IFNA(IF(VLOOKUP(C159,#REF!,1,FALSE)=C159,"No change"),"Changed or new")</f>
        <v>#REF!</v>
      </c>
      <c r="B159" t="s">
        <v>104</v>
      </c>
      <c r="C159" t="s">
        <v>105</v>
      </c>
      <c r="D159" t="s">
        <v>3654</v>
      </c>
      <c r="E159" t="s">
        <v>12</v>
      </c>
      <c r="F159">
        <v>0</v>
      </c>
      <c r="G159">
        <v>0</v>
      </c>
      <c r="H159">
        <v>0</v>
      </c>
      <c r="I159" s="12">
        <f>H159*VLOOKUP(D159,GWPs!$B$3:$C$6,2,FALSE)</f>
        <v>0</v>
      </c>
      <c r="J159">
        <v>3</v>
      </c>
      <c r="K159">
        <v>2</v>
      </c>
      <c r="L159">
        <v>1</v>
      </c>
      <c r="M159">
        <v>1</v>
      </c>
      <c r="N159">
        <v>1</v>
      </c>
    </row>
    <row r="160" spans="1:14">
      <c r="A160" t="e">
        <f>_xlfn.IFNA(IF(VLOOKUP(C160,#REF!,1,FALSE)=C160,"No change"),"Changed or new")</f>
        <v>#REF!</v>
      </c>
      <c r="B160" t="s">
        <v>104</v>
      </c>
      <c r="C160" t="s">
        <v>105</v>
      </c>
      <c r="D160" t="s">
        <v>3655</v>
      </c>
      <c r="E160" t="s">
        <v>12</v>
      </c>
      <c r="F160">
        <v>0</v>
      </c>
      <c r="G160">
        <v>0</v>
      </c>
      <c r="H160">
        <v>0</v>
      </c>
      <c r="I160" s="12">
        <f>H160*VLOOKUP(D160,GWPs!$B$3:$C$6,2,FALSE)</f>
        <v>0</v>
      </c>
      <c r="J160">
        <v>3</v>
      </c>
      <c r="K160">
        <v>2</v>
      </c>
      <c r="L160">
        <v>1</v>
      </c>
      <c r="M160">
        <v>3</v>
      </c>
      <c r="N160">
        <v>1</v>
      </c>
    </row>
    <row r="161" spans="1:14">
      <c r="A161" t="e">
        <f>_xlfn.IFNA(IF(VLOOKUP(C161,#REF!,1,FALSE)=C161,"No change"),"Changed or new")</f>
        <v>#REF!</v>
      </c>
      <c r="B161" t="s">
        <v>104</v>
      </c>
      <c r="C161" t="s">
        <v>105</v>
      </c>
      <c r="D161" t="s">
        <v>15</v>
      </c>
      <c r="E161" t="s">
        <v>16</v>
      </c>
      <c r="F161">
        <v>2E-3</v>
      </c>
      <c r="G161">
        <v>0</v>
      </c>
      <c r="H161">
        <v>2E-3</v>
      </c>
      <c r="I161" s="12">
        <f>H161*VLOOKUP(D161,GWPs!$B$3:$C$6,2,FALSE)</f>
        <v>2E-3</v>
      </c>
      <c r="J161">
        <v>3</v>
      </c>
      <c r="K161">
        <v>2</v>
      </c>
      <c r="L161">
        <v>1</v>
      </c>
      <c r="M161">
        <v>4</v>
      </c>
      <c r="N161">
        <v>1</v>
      </c>
    </row>
    <row r="162" spans="1:14">
      <c r="A162" t="e">
        <f>_xlfn.IFNA(IF(VLOOKUP(C162,#REF!,1,FALSE)=C162,"No change"),"Changed or new")</f>
        <v>#REF!</v>
      </c>
      <c r="B162" t="s">
        <v>106</v>
      </c>
      <c r="C162" t="s">
        <v>107</v>
      </c>
      <c r="D162" t="s">
        <v>3653</v>
      </c>
      <c r="E162" t="s">
        <v>12</v>
      </c>
      <c r="F162">
        <v>5.3999999999999999E-2</v>
      </c>
      <c r="G162">
        <v>3.0000000000000001E-3</v>
      </c>
      <c r="H162">
        <v>5.7000000000000002E-2</v>
      </c>
      <c r="I162" s="12">
        <f>H162*VLOOKUP(D162,GWPs!$B$3:$C$6,2,FALSE)</f>
        <v>5.7000000000000002E-2</v>
      </c>
      <c r="J162">
        <v>3</v>
      </c>
      <c r="K162">
        <v>2</v>
      </c>
      <c r="L162">
        <v>1</v>
      </c>
      <c r="M162">
        <v>3</v>
      </c>
      <c r="N162">
        <v>1</v>
      </c>
    </row>
    <row r="163" spans="1:14">
      <c r="A163" t="e">
        <f>_xlfn.IFNA(IF(VLOOKUP(C163,#REF!,1,FALSE)=C163,"No change"),"Changed or new")</f>
        <v>#REF!</v>
      </c>
      <c r="B163" t="s">
        <v>106</v>
      </c>
      <c r="C163" t="s">
        <v>107</v>
      </c>
      <c r="D163" t="s">
        <v>3654</v>
      </c>
      <c r="E163" t="s">
        <v>12</v>
      </c>
      <c r="F163">
        <v>0</v>
      </c>
      <c r="G163">
        <v>0</v>
      </c>
      <c r="H163">
        <v>0</v>
      </c>
      <c r="I163" s="12">
        <f>H163*VLOOKUP(D163,GWPs!$B$3:$C$6,2,FALSE)</f>
        <v>0</v>
      </c>
      <c r="J163">
        <v>3</v>
      </c>
      <c r="K163">
        <v>2</v>
      </c>
      <c r="L163">
        <v>1</v>
      </c>
      <c r="M163">
        <v>1</v>
      </c>
      <c r="N163">
        <v>1</v>
      </c>
    </row>
    <row r="164" spans="1:14">
      <c r="A164" t="e">
        <f>_xlfn.IFNA(IF(VLOOKUP(C164,#REF!,1,FALSE)=C164,"No change"),"Changed or new")</f>
        <v>#REF!</v>
      </c>
      <c r="B164" t="s">
        <v>106</v>
      </c>
      <c r="C164" t="s">
        <v>107</v>
      </c>
      <c r="D164" t="s">
        <v>3655</v>
      </c>
      <c r="E164" t="s">
        <v>12</v>
      </c>
      <c r="F164">
        <v>0</v>
      </c>
      <c r="G164">
        <v>0</v>
      </c>
      <c r="H164">
        <v>0</v>
      </c>
      <c r="I164" s="12">
        <f>H164*VLOOKUP(D164,GWPs!$B$3:$C$6,2,FALSE)</f>
        <v>0</v>
      </c>
      <c r="J164">
        <v>3</v>
      </c>
      <c r="K164">
        <v>2</v>
      </c>
      <c r="L164">
        <v>1</v>
      </c>
      <c r="M164">
        <v>3</v>
      </c>
      <c r="N164">
        <v>1</v>
      </c>
    </row>
    <row r="165" spans="1:14">
      <c r="A165" t="e">
        <f>_xlfn.IFNA(IF(VLOOKUP(C165,#REF!,1,FALSE)=C165,"No change"),"Changed or new")</f>
        <v>#REF!</v>
      </c>
      <c r="B165" t="s">
        <v>106</v>
      </c>
      <c r="C165" t="s">
        <v>107</v>
      </c>
      <c r="D165" t="s">
        <v>15</v>
      </c>
      <c r="E165" t="s">
        <v>16</v>
      </c>
      <c r="F165">
        <v>1E-3</v>
      </c>
      <c r="G165">
        <v>0</v>
      </c>
      <c r="H165">
        <v>1E-3</v>
      </c>
      <c r="I165" s="12">
        <f>H165*VLOOKUP(D165,GWPs!$B$3:$C$6,2,FALSE)</f>
        <v>1E-3</v>
      </c>
      <c r="J165">
        <v>4</v>
      </c>
      <c r="K165">
        <v>2</v>
      </c>
      <c r="L165">
        <v>1</v>
      </c>
      <c r="M165">
        <v>4</v>
      </c>
      <c r="N165">
        <v>1</v>
      </c>
    </row>
    <row r="166" spans="1:14">
      <c r="A166" t="e">
        <f>_xlfn.IFNA(IF(VLOOKUP(C166,#REF!,1,FALSE)=C166,"No change"),"Changed or new")</f>
        <v>#REF!</v>
      </c>
      <c r="B166" t="s">
        <v>108</v>
      </c>
      <c r="C166" t="s">
        <v>109</v>
      </c>
      <c r="D166" t="s">
        <v>3653</v>
      </c>
      <c r="E166" t="s">
        <v>12</v>
      </c>
      <c r="F166">
        <v>9.4E-2</v>
      </c>
      <c r="G166">
        <v>0</v>
      </c>
      <c r="H166">
        <v>9.4E-2</v>
      </c>
      <c r="I166" s="12">
        <f>H166*VLOOKUP(D166,GWPs!$B$3:$C$6,2,FALSE)</f>
        <v>9.4E-2</v>
      </c>
      <c r="J166">
        <v>3</v>
      </c>
      <c r="K166">
        <v>2</v>
      </c>
      <c r="L166">
        <v>1</v>
      </c>
      <c r="M166">
        <v>3</v>
      </c>
      <c r="N166">
        <v>1</v>
      </c>
    </row>
    <row r="167" spans="1:14">
      <c r="A167" t="e">
        <f>_xlfn.IFNA(IF(VLOOKUP(C167,#REF!,1,FALSE)=C167,"No change"),"Changed or new")</f>
        <v>#REF!</v>
      </c>
      <c r="B167" t="s">
        <v>108</v>
      </c>
      <c r="C167" t="s">
        <v>109</v>
      </c>
      <c r="D167" t="s">
        <v>3654</v>
      </c>
      <c r="E167" t="s">
        <v>12</v>
      </c>
      <c r="F167">
        <v>0</v>
      </c>
      <c r="G167">
        <v>0</v>
      </c>
      <c r="H167">
        <v>0</v>
      </c>
      <c r="I167" s="12">
        <f>H167*VLOOKUP(D167,GWPs!$B$3:$C$6,2,FALSE)</f>
        <v>0</v>
      </c>
      <c r="J167">
        <v>3</v>
      </c>
      <c r="K167">
        <v>2</v>
      </c>
      <c r="L167">
        <v>1</v>
      </c>
      <c r="M167">
        <v>1</v>
      </c>
      <c r="N167">
        <v>1</v>
      </c>
    </row>
    <row r="168" spans="1:14">
      <c r="A168" t="e">
        <f>_xlfn.IFNA(IF(VLOOKUP(C168,#REF!,1,FALSE)=C168,"No change"),"Changed or new")</f>
        <v>#REF!</v>
      </c>
      <c r="B168" t="s">
        <v>108</v>
      </c>
      <c r="C168" t="s">
        <v>109</v>
      </c>
      <c r="D168" t="s">
        <v>3655</v>
      </c>
      <c r="E168" t="s">
        <v>12</v>
      </c>
      <c r="F168">
        <v>0</v>
      </c>
      <c r="G168">
        <v>0</v>
      </c>
      <c r="H168">
        <v>0</v>
      </c>
      <c r="I168" s="12">
        <f>H168*VLOOKUP(D168,GWPs!$B$3:$C$6,2,FALSE)</f>
        <v>0</v>
      </c>
      <c r="J168">
        <v>3</v>
      </c>
      <c r="K168">
        <v>2</v>
      </c>
      <c r="L168">
        <v>1</v>
      </c>
      <c r="M168">
        <v>3</v>
      </c>
      <c r="N168">
        <v>1</v>
      </c>
    </row>
    <row r="169" spans="1:14">
      <c r="A169" t="e">
        <f>_xlfn.IFNA(IF(VLOOKUP(C169,#REF!,1,FALSE)=C169,"No change"),"Changed or new")</f>
        <v>#REF!</v>
      </c>
      <c r="B169" t="s">
        <v>108</v>
      </c>
      <c r="C169" t="s">
        <v>109</v>
      </c>
      <c r="D169" t="s">
        <v>15</v>
      </c>
      <c r="E169" t="s">
        <v>16</v>
      </c>
      <c r="F169">
        <v>6.0000000000000001E-3</v>
      </c>
      <c r="G169">
        <v>0</v>
      </c>
      <c r="H169">
        <v>6.0000000000000001E-3</v>
      </c>
      <c r="I169" s="12">
        <f>H169*VLOOKUP(D169,GWPs!$B$3:$C$6,2,FALSE)</f>
        <v>6.0000000000000001E-3</v>
      </c>
      <c r="J169">
        <v>4</v>
      </c>
      <c r="K169">
        <v>2</v>
      </c>
      <c r="L169">
        <v>1</v>
      </c>
      <c r="M169">
        <v>5</v>
      </c>
      <c r="N169">
        <v>1</v>
      </c>
    </row>
    <row r="170" spans="1:14">
      <c r="A170" t="e">
        <f>_xlfn.IFNA(IF(VLOOKUP(C170,#REF!,1,FALSE)=C170,"No change"),"Changed or new")</f>
        <v>#REF!</v>
      </c>
      <c r="B170" t="s">
        <v>110</v>
      </c>
      <c r="C170" t="s">
        <v>111</v>
      </c>
      <c r="D170" t="s">
        <v>3653</v>
      </c>
      <c r="E170" t="s">
        <v>12</v>
      </c>
      <c r="F170">
        <v>0.123</v>
      </c>
      <c r="G170">
        <v>0</v>
      </c>
      <c r="H170">
        <v>0.123</v>
      </c>
      <c r="I170" s="12">
        <f>H170*VLOOKUP(D170,GWPs!$B$3:$C$6,2,FALSE)</f>
        <v>0.123</v>
      </c>
      <c r="J170">
        <v>3</v>
      </c>
      <c r="K170">
        <v>2</v>
      </c>
      <c r="L170">
        <v>1</v>
      </c>
      <c r="M170">
        <v>3</v>
      </c>
      <c r="N170">
        <v>1</v>
      </c>
    </row>
    <row r="171" spans="1:14">
      <c r="A171" t="e">
        <f>_xlfn.IFNA(IF(VLOOKUP(C171,#REF!,1,FALSE)=C171,"No change"),"Changed or new")</f>
        <v>#REF!</v>
      </c>
      <c r="B171" t="s">
        <v>110</v>
      </c>
      <c r="C171" t="s">
        <v>111</v>
      </c>
      <c r="D171" t="s">
        <v>3654</v>
      </c>
      <c r="E171" t="s">
        <v>12</v>
      </c>
      <c r="F171">
        <v>1E-3</v>
      </c>
      <c r="G171">
        <v>0</v>
      </c>
      <c r="H171">
        <v>1E-3</v>
      </c>
      <c r="I171" s="12">
        <f>H171*VLOOKUP(D171,GWPs!$B$3:$C$6,2,FALSE)</f>
        <v>2.8000000000000001E-2</v>
      </c>
      <c r="J171">
        <v>3</v>
      </c>
      <c r="K171">
        <v>2</v>
      </c>
      <c r="L171">
        <v>1</v>
      </c>
      <c r="M171">
        <v>1</v>
      </c>
      <c r="N171">
        <v>1</v>
      </c>
    </row>
    <row r="172" spans="1:14">
      <c r="A172" t="e">
        <f>_xlfn.IFNA(IF(VLOOKUP(C172,#REF!,1,FALSE)=C172,"No change"),"Changed or new")</f>
        <v>#REF!</v>
      </c>
      <c r="B172" t="s">
        <v>110</v>
      </c>
      <c r="C172" t="s">
        <v>111</v>
      </c>
      <c r="D172" t="s">
        <v>3655</v>
      </c>
      <c r="E172" t="s">
        <v>12</v>
      </c>
      <c r="F172">
        <v>0</v>
      </c>
      <c r="G172">
        <v>0</v>
      </c>
      <c r="H172">
        <v>0</v>
      </c>
      <c r="I172" s="12">
        <f>H172*VLOOKUP(D172,GWPs!$B$3:$C$6,2,FALSE)</f>
        <v>0</v>
      </c>
      <c r="J172">
        <v>3</v>
      </c>
      <c r="K172">
        <v>2</v>
      </c>
      <c r="L172">
        <v>1</v>
      </c>
      <c r="M172">
        <v>3</v>
      </c>
      <c r="N172">
        <v>1</v>
      </c>
    </row>
    <row r="173" spans="1:14">
      <c r="A173" t="e">
        <f>_xlfn.IFNA(IF(VLOOKUP(C173,#REF!,1,FALSE)=C173,"No change"),"Changed or new")</f>
        <v>#REF!</v>
      </c>
      <c r="B173" t="s">
        <v>110</v>
      </c>
      <c r="C173" t="s">
        <v>111</v>
      </c>
      <c r="D173" t="s">
        <v>15</v>
      </c>
      <c r="E173" t="s">
        <v>16</v>
      </c>
      <c r="F173">
        <v>5.0000000000000001E-3</v>
      </c>
      <c r="G173">
        <v>0</v>
      </c>
      <c r="H173">
        <v>5.0000000000000001E-3</v>
      </c>
      <c r="I173" s="12">
        <f>H173*VLOOKUP(D173,GWPs!$B$3:$C$6,2,FALSE)</f>
        <v>5.0000000000000001E-3</v>
      </c>
      <c r="J173">
        <v>4</v>
      </c>
      <c r="K173">
        <v>2</v>
      </c>
      <c r="L173">
        <v>1</v>
      </c>
      <c r="M173">
        <v>5</v>
      </c>
      <c r="N173">
        <v>1</v>
      </c>
    </row>
    <row r="174" spans="1:14">
      <c r="A174" t="e">
        <f>_xlfn.IFNA(IF(VLOOKUP(C174,#REF!,1,FALSE)=C174,"No change"),"Changed or new")</f>
        <v>#REF!</v>
      </c>
      <c r="B174" t="s">
        <v>112</v>
      </c>
      <c r="C174" t="s">
        <v>113</v>
      </c>
      <c r="D174" t="s">
        <v>3653</v>
      </c>
      <c r="E174" t="s">
        <v>12</v>
      </c>
      <c r="F174">
        <v>5.3999999999999999E-2</v>
      </c>
      <c r="G174">
        <v>0</v>
      </c>
      <c r="H174">
        <v>5.3999999999999999E-2</v>
      </c>
      <c r="I174" s="12">
        <f>H174*VLOOKUP(D174,GWPs!$B$3:$C$6,2,FALSE)</f>
        <v>5.3999999999999999E-2</v>
      </c>
      <c r="J174">
        <v>3</v>
      </c>
      <c r="K174">
        <v>2</v>
      </c>
      <c r="L174">
        <v>1</v>
      </c>
      <c r="M174">
        <v>3</v>
      </c>
      <c r="N174">
        <v>1</v>
      </c>
    </row>
    <row r="175" spans="1:14">
      <c r="A175" t="e">
        <f>_xlfn.IFNA(IF(VLOOKUP(C175,#REF!,1,FALSE)=C175,"No change"),"Changed or new")</f>
        <v>#REF!</v>
      </c>
      <c r="B175" t="s">
        <v>112</v>
      </c>
      <c r="C175" t="s">
        <v>113</v>
      </c>
      <c r="D175" t="s">
        <v>3654</v>
      </c>
      <c r="E175" t="s">
        <v>12</v>
      </c>
      <c r="F175">
        <v>0</v>
      </c>
      <c r="G175">
        <v>0</v>
      </c>
      <c r="H175">
        <v>0</v>
      </c>
      <c r="I175" s="12">
        <f>H175*VLOOKUP(D175,GWPs!$B$3:$C$6,2,FALSE)</f>
        <v>0</v>
      </c>
      <c r="J175">
        <v>3</v>
      </c>
      <c r="K175">
        <v>2</v>
      </c>
      <c r="L175">
        <v>1</v>
      </c>
      <c r="M175">
        <v>1</v>
      </c>
      <c r="N175">
        <v>1</v>
      </c>
    </row>
    <row r="176" spans="1:14">
      <c r="A176" t="e">
        <f>_xlfn.IFNA(IF(VLOOKUP(C176,#REF!,1,FALSE)=C176,"No change"),"Changed or new")</f>
        <v>#REF!</v>
      </c>
      <c r="B176" t="s">
        <v>112</v>
      </c>
      <c r="C176" t="s">
        <v>113</v>
      </c>
      <c r="D176" t="s">
        <v>3655</v>
      </c>
      <c r="E176" t="s">
        <v>12</v>
      </c>
      <c r="F176">
        <v>0</v>
      </c>
      <c r="G176">
        <v>0</v>
      </c>
      <c r="H176">
        <v>0</v>
      </c>
      <c r="I176" s="12">
        <f>H176*VLOOKUP(D176,GWPs!$B$3:$C$6,2,FALSE)</f>
        <v>0</v>
      </c>
      <c r="J176">
        <v>4</v>
      </c>
      <c r="K176">
        <v>2</v>
      </c>
      <c r="L176">
        <v>1</v>
      </c>
      <c r="M176">
        <v>3</v>
      </c>
      <c r="N176">
        <v>1</v>
      </c>
    </row>
    <row r="177" spans="1:14">
      <c r="A177" t="e">
        <f>_xlfn.IFNA(IF(VLOOKUP(C177,#REF!,1,FALSE)=C177,"No change"),"Changed or new")</f>
        <v>#REF!</v>
      </c>
      <c r="B177" t="s">
        <v>112</v>
      </c>
      <c r="C177" t="s">
        <v>113</v>
      </c>
      <c r="D177" t="s">
        <v>15</v>
      </c>
      <c r="E177" t="s">
        <v>16</v>
      </c>
      <c r="F177">
        <v>1E-3</v>
      </c>
      <c r="G177">
        <v>0</v>
      </c>
      <c r="H177">
        <v>1E-3</v>
      </c>
      <c r="I177" s="12">
        <f>H177*VLOOKUP(D177,GWPs!$B$3:$C$6,2,FALSE)</f>
        <v>1E-3</v>
      </c>
      <c r="J177">
        <v>4</v>
      </c>
      <c r="K177">
        <v>2</v>
      </c>
      <c r="L177">
        <v>1</v>
      </c>
      <c r="M177">
        <v>4</v>
      </c>
      <c r="N177">
        <v>1</v>
      </c>
    </row>
    <row r="178" spans="1:14">
      <c r="A178" t="e">
        <f>_xlfn.IFNA(IF(VLOOKUP(C178,#REF!,1,FALSE)=C178,"No change"),"Changed or new")</f>
        <v>#REF!</v>
      </c>
      <c r="B178" t="s">
        <v>114</v>
      </c>
      <c r="C178" t="s">
        <v>115</v>
      </c>
      <c r="D178" t="s">
        <v>3653</v>
      </c>
      <c r="E178" t="s">
        <v>12</v>
      </c>
      <c r="F178">
        <v>8.3000000000000004E-2</v>
      </c>
      <c r="G178">
        <v>0</v>
      </c>
      <c r="H178">
        <v>8.3000000000000004E-2</v>
      </c>
      <c r="I178" s="12">
        <f>H178*VLOOKUP(D178,GWPs!$B$3:$C$6,2,FALSE)</f>
        <v>8.3000000000000004E-2</v>
      </c>
      <c r="J178">
        <v>3</v>
      </c>
      <c r="K178">
        <v>2</v>
      </c>
      <c r="L178">
        <v>1</v>
      </c>
      <c r="M178">
        <v>3</v>
      </c>
      <c r="N178">
        <v>1</v>
      </c>
    </row>
    <row r="179" spans="1:14">
      <c r="A179" t="e">
        <f>_xlfn.IFNA(IF(VLOOKUP(C179,#REF!,1,FALSE)=C179,"No change"),"Changed or new")</f>
        <v>#REF!</v>
      </c>
      <c r="B179" t="s">
        <v>114</v>
      </c>
      <c r="C179" t="s">
        <v>115</v>
      </c>
      <c r="D179" t="s">
        <v>3654</v>
      </c>
      <c r="E179" t="s">
        <v>12</v>
      </c>
      <c r="F179">
        <v>0</v>
      </c>
      <c r="G179">
        <v>0</v>
      </c>
      <c r="H179">
        <v>0</v>
      </c>
      <c r="I179" s="12">
        <f>H179*VLOOKUP(D179,GWPs!$B$3:$C$6,2,FALSE)</f>
        <v>0</v>
      </c>
      <c r="J179">
        <v>3</v>
      </c>
      <c r="K179">
        <v>2</v>
      </c>
      <c r="L179">
        <v>1</v>
      </c>
      <c r="M179">
        <v>1</v>
      </c>
      <c r="N179">
        <v>1</v>
      </c>
    </row>
    <row r="180" spans="1:14">
      <c r="A180" t="e">
        <f>_xlfn.IFNA(IF(VLOOKUP(C180,#REF!,1,FALSE)=C180,"No change"),"Changed or new")</f>
        <v>#REF!</v>
      </c>
      <c r="B180" t="s">
        <v>114</v>
      </c>
      <c r="C180" t="s">
        <v>115</v>
      </c>
      <c r="D180" t="s">
        <v>3655</v>
      </c>
      <c r="E180" t="s">
        <v>12</v>
      </c>
      <c r="F180">
        <v>0</v>
      </c>
      <c r="G180">
        <v>0</v>
      </c>
      <c r="H180">
        <v>0</v>
      </c>
      <c r="I180" s="12">
        <f>H180*VLOOKUP(D180,GWPs!$B$3:$C$6,2,FALSE)</f>
        <v>0</v>
      </c>
      <c r="J180">
        <v>3</v>
      </c>
      <c r="K180">
        <v>2</v>
      </c>
      <c r="L180">
        <v>1</v>
      </c>
      <c r="M180">
        <v>3</v>
      </c>
      <c r="N180">
        <v>1</v>
      </c>
    </row>
    <row r="181" spans="1:14">
      <c r="A181" t="e">
        <f>_xlfn.IFNA(IF(VLOOKUP(C181,#REF!,1,FALSE)=C181,"No change"),"Changed or new")</f>
        <v>#REF!</v>
      </c>
      <c r="B181" t="s">
        <v>114</v>
      </c>
      <c r="C181" t="s">
        <v>115</v>
      </c>
      <c r="D181" t="s">
        <v>15</v>
      </c>
      <c r="E181" t="s">
        <v>16</v>
      </c>
      <c r="F181">
        <v>2E-3</v>
      </c>
      <c r="G181">
        <v>0</v>
      </c>
      <c r="H181">
        <v>2E-3</v>
      </c>
      <c r="I181" s="12">
        <f>H181*VLOOKUP(D181,GWPs!$B$3:$C$6,2,FALSE)</f>
        <v>2E-3</v>
      </c>
      <c r="J181">
        <v>4</v>
      </c>
      <c r="K181">
        <v>2</v>
      </c>
      <c r="L181">
        <v>1</v>
      </c>
      <c r="M181">
        <v>4</v>
      </c>
      <c r="N181">
        <v>1</v>
      </c>
    </row>
    <row r="182" spans="1:14">
      <c r="A182" t="e">
        <f>_xlfn.IFNA(IF(VLOOKUP(C182,#REF!,1,FALSE)=C182,"No change"),"Changed or new")</f>
        <v>#REF!</v>
      </c>
      <c r="B182" t="s">
        <v>116</v>
      </c>
      <c r="C182" t="s">
        <v>117</v>
      </c>
      <c r="D182" t="s">
        <v>3653</v>
      </c>
      <c r="E182" t="s">
        <v>12</v>
      </c>
      <c r="F182">
        <v>3.5000000000000003E-2</v>
      </c>
      <c r="G182">
        <v>0</v>
      </c>
      <c r="H182">
        <v>3.5000000000000003E-2</v>
      </c>
      <c r="I182" s="12">
        <f>H182*VLOOKUP(D182,GWPs!$B$3:$C$6,2,FALSE)</f>
        <v>3.5000000000000003E-2</v>
      </c>
      <c r="J182">
        <v>3</v>
      </c>
      <c r="K182">
        <v>2</v>
      </c>
      <c r="L182">
        <v>1</v>
      </c>
      <c r="M182">
        <v>3</v>
      </c>
      <c r="N182">
        <v>1</v>
      </c>
    </row>
    <row r="183" spans="1:14">
      <c r="A183" t="e">
        <f>_xlfn.IFNA(IF(VLOOKUP(C183,#REF!,1,FALSE)=C183,"No change"),"Changed or new")</f>
        <v>#REF!</v>
      </c>
      <c r="B183" t="s">
        <v>116</v>
      </c>
      <c r="C183" t="s">
        <v>117</v>
      </c>
      <c r="D183" t="s">
        <v>3654</v>
      </c>
      <c r="E183" t="s">
        <v>12</v>
      </c>
      <c r="F183">
        <v>0</v>
      </c>
      <c r="G183">
        <v>0</v>
      </c>
      <c r="H183">
        <v>0</v>
      </c>
      <c r="I183" s="12">
        <f>H183*VLOOKUP(D183,GWPs!$B$3:$C$6,2,FALSE)</f>
        <v>0</v>
      </c>
      <c r="J183">
        <v>3</v>
      </c>
      <c r="K183">
        <v>2</v>
      </c>
      <c r="L183">
        <v>1</v>
      </c>
      <c r="M183">
        <v>1</v>
      </c>
      <c r="N183">
        <v>1</v>
      </c>
    </row>
    <row r="184" spans="1:14">
      <c r="A184" t="e">
        <f>_xlfn.IFNA(IF(VLOOKUP(C184,#REF!,1,FALSE)=C184,"No change"),"Changed or new")</f>
        <v>#REF!</v>
      </c>
      <c r="B184" t="s">
        <v>116</v>
      </c>
      <c r="C184" t="s">
        <v>117</v>
      </c>
      <c r="D184" t="s">
        <v>3655</v>
      </c>
      <c r="E184" t="s">
        <v>12</v>
      </c>
      <c r="F184">
        <v>0</v>
      </c>
      <c r="G184">
        <v>0</v>
      </c>
      <c r="H184">
        <v>0</v>
      </c>
      <c r="I184" s="12">
        <f>H184*VLOOKUP(D184,GWPs!$B$3:$C$6,2,FALSE)</f>
        <v>0</v>
      </c>
      <c r="J184">
        <v>3</v>
      </c>
      <c r="K184">
        <v>2</v>
      </c>
      <c r="L184">
        <v>1</v>
      </c>
      <c r="M184">
        <v>3</v>
      </c>
      <c r="N184">
        <v>1</v>
      </c>
    </row>
    <row r="185" spans="1:14">
      <c r="A185" t="e">
        <f>_xlfn.IFNA(IF(VLOOKUP(C185,#REF!,1,FALSE)=C185,"No change"),"Changed or new")</f>
        <v>#REF!</v>
      </c>
      <c r="B185" t="s">
        <v>116</v>
      </c>
      <c r="C185" t="s">
        <v>117</v>
      </c>
      <c r="D185" t="s">
        <v>15</v>
      </c>
      <c r="E185" t="s">
        <v>16</v>
      </c>
      <c r="F185">
        <v>1E-3</v>
      </c>
      <c r="G185">
        <v>0</v>
      </c>
      <c r="H185">
        <v>1E-3</v>
      </c>
      <c r="I185" s="12">
        <f>H185*VLOOKUP(D185,GWPs!$B$3:$C$6,2,FALSE)</f>
        <v>1E-3</v>
      </c>
      <c r="J185">
        <v>4</v>
      </c>
      <c r="K185">
        <v>2</v>
      </c>
      <c r="L185">
        <v>1</v>
      </c>
      <c r="M185">
        <v>4</v>
      </c>
      <c r="N185">
        <v>1</v>
      </c>
    </row>
    <row r="186" spans="1:14">
      <c r="A186" t="e">
        <f>_xlfn.IFNA(IF(VLOOKUP(C186,#REF!,1,FALSE)=C186,"No change"),"Changed or new")</f>
        <v>#REF!</v>
      </c>
      <c r="B186" t="s">
        <v>118</v>
      </c>
      <c r="C186" t="s">
        <v>119</v>
      </c>
      <c r="D186" t="s">
        <v>3653</v>
      </c>
      <c r="E186" t="s">
        <v>12</v>
      </c>
      <c r="F186">
        <v>0.16600000000000001</v>
      </c>
      <c r="G186">
        <v>0</v>
      </c>
      <c r="H186">
        <v>0.16600000000000001</v>
      </c>
      <c r="I186" s="12">
        <f>H186*VLOOKUP(D186,GWPs!$B$3:$C$6,2,FALSE)</f>
        <v>0.16600000000000001</v>
      </c>
      <c r="J186">
        <v>3</v>
      </c>
      <c r="K186">
        <v>2</v>
      </c>
      <c r="L186">
        <v>1</v>
      </c>
      <c r="M186">
        <v>3</v>
      </c>
      <c r="N186">
        <v>1</v>
      </c>
    </row>
    <row r="187" spans="1:14">
      <c r="A187" t="e">
        <f>_xlfn.IFNA(IF(VLOOKUP(C187,#REF!,1,FALSE)=C187,"No change"),"Changed or new")</f>
        <v>#REF!</v>
      </c>
      <c r="B187" t="s">
        <v>118</v>
      </c>
      <c r="C187" t="s">
        <v>119</v>
      </c>
      <c r="D187" t="s">
        <v>3654</v>
      </c>
      <c r="E187" t="s">
        <v>12</v>
      </c>
      <c r="F187">
        <v>1E-3</v>
      </c>
      <c r="G187">
        <v>0</v>
      </c>
      <c r="H187">
        <v>1E-3</v>
      </c>
      <c r="I187" s="12">
        <f>H187*VLOOKUP(D187,GWPs!$B$3:$C$6,2,FALSE)</f>
        <v>2.8000000000000001E-2</v>
      </c>
      <c r="J187">
        <v>3</v>
      </c>
      <c r="K187">
        <v>2</v>
      </c>
      <c r="L187">
        <v>1</v>
      </c>
      <c r="M187">
        <v>1</v>
      </c>
      <c r="N187">
        <v>1</v>
      </c>
    </row>
    <row r="188" spans="1:14">
      <c r="A188" t="e">
        <f>_xlfn.IFNA(IF(VLOOKUP(C188,#REF!,1,FALSE)=C188,"No change"),"Changed or new")</f>
        <v>#REF!</v>
      </c>
      <c r="B188" t="s">
        <v>118</v>
      </c>
      <c r="C188" t="s">
        <v>119</v>
      </c>
      <c r="D188" t="s">
        <v>3655</v>
      </c>
      <c r="E188" t="s">
        <v>12</v>
      </c>
      <c r="F188">
        <v>0</v>
      </c>
      <c r="G188">
        <v>0</v>
      </c>
      <c r="H188">
        <v>0</v>
      </c>
      <c r="I188" s="12">
        <f>H188*VLOOKUP(D188,GWPs!$B$3:$C$6,2,FALSE)</f>
        <v>0</v>
      </c>
      <c r="J188">
        <v>4</v>
      </c>
      <c r="K188">
        <v>2</v>
      </c>
      <c r="L188">
        <v>1</v>
      </c>
      <c r="M188">
        <v>3</v>
      </c>
      <c r="N188">
        <v>1</v>
      </c>
    </row>
    <row r="189" spans="1:14">
      <c r="A189" t="e">
        <f>_xlfn.IFNA(IF(VLOOKUP(C189,#REF!,1,FALSE)=C189,"No change"),"Changed or new")</f>
        <v>#REF!</v>
      </c>
      <c r="B189" t="s">
        <v>118</v>
      </c>
      <c r="C189" t="s">
        <v>119</v>
      </c>
      <c r="D189" t="s">
        <v>15</v>
      </c>
      <c r="E189" t="s">
        <v>16</v>
      </c>
      <c r="F189">
        <v>2E-3</v>
      </c>
      <c r="G189">
        <v>0</v>
      </c>
      <c r="H189">
        <v>2E-3</v>
      </c>
      <c r="I189" s="12">
        <f>H189*VLOOKUP(D189,GWPs!$B$3:$C$6,2,FALSE)</f>
        <v>2E-3</v>
      </c>
      <c r="J189">
        <v>4</v>
      </c>
      <c r="K189">
        <v>2</v>
      </c>
      <c r="L189">
        <v>1</v>
      </c>
      <c r="M189">
        <v>4</v>
      </c>
      <c r="N189">
        <v>1</v>
      </c>
    </row>
    <row r="190" spans="1:14">
      <c r="A190" t="e">
        <f>_xlfn.IFNA(IF(VLOOKUP(C190,#REF!,1,FALSE)=C190,"No change"),"Changed or new")</f>
        <v>#REF!</v>
      </c>
      <c r="B190" t="s">
        <v>120</v>
      </c>
      <c r="C190" t="s">
        <v>121</v>
      </c>
      <c r="D190" t="s">
        <v>3653</v>
      </c>
      <c r="E190" t="s">
        <v>12</v>
      </c>
      <c r="F190">
        <v>0.106</v>
      </c>
      <c r="G190">
        <v>0</v>
      </c>
      <c r="H190">
        <v>0.106</v>
      </c>
      <c r="I190" s="12">
        <f>H190*VLOOKUP(D190,GWPs!$B$3:$C$6,2,FALSE)</f>
        <v>0.106</v>
      </c>
      <c r="J190">
        <v>3</v>
      </c>
      <c r="K190">
        <v>2</v>
      </c>
      <c r="L190">
        <v>1</v>
      </c>
      <c r="M190">
        <v>3</v>
      </c>
      <c r="N190">
        <v>1</v>
      </c>
    </row>
    <row r="191" spans="1:14">
      <c r="A191" t="e">
        <f>_xlfn.IFNA(IF(VLOOKUP(C191,#REF!,1,FALSE)=C191,"No change"),"Changed or new")</f>
        <v>#REF!</v>
      </c>
      <c r="B191" t="s">
        <v>120</v>
      </c>
      <c r="C191" t="s">
        <v>121</v>
      </c>
      <c r="D191" t="s">
        <v>3654</v>
      </c>
      <c r="E191" t="s">
        <v>12</v>
      </c>
      <c r="F191">
        <v>1E-3</v>
      </c>
      <c r="G191">
        <v>0</v>
      </c>
      <c r="H191">
        <v>1E-3</v>
      </c>
      <c r="I191" s="12">
        <f>H191*VLOOKUP(D191,GWPs!$B$3:$C$6,2,FALSE)</f>
        <v>2.8000000000000001E-2</v>
      </c>
      <c r="J191">
        <v>3</v>
      </c>
      <c r="K191">
        <v>2</v>
      </c>
      <c r="L191">
        <v>1</v>
      </c>
      <c r="M191">
        <v>1</v>
      </c>
      <c r="N191">
        <v>1</v>
      </c>
    </row>
    <row r="192" spans="1:14">
      <c r="A192" t="e">
        <f>_xlfn.IFNA(IF(VLOOKUP(C192,#REF!,1,FALSE)=C192,"No change"),"Changed or new")</f>
        <v>#REF!</v>
      </c>
      <c r="B192" t="s">
        <v>120</v>
      </c>
      <c r="C192" t="s">
        <v>121</v>
      </c>
      <c r="D192" t="s">
        <v>3655</v>
      </c>
      <c r="E192" t="s">
        <v>12</v>
      </c>
      <c r="F192">
        <v>0</v>
      </c>
      <c r="G192">
        <v>0</v>
      </c>
      <c r="H192">
        <v>0</v>
      </c>
      <c r="I192" s="12">
        <f>H192*VLOOKUP(D192,GWPs!$B$3:$C$6,2,FALSE)</f>
        <v>0</v>
      </c>
      <c r="J192">
        <v>4</v>
      </c>
      <c r="K192">
        <v>2</v>
      </c>
      <c r="L192">
        <v>1</v>
      </c>
      <c r="M192">
        <v>3</v>
      </c>
      <c r="N192">
        <v>1</v>
      </c>
    </row>
    <row r="193" spans="1:14">
      <c r="A193" t="e">
        <f>_xlfn.IFNA(IF(VLOOKUP(C193,#REF!,1,FALSE)=C193,"No change"),"Changed or new")</f>
        <v>#REF!</v>
      </c>
      <c r="B193" t="s">
        <v>120</v>
      </c>
      <c r="C193" t="s">
        <v>121</v>
      </c>
      <c r="D193" t="s">
        <v>15</v>
      </c>
      <c r="E193" t="s">
        <v>16</v>
      </c>
      <c r="F193">
        <v>3.0000000000000001E-3</v>
      </c>
      <c r="G193">
        <v>0</v>
      </c>
      <c r="H193">
        <v>3.0000000000000001E-3</v>
      </c>
      <c r="I193" s="12">
        <f>H193*VLOOKUP(D193,GWPs!$B$3:$C$6,2,FALSE)</f>
        <v>3.0000000000000001E-3</v>
      </c>
      <c r="J193">
        <v>4</v>
      </c>
      <c r="K193">
        <v>2</v>
      </c>
      <c r="L193">
        <v>1</v>
      </c>
      <c r="M193">
        <v>5</v>
      </c>
      <c r="N193">
        <v>1</v>
      </c>
    </row>
    <row r="194" spans="1:14">
      <c r="A194" t="e">
        <f>_xlfn.IFNA(IF(VLOOKUP(C194,#REF!,1,FALSE)=C194,"No change"),"Changed or new")</f>
        <v>#REF!</v>
      </c>
      <c r="B194" t="s">
        <v>122</v>
      </c>
      <c r="C194" t="s">
        <v>22</v>
      </c>
      <c r="D194" t="s">
        <v>3653</v>
      </c>
      <c r="E194" t="s">
        <v>12</v>
      </c>
      <c r="F194">
        <v>5.7000000000000002E-2</v>
      </c>
      <c r="G194">
        <v>0</v>
      </c>
      <c r="H194">
        <v>5.7000000000000002E-2</v>
      </c>
      <c r="I194" s="12">
        <f>H194*VLOOKUP(D194,GWPs!$B$3:$C$6,2,FALSE)</f>
        <v>5.7000000000000002E-2</v>
      </c>
      <c r="J194">
        <v>3</v>
      </c>
      <c r="K194">
        <v>2</v>
      </c>
      <c r="L194">
        <v>1</v>
      </c>
      <c r="M194">
        <v>3</v>
      </c>
      <c r="N194">
        <v>1</v>
      </c>
    </row>
    <row r="195" spans="1:14">
      <c r="A195" t="e">
        <f>_xlfn.IFNA(IF(VLOOKUP(C195,#REF!,1,FALSE)=C195,"No change"),"Changed or new")</f>
        <v>#REF!</v>
      </c>
      <c r="B195" t="s">
        <v>122</v>
      </c>
      <c r="C195" t="s">
        <v>22</v>
      </c>
      <c r="D195" t="s">
        <v>3654</v>
      </c>
      <c r="E195" t="s">
        <v>12</v>
      </c>
      <c r="F195">
        <v>0</v>
      </c>
      <c r="G195">
        <v>0</v>
      </c>
      <c r="H195">
        <v>0</v>
      </c>
      <c r="I195" s="12">
        <f>H195*VLOOKUP(D195,GWPs!$B$3:$C$6,2,FALSE)</f>
        <v>0</v>
      </c>
      <c r="J195">
        <v>3</v>
      </c>
      <c r="K195">
        <v>2</v>
      </c>
      <c r="L195">
        <v>1</v>
      </c>
      <c r="M195">
        <v>1</v>
      </c>
      <c r="N195">
        <v>1</v>
      </c>
    </row>
    <row r="196" spans="1:14">
      <c r="A196" t="e">
        <f>_xlfn.IFNA(IF(VLOOKUP(C196,#REF!,1,FALSE)=C196,"No change"),"Changed or new")</f>
        <v>#REF!</v>
      </c>
      <c r="B196" t="s">
        <v>122</v>
      </c>
      <c r="C196" t="s">
        <v>22</v>
      </c>
      <c r="D196" t="s">
        <v>3655</v>
      </c>
      <c r="E196" t="s">
        <v>12</v>
      </c>
      <c r="F196">
        <v>0</v>
      </c>
      <c r="G196">
        <v>0</v>
      </c>
      <c r="H196">
        <v>0</v>
      </c>
      <c r="I196" s="12">
        <f>H196*VLOOKUP(D196,GWPs!$B$3:$C$6,2,FALSE)</f>
        <v>0</v>
      </c>
      <c r="J196">
        <v>3</v>
      </c>
      <c r="K196">
        <v>2</v>
      </c>
      <c r="L196">
        <v>1</v>
      </c>
      <c r="M196">
        <v>3</v>
      </c>
      <c r="N196">
        <v>1</v>
      </c>
    </row>
    <row r="197" spans="1:14">
      <c r="A197" t="e">
        <f>_xlfn.IFNA(IF(VLOOKUP(C197,#REF!,1,FALSE)=C197,"No change"),"Changed or new")</f>
        <v>#REF!</v>
      </c>
      <c r="B197" t="s">
        <v>122</v>
      </c>
      <c r="C197" t="s">
        <v>22</v>
      </c>
      <c r="D197" t="s">
        <v>15</v>
      </c>
      <c r="E197" t="s">
        <v>16</v>
      </c>
      <c r="F197">
        <v>1E-3</v>
      </c>
      <c r="G197">
        <v>0</v>
      </c>
      <c r="H197">
        <v>1E-3</v>
      </c>
      <c r="I197" s="12">
        <f>H197*VLOOKUP(D197,GWPs!$B$3:$C$6,2,FALSE)</f>
        <v>1E-3</v>
      </c>
      <c r="J197">
        <v>4</v>
      </c>
      <c r="K197">
        <v>2</v>
      </c>
      <c r="L197">
        <v>1</v>
      </c>
      <c r="M197">
        <v>4</v>
      </c>
      <c r="N197">
        <v>1</v>
      </c>
    </row>
    <row r="198" spans="1:14">
      <c r="A198" t="e">
        <f>_xlfn.IFNA(IF(VLOOKUP(C198,#REF!,1,FALSE)=C198,"No change"),"Changed or new")</f>
        <v>#REF!</v>
      </c>
      <c r="B198" t="s">
        <v>123</v>
      </c>
      <c r="C198" t="s">
        <v>124</v>
      </c>
      <c r="D198" t="s">
        <v>3653</v>
      </c>
      <c r="E198" t="s">
        <v>12</v>
      </c>
      <c r="F198">
        <v>0.11700000000000001</v>
      </c>
      <c r="G198">
        <v>0</v>
      </c>
      <c r="H198">
        <v>0.11700000000000001</v>
      </c>
      <c r="I198" s="12">
        <f>H198*VLOOKUP(D198,GWPs!$B$3:$C$6,2,FALSE)</f>
        <v>0.11700000000000001</v>
      </c>
      <c r="J198">
        <v>3</v>
      </c>
      <c r="K198">
        <v>2</v>
      </c>
      <c r="L198">
        <v>1</v>
      </c>
      <c r="M198">
        <v>3</v>
      </c>
      <c r="N198">
        <v>1</v>
      </c>
    </row>
    <row r="199" spans="1:14">
      <c r="A199" t="e">
        <f>_xlfn.IFNA(IF(VLOOKUP(C199,#REF!,1,FALSE)=C199,"No change"),"Changed or new")</f>
        <v>#REF!</v>
      </c>
      <c r="B199" t="s">
        <v>123</v>
      </c>
      <c r="C199" t="s">
        <v>124</v>
      </c>
      <c r="D199" t="s">
        <v>3654</v>
      </c>
      <c r="E199" t="s">
        <v>12</v>
      </c>
      <c r="F199">
        <v>1E-3</v>
      </c>
      <c r="G199">
        <v>0</v>
      </c>
      <c r="H199">
        <v>1E-3</v>
      </c>
      <c r="I199" s="12">
        <f>H199*VLOOKUP(D199,GWPs!$B$3:$C$6,2,FALSE)</f>
        <v>2.8000000000000001E-2</v>
      </c>
      <c r="J199">
        <v>3</v>
      </c>
      <c r="K199">
        <v>2</v>
      </c>
      <c r="L199">
        <v>1</v>
      </c>
      <c r="M199">
        <v>1</v>
      </c>
      <c r="N199">
        <v>1</v>
      </c>
    </row>
    <row r="200" spans="1:14">
      <c r="A200" t="e">
        <f>_xlfn.IFNA(IF(VLOOKUP(C200,#REF!,1,FALSE)=C200,"No change"),"Changed or new")</f>
        <v>#REF!</v>
      </c>
      <c r="B200" t="s">
        <v>123</v>
      </c>
      <c r="C200" t="s">
        <v>124</v>
      </c>
      <c r="D200" t="s">
        <v>3655</v>
      </c>
      <c r="E200" t="s">
        <v>12</v>
      </c>
      <c r="F200">
        <v>0</v>
      </c>
      <c r="G200">
        <v>0</v>
      </c>
      <c r="H200">
        <v>0</v>
      </c>
      <c r="I200" s="12">
        <f>H200*VLOOKUP(D200,GWPs!$B$3:$C$6,2,FALSE)</f>
        <v>0</v>
      </c>
      <c r="J200">
        <v>4</v>
      </c>
      <c r="K200">
        <v>2</v>
      </c>
      <c r="L200">
        <v>1</v>
      </c>
      <c r="M200">
        <v>3</v>
      </c>
      <c r="N200">
        <v>1</v>
      </c>
    </row>
    <row r="201" spans="1:14">
      <c r="A201" t="e">
        <f>_xlfn.IFNA(IF(VLOOKUP(C201,#REF!,1,FALSE)=C201,"No change"),"Changed or new")</f>
        <v>#REF!</v>
      </c>
      <c r="B201" t="s">
        <v>123</v>
      </c>
      <c r="C201" t="s">
        <v>124</v>
      </c>
      <c r="D201" t="s">
        <v>15</v>
      </c>
      <c r="E201" t="s">
        <v>16</v>
      </c>
      <c r="F201">
        <v>4.0000000000000001E-3</v>
      </c>
      <c r="G201">
        <v>0</v>
      </c>
      <c r="H201">
        <v>4.0000000000000001E-3</v>
      </c>
      <c r="I201" s="12">
        <f>H201*VLOOKUP(D201,GWPs!$B$3:$C$6,2,FALSE)</f>
        <v>4.0000000000000001E-3</v>
      </c>
      <c r="J201">
        <v>4</v>
      </c>
      <c r="K201">
        <v>2</v>
      </c>
      <c r="L201">
        <v>1</v>
      </c>
      <c r="M201">
        <v>4</v>
      </c>
      <c r="N201">
        <v>1</v>
      </c>
    </row>
    <row r="202" spans="1:14">
      <c r="A202" t="e">
        <f>_xlfn.IFNA(IF(VLOOKUP(C202,#REF!,1,FALSE)=C202,"No change"),"Changed or new")</f>
        <v>#REF!</v>
      </c>
      <c r="B202" t="s">
        <v>125</v>
      </c>
      <c r="C202" t="s">
        <v>126</v>
      </c>
      <c r="D202" t="s">
        <v>3653</v>
      </c>
      <c r="E202" t="s">
        <v>12</v>
      </c>
      <c r="F202">
        <v>7.4999999999999997E-2</v>
      </c>
      <c r="G202">
        <v>0</v>
      </c>
      <c r="H202">
        <v>7.4999999999999997E-2</v>
      </c>
      <c r="I202" s="12">
        <f>H202*VLOOKUP(D202,GWPs!$B$3:$C$6,2,FALSE)</f>
        <v>7.4999999999999997E-2</v>
      </c>
      <c r="J202">
        <v>3</v>
      </c>
      <c r="K202">
        <v>2</v>
      </c>
      <c r="L202">
        <v>1</v>
      </c>
      <c r="M202">
        <v>3</v>
      </c>
      <c r="N202">
        <v>1</v>
      </c>
    </row>
    <row r="203" spans="1:14">
      <c r="A203" t="e">
        <f>_xlfn.IFNA(IF(VLOOKUP(C203,#REF!,1,FALSE)=C203,"No change"),"Changed or new")</f>
        <v>#REF!</v>
      </c>
      <c r="B203" t="s">
        <v>125</v>
      </c>
      <c r="C203" t="s">
        <v>126</v>
      </c>
      <c r="D203" t="s">
        <v>3654</v>
      </c>
      <c r="E203" t="s">
        <v>12</v>
      </c>
      <c r="F203">
        <v>0</v>
      </c>
      <c r="G203">
        <v>0</v>
      </c>
      <c r="H203">
        <v>0</v>
      </c>
      <c r="I203" s="12">
        <f>H203*VLOOKUP(D203,GWPs!$B$3:$C$6,2,FALSE)</f>
        <v>0</v>
      </c>
      <c r="J203">
        <v>3</v>
      </c>
      <c r="K203">
        <v>2</v>
      </c>
      <c r="L203">
        <v>1</v>
      </c>
      <c r="M203">
        <v>1</v>
      </c>
      <c r="N203">
        <v>1</v>
      </c>
    </row>
    <row r="204" spans="1:14">
      <c r="A204" t="e">
        <f>_xlfn.IFNA(IF(VLOOKUP(C204,#REF!,1,FALSE)=C204,"No change"),"Changed or new")</f>
        <v>#REF!</v>
      </c>
      <c r="B204" t="s">
        <v>125</v>
      </c>
      <c r="C204" t="s">
        <v>126</v>
      </c>
      <c r="D204" t="s">
        <v>3655</v>
      </c>
      <c r="E204" t="s">
        <v>12</v>
      </c>
      <c r="F204">
        <v>0</v>
      </c>
      <c r="G204">
        <v>0</v>
      </c>
      <c r="H204">
        <v>0</v>
      </c>
      <c r="I204" s="12">
        <f>H204*VLOOKUP(D204,GWPs!$B$3:$C$6,2,FALSE)</f>
        <v>0</v>
      </c>
      <c r="J204">
        <v>4</v>
      </c>
      <c r="K204">
        <v>2</v>
      </c>
      <c r="L204">
        <v>1</v>
      </c>
      <c r="M204">
        <v>3</v>
      </c>
      <c r="N204">
        <v>1</v>
      </c>
    </row>
    <row r="205" spans="1:14">
      <c r="A205" t="e">
        <f>_xlfn.IFNA(IF(VLOOKUP(C205,#REF!,1,FALSE)=C205,"No change"),"Changed or new")</f>
        <v>#REF!</v>
      </c>
      <c r="B205" t="s">
        <v>125</v>
      </c>
      <c r="C205" t="s">
        <v>126</v>
      </c>
      <c r="D205" t="s">
        <v>15</v>
      </c>
      <c r="E205" t="s">
        <v>16</v>
      </c>
      <c r="F205">
        <v>4.0000000000000001E-3</v>
      </c>
      <c r="G205">
        <v>0</v>
      </c>
      <c r="H205">
        <v>4.0000000000000001E-3</v>
      </c>
      <c r="I205" s="12">
        <f>H205*VLOOKUP(D205,GWPs!$B$3:$C$6,2,FALSE)</f>
        <v>4.0000000000000001E-3</v>
      </c>
      <c r="J205">
        <v>4</v>
      </c>
      <c r="K205">
        <v>2</v>
      </c>
      <c r="L205">
        <v>1</v>
      </c>
      <c r="M205">
        <v>5</v>
      </c>
      <c r="N205">
        <v>1</v>
      </c>
    </row>
    <row r="206" spans="1:14">
      <c r="A206" t="e">
        <f>_xlfn.IFNA(IF(VLOOKUP(C206,#REF!,1,FALSE)=C206,"No change"),"Changed or new")</f>
        <v>#REF!</v>
      </c>
      <c r="B206" t="s">
        <v>127</v>
      </c>
      <c r="C206" t="s">
        <v>128</v>
      </c>
      <c r="D206" t="s">
        <v>3653</v>
      </c>
      <c r="E206" t="s">
        <v>12</v>
      </c>
      <c r="F206">
        <v>0.111</v>
      </c>
      <c r="G206">
        <v>0</v>
      </c>
      <c r="H206">
        <v>0.111</v>
      </c>
      <c r="I206" s="12">
        <f>H206*VLOOKUP(D206,GWPs!$B$3:$C$6,2,FALSE)</f>
        <v>0.111</v>
      </c>
      <c r="J206">
        <v>3</v>
      </c>
      <c r="K206">
        <v>2</v>
      </c>
      <c r="L206">
        <v>1</v>
      </c>
      <c r="M206">
        <v>3</v>
      </c>
      <c r="N206">
        <v>1</v>
      </c>
    </row>
    <row r="207" spans="1:14">
      <c r="A207" t="e">
        <f>_xlfn.IFNA(IF(VLOOKUP(C207,#REF!,1,FALSE)=C207,"No change"),"Changed or new")</f>
        <v>#REF!</v>
      </c>
      <c r="B207" t="s">
        <v>127</v>
      </c>
      <c r="C207" t="s">
        <v>128</v>
      </c>
      <c r="D207" t="s">
        <v>3654</v>
      </c>
      <c r="E207" t="s">
        <v>12</v>
      </c>
      <c r="F207">
        <v>0</v>
      </c>
      <c r="G207">
        <v>0</v>
      </c>
      <c r="H207">
        <v>0</v>
      </c>
      <c r="I207" s="12">
        <f>H207*VLOOKUP(D207,GWPs!$B$3:$C$6,2,FALSE)</f>
        <v>0</v>
      </c>
      <c r="J207">
        <v>3</v>
      </c>
      <c r="K207">
        <v>2</v>
      </c>
      <c r="L207">
        <v>1</v>
      </c>
      <c r="M207">
        <v>1</v>
      </c>
      <c r="N207">
        <v>1</v>
      </c>
    </row>
    <row r="208" spans="1:14">
      <c r="A208" t="e">
        <f>_xlfn.IFNA(IF(VLOOKUP(C208,#REF!,1,FALSE)=C208,"No change"),"Changed or new")</f>
        <v>#REF!</v>
      </c>
      <c r="B208" t="s">
        <v>127</v>
      </c>
      <c r="C208" t="s">
        <v>128</v>
      </c>
      <c r="D208" t="s">
        <v>3655</v>
      </c>
      <c r="E208" t="s">
        <v>12</v>
      </c>
      <c r="F208">
        <v>0</v>
      </c>
      <c r="G208">
        <v>0</v>
      </c>
      <c r="H208">
        <v>0</v>
      </c>
      <c r="I208" s="12">
        <f>H208*VLOOKUP(D208,GWPs!$B$3:$C$6,2,FALSE)</f>
        <v>0</v>
      </c>
      <c r="J208">
        <v>3</v>
      </c>
      <c r="K208">
        <v>2</v>
      </c>
      <c r="L208">
        <v>1</v>
      </c>
      <c r="M208">
        <v>3</v>
      </c>
      <c r="N208">
        <v>1</v>
      </c>
    </row>
    <row r="209" spans="1:14">
      <c r="A209" t="e">
        <f>_xlfn.IFNA(IF(VLOOKUP(C209,#REF!,1,FALSE)=C209,"No change"),"Changed or new")</f>
        <v>#REF!</v>
      </c>
      <c r="B209" t="s">
        <v>127</v>
      </c>
      <c r="C209" t="s">
        <v>128</v>
      </c>
      <c r="D209" t="s">
        <v>15</v>
      </c>
      <c r="E209" t="s">
        <v>16</v>
      </c>
      <c r="F209">
        <v>2E-3</v>
      </c>
      <c r="G209">
        <v>0</v>
      </c>
      <c r="H209">
        <v>2E-3</v>
      </c>
      <c r="I209" s="12">
        <f>H209*VLOOKUP(D209,GWPs!$B$3:$C$6,2,FALSE)</f>
        <v>2E-3</v>
      </c>
      <c r="J209">
        <v>3</v>
      </c>
      <c r="K209">
        <v>2</v>
      </c>
      <c r="L209">
        <v>1</v>
      </c>
      <c r="M209">
        <v>4</v>
      </c>
      <c r="N209">
        <v>1</v>
      </c>
    </row>
    <row r="210" spans="1:14">
      <c r="A210" t="e">
        <f>_xlfn.IFNA(IF(VLOOKUP(C210,#REF!,1,FALSE)=C210,"No change"),"Changed or new")</f>
        <v>#REF!</v>
      </c>
      <c r="B210" t="s">
        <v>129</v>
      </c>
      <c r="C210" t="s">
        <v>130</v>
      </c>
      <c r="D210" t="s">
        <v>3653</v>
      </c>
      <c r="E210" t="s">
        <v>12</v>
      </c>
      <c r="F210">
        <v>8.2000000000000003E-2</v>
      </c>
      <c r="G210">
        <v>0</v>
      </c>
      <c r="H210">
        <v>8.2000000000000003E-2</v>
      </c>
      <c r="I210" s="12">
        <f>H210*VLOOKUP(D210,GWPs!$B$3:$C$6,2,FALSE)</f>
        <v>8.2000000000000003E-2</v>
      </c>
      <c r="J210">
        <v>3</v>
      </c>
      <c r="K210">
        <v>2</v>
      </c>
      <c r="L210">
        <v>1</v>
      </c>
      <c r="M210">
        <v>3</v>
      </c>
      <c r="N210">
        <v>1</v>
      </c>
    </row>
    <row r="211" spans="1:14">
      <c r="A211" t="e">
        <f>_xlfn.IFNA(IF(VLOOKUP(C211,#REF!,1,FALSE)=C211,"No change"),"Changed or new")</f>
        <v>#REF!</v>
      </c>
      <c r="B211" t="s">
        <v>129</v>
      </c>
      <c r="C211" t="s">
        <v>130</v>
      </c>
      <c r="D211" t="s">
        <v>3654</v>
      </c>
      <c r="E211" t="s">
        <v>12</v>
      </c>
      <c r="F211">
        <v>1E-3</v>
      </c>
      <c r="G211">
        <v>0</v>
      </c>
      <c r="H211">
        <v>1E-3</v>
      </c>
      <c r="I211" s="12">
        <f>H211*VLOOKUP(D211,GWPs!$B$3:$C$6,2,FALSE)</f>
        <v>2.8000000000000001E-2</v>
      </c>
      <c r="J211">
        <v>3</v>
      </c>
      <c r="K211">
        <v>2</v>
      </c>
      <c r="L211">
        <v>1</v>
      </c>
      <c r="M211">
        <v>1</v>
      </c>
      <c r="N211">
        <v>1</v>
      </c>
    </row>
    <row r="212" spans="1:14">
      <c r="A212" t="e">
        <f>_xlfn.IFNA(IF(VLOOKUP(C212,#REF!,1,FALSE)=C212,"No change"),"Changed or new")</f>
        <v>#REF!</v>
      </c>
      <c r="B212" t="s">
        <v>129</v>
      </c>
      <c r="C212" t="s">
        <v>130</v>
      </c>
      <c r="D212" t="s">
        <v>3655</v>
      </c>
      <c r="E212" t="s">
        <v>12</v>
      </c>
      <c r="F212">
        <v>0</v>
      </c>
      <c r="G212">
        <v>0</v>
      </c>
      <c r="H212">
        <v>0</v>
      </c>
      <c r="I212" s="12">
        <f>H212*VLOOKUP(D212,GWPs!$B$3:$C$6,2,FALSE)</f>
        <v>0</v>
      </c>
      <c r="J212">
        <v>4</v>
      </c>
      <c r="K212">
        <v>2</v>
      </c>
      <c r="L212">
        <v>1</v>
      </c>
      <c r="M212">
        <v>3</v>
      </c>
      <c r="N212">
        <v>1</v>
      </c>
    </row>
    <row r="213" spans="1:14">
      <c r="A213" t="e">
        <f>_xlfn.IFNA(IF(VLOOKUP(C213,#REF!,1,FALSE)=C213,"No change"),"Changed or new")</f>
        <v>#REF!</v>
      </c>
      <c r="B213" t="s">
        <v>129</v>
      </c>
      <c r="C213" t="s">
        <v>130</v>
      </c>
      <c r="D213" t="s">
        <v>15</v>
      </c>
      <c r="E213" t="s">
        <v>16</v>
      </c>
      <c r="F213">
        <v>4.0000000000000001E-3</v>
      </c>
      <c r="G213">
        <v>0</v>
      </c>
      <c r="H213">
        <v>4.0000000000000001E-3</v>
      </c>
      <c r="I213" s="12">
        <f>H213*VLOOKUP(D213,GWPs!$B$3:$C$6,2,FALSE)</f>
        <v>4.0000000000000001E-3</v>
      </c>
      <c r="J213">
        <v>4</v>
      </c>
      <c r="K213">
        <v>2</v>
      </c>
      <c r="L213">
        <v>1</v>
      </c>
      <c r="M213">
        <v>5</v>
      </c>
      <c r="N213">
        <v>1</v>
      </c>
    </row>
    <row r="214" spans="1:14">
      <c r="A214" t="e">
        <f>_xlfn.IFNA(IF(VLOOKUP(C214,#REF!,1,FALSE)=C214,"No change"),"Changed or new")</f>
        <v>#REF!</v>
      </c>
      <c r="B214" t="s">
        <v>131</v>
      </c>
      <c r="C214" t="s">
        <v>132</v>
      </c>
      <c r="D214" t="s">
        <v>3653</v>
      </c>
      <c r="E214" t="s">
        <v>12</v>
      </c>
      <c r="F214">
        <v>0.26100000000000001</v>
      </c>
      <c r="G214">
        <v>0</v>
      </c>
      <c r="H214">
        <v>0.26100000000000001</v>
      </c>
      <c r="I214" s="12">
        <f>H214*VLOOKUP(D214,GWPs!$B$3:$C$6,2,FALSE)</f>
        <v>0.26100000000000001</v>
      </c>
      <c r="J214">
        <v>2</v>
      </c>
      <c r="K214">
        <v>2</v>
      </c>
      <c r="L214">
        <v>1</v>
      </c>
      <c r="M214">
        <v>2</v>
      </c>
      <c r="N214">
        <v>1</v>
      </c>
    </row>
    <row r="215" spans="1:14">
      <c r="A215" t="e">
        <f>_xlfn.IFNA(IF(VLOOKUP(C215,#REF!,1,FALSE)=C215,"No change"),"Changed or new")</f>
        <v>#REF!</v>
      </c>
      <c r="B215" t="s">
        <v>131</v>
      </c>
      <c r="C215" t="s">
        <v>132</v>
      </c>
      <c r="D215" t="s">
        <v>3654</v>
      </c>
      <c r="E215" t="s">
        <v>12</v>
      </c>
      <c r="F215">
        <v>4.1000000000000002E-2</v>
      </c>
      <c r="G215">
        <v>0</v>
      </c>
      <c r="H215">
        <v>4.1000000000000002E-2</v>
      </c>
      <c r="I215" s="12">
        <f>H215*VLOOKUP(D215,GWPs!$B$3:$C$6,2,FALSE)</f>
        <v>1.1480000000000001</v>
      </c>
      <c r="J215">
        <v>2</v>
      </c>
      <c r="K215">
        <v>2</v>
      </c>
      <c r="L215">
        <v>1</v>
      </c>
      <c r="M215">
        <v>1</v>
      </c>
      <c r="N215">
        <v>1</v>
      </c>
    </row>
    <row r="216" spans="1:14">
      <c r="A216" t="e">
        <f>_xlfn.IFNA(IF(VLOOKUP(C216,#REF!,1,FALSE)=C216,"No change"),"Changed or new")</f>
        <v>#REF!</v>
      </c>
      <c r="B216" t="s">
        <v>131</v>
      </c>
      <c r="C216" t="s">
        <v>132</v>
      </c>
      <c r="D216" t="s">
        <v>3655</v>
      </c>
      <c r="E216" t="s">
        <v>12</v>
      </c>
      <c r="F216">
        <v>0</v>
      </c>
      <c r="G216">
        <v>0</v>
      </c>
      <c r="H216">
        <v>0</v>
      </c>
      <c r="I216" s="12">
        <f>H216*VLOOKUP(D216,GWPs!$B$3:$C$6,2,FALSE)</f>
        <v>0</v>
      </c>
      <c r="J216">
        <v>4</v>
      </c>
      <c r="K216">
        <v>2</v>
      </c>
      <c r="L216">
        <v>1</v>
      </c>
      <c r="M216">
        <v>1</v>
      </c>
      <c r="N216">
        <v>1</v>
      </c>
    </row>
    <row r="217" spans="1:14">
      <c r="A217" t="e">
        <f>_xlfn.IFNA(IF(VLOOKUP(C217,#REF!,1,FALSE)=C217,"No change"),"Changed or new")</f>
        <v>#REF!</v>
      </c>
      <c r="B217" t="s">
        <v>131</v>
      </c>
      <c r="C217" t="s">
        <v>132</v>
      </c>
      <c r="D217" t="s">
        <v>15</v>
      </c>
      <c r="E217" t="s">
        <v>16</v>
      </c>
      <c r="F217">
        <v>1.4E-2</v>
      </c>
      <c r="G217">
        <v>0</v>
      </c>
      <c r="H217">
        <v>1.4E-2</v>
      </c>
      <c r="I217" s="12">
        <f>H217*VLOOKUP(D217,GWPs!$B$3:$C$6,2,FALSE)</f>
        <v>1.4E-2</v>
      </c>
      <c r="J217">
        <v>4</v>
      </c>
      <c r="K217">
        <v>2</v>
      </c>
      <c r="L217">
        <v>1</v>
      </c>
      <c r="M217">
        <v>5</v>
      </c>
      <c r="N217">
        <v>1</v>
      </c>
    </row>
    <row r="218" spans="1:14">
      <c r="A218" t="e">
        <f>_xlfn.IFNA(IF(VLOOKUP(C218,#REF!,1,FALSE)=C218,"No change"),"Changed or new")</f>
        <v>#REF!</v>
      </c>
      <c r="B218" t="s">
        <v>133</v>
      </c>
      <c r="C218" t="s">
        <v>134</v>
      </c>
      <c r="D218" t="s">
        <v>3653</v>
      </c>
      <c r="E218" t="s">
        <v>12</v>
      </c>
      <c r="F218">
        <v>0.17299999999999999</v>
      </c>
      <c r="G218">
        <v>0</v>
      </c>
      <c r="H218">
        <v>0.17299999999999999</v>
      </c>
      <c r="I218" s="12">
        <f>H218*VLOOKUP(D218,GWPs!$B$3:$C$6,2,FALSE)</f>
        <v>0.17299999999999999</v>
      </c>
      <c r="J218">
        <v>3</v>
      </c>
      <c r="K218">
        <v>2</v>
      </c>
      <c r="L218">
        <v>1</v>
      </c>
      <c r="M218">
        <v>3</v>
      </c>
      <c r="N218">
        <v>1</v>
      </c>
    </row>
    <row r="219" spans="1:14">
      <c r="A219" t="e">
        <f>_xlfn.IFNA(IF(VLOOKUP(C219,#REF!,1,FALSE)=C219,"No change"),"Changed or new")</f>
        <v>#REF!</v>
      </c>
      <c r="B219" t="s">
        <v>133</v>
      </c>
      <c r="C219" t="s">
        <v>134</v>
      </c>
      <c r="D219" t="s">
        <v>3654</v>
      </c>
      <c r="E219" t="s">
        <v>12</v>
      </c>
      <c r="F219">
        <v>1E-3</v>
      </c>
      <c r="G219">
        <v>0</v>
      </c>
      <c r="H219">
        <v>1E-3</v>
      </c>
      <c r="I219" s="12">
        <f>H219*VLOOKUP(D219,GWPs!$B$3:$C$6,2,FALSE)</f>
        <v>2.8000000000000001E-2</v>
      </c>
      <c r="J219">
        <v>3</v>
      </c>
      <c r="K219">
        <v>2</v>
      </c>
      <c r="L219">
        <v>1</v>
      </c>
      <c r="M219">
        <v>1</v>
      </c>
      <c r="N219">
        <v>1</v>
      </c>
    </row>
    <row r="220" spans="1:14">
      <c r="A220" t="e">
        <f>_xlfn.IFNA(IF(VLOOKUP(C220,#REF!,1,FALSE)=C220,"No change"),"Changed or new")</f>
        <v>#REF!</v>
      </c>
      <c r="B220" t="s">
        <v>133</v>
      </c>
      <c r="C220" t="s">
        <v>134</v>
      </c>
      <c r="D220" t="s">
        <v>3655</v>
      </c>
      <c r="E220" t="s">
        <v>12</v>
      </c>
      <c r="F220">
        <v>0</v>
      </c>
      <c r="G220">
        <v>0</v>
      </c>
      <c r="H220">
        <v>0</v>
      </c>
      <c r="I220" s="12">
        <f>H220*VLOOKUP(D220,GWPs!$B$3:$C$6,2,FALSE)</f>
        <v>0</v>
      </c>
      <c r="J220">
        <v>4</v>
      </c>
      <c r="K220">
        <v>2</v>
      </c>
      <c r="L220">
        <v>1</v>
      </c>
      <c r="M220">
        <v>4</v>
      </c>
      <c r="N220">
        <v>1</v>
      </c>
    </row>
    <row r="221" spans="1:14">
      <c r="A221" t="e">
        <f>_xlfn.IFNA(IF(VLOOKUP(C221,#REF!,1,FALSE)=C221,"No change"),"Changed or new")</f>
        <v>#REF!</v>
      </c>
      <c r="B221" t="s">
        <v>133</v>
      </c>
      <c r="C221" t="s">
        <v>134</v>
      </c>
      <c r="D221" t="s">
        <v>15</v>
      </c>
      <c r="E221" t="s">
        <v>16</v>
      </c>
      <c r="F221">
        <v>3.0000000000000001E-3</v>
      </c>
      <c r="G221">
        <v>0</v>
      </c>
      <c r="H221">
        <v>3.0000000000000001E-3</v>
      </c>
      <c r="I221" s="12">
        <f>H221*VLOOKUP(D221,GWPs!$B$3:$C$6,2,FALSE)</f>
        <v>3.0000000000000001E-3</v>
      </c>
      <c r="J221">
        <v>4</v>
      </c>
      <c r="K221">
        <v>2</v>
      </c>
      <c r="L221">
        <v>1</v>
      </c>
      <c r="M221">
        <v>4</v>
      </c>
      <c r="N221">
        <v>1</v>
      </c>
    </row>
    <row r="222" spans="1:14">
      <c r="A222" t="e">
        <f>_xlfn.IFNA(IF(VLOOKUP(C222,#REF!,1,FALSE)=C222,"No change"),"Changed or new")</f>
        <v>#REF!</v>
      </c>
      <c r="B222" t="s">
        <v>135</v>
      </c>
      <c r="C222" t="s">
        <v>136</v>
      </c>
      <c r="D222" t="s">
        <v>3653</v>
      </c>
      <c r="E222" t="s">
        <v>12</v>
      </c>
      <c r="F222">
        <v>9.9000000000000005E-2</v>
      </c>
      <c r="G222">
        <v>0</v>
      </c>
      <c r="H222">
        <v>9.9000000000000005E-2</v>
      </c>
      <c r="I222" s="12">
        <f>H222*VLOOKUP(D222,GWPs!$B$3:$C$6,2,FALSE)</f>
        <v>9.9000000000000005E-2</v>
      </c>
      <c r="J222">
        <v>3</v>
      </c>
      <c r="K222">
        <v>2</v>
      </c>
      <c r="L222">
        <v>1</v>
      </c>
      <c r="M222">
        <v>3</v>
      </c>
      <c r="N222">
        <v>1</v>
      </c>
    </row>
    <row r="223" spans="1:14">
      <c r="A223" t="e">
        <f>_xlfn.IFNA(IF(VLOOKUP(C223,#REF!,1,FALSE)=C223,"No change"),"Changed or new")</f>
        <v>#REF!</v>
      </c>
      <c r="B223" t="s">
        <v>135</v>
      </c>
      <c r="C223" t="s">
        <v>136</v>
      </c>
      <c r="D223" t="s">
        <v>3654</v>
      </c>
      <c r="E223" t="s">
        <v>12</v>
      </c>
      <c r="F223">
        <v>1E-3</v>
      </c>
      <c r="G223">
        <v>0</v>
      </c>
      <c r="H223">
        <v>1E-3</v>
      </c>
      <c r="I223" s="12">
        <f>H223*VLOOKUP(D223,GWPs!$B$3:$C$6,2,FALSE)</f>
        <v>2.8000000000000001E-2</v>
      </c>
      <c r="J223">
        <v>3</v>
      </c>
      <c r="K223">
        <v>2</v>
      </c>
      <c r="L223">
        <v>1</v>
      </c>
      <c r="M223">
        <v>1</v>
      </c>
      <c r="N223">
        <v>1</v>
      </c>
    </row>
    <row r="224" spans="1:14">
      <c r="A224" t="e">
        <f>_xlfn.IFNA(IF(VLOOKUP(C224,#REF!,1,FALSE)=C224,"No change"),"Changed or new")</f>
        <v>#REF!</v>
      </c>
      <c r="B224" t="s">
        <v>135</v>
      </c>
      <c r="C224" t="s">
        <v>136</v>
      </c>
      <c r="D224" t="s">
        <v>3655</v>
      </c>
      <c r="E224" t="s">
        <v>12</v>
      </c>
      <c r="F224">
        <v>0</v>
      </c>
      <c r="G224">
        <v>0</v>
      </c>
      <c r="H224">
        <v>0</v>
      </c>
      <c r="I224" s="12">
        <f>H224*VLOOKUP(D224,GWPs!$B$3:$C$6,2,FALSE)</f>
        <v>0</v>
      </c>
      <c r="J224">
        <v>3</v>
      </c>
      <c r="K224">
        <v>2</v>
      </c>
      <c r="L224">
        <v>1</v>
      </c>
      <c r="M224">
        <v>2</v>
      </c>
      <c r="N224">
        <v>1</v>
      </c>
    </row>
    <row r="225" spans="1:14">
      <c r="A225" t="e">
        <f>_xlfn.IFNA(IF(VLOOKUP(C225,#REF!,1,FALSE)=C225,"No change"),"Changed or new")</f>
        <v>#REF!</v>
      </c>
      <c r="B225" t="s">
        <v>135</v>
      </c>
      <c r="C225" t="s">
        <v>136</v>
      </c>
      <c r="D225" t="s">
        <v>15</v>
      </c>
      <c r="E225" t="s">
        <v>16</v>
      </c>
      <c r="F225">
        <v>3.0000000000000001E-3</v>
      </c>
      <c r="G225">
        <v>0</v>
      </c>
      <c r="H225">
        <v>3.0000000000000001E-3</v>
      </c>
      <c r="I225" s="12">
        <f>H225*VLOOKUP(D225,GWPs!$B$3:$C$6,2,FALSE)</f>
        <v>3.0000000000000001E-3</v>
      </c>
      <c r="J225">
        <v>4</v>
      </c>
      <c r="K225">
        <v>2</v>
      </c>
      <c r="L225">
        <v>1</v>
      </c>
      <c r="M225">
        <v>4</v>
      </c>
      <c r="N225">
        <v>1</v>
      </c>
    </row>
    <row r="226" spans="1:14">
      <c r="A226" t="e">
        <f>_xlfn.IFNA(IF(VLOOKUP(C226,#REF!,1,FALSE)=C226,"No change"),"Changed or new")</f>
        <v>#REF!</v>
      </c>
      <c r="B226" t="s">
        <v>137</v>
      </c>
      <c r="C226" t="s">
        <v>23</v>
      </c>
      <c r="D226" t="s">
        <v>3653</v>
      </c>
      <c r="E226" t="s">
        <v>12</v>
      </c>
      <c r="F226">
        <v>0.14399999999999999</v>
      </c>
      <c r="G226">
        <v>0</v>
      </c>
      <c r="H226">
        <v>0.14399999999999999</v>
      </c>
      <c r="I226" s="12">
        <f>H226*VLOOKUP(D226,GWPs!$B$3:$C$6,2,FALSE)</f>
        <v>0.14399999999999999</v>
      </c>
      <c r="J226">
        <v>3</v>
      </c>
      <c r="K226">
        <v>2</v>
      </c>
      <c r="L226">
        <v>1</v>
      </c>
      <c r="M226">
        <v>3</v>
      </c>
      <c r="N226">
        <v>1</v>
      </c>
    </row>
    <row r="227" spans="1:14">
      <c r="A227" t="e">
        <f>_xlfn.IFNA(IF(VLOOKUP(C227,#REF!,1,FALSE)=C227,"No change"),"Changed or new")</f>
        <v>#REF!</v>
      </c>
      <c r="B227" t="s">
        <v>137</v>
      </c>
      <c r="C227" t="s">
        <v>23</v>
      </c>
      <c r="D227" t="s">
        <v>3654</v>
      </c>
      <c r="E227" t="s">
        <v>12</v>
      </c>
      <c r="F227">
        <v>1E-3</v>
      </c>
      <c r="G227">
        <v>0</v>
      </c>
      <c r="H227">
        <v>1E-3</v>
      </c>
      <c r="I227" s="12">
        <f>H227*VLOOKUP(D227,GWPs!$B$3:$C$6,2,FALSE)</f>
        <v>2.8000000000000001E-2</v>
      </c>
      <c r="J227">
        <v>3</v>
      </c>
      <c r="K227">
        <v>2</v>
      </c>
      <c r="L227">
        <v>1</v>
      </c>
      <c r="M227">
        <v>1</v>
      </c>
      <c r="N227">
        <v>1</v>
      </c>
    </row>
    <row r="228" spans="1:14">
      <c r="A228" t="e">
        <f>_xlfn.IFNA(IF(VLOOKUP(C228,#REF!,1,FALSE)=C228,"No change"),"Changed or new")</f>
        <v>#REF!</v>
      </c>
      <c r="B228" t="s">
        <v>137</v>
      </c>
      <c r="C228" t="s">
        <v>23</v>
      </c>
      <c r="D228" t="s">
        <v>3655</v>
      </c>
      <c r="E228" t="s">
        <v>12</v>
      </c>
      <c r="F228">
        <v>0</v>
      </c>
      <c r="G228">
        <v>0</v>
      </c>
      <c r="H228">
        <v>0</v>
      </c>
      <c r="I228" s="12">
        <f>H228*VLOOKUP(D228,GWPs!$B$3:$C$6,2,FALSE)</f>
        <v>0</v>
      </c>
      <c r="J228">
        <v>3</v>
      </c>
      <c r="K228">
        <v>2</v>
      </c>
      <c r="L228">
        <v>1</v>
      </c>
      <c r="M228">
        <v>3</v>
      </c>
      <c r="N228">
        <v>1</v>
      </c>
    </row>
    <row r="229" spans="1:14">
      <c r="A229" t="e">
        <f>_xlfn.IFNA(IF(VLOOKUP(C229,#REF!,1,FALSE)=C229,"No change"),"Changed or new")</f>
        <v>#REF!</v>
      </c>
      <c r="B229" t="s">
        <v>137</v>
      </c>
      <c r="C229" t="s">
        <v>23</v>
      </c>
      <c r="D229" t="s">
        <v>15</v>
      </c>
      <c r="E229" t="s">
        <v>16</v>
      </c>
      <c r="F229">
        <v>4.0000000000000001E-3</v>
      </c>
      <c r="G229">
        <v>0</v>
      </c>
      <c r="H229">
        <v>4.0000000000000001E-3</v>
      </c>
      <c r="I229" s="12">
        <f>H229*VLOOKUP(D229,GWPs!$B$3:$C$6,2,FALSE)</f>
        <v>4.0000000000000001E-3</v>
      </c>
      <c r="J229">
        <v>4</v>
      </c>
      <c r="K229">
        <v>2</v>
      </c>
      <c r="L229">
        <v>1</v>
      </c>
      <c r="M229">
        <v>4</v>
      </c>
      <c r="N229">
        <v>1</v>
      </c>
    </row>
    <row r="230" spans="1:14">
      <c r="A230" t="e">
        <f>_xlfn.IFNA(IF(VLOOKUP(C230,#REF!,1,FALSE)=C230,"No change"),"Changed or new")</f>
        <v>#REF!</v>
      </c>
      <c r="B230" t="s">
        <v>138</v>
      </c>
      <c r="C230" t="s">
        <v>139</v>
      </c>
      <c r="D230" t="s">
        <v>3653</v>
      </c>
      <c r="E230" t="s">
        <v>12</v>
      </c>
      <c r="F230">
        <v>0.13400000000000001</v>
      </c>
      <c r="G230">
        <v>0</v>
      </c>
      <c r="H230">
        <v>0.13400000000000001</v>
      </c>
      <c r="I230" s="12">
        <f>H230*VLOOKUP(D230,GWPs!$B$3:$C$6,2,FALSE)</f>
        <v>0.13400000000000001</v>
      </c>
      <c r="J230">
        <v>3</v>
      </c>
      <c r="K230">
        <v>2</v>
      </c>
      <c r="L230">
        <v>1</v>
      </c>
      <c r="M230">
        <v>3</v>
      </c>
      <c r="N230">
        <v>1</v>
      </c>
    </row>
    <row r="231" spans="1:14">
      <c r="A231" t="e">
        <f>_xlfn.IFNA(IF(VLOOKUP(C231,#REF!,1,FALSE)=C231,"No change"),"Changed or new")</f>
        <v>#REF!</v>
      </c>
      <c r="B231" t="s">
        <v>138</v>
      </c>
      <c r="C231" t="s">
        <v>139</v>
      </c>
      <c r="D231" t="s">
        <v>3654</v>
      </c>
      <c r="E231" t="s">
        <v>12</v>
      </c>
      <c r="F231">
        <v>1E-3</v>
      </c>
      <c r="G231">
        <v>0</v>
      </c>
      <c r="H231">
        <v>1E-3</v>
      </c>
      <c r="I231" s="12">
        <f>H231*VLOOKUP(D231,GWPs!$B$3:$C$6,2,FALSE)</f>
        <v>2.8000000000000001E-2</v>
      </c>
      <c r="J231">
        <v>3</v>
      </c>
      <c r="K231">
        <v>2</v>
      </c>
      <c r="L231">
        <v>1</v>
      </c>
      <c r="M231">
        <v>1</v>
      </c>
      <c r="N231">
        <v>1</v>
      </c>
    </row>
    <row r="232" spans="1:14">
      <c r="A232" t="e">
        <f>_xlfn.IFNA(IF(VLOOKUP(C232,#REF!,1,FALSE)=C232,"No change"),"Changed or new")</f>
        <v>#REF!</v>
      </c>
      <c r="B232" t="s">
        <v>138</v>
      </c>
      <c r="C232" t="s">
        <v>139</v>
      </c>
      <c r="D232" t="s">
        <v>3655</v>
      </c>
      <c r="E232" t="s">
        <v>12</v>
      </c>
      <c r="F232">
        <v>0</v>
      </c>
      <c r="G232">
        <v>0</v>
      </c>
      <c r="H232">
        <v>0</v>
      </c>
      <c r="I232" s="12">
        <f>H232*VLOOKUP(D232,GWPs!$B$3:$C$6,2,FALSE)</f>
        <v>0</v>
      </c>
      <c r="J232">
        <v>4</v>
      </c>
      <c r="K232">
        <v>2</v>
      </c>
      <c r="L232">
        <v>1</v>
      </c>
      <c r="M232">
        <v>4</v>
      </c>
      <c r="N232">
        <v>1</v>
      </c>
    </row>
    <row r="233" spans="1:14">
      <c r="A233" t="e">
        <f>_xlfn.IFNA(IF(VLOOKUP(C233,#REF!,1,FALSE)=C233,"No change"),"Changed or new")</f>
        <v>#REF!</v>
      </c>
      <c r="B233" t="s">
        <v>138</v>
      </c>
      <c r="C233" t="s">
        <v>139</v>
      </c>
      <c r="D233" t="s">
        <v>15</v>
      </c>
      <c r="E233" t="s">
        <v>16</v>
      </c>
      <c r="F233">
        <v>5.0000000000000001E-3</v>
      </c>
      <c r="G233">
        <v>0</v>
      </c>
      <c r="H233">
        <v>5.0000000000000001E-3</v>
      </c>
      <c r="I233" s="12">
        <f>H233*VLOOKUP(D233,GWPs!$B$3:$C$6,2,FALSE)</f>
        <v>5.0000000000000001E-3</v>
      </c>
      <c r="J233">
        <v>4</v>
      </c>
      <c r="K233">
        <v>2</v>
      </c>
      <c r="L233">
        <v>1</v>
      </c>
      <c r="M233">
        <v>5</v>
      </c>
      <c r="N233">
        <v>1</v>
      </c>
    </row>
    <row r="234" spans="1:14">
      <c r="A234" t="e">
        <f>_xlfn.IFNA(IF(VLOOKUP(C234,#REF!,1,FALSE)=C234,"No change"),"Changed or new")</f>
        <v>#REF!</v>
      </c>
      <c r="B234" t="s">
        <v>140</v>
      </c>
      <c r="C234" t="s">
        <v>141</v>
      </c>
      <c r="D234" t="s">
        <v>3653</v>
      </c>
      <c r="E234" t="s">
        <v>12</v>
      </c>
      <c r="F234">
        <v>0.14399999999999999</v>
      </c>
      <c r="G234">
        <v>0</v>
      </c>
      <c r="H234">
        <v>0.14399999999999999</v>
      </c>
      <c r="I234" s="12">
        <f>H234*VLOOKUP(D234,GWPs!$B$3:$C$6,2,FALSE)</f>
        <v>0.14399999999999999</v>
      </c>
      <c r="J234">
        <v>3</v>
      </c>
      <c r="K234">
        <v>2</v>
      </c>
      <c r="L234">
        <v>1</v>
      </c>
      <c r="M234">
        <v>3</v>
      </c>
      <c r="N234">
        <v>1</v>
      </c>
    </row>
    <row r="235" spans="1:14">
      <c r="A235" t="e">
        <f>_xlfn.IFNA(IF(VLOOKUP(C235,#REF!,1,FALSE)=C235,"No change"),"Changed or new")</f>
        <v>#REF!</v>
      </c>
      <c r="B235" t="s">
        <v>140</v>
      </c>
      <c r="C235" t="s">
        <v>141</v>
      </c>
      <c r="D235" t="s">
        <v>3654</v>
      </c>
      <c r="E235" t="s">
        <v>12</v>
      </c>
      <c r="F235">
        <v>1E-3</v>
      </c>
      <c r="G235">
        <v>0</v>
      </c>
      <c r="H235">
        <v>1E-3</v>
      </c>
      <c r="I235" s="12">
        <f>H235*VLOOKUP(D235,GWPs!$B$3:$C$6,2,FALSE)</f>
        <v>2.8000000000000001E-2</v>
      </c>
      <c r="J235">
        <v>3</v>
      </c>
      <c r="K235">
        <v>2</v>
      </c>
      <c r="L235">
        <v>1</v>
      </c>
      <c r="M235">
        <v>1</v>
      </c>
      <c r="N235">
        <v>1</v>
      </c>
    </row>
    <row r="236" spans="1:14">
      <c r="A236" t="e">
        <f>_xlfn.IFNA(IF(VLOOKUP(C236,#REF!,1,FALSE)=C236,"No change"),"Changed or new")</f>
        <v>#REF!</v>
      </c>
      <c r="B236" t="s">
        <v>140</v>
      </c>
      <c r="C236" t="s">
        <v>141</v>
      </c>
      <c r="D236" t="s">
        <v>3655</v>
      </c>
      <c r="E236" t="s">
        <v>12</v>
      </c>
      <c r="F236">
        <v>0</v>
      </c>
      <c r="G236">
        <v>0</v>
      </c>
      <c r="H236">
        <v>0</v>
      </c>
      <c r="I236" s="12">
        <f>H236*VLOOKUP(D236,GWPs!$B$3:$C$6,2,FALSE)</f>
        <v>0</v>
      </c>
      <c r="J236">
        <v>4</v>
      </c>
      <c r="K236">
        <v>2</v>
      </c>
      <c r="L236">
        <v>1</v>
      </c>
      <c r="M236">
        <v>4</v>
      </c>
      <c r="N236">
        <v>1</v>
      </c>
    </row>
    <row r="237" spans="1:14">
      <c r="A237" t="e">
        <f>_xlfn.IFNA(IF(VLOOKUP(C237,#REF!,1,FALSE)=C237,"No change"),"Changed or new")</f>
        <v>#REF!</v>
      </c>
      <c r="B237" t="s">
        <v>140</v>
      </c>
      <c r="C237" t="s">
        <v>141</v>
      </c>
      <c r="D237" t="s">
        <v>15</v>
      </c>
      <c r="E237" t="s">
        <v>16</v>
      </c>
      <c r="F237">
        <v>4.0000000000000001E-3</v>
      </c>
      <c r="G237">
        <v>0</v>
      </c>
      <c r="H237">
        <v>4.0000000000000001E-3</v>
      </c>
      <c r="I237" s="12">
        <f>H237*VLOOKUP(D237,GWPs!$B$3:$C$6,2,FALSE)</f>
        <v>4.0000000000000001E-3</v>
      </c>
      <c r="J237">
        <v>4</v>
      </c>
      <c r="K237">
        <v>2</v>
      </c>
      <c r="L237">
        <v>1</v>
      </c>
      <c r="M237">
        <v>5</v>
      </c>
      <c r="N237">
        <v>1</v>
      </c>
    </row>
    <row r="238" spans="1:14">
      <c r="A238" t="e">
        <f>_xlfn.IFNA(IF(VLOOKUP(C238,#REF!,1,FALSE)=C238,"No change"),"Changed or new")</f>
        <v>#REF!</v>
      </c>
      <c r="B238" t="s">
        <v>142</v>
      </c>
      <c r="C238" t="s">
        <v>143</v>
      </c>
      <c r="D238" t="s">
        <v>3653</v>
      </c>
      <c r="E238" t="s">
        <v>12</v>
      </c>
      <c r="F238">
        <v>6.7000000000000004E-2</v>
      </c>
      <c r="G238">
        <v>0</v>
      </c>
      <c r="H238">
        <v>6.7000000000000004E-2</v>
      </c>
      <c r="I238" s="12">
        <f>H238*VLOOKUP(D238,GWPs!$B$3:$C$6,2,FALSE)</f>
        <v>6.7000000000000004E-2</v>
      </c>
      <c r="J238">
        <v>3</v>
      </c>
      <c r="K238">
        <v>2</v>
      </c>
      <c r="L238">
        <v>1</v>
      </c>
      <c r="M238">
        <v>3</v>
      </c>
      <c r="N238">
        <v>1</v>
      </c>
    </row>
    <row r="239" spans="1:14">
      <c r="A239" t="e">
        <f>_xlfn.IFNA(IF(VLOOKUP(C239,#REF!,1,FALSE)=C239,"No change"),"Changed or new")</f>
        <v>#REF!</v>
      </c>
      <c r="B239" t="s">
        <v>142</v>
      </c>
      <c r="C239" t="s">
        <v>143</v>
      </c>
      <c r="D239" t="s">
        <v>3654</v>
      </c>
      <c r="E239" t="s">
        <v>12</v>
      </c>
      <c r="F239">
        <v>0</v>
      </c>
      <c r="G239">
        <v>0</v>
      </c>
      <c r="H239">
        <v>0</v>
      </c>
      <c r="I239" s="12">
        <f>H239*VLOOKUP(D239,GWPs!$B$3:$C$6,2,FALSE)</f>
        <v>0</v>
      </c>
      <c r="J239">
        <v>3</v>
      </c>
      <c r="K239">
        <v>2</v>
      </c>
      <c r="L239">
        <v>1</v>
      </c>
      <c r="M239">
        <v>1</v>
      </c>
      <c r="N239">
        <v>1</v>
      </c>
    </row>
    <row r="240" spans="1:14">
      <c r="A240" t="e">
        <f>_xlfn.IFNA(IF(VLOOKUP(C240,#REF!,1,FALSE)=C240,"No change"),"Changed or new")</f>
        <v>#REF!</v>
      </c>
      <c r="B240" t="s">
        <v>142</v>
      </c>
      <c r="C240" t="s">
        <v>143</v>
      </c>
      <c r="D240" t="s">
        <v>3655</v>
      </c>
      <c r="E240" t="s">
        <v>12</v>
      </c>
      <c r="F240">
        <v>0</v>
      </c>
      <c r="G240">
        <v>0</v>
      </c>
      <c r="H240">
        <v>0</v>
      </c>
      <c r="I240" s="12">
        <f>H240*VLOOKUP(D240,GWPs!$B$3:$C$6,2,FALSE)</f>
        <v>0</v>
      </c>
      <c r="J240">
        <v>4</v>
      </c>
      <c r="K240">
        <v>2</v>
      </c>
      <c r="L240">
        <v>1</v>
      </c>
      <c r="M240">
        <v>3</v>
      </c>
      <c r="N240">
        <v>1</v>
      </c>
    </row>
    <row r="241" spans="1:14">
      <c r="A241" t="e">
        <f>_xlfn.IFNA(IF(VLOOKUP(C241,#REF!,1,FALSE)=C241,"No change"),"Changed or new")</f>
        <v>#REF!</v>
      </c>
      <c r="B241" t="s">
        <v>142</v>
      </c>
      <c r="C241" t="s">
        <v>143</v>
      </c>
      <c r="D241" t="s">
        <v>15</v>
      </c>
      <c r="E241" t="s">
        <v>16</v>
      </c>
      <c r="F241">
        <v>1E-3</v>
      </c>
      <c r="G241">
        <v>0</v>
      </c>
      <c r="H241">
        <v>1E-3</v>
      </c>
      <c r="I241" s="12">
        <f>H241*VLOOKUP(D241,GWPs!$B$3:$C$6,2,FALSE)</f>
        <v>1E-3</v>
      </c>
      <c r="J241">
        <v>4</v>
      </c>
      <c r="K241">
        <v>2</v>
      </c>
      <c r="L241">
        <v>1</v>
      </c>
      <c r="M241">
        <v>4</v>
      </c>
      <c r="N241">
        <v>1</v>
      </c>
    </row>
    <row r="242" spans="1:14">
      <c r="A242" t="e">
        <f>_xlfn.IFNA(IF(VLOOKUP(C242,#REF!,1,FALSE)=C242,"No change"),"Changed or new")</f>
        <v>#REF!</v>
      </c>
      <c r="B242" t="s">
        <v>144</v>
      </c>
      <c r="C242" t="s">
        <v>145</v>
      </c>
      <c r="D242" t="s">
        <v>3653</v>
      </c>
      <c r="E242" t="s">
        <v>12</v>
      </c>
      <c r="F242">
        <v>0.316</v>
      </c>
      <c r="G242">
        <v>0</v>
      </c>
      <c r="H242">
        <v>0.316</v>
      </c>
      <c r="I242" s="12">
        <f>H242*VLOOKUP(D242,GWPs!$B$3:$C$6,2,FALSE)</f>
        <v>0.316</v>
      </c>
      <c r="J242">
        <v>3</v>
      </c>
      <c r="K242">
        <v>2</v>
      </c>
      <c r="L242">
        <v>1</v>
      </c>
      <c r="M242">
        <v>3</v>
      </c>
      <c r="N242">
        <v>1</v>
      </c>
    </row>
    <row r="243" spans="1:14">
      <c r="A243" t="e">
        <f>_xlfn.IFNA(IF(VLOOKUP(C243,#REF!,1,FALSE)=C243,"No change"),"Changed or new")</f>
        <v>#REF!</v>
      </c>
      <c r="B243" t="s">
        <v>144</v>
      </c>
      <c r="C243" t="s">
        <v>145</v>
      </c>
      <c r="D243" t="s">
        <v>3654</v>
      </c>
      <c r="E243" t="s">
        <v>12</v>
      </c>
      <c r="F243">
        <v>2E-3</v>
      </c>
      <c r="G243">
        <v>0</v>
      </c>
      <c r="H243">
        <v>2E-3</v>
      </c>
      <c r="I243" s="12">
        <f>H243*VLOOKUP(D243,GWPs!$B$3:$C$6,2,FALSE)</f>
        <v>5.6000000000000001E-2</v>
      </c>
      <c r="J243">
        <v>3</v>
      </c>
      <c r="K243">
        <v>2</v>
      </c>
      <c r="L243">
        <v>1</v>
      </c>
      <c r="M243">
        <v>1</v>
      </c>
      <c r="N243">
        <v>1</v>
      </c>
    </row>
    <row r="244" spans="1:14">
      <c r="A244" t="e">
        <f>_xlfn.IFNA(IF(VLOOKUP(C244,#REF!,1,FALSE)=C244,"No change"),"Changed or new")</f>
        <v>#REF!</v>
      </c>
      <c r="B244" t="s">
        <v>144</v>
      </c>
      <c r="C244" t="s">
        <v>145</v>
      </c>
      <c r="D244" t="s">
        <v>3655</v>
      </c>
      <c r="E244" t="s">
        <v>12</v>
      </c>
      <c r="F244">
        <v>0</v>
      </c>
      <c r="G244">
        <v>0</v>
      </c>
      <c r="H244">
        <v>0</v>
      </c>
      <c r="I244" s="12">
        <f>H244*VLOOKUP(D244,GWPs!$B$3:$C$6,2,FALSE)</f>
        <v>0</v>
      </c>
      <c r="J244">
        <v>4</v>
      </c>
      <c r="K244">
        <v>2</v>
      </c>
      <c r="L244">
        <v>1</v>
      </c>
      <c r="M244">
        <v>4</v>
      </c>
      <c r="N244">
        <v>1</v>
      </c>
    </row>
    <row r="245" spans="1:14">
      <c r="A245" t="e">
        <f>_xlfn.IFNA(IF(VLOOKUP(C245,#REF!,1,FALSE)=C245,"No change"),"Changed or new")</f>
        <v>#REF!</v>
      </c>
      <c r="B245" t="s">
        <v>144</v>
      </c>
      <c r="C245" t="s">
        <v>145</v>
      </c>
      <c r="D245" t="s">
        <v>15</v>
      </c>
      <c r="E245" t="s">
        <v>16</v>
      </c>
      <c r="F245">
        <v>4.0000000000000001E-3</v>
      </c>
      <c r="G245">
        <v>0</v>
      </c>
      <c r="H245">
        <v>4.0000000000000001E-3</v>
      </c>
      <c r="I245" s="12">
        <f>H245*VLOOKUP(D245,GWPs!$B$3:$C$6,2,FALSE)</f>
        <v>4.0000000000000001E-3</v>
      </c>
      <c r="J245">
        <v>4</v>
      </c>
      <c r="K245">
        <v>2</v>
      </c>
      <c r="L245">
        <v>1</v>
      </c>
      <c r="M245">
        <v>4</v>
      </c>
      <c r="N245">
        <v>1</v>
      </c>
    </row>
    <row r="246" spans="1:14">
      <c r="A246" t="e">
        <f>_xlfn.IFNA(IF(VLOOKUP(C246,#REF!,1,FALSE)=C246,"No change"),"Changed or new")</f>
        <v>#REF!</v>
      </c>
      <c r="B246" t="s">
        <v>146</v>
      </c>
      <c r="C246" t="s">
        <v>147</v>
      </c>
      <c r="D246" t="s">
        <v>3653</v>
      </c>
      <c r="E246" t="s">
        <v>12</v>
      </c>
      <c r="F246">
        <v>0.157</v>
      </c>
      <c r="G246">
        <v>0</v>
      </c>
      <c r="H246">
        <v>0.157</v>
      </c>
      <c r="I246" s="12">
        <f>H246*VLOOKUP(D246,GWPs!$B$3:$C$6,2,FALSE)</f>
        <v>0.157</v>
      </c>
      <c r="J246">
        <v>3</v>
      </c>
      <c r="K246">
        <v>2</v>
      </c>
      <c r="L246">
        <v>1</v>
      </c>
      <c r="M246">
        <v>3</v>
      </c>
      <c r="N246">
        <v>1</v>
      </c>
    </row>
    <row r="247" spans="1:14">
      <c r="A247" t="e">
        <f>_xlfn.IFNA(IF(VLOOKUP(C247,#REF!,1,FALSE)=C247,"No change"),"Changed or new")</f>
        <v>#REF!</v>
      </c>
      <c r="B247" t="s">
        <v>146</v>
      </c>
      <c r="C247" t="s">
        <v>147</v>
      </c>
      <c r="D247" t="s">
        <v>3654</v>
      </c>
      <c r="E247" t="s">
        <v>12</v>
      </c>
      <c r="F247">
        <v>1E-3</v>
      </c>
      <c r="G247">
        <v>0</v>
      </c>
      <c r="H247">
        <v>1E-3</v>
      </c>
      <c r="I247" s="12">
        <f>H247*VLOOKUP(D247,GWPs!$B$3:$C$6,2,FALSE)</f>
        <v>2.8000000000000001E-2</v>
      </c>
      <c r="J247">
        <v>3</v>
      </c>
      <c r="K247">
        <v>2</v>
      </c>
      <c r="L247">
        <v>1</v>
      </c>
      <c r="M247">
        <v>1</v>
      </c>
      <c r="N247">
        <v>1</v>
      </c>
    </row>
    <row r="248" spans="1:14">
      <c r="A248" t="e">
        <f>_xlfn.IFNA(IF(VLOOKUP(C248,#REF!,1,FALSE)=C248,"No change"),"Changed or new")</f>
        <v>#REF!</v>
      </c>
      <c r="B248" t="s">
        <v>146</v>
      </c>
      <c r="C248" t="s">
        <v>147</v>
      </c>
      <c r="D248" t="s">
        <v>3655</v>
      </c>
      <c r="E248" t="s">
        <v>12</v>
      </c>
      <c r="F248">
        <v>0</v>
      </c>
      <c r="G248">
        <v>0</v>
      </c>
      <c r="H248">
        <v>0</v>
      </c>
      <c r="I248" s="12">
        <f>H248*VLOOKUP(D248,GWPs!$B$3:$C$6,2,FALSE)</f>
        <v>0</v>
      </c>
      <c r="J248">
        <v>4</v>
      </c>
      <c r="K248">
        <v>2</v>
      </c>
      <c r="L248">
        <v>1</v>
      </c>
      <c r="M248">
        <v>4</v>
      </c>
      <c r="N248">
        <v>1</v>
      </c>
    </row>
    <row r="249" spans="1:14">
      <c r="A249" t="e">
        <f>_xlfn.IFNA(IF(VLOOKUP(C249,#REF!,1,FALSE)=C249,"No change"),"Changed or new")</f>
        <v>#REF!</v>
      </c>
      <c r="B249" t="s">
        <v>146</v>
      </c>
      <c r="C249" t="s">
        <v>147</v>
      </c>
      <c r="D249" t="s">
        <v>15</v>
      </c>
      <c r="E249" t="s">
        <v>16</v>
      </c>
      <c r="F249">
        <v>3.0000000000000001E-3</v>
      </c>
      <c r="G249">
        <v>0</v>
      </c>
      <c r="H249">
        <v>3.0000000000000001E-3</v>
      </c>
      <c r="I249" s="12">
        <f>H249*VLOOKUP(D249,GWPs!$B$3:$C$6,2,FALSE)</f>
        <v>3.0000000000000001E-3</v>
      </c>
      <c r="J249">
        <v>4</v>
      </c>
      <c r="K249">
        <v>2</v>
      </c>
      <c r="L249">
        <v>1</v>
      </c>
      <c r="M249">
        <v>4</v>
      </c>
      <c r="N249">
        <v>1</v>
      </c>
    </row>
    <row r="250" spans="1:14">
      <c r="A250" t="e">
        <f>_xlfn.IFNA(IF(VLOOKUP(C250,#REF!,1,FALSE)=C250,"No change"),"Changed or new")</f>
        <v>#REF!</v>
      </c>
      <c r="B250" t="s">
        <v>148</v>
      </c>
      <c r="C250" t="s">
        <v>149</v>
      </c>
      <c r="D250" t="s">
        <v>3653</v>
      </c>
      <c r="E250" t="s">
        <v>12</v>
      </c>
      <c r="F250">
        <v>0.19400000000000001</v>
      </c>
      <c r="G250">
        <v>0</v>
      </c>
      <c r="H250">
        <v>0.19400000000000001</v>
      </c>
      <c r="I250" s="12">
        <f>H250*VLOOKUP(D250,GWPs!$B$3:$C$6,2,FALSE)</f>
        <v>0.19400000000000001</v>
      </c>
      <c r="J250">
        <v>3</v>
      </c>
      <c r="K250">
        <v>2</v>
      </c>
      <c r="L250">
        <v>1</v>
      </c>
      <c r="M250">
        <v>3</v>
      </c>
      <c r="N250">
        <v>1</v>
      </c>
    </row>
    <row r="251" spans="1:14">
      <c r="A251" t="e">
        <f>_xlfn.IFNA(IF(VLOOKUP(C251,#REF!,1,FALSE)=C251,"No change"),"Changed or new")</f>
        <v>#REF!</v>
      </c>
      <c r="B251" t="s">
        <v>148</v>
      </c>
      <c r="C251" t="s">
        <v>149</v>
      </c>
      <c r="D251" t="s">
        <v>3654</v>
      </c>
      <c r="E251" t="s">
        <v>12</v>
      </c>
      <c r="F251">
        <v>1E-3</v>
      </c>
      <c r="G251">
        <v>0</v>
      </c>
      <c r="H251">
        <v>1E-3</v>
      </c>
      <c r="I251" s="12">
        <f>H251*VLOOKUP(D251,GWPs!$B$3:$C$6,2,FALSE)</f>
        <v>2.8000000000000001E-2</v>
      </c>
      <c r="J251">
        <v>3</v>
      </c>
      <c r="K251">
        <v>2</v>
      </c>
      <c r="L251">
        <v>1</v>
      </c>
      <c r="M251">
        <v>1</v>
      </c>
      <c r="N251">
        <v>1</v>
      </c>
    </row>
    <row r="252" spans="1:14">
      <c r="A252" t="e">
        <f>_xlfn.IFNA(IF(VLOOKUP(C252,#REF!,1,FALSE)=C252,"No change"),"Changed or new")</f>
        <v>#REF!</v>
      </c>
      <c r="B252" t="s">
        <v>148</v>
      </c>
      <c r="C252" t="s">
        <v>149</v>
      </c>
      <c r="D252" t="s">
        <v>3655</v>
      </c>
      <c r="E252" t="s">
        <v>12</v>
      </c>
      <c r="F252">
        <v>0</v>
      </c>
      <c r="G252">
        <v>0</v>
      </c>
      <c r="H252">
        <v>0</v>
      </c>
      <c r="I252" s="12">
        <f>H252*VLOOKUP(D252,GWPs!$B$3:$C$6,2,FALSE)</f>
        <v>0</v>
      </c>
      <c r="J252">
        <v>4</v>
      </c>
      <c r="K252">
        <v>2</v>
      </c>
      <c r="L252">
        <v>1</v>
      </c>
      <c r="M252">
        <v>4</v>
      </c>
      <c r="N252">
        <v>1</v>
      </c>
    </row>
    <row r="253" spans="1:14">
      <c r="A253" t="e">
        <f>_xlfn.IFNA(IF(VLOOKUP(C253,#REF!,1,FALSE)=C253,"No change"),"Changed or new")</f>
        <v>#REF!</v>
      </c>
      <c r="B253" t="s">
        <v>148</v>
      </c>
      <c r="C253" t="s">
        <v>149</v>
      </c>
      <c r="D253" t="s">
        <v>15</v>
      </c>
      <c r="E253" t="s">
        <v>16</v>
      </c>
      <c r="F253">
        <v>6.0000000000000001E-3</v>
      </c>
      <c r="G253">
        <v>0</v>
      </c>
      <c r="H253">
        <v>6.0000000000000001E-3</v>
      </c>
      <c r="I253" s="12">
        <f>H253*VLOOKUP(D253,GWPs!$B$3:$C$6,2,FALSE)</f>
        <v>6.0000000000000001E-3</v>
      </c>
      <c r="J253">
        <v>4</v>
      </c>
      <c r="K253">
        <v>2</v>
      </c>
      <c r="L253">
        <v>1</v>
      </c>
      <c r="M253">
        <v>5</v>
      </c>
      <c r="N253">
        <v>1</v>
      </c>
    </row>
    <row r="254" spans="1:14">
      <c r="A254" t="e">
        <f>_xlfn.IFNA(IF(VLOOKUP(C254,#REF!,1,FALSE)=C254,"No change"),"Changed or new")</f>
        <v>#REF!</v>
      </c>
      <c r="B254" t="s">
        <v>150</v>
      </c>
      <c r="C254" t="s">
        <v>151</v>
      </c>
      <c r="D254" t="s">
        <v>3653</v>
      </c>
      <c r="E254" t="s">
        <v>12</v>
      </c>
      <c r="F254">
        <v>0.121</v>
      </c>
      <c r="G254">
        <v>0</v>
      </c>
      <c r="H254">
        <v>0.121</v>
      </c>
      <c r="I254" s="12">
        <f>H254*VLOOKUP(D254,GWPs!$B$3:$C$6,2,FALSE)</f>
        <v>0.121</v>
      </c>
      <c r="J254">
        <v>3</v>
      </c>
      <c r="K254">
        <v>2</v>
      </c>
      <c r="L254">
        <v>1</v>
      </c>
      <c r="M254">
        <v>3</v>
      </c>
      <c r="N254">
        <v>1</v>
      </c>
    </row>
    <row r="255" spans="1:14">
      <c r="A255" t="e">
        <f>_xlfn.IFNA(IF(VLOOKUP(C255,#REF!,1,FALSE)=C255,"No change"),"Changed or new")</f>
        <v>#REF!</v>
      </c>
      <c r="B255" t="s">
        <v>150</v>
      </c>
      <c r="C255" t="s">
        <v>151</v>
      </c>
      <c r="D255" t="s">
        <v>3654</v>
      </c>
      <c r="E255" t="s">
        <v>12</v>
      </c>
      <c r="F255">
        <v>1E-3</v>
      </c>
      <c r="G255">
        <v>0</v>
      </c>
      <c r="H255">
        <v>1E-3</v>
      </c>
      <c r="I255" s="12">
        <f>H255*VLOOKUP(D255,GWPs!$B$3:$C$6,2,FALSE)</f>
        <v>2.8000000000000001E-2</v>
      </c>
      <c r="J255">
        <v>3</v>
      </c>
      <c r="K255">
        <v>2</v>
      </c>
      <c r="L255">
        <v>1</v>
      </c>
      <c r="M255">
        <v>1</v>
      </c>
      <c r="N255">
        <v>1</v>
      </c>
    </row>
    <row r="256" spans="1:14">
      <c r="A256" t="e">
        <f>_xlfn.IFNA(IF(VLOOKUP(C256,#REF!,1,FALSE)=C256,"No change"),"Changed or new")</f>
        <v>#REF!</v>
      </c>
      <c r="B256" t="s">
        <v>150</v>
      </c>
      <c r="C256" t="s">
        <v>151</v>
      </c>
      <c r="D256" t="s">
        <v>3655</v>
      </c>
      <c r="E256" t="s">
        <v>12</v>
      </c>
      <c r="F256">
        <v>0</v>
      </c>
      <c r="G256">
        <v>0</v>
      </c>
      <c r="H256">
        <v>0</v>
      </c>
      <c r="I256" s="12">
        <f>H256*VLOOKUP(D256,GWPs!$B$3:$C$6,2,FALSE)</f>
        <v>0</v>
      </c>
      <c r="J256">
        <v>4</v>
      </c>
      <c r="K256">
        <v>2</v>
      </c>
      <c r="L256">
        <v>1</v>
      </c>
      <c r="M256">
        <v>3</v>
      </c>
      <c r="N256">
        <v>1</v>
      </c>
    </row>
    <row r="257" spans="1:14">
      <c r="A257" t="e">
        <f>_xlfn.IFNA(IF(VLOOKUP(C257,#REF!,1,FALSE)=C257,"No change"),"Changed or new")</f>
        <v>#REF!</v>
      </c>
      <c r="B257" t="s">
        <v>150</v>
      </c>
      <c r="C257" t="s">
        <v>151</v>
      </c>
      <c r="D257" t="s">
        <v>15</v>
      </c>
      <c r="E257" t="s">
        <v>16</v>
      </c>
      <c r="F257">
        <v>5.0000000000000001E-3</v>
      </c>
      <c r="G257">
        <v>0</v>
      </c>
      <c r="H257">
        <v>5.0000000000000001E-3</v>
      </c>
      <c r="I257" s="12">
        <f>H257*VLOOKUP(D257,GWPs!$B$3:$C$6,2,FALSE)</f>
        <v>5.0000000000000001E-3</v>
      </c>
      <c r="J257">
        <v>4</v>
      </c>
      <c r="K257">
        <v>2</v>
      </c>
      <c r="L257">
        <v>1</v>
      </c>
      <c r="M257">
        <v>5</v>
      </c>
      <c r="N257">
        <v>1</v>
      </c>
    </row>
    <row r="258" spans="1:14">
      <c r="A258" t="e">
        <f>_xlfn.IFNA(IF(VLOOKUP(C258,#REF!,1,FALSE)=C258,"No change"),"Changed or new")</f>
        <v>#REF!</v>
      </c>
      <c r="B258" t="s">
        <v>152</v>
      </c>
      <c r="C258" t="s">
        <v>153</v>
      </c>
      <c r="D258" t="s">
        <v>3653</v>
      </c>
      <c r="E258" t="s">
        <v>12</v>
      </c>
      <c r="F258">
        <v>1.7999999999999999E-2</v>
      </c>
      <c r="G258">
        <v>0</v>
      </c>
      <c r="H258">
        <v>1.7999999999999999E-2</v>
      </c>
      <c r="I258" s="12">
        <f>H258*VLOOKUP(D258,GWPs!$B$3:$C$6,2,FALSE)</f>
        <v>1.7999999999999999E-2</v>
      </c>
      <c r="J258">
        <v>3</v>
      </c>
      <c r="K258">
        <v>2</v>
      </c>
      <c r="L258">
        <v>1</v>
      </c>
      <c r="M258">
        <v>3</v>
      </c>
      <c r="N258">
        <v>1</v>
      </c>
    </row>
    <row r="259" spans="1:14">
      <c r="A259" t="e">
        <f>_xlfn.IFNA(IF(VLOOKUP(C259,#REF!,1,FALSE)=C259,"No change"),"Changed or new")</f>
        <v>#REF!</v>
      </c>
      <c r="B259" t="s">
        <v>152</v>
      </c>
      <c r="C259" t="s">
        <v>153</v>
      </c>
      <c r="D259" t="s">
        <v>3654</v>
      </c>
      <c r="E259" t="s">
        <v>12</v>
      </c>
      <c r="F259">
        <v>0</v>
      </c>
      <c r="G259">
        <v>0</v>
      </c>
      <c r="H259">
        <v>0</v>
      </c>
      <c r="I259" s="12">
        <f>H259*VLOOKUP(D259,GWPs!$B$3:$C$6,2,FALSE)</f>
        <v>0</v>
      </c>
      <c r="J259">
        <v>4</v>
      </c>
      <c r="K259">
        <v>2</v>
      </c>
      <c r="L259">
        <v>1</v>
      </c>
      <c r="M259">
        <v>1</v>
      </c>
      <c r="N259">
        <v>1</v>
      </c>
    </row>
    <row r="260" spans="1:14">
      <c r="A260" t="e">
        <f>_xlfn.IFNA(IF(VLOOKUP(C260,#REF!,1,FALSE)=C260,"No change"),"Changed or new")</f>
        <v>#REF!</v>
      </c>
      <c r="B260" t="s">
        <v>152</v>
      </c>
      <c r="C260" t="s">
        <v>153</v>
      </c>
      <c r="D260" t="s">
        <v>3655</v>
      </c>
      <c r="E260" t="s">
        <v>12</v>
      </c>
      <c r="F260">
        <v>0</v>
      </c>
      <c r="G260">
        <v>0</v>
      </c>
      <c r="H260">
        <v>0</v>
      </c>
      <c r="I260" s="12">
        <f>H260*VLOOKUP(D260,GWPs!$B$3:$C$6,2,FALSE)</f>
        <v>0</v>
      </c>
      <c r="J260">
        <v>4</v>
      </c>
      <c r="K260">
        <v>2</v>
      </c>
      <c r="L260">
        <v>1</v>
      </c>
      <c r="M260">
        <v>3</v>
      </c>
      <c r="N260">
        <v>1</v>
      </c>
    </row>
    <row r="261" spans="1:14">
      <c r="A261" t="e">
        <f>_xlfn.IFNA(IF(VLOOKUP(C261,#REF!,1,FALSE)=C261,"No change"),"Changed or new")</f>
        <v>#REF!</v>
      </c>
      <c r="B261" t="s">
        <v>152</v>
      </c>
      <c r="C261" t="s">
        <v>153</v>
      </c>
      <c r="D261" t="s">
        <v>15</v>
      </c>
      <c r="E261" t="s">
        <v>16</v>
      </c>
      <c r="F261">
        <v>1E-3</v>
      </c>
      <c r="G261">
        <v>0</v>
      </c>
      <c r="H261">
        <v>1E-3</v>
      </c>
      <c r="I261" s="12">
        <f>H261*VLOOKUP(D261,GWPs!$B$3:$C$6,2,FALSE)</f>
        <v>1E-3</v>
      </c>
      <c r="J261">
        <v>4</v>
      </c>
      <c r="K261">
        <v>2</v>
      </c>
      <c r="L261">
        <v>1</v>
      </c>
      <c r="M261">
        <v>5</v>
      </c>
      <c r="N261">
        <v>1</v>
      </c>
    </row>
    <row r="262" spans="1:14">
      <c r="A262" t="e">
        <f>_xlfn.IFNA(IF(VLOOKUP(C262,#REF!,1,FALSE)=C262,"No change"),"Changed or new")</f>
        <v>#REF!</v>
      </c>
      <c r="B262" t="s">
        <v>154</v>
      </c>
      <c r="C262" t="s">
        <v>21</v>
      </c>
      <c r="D262" t="s">
        <v>3653</v>
      </c>
      <c r="E262" t="s">
        <v>12</v>
      </c>
      <c r="F262">
        <v>0.35899999999999999</v>
      </c>
      <c r="G262">
        <v>0</v>
      </c>
      <c r="H262">
        <v>0.35899999999999999</v>
      </c>
      <c r="I262" s="12">
        <f>H262*VLOOKUP(D262,GWPs!$B$3:$C$6,2,FALSE)</f>
        <v>0.35899999999999999</v>
      </c>
      <c r="J262">
        <v>3</v>
      </c>
      <c r="K262">
        <v>2</v>
      </c>
      <c r="L262">
        <v>1</v>
      </c>
      <c r="M262">
        <v>3</v>
      </c>
      <c r="N262">
        <v>1</v>
      </c>
    </row>
    <row r="263" spans="1:14">
      <c r="A263" t="e">
        <f>_xlfn.IFNA(IF(VLOOKUP(C263,#REF!,1,FALSE)=C263,"No change"),"Changed or new")</f>
        <v>#REF!</v>
      </c>
      <c r="B263" t="s">
        <v>154</v>
      </c>
      <c r="C263" t="s">
        <v>21</v>
      </c>
      <c r="D263" t="s">
        <v>3654</v>
      </c>
      <c r="E263" t="s">
        <v>12</v>
      </c>
      <c r="F263">
        <v>1E-3</v>
      </c>
      <c r="G263">
        <v>0</v>
      </c>
      <c r="H263">
        <v>1E-3</v>
      </c>
      <c r="I263" s="12">
        <f>H263*VLOOKUP(D263,GWPs!$B$3:$C$6,2,FALSE)</f>
        <v>2.8000000000000001E-2</v>
      </c>
      <c r="J263">
        <v>3</v>
      </c>
      <c r="K263">
        <v>2</v>
      </c>
      <c r="L263">
        <v>1</v>
      </c>
      <c r="M263">
        <v>1</v>
      </c>
      <c r="N263">
        <v>1</v>
      </c>
    </row>
    <row r="264" spans="1:14">
      <c r="A264" t="e">
        <f>_xlfn.IFNA(IF(VLOOKUP(C264,#REF!,1,FALSE)=C264,"No change"),"Changed or new")</f>
        <v>#REF!</v>
      </c>
      <c r="B264" t="s">
        <v>154</v>
      </c>
      <c r="C264" t="s">
        <v>21</v>
      </c>
      <c r="D264" t="s">
        <v>3655</v>
      </c>
      <c r="E264" t="s">
        <v>12</v>
      </c>
      <c r="F264">
        <v>0</v>
      </c>
      <c r="G264">
        <v>0</v>
      </c>
      <c r="H264">
        <v>0</v>
      </c>
      <c r="I264" s="12">
        <f>H264*VLOOKUP(D264,GWPs!$B$3:$C$6,2,FALSE)</f>
        <v>0</v>
      </c>
      <c r="J264">
        <v>3</v>
      </c>
      <c r="K264">
        <v>2</v>
      </c>
      <c r="L264">
        <v>1</v>
      </c>
      <c r="M264">
        <v>3</v>
      </c>
      <c r="N264">
        <v>1</v>
      </c>
    </row>
    <row r="265" spans="1:14">
      <c r="A265" t="e">
        <f>_xlfn.IFNA(IF(VLOOKUP(C265,#REF!,1,FALSE)=C265,"No change"),"Changed or new")</f>
        <v>#REF!</v>
      </c>
      <c r="B265" t="s">
        <v>154</v>
      </c>
      <c r="C265" t="s">
        <v>21</v>
      </c>
      <c r="D265" t="s">
        <v>15</v>
      </c>
      <c r="E265" t="s">
        <v>16</v>
      </c>
      <c r="F265">
        <v>4.0000000000000001E-3</v>
      </c>
      <c r="G265">
        <v>0</v>
      </c>
      <c r="H265">
        <v>4.0000000000000001E-3</v>
      </c>
      <c r="I265" s="12">
        <f>H265*VLOOKUP(D265,GWPs!$B$3:$C$6,2,FALSE)</f>
        <v>4.0000000000000001E-3</v>
      </c>
      <c r="J265">
        <v>3</v>
      </c>
      <c r="K265">
        <v>2</v>
      </c>
      <c r="L265">
        <v>1</v>
      </c>
      <c r="M265">
        <v>4</v>
      </c>
      <c r="N265">
        <v>1</v>
      </c>
    </row>
  </sheetData>
  <autoFilter ref="A1:N265" xr:uid="{00000000-0009-0000-0000-000016000000}"/>
  <sortState xmlns:xlrd2="http://schemas.microsoft.com/office/spreadsheetml/2017/richdata2" ref="P2:Q67">
    <sortCondition ref="P1:P67"/>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tabColor theme="3" tint="0.59999389629810485"/>
  </sheetPr>
  <dimension ref="A1:I53"/>
  <sheetViews>
    <sheetView showGridLines="0" zoomScale="80" zoomScaleNormal="80" workbookViewId="0">
      <selection activeCell="D23" sqref="D23"/>
    </sheetView>
  </sheetViews>
  <sheetFormatPr defaultColWidth="8.875" defaultRowHeight="14.25"/>
  <cols>
    <col min="1" max="1" width="7.375" customWidth="1"/>
    <col min="2" max="2" width="46.125" customWidth="1"/>
    <col min="3" max="3" width="35" customWidth="1"/>
    <col min="4" max="4" width="26.625" customWidth="1"/>
    <col min="5" max="5" width="26.125" customWidth="1"/>
    <col min="6" max="6" width="21.375" customWidth="1"/>
    <col min="7" max="7" width="26" bestFit="1" customWidth="1"/>
    <col min="8" max="8" width="18.875" bestFit="1" customWidth="1"/>
    <col min="9" max="9" width="51.375" customWidth="1"/>
  </cols>
  <sheetData>
    <row r="1" spans="1:6" ht="25.7" customHeight="1">
      <c r="A1" s="198" t="s">
        <v>1123</v>
      </c>
      <c r="B1" s="198"/>
      <c r="C1" s="198"/>
      <c r="D1" s="198"/>
      <c r="E1" s="198"/>
      <c r="F1" s="199"/>
    </row>
    <row r="2" spans="1:6">
      <c r="A2" s="208" t="s">
        <v>1263</v>
      </c>
      <c r="B2" s="201"/>
      <c r="C2" s="201"/>
      <c r="D2" s="201"/>
      <c r="E2" s="201"/>
      <c r="F2" s="201"/>
    </row>
    <row r="3" spans="1:6">
      <c r="A3" s="202" t="s">
        <v>1386</v>
      </c>
      <c r="B3" s="201"/>
      <c r="C3" s="201"/>
      <c r="D3" s="201"/>
      <c r="E3" s="201"/>
      <c r="F3" s="201"/>
    </row>
    <row r="4" spans="1:6">
      <c r="A4" s="202" t="s">
        <v>1518</v>
      </c>
      <c r="B4" s="201"/>
      <c r="C4" s="201"/>
      <c r="D4" s="201"/>
      <c r="E4" s="201"/>
      <c r="F4" s="201"/>
    </row>
    <row r="5" spans="1:6">
      <c r="A5" s="202" t="s">
        <v>1353</v>
      </c>
      <c r="B5" s="201"/>
      <c r="C5" s="201"/>
      <c r="D5" s="201"/>
      <c r="E5" s="201"/>
      <c r="F5" s="211"/>
    </row>
    <row r="6" spans="1:6">
      <c r="A6" s="265" t="s">
        <v>1516</v>
      </c>
      <c r="B6" s="201"/>
      <c r="C6" s="201"/>
      <c r="D6" s="201"/>
      <c r="E6" s="201"/>
      <c r="F6" s="211"/>
    </row>
    <row r="7" spans="1:6" ht="15.95" customHeight="1"/>
    <row r="8" spans="1:6" ht="15.95" customHeight="1"/>
    <row r="9" spans="1:6" ht="15.95" customHeight="1"/>
    <row r="10" spans="1:6" ht="15.95" customHeight="1"/>
    <row r="11" spans="1:6" ht="15.95" customHeight="1"/>
    <row r="12" spans="1:6" ht="15.95" customHeight="1"/>
    <row r="13" spans="1:6" ht="15.95" customHeight="1"/>
    <row r="14" spans="1:6" ht="15.95" customHeight="1"/>
    <row r="15" spans="1:6" ht="15.95" customHeight="1"/>
    <row r="16" spans="1:6" ht="15.95" customHeight="1"/>
    <row r="17" spans="1:8">
      <c r="A17" s="267" t="s">
        <v>1371</v>
      </c>
      <c r="E17" s="85"/>
    </row>
    <row r="18" spans="1:8">
      <c r="A18" s="267" t="s">
        <v>4284</v>
      </c>
      <c r="E18" s="85"/>
    </row>
    <row r="19" spans="1:8" ht="18.75">
      <c r="A19" s="16"/>
      <c r="B19" s="9" t="s">
        <v>188</v>
      </c>
      <c r="C19" s="9" t="s">
        <v>188</v>
      </c>
      <c r="D19" s="9" t="s">
        <v>188</v>
      </c>
      <c r="F19" s="85"/>
    </row>
    <row r="20" spans="1:8" ht="15">
      <c r="A20" s="203" t="s">
        <v>155</v>
      </c>
      <c r="B20" s="204" t="s">
        <v>1134</v>
      </c>
      <c r="C20" s="204" t="s">
        <v>3634</v>
      </c>
      <c r="D20" s="203" t="s">
        <v>157</v>
      </c>
      <c r="E20" s="203" t="s">
        <v>1130</v>
      </c>
      <c r="F20" s="203" t="s">
        <v>160</v>
      </c>
    </row>
    <row r="21" spans="1:8" ht="15">
      <c r="A21" s="186">
        <v>1</v>
      </c>
      <c r="B21" s="216" t="s">
        <v>1372</v>
      </c>
      <c r="C21" s="216" t="s">
        <v>890</v>
      </c>
      <c r="D21" s="218">
        <v>500</v>
      </c>
      <c r="E21" s="285">
        <f>IFERROR(VLOOKUP($C21,EF!$W$4:$Z$9,2,FALSE),"")</f>
        <v>1.341</v>
      </c>
      <c r="F21" s="273">
        <f>IFERROR(D21*E21*'inventory year and inflation'!$J$18/1000,"")</f>
        <v>0.5699249999999999</v>
      </c>
    </row>
    <row r="22" spans="1:8" ht="15">
      <c r="A22" s="186">
        <v>2</v>
      </c>
      <c r="B22" s="252"/>
      <c r="C22" s="252"/>
      <c r="D22" s="254"/>
      <c r="E22" s="285" t="str">
        <f>IFERROR(VLOOKUP($C22,EF!$W$4:$Z$9,2,FALSE),"")</f>
        <v/>
      </c>
      <c r="F22" s="278" t="str">
        <f>IFERROR(D22*E22*'inventory year and inflation'!$J$18/1000,"")</f>
        <v/>
      </c>
    </row>
    <row r="23" spans="1:8" ht="15">
      <c r="A23" s="186">
        <v>3</v>
      </c>
      <c r="B23" s="252"/>
      <c r="C23" s="252"/>
      <c r="D23" s="254"/>
      <c r="E23" s="285" t="str">
        <f>IFERROR(VLOOKUP($C23,EF!$W$4:$Z$9,2,FALSE),"")</f>
        <v/>
      </c>
      <c r="F23" s="278" t="str">
        <f>IFERROR(D23*E23*'inventory year and inflation'!$J$18/1000,"")</f>
        <v/>
      </c>
    </row>
    <row r="24" spans="1:8" ht="15">
      <c r="A24" s="186">
        <v>4</v>
      </c>
      <c r="B24" s="252"/>
      <c r="C24" s="252"/>
      <c r="D24" s="254"/>
      <c r="E24" s="285" t="str">
        <f>IFERROR(VLOOKUP($C24,EF!$W$4:$Z$9,2,FALSE),"")</f>
        <v/>
      </c>
      <c r="F24" s="278" t="str">
        <f>IFERROR(D24*E24*'inventory year and inflation'!$J$18/1000,"")</f>
        <v/>
      </c>
    </row>
    <row r="25" spans="1:8" ht="15">
      <c r="A25" s="186">
        <v>5</v>
      </c>
      <c r="B25" s="252"/>
      <c r="C25" s="252"/>
      <c r="D25" s="254"/>
      <c r="E25" s="285" t="str">
        <f>IFERROR(VLOOKUP($C25,EF!$W$4:$Z$9,2,FALSE),"")</f>
        <v/>
      </c>
      <c r="F25" s="278" t="str">
        <f>IFERROR(D25*E25*'inventory year and inflation'!$J$18/1000,"")</f>
        <v/>
      </c>
    </row>
    <row r="26" spans="1:8" ht="15">
      <c r="A26" s="186">
        <v>6</v>
      </c>
      <c r="B26" s="252"/>
      <c r="C26" s="252"/>
      <c r="D26" s="254"/>
      <c r="E26" s="285" t="str">
        <f>IFERROR(VLOOKUP($C26,EF!$W$4:$Z$9,2,FALSE),"")</f>
        <v/>
      </c>
      <c r="F26" s="278" t="str">
        <f>IFERROR(D26*E26*'inventory year and inflation'!$J$18/1000,"")</f>
        <v/>
      </c>
    </row>
    <row r="27" spans="1:8" ht="15">
      <c r="A27" s="186">
        <v>7</v>
      </c>
      <c r="B27" s="252"/>
      <c r="C27" s="252"/>
      <c r="D27" s="254"/>
      <c r="E27" s="285" t="str">
        <f>IFERROR(VLOOKUP($C27,EF!$W$4:$Z$9,2,FALSE),"")</f>
        <v/>
      </c>
      <c r="F27" s="278" t="str">
        <f>IFERROR(D27*E27*'inventory year and inflation'!$J$18/1000,"")</f>
        <v/>
      </c>
    </row>
    <row r="28" spans="1:8" ht="15">
      <c r="A28" s="186">
        <v>8</v>
      </c>
      <c r="B28" s="252"/>
      <c r="C28" s="252"/>
      <c r="D28" s="254"/>
      <c r="E28" s="285" t="str">
        <f>IFERROR(VLOOKUP($C28,EF!$W$4:$Z$9,2,FALSE),"")</f>
        <v/>
      </c>
      <c r="F28" s="278" t="str">
        <f>IFERROR(D28*E28*'inventory year and inflation'!$J$18/1000,"")</f>
        <v/>
      </c>
    </row>
    <row r="29" spans="1:8" ht="15">
      <c r="A29" s="186">
        <v>9</v>
      </c>
      <c r="B29" s="252"/>
      <c r="C29" s="252"/>
      <c r="D29" s="254"/>
      <c r="E29" s="285" t="str">
        <f>IFERROR(VLOOKUP($C29,EF!$W$4:$Z$9,2,FALSE),"")</f>
        <v/>
      </c>
      <c r="F29" s="278" t="str">
        <f>IFERROR(D29*E29*'inventory year and inflation'!$J$18/1000,"")</f>
        <v/>
      </c>
      <c r="H29" s="84"/>
    </row>
    <row r="30" spans="1:8" ht="15">
      <c r="A30" s="186">
        <v>10</v>
      </c>
      <c r="B30" s="252"/>
      <c r="C30" s="252"/>
      <c r="D30" s="254"/>
      <c r="E30" s="285" t="str">
        <f>IFERROR(VLOOKUP($C30,EF!$W$4:$Z$9,2,FALSE),"")</f>
        <v/>
      </c>
      <c r="F30" s="278" t="str">
        <f>IFERROR(D30*E30*'inventory year and inflation'!$J$18/1000,"")</f>
        <v/>
      </c>
    </row>
    <row r="31" spans="1:8" ht="15">
      <c r="A31" s="186">
        <v>11</v>
      </c>
      <c r="B31" s="252"/>
      <c r="C31" s="252"/>
      <c r="D31" s="254"/>
      <c r="E31" s="285" t="str">
        <f>IFERROR(VLOOKUP($C31,EF!$W$4:$Z$9,2,FALSE),"")</f>
        <v/>
      </c>
      <c r="F31" s="278" t="str">
        <f>IFERROR(D31*E31*'inventory year and inflation'!$J$18/1000,"")</f>
        <v/>
      </c>
    </row>
    <row r="32" spans="1:8" ht="15">
      <c r="A32" s="186">
        <v>12</v>
      </c>
      <c r="B32" s="252"/>
      <c r="C32" s="252"/>
      <c r="D32" s="254"/>
      <c r="E32" s="285" t="str">
        <f>IFERROR(VLOOKUP($C32,EF!$W$4:$Z$9,2,FALSE),"")</f>
        <v/>
      </c>
      <c r="F32" s="278" t="str">
        <f>IFERROR(D32*E32*'inventory year and inflation'!$J$18/1000,"")</f>
        <v/>
      </c>
    </row>
    <row r="33" spans="1:9" ht="15">
      <c r="A33" s="186">
        <v>13</v>
      </c>
      <c r="B33" s="252"/>
      <c r="C33" s="252"/>
      <c r="D33" s="254"/>
      <c r="E33" s="285" t="str">
        <f>IFERROR(VLOOKUP($C33,EF!$W$4:$Z$9,2,FALSE),"")</f>
        <v/>
      </c>
      <c r="F33" s="278" t="str">
        <f>IFERROR(D33*E33*'inventory year and inflation'!$J$18/1000,"")</f>
        <v/>
      </c>
    </row>
    <row r="34" spans="1:9" ht="15">
      <c r="A34" s="186">
        <v>14</v>
      </c>
      <c r="B34" s="252"/>
      <c r="C34" s="252"/>
      <c r="D34" s="254"/>
      <c r="E34" s="285" t="str">
        <f>IFERROR(VLOOKUP($C34,EF!$W$4:$Z$9,2,FALSE),"")</f>
        <v/>
      </c>
      <c r="F34" s="278" t="str">
        <f>IFERROR(D34*E34*'inventory year and inflation'!$J$18/1000,"")</f>
        <v/>
      </c>
    </row>
    <row r="35" spans="1:9" ht="15">
      <c r="A35" s="186">
        <v>15</v>
      </c>
      <c r="B35" s="252"/>
      <c r="C35" s="252"/>
      <c r="D35" s="254"/>
      <c r="E35" s="285" t="str">
        <f>IFERROR(VLOOKUP($C35,EF!$W$4:$Z$9,2,FALSE),"")</f>
        <v/>
      </c>
      <c r="F35" s="278" t="str">
        <f>IFERROR(D35*E35*'inventory year and inflation'!$J$18/1000,"")</f>
        <v/>
      </c>
    </row>
    <row r="36" spans="1:9" ht="15">
      <c r="A36" s="186">
        <v>11</v>
      </c>
      <c r="B36" s="252"/>
      <c r="C36" s="252"/>
      <c r="D36" s="254"/>
      <c r="E36" s="285" t="str">
        <f>IFERROR(VLOOKUP($C36,EF!$W$4:$Z$9,2,FALSE),"")</f>
        <v/>
      </c>
      <c r="F36" s="278" t="str">
        <f>IFERROR(D36*E36*'inventory year and inflation'!$J$18/1000,"")</f>
        <v/>
      </c>
    </row>
    <row r="37" spans="1:9" ht="15">
      <c r="A37" s="186">
        <v>12</v>
      </c>
      <c r="B37" s="252"/>
      <c r="C37" s="252"/>
      <c r="D37" s="254"/>
      <c r="E37" s="285" t="str">
        <f>IFERROR(VLOOKUP($C37,EF!$W$4:$Z$9,2,FALSE),"")</f>
        <v/>
      </c>
      <c r="F37" s="278" t="str">
        <f>IFERROR(D37*E37*'inventory year and inflation'!$J$18/1000,"")</f>
        <v/>
      </c>
    </row>
    <row r="38" spans="1:9" ht="15">
      <c r="A38" s="186">
        <v>13</v>
      </c>
      <c r="B38" s="252"/>
      <c r="C38" s="252"/>
      <c r="D38" s="254"/>
      <c r="E38" s="285" t="str">
        <f>IFERROR(VLOOKUP($C38,EF!$W$4:$Z$9,2,FALSE),"")</f>
        <v/>
      </c>
      <c r="F38" s="278" t="str">
        <f>IFERROR(D38*E38*'inventory year and inflation'!$J$18/1000,"")</f>
        <v/>
      </c>
    </row>
    <row r="39" spans="1:9" ht="15">
      <c r="A39" s="186">
        <v>14</v>
      </c>
      <c r="B39" s="252"/>
      <c r="C39" s="252"/>
      <c r="D39" s="254"/>
      <c r="E39" s="285" t="str">
        <f>IFERROR(VLOOKUP($C39,EF!$W$4:$Z$9,2,FALSE),"")</f>
        <v/>
      </c>
      <c r="F39" s="278" t="str">
        <f>IFERROR(D39*E39*'inventory year and inflation'!$J$18/1000,"")</f>
        <v/>
      </c>
    </row>
    <row r="40" spans="1:9" ht="15.75" thickBot="1">
      <c r="A40" s="186">
        <v>15</v>
      </c>
      <c r="B40" s="252"/>
      <c r="C40" s="252"/>
      <c r="D40" s="254"/>
      <c r="E40" s="285" t="str">
        <f>IFERROR(VLOOKUP($C40,EF!$W$4:$Z$9,2,FALSE),"")</f>
        <v/>
      </c>
      <c r="F40" s="278" t="str">
        <f>IFERROR(D40*E40*'inventory year and inflation'!$J$18/1000,"")</f>
        <v/>
      </c>
    </row>
    <row r="41" spans="1:9" ht="15" thickBot="1">
      <c r="E41" s="183" t="s">
        <v>1129</v>
      </c>
      <c r="F41" s="122">
        <f>SUM(F22:F40)</f>
        <v>0</v>
      </c>
    </row>
    <row r="42" spans="1:9">
      <c r="A42" s="514" t="s">
        <v>4291</v>
      </c>
      <c r="E42" s="370"/>
      <c r="F42" s="371"/>
    </row>
    <row r="43" spans="1:9">
      <c r="A43" s="514" t="s">
        <v>4323</v>
      </c>
      <c r="E43" s="370"/>
      <c r="F43" s="371"/>
    </row>
    <row r="44" spans="1:9" ht="18.75">
      <c r="A44" s="16"/>
      <c r="B44" s="9" t="s">
        <v>188</v>
      </c>
      <c r="C44" s="9" t="s">
        <v>188</v>
      </c>
      <c r="D44" s="9" t="s">
        <v>188</v>
      </c>
      <c r="E44" s="9" t="s">
        <v>188</v>
      </c>
      <c r="F44" s="9" t="s">
        <v>188</v>
      </c>
      <c r="G44" s="9" t="s">
        <v>188</v>
      </c>
      <c r="H44" s="9" t="s">
        <v>188</v>
      </c>
      <c r="I44" s="9" t="s">
        <v>188</v>
      </c>
    </row>
    <row r="45" spans="1:9" ht="30">
      <c r="A45" s="203" t="s">
        <v>155</v>
      </c>
      <c r="B45" s="204" t="s">
        <v>1134</v>
      </c>
      <c r="C45" s="204" t="s">
        <v>3634</v>
      </c>
      <c r="D45" s="209" t="s">
        <v>4293</v>
      </c>
      <c r="E45" s="209" t="s">
        <v>4295</v>
      </c>
      <c r="F45" s="209" t="s">
        <v>4296</v>
      </c>
      <c r="G45" s="209" t="s">
        <v>4299</v>
      </c>
      <c r="H45" s="203" t="s">
        <v>160</v>
      </c>
      <c r="I45" s="209" t="s">
        <v>4300</v>
      </c>
    </row>
    <row r="46" spans="1:9" ht="15">
      <c r="A46" s="186">
        <v>1</v>
      </c>
      <c r="B46" s="216" t="s">
        <v>1372</v>
      </c>
      <c r="C46" s="216" t="s">
        <v>890</v>
      </c>
      <c r="D46" s="216" t="s">
        <v>4297</v>
      </c>
      <c r="E46" s="517">
        <v>20000</v>
      </c>
      <c r="F46" s="518" t="s">
        <v>4298</v>
      </c>
      <c r="G46" s="518">
        <v>0.41010000000000002</v>
      </c>
      <c r="H46" s="518">
        <f>G46*E46</f>
        <v>8202</v>
      </c>
      <c r="I46" s="518" t="s">
        <v>4307</v>
      </c>
    </row>
    <row r="47" spans="1:9" ht="15">
      <c r="A47" s="186">
        <v>2</v>
      </c>
      <c r="B47" s="216" t="s">
        <v>4324</v>
      </c>
      <c r="C47" s="216"/>
      <c r="D47" s="216" t="s">
        <v>4328</v>
      </c>
      <c r="E47" s="216" t="s">
        <v>4328</v>
      </c>
      <c r="F47" s="216" t="s">
        <v>4328</v>
      </c>
      <c r="G47" s="216" t="s">
        <v>4328</v>
      </c>
      <c r="H47" s="518">
        <v>15000</v>
      </c>
      <c r="I47" s="518" t="s">
        <v>4325</v>
      </c>
    </row>
    <row r="48" spans="1:9" ht="15">
      <c r="A48" s="186">
        <v>3</v>
      </c>
      <c r="B48" s="250"/>
      <c r="C48" s="250"/>
      <c r="D48" s="250"/>
      <c r="E48" s="537"/>
      <c r="F48" s="537"/>
      <c r="G48" s="538"/>
      <c r="H48" s="539"/>
      <c r="I48" s="539"/>
    </row>
    <row r="49" spans="1:9" ht="15">
      <c r="A49" s="186">
        <v>4</v>
      </c>
      <c r="B49" s="250"/>
      <c r="C49" s="250"/>
      <c r="D49" s="251"/>
      <c r="E49" s="251"/>
      <c r="F49" s="251"/>
      <c r="G49" s="538"/>
      <c r="H49" s="539"/>
      <c r="I49" s="539"/>
    </row>
    <row r="50" spans="1:9" ht="15">
      <c r="A50" s="186">
        <v>5</v>
      </c>
      <c r="B50" s="250"/>
      <c r="C50" s="250"/>
      <c r="D50" s="251"/>
      <c r="E50" s="251"/>
      <c r="F50" s="251"/>
      <c r="G50" s="538"/>
      <c r="H50" s="539"/>
      <c r="I50" s="539"/>
    </row>
    <row r="51" spans="1:9" ht="15">
      <c r="A51" s="186">
        <v>6</v>
      </c>
      <c r="B51" s="250"/>
      <c r="C51" s="250"/>
      <c r="D51" s="251"/>
      <c r="E51" s="251"/>
      <c r="F51" s="251"/>
      <c r="G51" s="538"/>
      <c r="H51" s="539"/>
      <c r="I51" s="539"/>
    </row>
    <row r="52" spans="1:9" ht="15.75" thickBot="1">
      <c r="A52" s="186">
        <v>7</v>
      </c>
      <c r="B52" s="250"/>
      <c r="C52" s="250"/>
      <c r="D52" s="251"/>
      <c r="E52" s="251"/>
      <c r="F52" s="251"/>
      <c r="G52" s="538"/>
      <c r="H52" s="539"/>
      <c r="I52" s="539"/>
    </row>
    <row r="53" spans="1:9" ht="15" thickBot="1">
      <c r="G53" s="515" t="s">
        <v>1129</v>
      </c>
      <c r="H53" s="571">
        <f>SUM(H48:H52)</f>
        <v>0</v>
      </c>
      <c r="I53" s="262"/>
    </row>
  </sheetData>
  <sheetProtection algorithmName="SHA-512" hashValue="fxWwHe4cdxEtaWwgKHgbQAK8+ewslLsz6xb082bi6BQrkZYSGFRbSpxkmgNxX9eiYiepPype4eUxX7WHFuL08g==" saltValue="H5NyCcFJWvM03/nEug4b9g==" spinCount="100000" sheet="1" objects="1" scenarios="1"/>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EF!$W$4:$W$9</xm:f>
          </x14:formula1>
          <xm:sqref>C21:C40 C46:C48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theme="3" tint="0.59999389629810485"/>
  </sheetPr>
  <dimension ref="A1:B94"/>
  <sheetViews>
    <sheetView zoomScale="80" zoomScaleNormal="80" workbookViewId="0">
      <pane ySplit="3" topLeftCell="A4" activePane="bottomLeft" state="frozen"/>
      <selection activeCell="E25" sqref="E25"/>
      <selection pane="bottomLeft" activeCell="E25" sqref="E25"/>
    </sheetView>
  </sheetViews>
  <sheetFormatPr defaultColWidth="8.875" defaultRowHeight="14.25"/>
  <cols>
    <col min="1" max="1" width="43.5" style="4" customWidth="1"/>
    <col min="2" max="2" width="156.25" style="4" customWidth="1"/>
    <col min="3" max="3" width="33.5" customWidth="1"/>
    <col min="4" max="4" width="8" customWidth="1"/>
    <col min="5" max="5" width="33.5" customWidth="1"/>
    <col min="6" max="6" width="29.875" customWidth="1"/>
    <col min="7" max="7" width="33.5" customWidth="1"/>
    <col min="8" max="8" width="69.5" customWidth="1"/>
    <col min="9" max="9" width="33.5" customWidth="1"/>
    <col min="11" max="12" width="62.875" customWidth="1"/>
    <col min="16" max="16" width="14.375" customWidth="1"/>
    <col min="17" max="17" width="13" customWidth="1"/>
    <col min="19" max="19" width="14.5" customWidth="1"/>
    <col min="21" max="21" width="24.375" customWidth="1"/>
    <col min="23" max="23" width="23.625" customWidth="1"/>
    <col min="25" max="25" width="16.375" customWidth="1"/>
  </cols>
  <sheetData>
    <row r="1" spans="1:2" ht="15.75">
      <c r="A1" s="317" t="s">
        <v>3633</v>
      </c>
    </row>
    <row r="3" spans="1:2" ht="15">
      <c r="A3" s="287" t="s">
        <v>3598</v>
      </c>
      <c r="B3" s="287" t="s">
        <v>3599</v>
      </c>
    </row>
    <row r="4" spans="1:2" ht="142.5" customHeight="1">
      <c r="A4" s="226" t="s">
        <v>884</v>
      </c>
      <c r="B4" s="226" t="s">
        <v>3609</v>
      </c>
    </row>
    <row r="5" spans="1:2" ht="96.75" customHeight="1">
      <c r="A5" s="226" t="s">
        <v>886</v>
      </c>
      <c r="B5" s="226" t="s">
        <v>3610</v>
      </c>
    </row>
    <row r="6" spans="1:2" ht="84.75" customHeight="1">
      <c r="A6" s="226" t="s">
        <v>888</v>
      </c>
      <c r="B6" s="226" t="s">
        <v>3611</v>
      </c>
    </row>
    <row r="7" spans="1:2" ht="113.25" customHeight="1">
      <c r="A7" s="226" t="s">
        <v>3637</v>
      </c>
      <c r="B7" s="226" t="s">
        <v>3630</v>
      </c>
    </row>
    <row r="8" spans="1:2" ht="125.25" customHeight="1">
      <c r="A8" s="226" t="s">
        <v>3632</v>
      </c>
      <c r="B8" s="226" t="s">
        <v>3631</v>
      </c>
    </row>
    <row r="9" spans="1:2">
      <c r="A9"/>
      <c r="B9"/>
    </row>
    <row r="10" spans="1:2">
      <c r="A10"/>
      <c r="B10"/>
    </row>
    <row r="11" spans="1:2">
      <c r="A11"/>
      <c r="B11"/>
    </row>
    <row r="12" spans="1:2">
      <c r="A12"/>
      <c r="B12"/>
    </row>
    <row r="13" spans="1:2">
      <c r="A13"/>
      <c r="B13"/>
    </row>
    <row r="14" spans="1:2">
      <c r="A14"/>
      <c r="B14"/>
    </row>
    <row r="15" spans="1:2">
      <c r="A15"/>
      <c r="B15"/>
    </row>
    <row r="16" spans="1:2">
      <c r="A16"/>
      <c r="B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sheetData>
  <sheetProtection algorithmName="SHA-512" hashValue="76Y+TwFkDnqNaXgOQvqvKa+3q9Xcmpu5mHvFPHgy4b4ATl1YH8dBAInoPqTI/YyS/UaxOdDDlVzlJpPnT0zo1g==" saltValue="CvE++QdtYmErbVKJOGt5pA==" spinCount="100000" sheet="1" objects="1" scenarios="1"/>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dimension ref="A1:AN396"/>
  <sheetViews>
    <sheetView zoomScale="44" zoomScaleNormal="90" workbookViewId="0">
      <pane ySplit="2" topLeftCell="A3" activePane="bottomLeft" state="frozen"/>
      <selection activeCell="B2" sqref="B2"/>
      <selection pane="bottomLeft" activeCell="AC1" sqref="AC1:AH1048576"/>
    </sheetView>
  </sheetViews>
  <sheetFormatPr defaultColWidth="56" defaultRowHeight="14.25"/>
  <cols>
    <col min="1" max="1" width="38" customWidth="1"/>
    <col min="2" max="2" width="56" style="4"/>
    <col min="3" max="3" width="59.75" style="4" customWidth="1"/>
    <col min="4" max="4" width="16.25" customWidth="1"/>
    <col min="5" max="5" width="12.75" customWidth="1"/>
    <col min="6" max="6" width="24.75" customWidth="1"/>
    <col min="7" max="7" width="53.625" customWidth="1"/>
    <col min="8" max="8" width="15.375" bestFit="1" customWidth="1"/>
    <col min="9" max="9" width="69.875" customWidth="1"/>
    <col min="10" max="10" width="8.625" customWidth="1"/>
    <col min="11" max="11" width="8.875" customWidth="1"/>
    <col min="12" max="12" width="7.625" customWidth="1"/>
    <col min="13" max="13" width="12.75" bestFit="1" customWidth="1"/>
    <col min="14" max="14" width="16" bestFit="1" customWidth="1"/>
    <col min="15" max="15" width="16.875" bestFit="1" customWidth="1"/>
    <col min="16" max="16" width="12.25" bestFit="1" customWidth="1"/>
    <col min="17" max="17" width="14" bestFit="1" customWidth="1"/>
    <col min="18" max="18" width="7.375" bestFit="1" customWidth="1"/>
    <col min="19" max="19" width="28.875" bestFit="1" customWidth="1"/>
    <col min="20" max="20" width="56.625" bestFit="1" customWidth="1"/>
    <col min="21" max="21" width="10.875" customWidth="1"/>
    <col min="22" max="22" width="12.875" customWidth="1"/>
    <col min="23" max="23" width="37.75" bestFit="1" customWidth="1"/>
    <col min="24" max="24" width="25.375" bestFit="1" customWidth="1"/>
    <col min="25" max="25" width="14.5" bestFit="1" customWidth="1"/>
    <col min="26" max="26" width="13.25" bestFit="1" customWidth="1"/>
    <col min="27" max="27" width="14.5" bestFit="1" customWidth="1"/>
    <col min="28" max="28" width="15.25" bestFit="1" customWidth="1"/>
    <col min="29" max="29" width="23.5" customWidth="1"/>
    <col min="30" max="30" width="8.125" bestFit="1" customWidth="1"/>
    <col min="31" max="31" width="30.25" bestFit="1" customWidth="1"/>
    <col min="32" max="32" width="21" bestFit="1" customWidth="1"/>
    <col min="33" max="33" width="9.75" bestFit="1" customWidth="1"/>
    <col min="34" max="34" width="16" bestFit="1" customWidth="1"/>
    <col min="35" max="35" width="10.5" bestFit="1" customWidth="1"/>
    <col min="36" max="36" width="7" bestFit="1" customWidth="1"/>
    <col min="37" max="37" width="35.375" customWidth="1"/>
  </cols>
  <sheetData>
    <row r="1" spans="2:40" ht="29.25">
      <c r="B1" s="506" t="s">
        <v>4279</v>
      </c>
      <c r="D1" s="4" t="s">
        <v>3649</v>
      </c>
      <c r="L1" s="1219" t="s">
        <v>4278</v>
      </c>
      <c r="M1" t="s">
        <v>4272</v>
      </c>
    </row>
    <row r="2" spans="2:40" ht="60">
      <c r="B2" s="235" t="s">
        <v>1093</v>
      </c>
      <c r="C2" s="235" t="s">
        <v>1510</v>
      </c>
      <c r="D2" s="235" t="s">
        <v>4232</v>
      </c>
      <c r="E2" s="508"/>
      <c r="F2" s="450" t="s">
        <v>1428</v>
      </c>
      <c r="G2" s="451" t="s">
        <v>1093</v>
      </c>
      <c r="H2" s="452" t="s">
        <v>0</v>
      </c>
      <c r="I2" s="453" t="s">
        <v>1426</v>
      </c>
      <c r="L2" s="1219"/>
      <c r="M2" s="423" t="s">
        <v>211</v>
      </c>
      <c r="N2" s="424" t="s">
        <v>4266</v>
      </c>
      <c r="O2" s="424" t="s">
        <v>4267</v>
      </c>
      <c r="P2" s="424" t="s">
        <v>4268</v>
      </c>
      <c r="Q2" s="424" t="s">
        <v>4269</v>
      </c>
      <c r="R2" s="424" t="s">
        <v>4270</v>
      </c>
      <c r="S2" s="425" t="s">
        <v>211</v>
      </c>
      <c r="T2" s="425" t="s">
        <v>4271</v>
      </c>
      <c r="W2" s="505" t="s">
        <v>3629</v>
      </c>
      <c r="X2" s="201"/>
      <c r="AB2" s="467"/>
      <c r="AC2" s="505" t="s">
        <v>4277</v>
      </c>
      <c r="AK2" s="520" t="s">
        <v>3628</v>
      </c>
    </row>
    <row r="3" spans="2:40" ht="15">
      <c r="B3" s="236" t="s">
        <v>136</v>
      </c>
      <c r="C3" s="4" t="str">
        <f>_xlfn.CONCAT(B3," - ","General")</f>
        <v>Ambulatory health care services - General</v>
      </c>
      <c r="D3">
        <f>VLOOKUP(B3,'2016_Summary_Commodity_v1.1'!$P$2:$Q$67,2,FALSE)</f>
        <v>0.13</v>
      </c>
      <c r="F3" s="427" t="s">
        <v>1429</v>
      </c>
      <c r="G3" s="454" t="s">
        <v>147</v>
      </c>
      <c r="H3" s="454" t="s">
        <v>1058</v>
      </c>
      <c r="I3" s="455" t="s">
        <v>1059</v>
      </c>
      <c r="L3" s="1219"/>
      <c r="M3" s="500" t="s">
        <v>4262</v>
      </c>
      <c r="N3" s="500" t="s">
        <v>206</v>
      </c>
      <c r="O3" s="500" t="s">
        <v>208</v>
      </c>
      <c r="P3" s="501" t="s">
        <v>4263</v>
      </c>
      <c r="Q3" s="501" t="s">
        <v>4264</v>
      </c>
      <c r="R3" s="502">
        <v>1.7000000000000001E-2</v>
      </c>
      <c r="S3" s="503" t="s">
        <v>4265</v>
      </c>
      <c r="T3" s="504" t="s">
        <v>4329</v>
      </c>
      <c r="W3" s="423" t="s">
        <v>309</v>
      </c>
      <c r="X3" s="424" t="s">
        <v>177</v>
      </c>
      <c r="Y3" s="424" t="s">
        <v>180</v>
      </c>
      <c r="Z3" s="425" t="s">
        <v>211</v>
      </c>
      <c r="AC3" s="150" t="s">
        <v>3651</v>
      </c>
      <c r="AK3" s="423" t="s">
        <v>309</v>
      </c>
      <c r="AL3" s="424" t="s">
        <v>177</v>
      </c>
      <c r="AM3" s="424" t="s">
        <v>180</v>
      </c>
      <c r="AN3" s="425" t="s">
        <v>211</v>
      </c>
    </row>
    <row r="4" spans="2:40" ht="15">
      <c r="B4" s="236" t="s">
        <v>48</v>
      </c>
      <c r="C4" s="4" t="str">
        <f t="shared" ref="C4:C20" si="0">_xlfn.CONCAT(B4," - ","General")</f>
        <v>Apparel and leather and allied products - General</v>
      </c>
      <c r="D4">
        <f>VLOOKUP(B4,'2016_Summary_Commodity_v1.1'!$P$2:$Q$67,2,FALSE)</f>
        <v>0.115</v>
      </c>
      <c r="F4" s="427" t="s">
        <v>1429</v>
      </c>
      <c r="G4" s="231" t="s">
        <v>130</v>
      </c>
      <c r="H4" s="231" t="s">
        <v>1005</v>
      </c>
      <c r="I4" s="456" t="s">
        <v>1006</v>
      </c>
      <c r="L4" s="1219"/>
      <c r="W4" s="426" t="s">
        <v>890</v>
      </c>
      <c r="X4" s="427">
        <f>VLOOKUP(W4,'2016_Detail_Commodity_v1.1'!$W:$Y,3,FALSE)</f>
        <v>1.341</v>
      </c>
      <c r="Y4" s="231" t="s">
        <v>4223</v>
      </c>
      <c r="Z4" s="428" t="s">
        <v>4222</v>
      </c>
      <c r="AA4">
        <f>VLOOKUP(W4,'2016_Detail_Commodity_v1.0'!$T:$U,2,FALSE)</f>
        <v>1.446</v>
      </c>
      <c r="AC4" s="127"/>
      <c r="AD4" s="1218" t="s">
        <v>1283</v>
      </c>
      <c r="AE4" s="1218"/>
      <c r="AF4" s="1218"/>
      <c r="AG4" s="1218"/>
      <c r="AK4" s="426" t="s">
        <v>890</v>
      </c>
      <c r="AL4" s="427">
        <f>VLOOKUP(AK4,'2016_Detail_Commodity_v1.1'!$W:Y,3,FALSE)</f>
        <v>1.341</v>
      </c>
      <c r="AM4" s="231" t="s">
        <v>4223</v>
      </c>
      <c r="AN4" s="428" t="s">
        <v>4222</v>
      </c>
    </row>
    <row r="5" spans="2:40">
      <c r="B5" s="236" t="s">
        <v>58</v>
      </c>
      <c r="C5" s="4" t="str">
        <f t="shared" si="0"/>
        <v>Chemical products - General</v>
      </c>
      <c r="D5">
        <f>VLOOKUP(B5,'2016_Summary_Commodity_v1.1'!$P$2:$Q$67,2,FALSE)</f>
        <v>0.54300000000000004</v>
      </c>
      <c r="F5" s="427" t="s">
        <v>1429</v>
      </c>
      <c r="G5" s="231" t="s">
        <v>130</v>
      </c>
      <c r="H5" s="231" t="s">
        <v>999</v>
      </c>
      <c r="I5" s="455" t="s">
        <v>1000</v>
      </c>
      <c r="L5" s="1219"/>
      <c r="W5" s="429" t="s">
        <v>884</v>
      </c>
      <c r="X5" s="430">
        <f>VLOOKUP(W5,'2016_Detail_Commodity_v1.1'!$W:$Y,3,FALSE)</f>
        <v>0.96299999999999997</v>
      </c>
      <c r="Y5" s="430" t="s">
        <v>4223</v>
      </c>
      <c r="Z5" s="431" t="s">
        <v>4222</v>
      </c>
      <c r="AA5">
        <f>VLOOKUP(W5,'2016_Detail_Commodity_v1.0'!$T:$U,2,FALSE)</f>
        <v>0.96499999999999997</v>
      </c>
      <c r="AC5" s="131" t="s">
        <v>203</v>
      </c>
      <c r="AD5" s="131" t="s">
        <v>1293</v>
      </c>
      <c r="AE5" s="131" t="s">
        <v>1294</v>
      </c>
      <c r="AF5" s="131" t="s">
        <v>1303</v>
      </c>
      <c r="AG5" s="131" t="s">
        <v>1295</v>
      </c>
      <c r="AK5" s="429" t="s">
        <v>884</v>
      </c>
      <c r="AL5" s="436">
        <f>VLOOKUP(AK5,'2016_Detail_Commodity_v1.1'!$W:Y,3,FALSE)</f>
        <v>0.96299999999999997</v>
      </c>
      <c r="AM5" s="430" t="s">
        <v>4223</v>
      </c>
      <c r="AN5" s="431" t="s">
        <v>4222</v>
      </c>
    </row>
    <row r="6" spans="2:40">
      <c r="B6" s="236" t="s">
        <v>70</v>
      </c>
      <c r="C6" s="4" t="str">
        <f t="shared" si="0"/>
        <v>Computer and electronic products - General</v>
      </c>
      <c r="D6">
        <f>VLOOKUP(B6,'2016_Summary_Commodity_v1.1'!$P$2:$Q$67,2,FALSE)</f>
        <v>0.1</v>
      </c>
      <c r="F6" s="427" t="s">
        <v>1429</v>
      </c>
      <c r="G6" s="231" t="s">
        <v>130</v>
      </c>
      <c r="H6" s="231" t="s">
        <v>997</v>
      </c>
      <c r="I6" s="456" t="s">
        <v>998</v>
      </c>
      <c r="L6" s="1219"/>
      <c r="W6" s="432" t="s">
        <v>886</v>
      </c>
      <c r="X6" s="231">
        <f>VLOOKUP(W6,'2016_Detail_Commodity_v1.1'!$W:$Y,3,FALSE)</f>
        <v>0.71300000000000008</v>
      </c>
      <c r="Y6" s="231" t="s">
        <v>4223</v>
      </c>
      <c r="Z6" s="428" t="s">
        <v>4222</v>
      </c>
      <c r="AA6">
        <f>VLOOKUP(W6,'2016_Detail_Commodity_v1.0'!$T:$U,2,FALSE)</f>
        <v>0.76200000000000001</v>
      </c>
      <c r="AC6" s="132" t="s">
        <v>3635</v>
      </c>
      <c r="AD6" s="128">
        <v>0.05</v>
      </c>
      <c r="AE6" s="128">
        <v>0.02</v>
      </c>
      <c r="AF6" s="128">
        <v>0.01</v>
      </c>
      <c r="AG6" s="130" t="s">
        <v>1284</v>
      </c>
      <c r="AH6" s="15" t="s">
        <v>3650</v>
      </c>
      <c r="AK6" s="432" t="s">
        <v>886</v>
      </c>
      <c r="AL6" s="427">
        <f>VLOOKUP(AK6,'2016_Detail_Commodity_v1.1'!$W:Y,3,FALSE)</f>
        <v>0.71300000000000008</v>
      </c>
      <c r="AM6" s="231" t="s">
        <v>4223</v>
      </c>
      <c r="AN6" s="428" t="s">
        <v>4222</v>
      </c>
    </row>
    <row r="7" spans="2:40">
      <c r="B7" s="236" t="s">
        <v>126</v>
      </c>
      <c r="C7" s="4" t="str">
        <f t="shared" si="0"/>
        <v>Computer systems design and related services - General</v>
      </c>
      <c r="D7">
        <f>VLOOKUP(B7,'2016_Summary_Commodity_v1.1'!$P$2:$Q$67,2,FALSE)</f>
        <v>7.9000000000000001E-2</v>
      </c>
      <c r="F7" s="427" t="s">
        <v>1429</v>
      </c>
      <c r="G7" s="231" t="s">
        <v>130</v>
      </c>
      <c r="H7" s="231" t="s">
        <v>995</v>
      </c>
      <c r="I7" s="455" t="s">
        <v>996</v>
      </c>
      <c r="L7" s="1219"/>
      <c r="W7" s="433" t="s">
        <v>888</v>
      </c>
      <c r="X7" s="430">
        <f>VLOOKUP(W7,'2016_Detail_Commodity_v1.1'!$W:$Y,3,FALSE)</f>
        <v>0.71499999999999986</v>
      </c>
      <c r="Y7" s="430" t="s">
        <v>4223</v>
      </c>
      <c r="Z7" s="431" t="s">
        <v>4222</v>
      </c>
      <c r="AA7">
        <f>VLOOKUP(W7,'2016_Detail_Commodity_v1.0'!$T:$U,2,FALSE)</f>
        <v>0.77400000000000002</v>
      </c>
      <c r="AC7" s="132" t="s">
        <v>1296</v>
      </c>
      <c r="AD7" s="128">
        <v>7.0000000000000007E-2</v>
      </c>
      <c r="AE7" s="128">
        <v>0.8</v>
      </c>
      <c r="AF7" s="128">
        <v>0.05</v>
      </c>
      <c r="AG7" s="130" t="s">
        <v>1284</v>
      </c>
      <c r="AH7" s="15" t="s">
        <v>3650</v>
      </c>
      <c r="AK7" s="433" t="s">
        <v>888</v>
      </c>
      <c r="AL7" s="436">
        <f>VLOOKUP(AK7,'2016_Detail_Commodity_v1.1'!$W:Y,3,FALSE)</f>
        <v>0.71499999999999986</v>
      </c>
      <c r="AM7" s="430" t="s">
        <v>4223</v>
      </c>
      <c r="AN7" s="431" t="s">
        <v>4222</v>
      </c>
    </row>
    <row r="8" spans="2:40" ht="15">
      <c r="B8" s="236" t="s">
        <v>42</v>
      </c>
      <c r="C8" s="4" t="str">
        <f t="shared" si="0"/>
        <v>Construction - General</v>
      </c>
      <c r="D8">
        <f>VLOOKUP(B8,'2016_Summary_Commodity_v1.1'!$P$2:$Q$67,2,FALSE)</f>
        <v>0.317</v>
      </c>
      <c r="F8" s="427" t="s">
        <v>1429</v>
      </c>
      <c r="G8" s="231" t="s">
        <v>130</v>
      </c>
      <c r="H8" s="231" t="s">
        <v>1003</v>
      </c>
      <c r="I8" s="456" t="s">
        <v>1004</v>
      </c>
      <c r="L8" s="1219"/>
      <c r="M8" s="507" t="s">
        <v>3448</v>
      </c>
      <c r="N8" s="499" t="s">
        <v>4261</v>
      </c>
      <c r="O8" s="316"/>
      <c r="W8" s="426" t="s">
        <v>900</v>
      </c>
      <c r="X8" s="427">
        <f>VLOOKUP(W8,'2016_Detail_Commodity_v1.1'!$W:$Y,3,FALSE)</f>
        <v>0.49</v>
      </c>
      <c r="Y8" s="231" t="s">
        <v>4223</v>
      </c>
      <c r="Z8" s="428" t="s">
        <v>4222</v>
      </c>
      <c r="AA8">
        <f>VLOOKUP(W8,'2016_Detail_Commodity_v1.0'!$T:$U,2,FALSE)</f>
        <v>0.58200000000000007</v>
      </c>
      <c r="AC8" s="132" t="s">
        <v>1297</v>
      </c>
      <c r="AD8" s="128">
        <v>0.23</v>
      </c>
      <c r="AE8" s="128">
        <v>0.02</v>
      </c>
      <c r="AF8" s="128">
        <v>0.01</v>
      </c>
      <c r="AG8" s="130" t="s">
        <v>1284</v>
      </c>
      <c r="AH8" s="15" t="s">
        <v>3650</v>
      </c>
      <c r="AK8" s="426" t="s">
        <v>892</v>
      </c>
      <c r="AL8" s="427">
        <f>VLOOKUP(AK8,'2016_Detail_Commodity_v1.1'!$W:Y,3,FALSE)</f>
        <v>0.52700000000000002</v>
      </c>
      <c r="AM8" s="231" t="s">
        <v>4223</v>
      </c>
      <c r="AN8" s="428" t="s">
        <v>4222</v>
      </c>
    </row>
    <row r="9" spans="2:40" ht="28.5">
      <c r="B9" s="236" t="s">
        <v>111</v>
      </c>
      <c r="C9" s="4" t="str">
        <f t="shared" si="0"/>
        <v>Data processing, internet publishing, and other information services - General</v>
      </c>
      <c r="D9">
        <f>VLOOKUP(B9,'2016_Summary_Commodity_v1.1'!$P$2:$Q$67,2,FALSE)</f>
        <v>0.156</v>
      </c>
      <c r="F9" s="427" t="s">
        <v>1429</v>
      </c>
      <c r="G9" s="231" t="s">
        <v>130</v>
      </c>
      <c r="H9" s="231" t="s">
        <v>993</v>
      </c>
      <c r="I9" s="455" t="s">
        <v>994</v>
      </c>
      <c r="L9" s="1219"/>
      <c r="M9" s="105" t="s">
        <v>3449</v>
      </c>
      <c r="W9" s="434" t="s">
        <v>898</v>
      </c>
      <c r="X9" s="435">
        <f>VLOOKUP(W9,'2016_Detail_Commodity_v1.1'!$W:$Y,3,FALSE)</f>
        <v>0.19900000000000001</v>
      </c>
      <c r="Y9" s="430" t="s">
        <v>4223</v>
      </c>
      <c r="Z9" s="431" t="s">
        <v>4222</v>
      </c>
      <c r="AA9">
        <f>VLOOKUP(W9,'2016_Detail_Commodity_v1.0'!$T:$U,2,FALSE)</f>
        <v>0.20899999999999999</v>
      </c>
      <c r="AC9" s="132" t="s">
        <v>1298</v>
      </c>
      <c r="AD9" s="128">
        <v>0.22</v>
      </c>
      <c r="AE9" s="128">
        <v>0.02</v>
      </c>
      <c r="AF9" s="128">
        <v>2.34</v>
      </c>
      <c r="AG9" s="130" t="s">
        <v>1284</v>
      </c>
      <c r="AH9" s="15" t="s">
        <v>3650</v>
      </c>
      <c r="AK9" s="422" t="s">
        <v>1059</v>
      </c>
      <c r="AL9" s="436">
        <f>VLOOKUP(AK9,'2016_Detail_Commodity_v1.1'!$W:Y,3,FALSE)</f>
        <v>0.2</v>
      </c>
      <c r="AM9" s="430" t="s">
        <v>4223</v>
      </c>
      <c r="AN9" s="431" t="s">
        <v>4222</v>
      </c>
    </row>
    <row r="10" spans="2:40" ht="15">
      <c r="B10" s="236" t="s">
        <v>44</v>
      </c>
      <c r="C10" s="4" t="s">
        <v>3541</v>
      </c>
      <c r="D10">
        <f>VLOOKUP(B10,'2016_Summary_Commodity_v1.1'!$P$2:$Q$67,2,FALSE)</f>
        <v>0.747</v>
      </c>
      <c r="F10" s="427" t="s">
        <v>1429</v>
      </c>
      <c r="G10" s="231" t="s">
        <v>130</v>
      </c>
      <c r="H10" s="231" t="s">
        <v>1007</v>
      </c>
      <c r="I10" s="456" t="s">
        <v>1008</v>
      </c>
      <c r="L10" s="1219"/>
      <c r="O10" s="1216" t="s">
        <v>258</v>
      </c>
      <c r="P10" s="1217"/>
      <c r="Q10" s="1215" t="s">
        <v>259</v>
      </c>
      <c r="R10" s="1215"/>
      <c r="S10" s="1215"/>
      <c r="AC10" s="132" t="s">
        <v>1299</v>
      </c>
      <c r="AD10" s="128">
        <v>0.09</v>
      </c>
      <c r="AE10" s="128">
        <v>0.68</v>
      </c>
      <c r="AF10" s="128">
        <v>0.11</v>
      </c>
      <c r="AG10" s="130" t="s">
        <v>1284</v>
      </c>
      <c r="AH10" s="15" t="s">
        <v>3650</v>
      </c>
    </row>
    <row r="11" spans="2:40" ht="15">
      <c r="B11" s="236" t="s">
        <v>77</v>
      </c>
      <c r="C11" s="4" t="str">
        <f t="shared" si="0"/>
        <v>Furniture and related products - General</v>
      </c>
      <c r="D11">
        <f>VLOOKUP(B11,'2016_Summary_Commodity_v1.1'!$P$2:$Q$67,2,FALSE)</f>
        <v>0.22999999999999998</v>
      </c>
      <c r="F11" s="427" t="s">
        <v>1429</v>
      </c>
      <c r="G11" s="231" t="s">
        <v>130</v>
      </c>
      <c r="H11" s="231" t="s">
        <v>1001</v>
      </c>
      <c r="I11" s="455" t="s">
        <v>1002</v>
      </c>
      <c r="L11" s="1219"/>
      <c r="M11" s="423" t="s">
        <v>239</v>
      </c>
      <c r="N11" s="424" t="s">
        <v>213</v>
      </c>
      <c r="O11" s="424" t="s">
        <v>240</v>
      </c>
      <c r="P11" s="424" t="s">
        <v>241</v>
      </c>
      <c r="Q11" s="424" t="s">
        <v>242</v>
      </c>
      <c r="R11" s="424" t="s">
        <v>243</v>
      </c>
      <c r="S11" s="424" t="s">
        <v>244</v>
      </c>
      <c r="T11" s="424" t="s">
        <v>180</v>
      </c>
      <c r="U11" s="425" t="s">
        <v>211</v>
      </c>
      <c r="AC11" s="132" t="s">
        <v>1300</v>
      </c>
      <c r="AD11" s="128" t="s">
        <v>1284</v>
      </c>
      <c r="AE11" s="128">
        <v>0.48</v>
      </c>
      <c r="AF11" s="128">
        <v>0.05</v>
      </c>
      <c r="AG11" s="130">
        <v>0.17</v>
      </c>
      <c r="AH11" s="15" t="s">
        <v>3650</v>
      </c>
    </row>
    <row r="12" spans="2:40">
      <c r="B12" s="236" t="s">
        <v>79</v>
      </c>
      <c r="C12" s="4" t="str">
        <f t="shared" si="0"/>
        <v>Miscellaneous manufacturing - General</v>
      </c>
      <c r="D12">
        <f>VLOOKUP(B12,'2016_Summary_Commodity_v1.1'!$P$2:$Q$67,2,FALSE)</f>
        <v>0.157</v>
      </c>
      <c r="F12" s="427" t="s">
        <v>1429</v>
      </c>
      <c r="G12" s="231" t="s">
        <v>1411</v>
      </c>
      <c r="H12" s="231" t="s">
        <v>883</v>
      </c>
      <c r="I12" s="456" t="s">
        <v>884</v>
      </c>
      <c r="L12" s="1219"/>
      <c r="M12" s="432" t="s">
        <v>245</v>
      </c>
      <c r="N12" s="231" t="s">
        <v>249</v>
      </c>
      <c r="O12" s="231" t="s">
        <v>250</v>
      </c>
      <c r="P12" s="231">
        <v>3.1099999999999999E-2</v>
      </c>
      <c r="Q12" s="231" t="s">
        <v>249</v>
      </c>
      <c r="R12" s="231" t="s">
        <v>262</v>
      </c>
      <c r="S12" s="231">
        <f>P12*Conversions!$C$22</f>
        <v>0.91145106921466035</v>
      </c>
      <c r="T12" s="231" t="s">
        <v>299</v>
      </c>
      <c r="U12" s="428" t="s">
        <v>4260</v>
      </c>
      <c r="AC12" s="132" t="s">
        <v>1301</v>
      </c>
      <c r="AD12" s="128" t="s">
        <v>1284</v>
      </c>
      <c r="AE12" s="128">
        <v>0.52</v>
      </c>
      <c r="AF12" s="128">
        <v>0.43</v>
      </c>
      <c r="AG12" s="130" t="s">
        <v>1284</v>
      </c>
      <c r="AH12" s="15" t="s">
        <v>3650</v>
      </c>
    </row>
    <row r="13" spans="2:40" ht="15">
      <c r="B13" s="236" t="s">
        <v>124</v>
      </c>
      <c r="C13" s="4" t="str">
        <f t="shared" si="0"/>
        <v>Miscellaneous professional, scientific, and technical services - General</v>
      </c>
      <c r="D13">
        <f>VLOOKUP(B13,'2016_Summary_Commodity_v1.1'!$P$2:$Q$67,2,FALSE)</f>
        <v>0.14900000000000002</v>
      </c>
      <c r="F13" s="457" t="s">
        <v>1430</v>
      </c>
      <c r="G13" s="231" t="s">
        <v>136</v>
      </c>
      <c r="H13" s="231" t="s">
        <v>1029</v>
      </c>
      <c r="I13" s="455" t="s">
        <v>1030</v>
      </c>
      <c r="L13" s="1219"/>
      <c r="M13" s="433" t="s">
        <v>251</v>
      </c>
      <c r="N13" s="430" t="s">
        <v>252</v>
      </c>
      <c r="O13" s="430" t="s">
        <v>247</v>
      </c>
      <c r="P13" s="430">
        <v>0.59511999999999998</v>
      </c>
      <c r="Q13" s="430" t="s">
        <v>260</v>
      </c>
      <c r="R13" s="430" t="s">
        <v>295</v>
      </c>
      <c r="S13" s="430">
        <f>P13*Conversions!$B$16</f>
        <v>2.2527742724759325</v>
      </c>
      <c r="T13" s="430" t="s">
        <v>300</v>
      </c>
      <c r="U13" s="428" t="s">
        <v>4260</v>
      </c>
      <c r="AC13" s="132" t="s">
        <v>1302</v>
      </c>
      <c r="AD13" s="128" t="s">
        <v>1284</v>
      </c>
      <c r="AE13" s="128">
        <v>0.02</v>
      </c>
      <c r="AF13" s="128">
        <v>0.87</v>
      </c>
      <c r="AG13" s="129" t="s">
        <v>1284</v>
      </c>
      <c r="AH13" s="15" t="s">
        <v>3650</v>
      </c>
      <c r="AK13" s="520" t="s">
        <v>4311</v>
      </c>
    </row>
    <row r="14" spans="2:40" ht="15">
      <c r="B14" s="236" t="s">
        <v>139</v>
      </c>
      <c r="C14" s="4" t="str">
        <f t="shared" si="0"/>
        <v>Nursing and residential care facilities - General</v>
      </c>
      <c r="D14">
        <f>VLOOKUP(B14,'2016_Summary_Commodity_v1.1'!$P$2:$Q$67,2,FALSE)</f>
        <v>0.16700000000000001</v>
      </c>
      <c r="F14" s="427" t="s">
        <v>1429</v>
      </c>
      <c r="G14" s="231" t="s">
        <v>136</v>
      </c>
      <c r="H14" s="231" t="s">
        <v>1019</v>
      </c>
      <c r="I14" s="456" t="s">
        <v>1020</v>
      </c>
      <c r="L14" s="1219"/>
      <c r="M14" s="432" t="s">
        <v>251</v>
      </c>
      <c r="N14" s="231" t="s">
        <v>253</v>
      </c>
      <c r="O14" s="231" t="s">
        <v>247</v>
      </c>
      <c r="P14" s="231">
        <v>0.52685999999999999</v>
      </c>
      <c r="Q14" s="231" t="s">
        <v>261</v>
      </c>
      <c r="R14" s="231" t="s">
        <v>295</v>
      </c>
      <c r="S14" s="231">
        <f>P14*Conversions!$B$16</f>
        <v>1.9943820627716591</v>
      </c>
      <c r="T14" s="231" t="s">
        <v>300</v>
      </c>
      <c r="U14" s="428" t="s">
        <v>4260</v>
      </c>
      <c r="AC14" s="540" t="s">
        <v>4330</v>
      </c>
      <c r="AK14" s="423" t="s">
        <v>4249</v>
      </c>
      <c r="AL14" s="424" t="s">
        <v>177</v>
      </c>
      <c r="AM14" s="424" t="s">
        <v>180</v>
      </c>
      <c r="AN14" s="425" t="s">
        <v>211</v>
      </c>
    </row>
    <row r="15" spans="2:40">
      <c r="B15" s="236" t="s">
        <v>151</v>
      </c>
      <c r="C15" s="4" t="str">
        <f t="shared" si="0"/>
        <v>Other services, except government - General</v>
      </c>
      <c r="D15">
        <f>VLOOKUP(B15,'2016_Summary_Commodity_v1.1'!$P$2:$Q$67,2,FALSE)</f>
        <v>0.154</v>
      </c>
      <c r="F15" s="457" t="s">
        <v>1430</v>
      </c>
      <c r="G15" s="231" t="s">
        <v>136</v>
      </c>
      <c r="H15" s="231" t="s">
        <v>1021</v>
      </c>
      <c r="I15" s="455" t="s">
        <v>1022</v>
      </c>
      <c r="L15" s="1219"/>
      <c r="M15" s="433" t="s">
        <v>251</v>
      </c>
      <c r="N15" s="430" t="s">
        <v>255</v>
      </c>
      <c r="O15" s="430" t="s">
        <v>247</v>
      </c>
      <c r="P15" s="430">
        <v>0.62873999999999997</v>
      </c>
      <c r="Q15" s="430" t="s">
        <v>296</v>
      </c>
      <c r="R15" s="430" t="s">
        <v>295</v>
      </c>
      <c r="S15" s="430">
        <f>P15*Conversions!$B$16</f>
        <v>2.3800398173083037</v>
      </c>
      <c r="T15" s="430" t="s">
        <v>300</v>
      </c>
      <c r="U15" s="428" t="s">
        <v>4260</v>
      </c>
      <c r="AC15" s="447" t="s">
        <v>1293</v>
      </c>
      <c r="AK15" s="426" t="s">
        <v>4251</v>
      </c>
      <c r="AL15" s="231">
        <v>3.1679158521625603E-2</v>
      </c>
      <c r="AM15" s="231" t="s">
        <v>4313</v>
      </c>
      <c r="AN15" s="231" t="s">
        <v>4312</v>
      </c>
    </row>
    <row r="16" spans="2:40">
      <c r="B16" s="236" t="s">
        <v>52</v>
      </c>
      <c r="C16" s="4" t="str">
        <f t="shared" si="0"/>
        <v>Paper products - General</v>
      </c>
      <c r="D16">
        <f>VLOOKUP(B16,'2016_Summary_Commodity_v1.1'!$P$2:$Q$67,2,FALSE)</f>
        <v>0.55600000000000005</v>
      </c>
      <c r="F16" s="457" t="s">
        <v>1430</v>
      </c>
      <c r="G16" s="231" t="s">
        <v>136</v>
      </c>
      <c r="H16" s="231" t="s">
        <v>1027</v>
      </c>
      <c r="I16" s="456" t="s">
        <v>1028</v>
      </c>
      <c r="L16" s="1219"/>
      <c r="M16" s="432" t="s">
        <v>251</v>
      </c>
      <c r="N16" s="231" t="s">
        <v>257</v>
      </c>
      <c r="O16" s="231" t="s">
        <v>247</v>
      </c>
      <c r="P16" s="231">
        <v>0.60282999999999998</v>
      </c>
      <c r="Q16" s="231" t="s">
        <v>297</v>
      </c>
      <c r="R16" s="231" t="s">
        <v>295</v>
      </c>
      <c r="S16" s="231">
        <f>P16*Conversions!$B$16</f>
        <v>2.2819597974806194</v>
      </c>
      <c r="T16" s="231" t="s">
        <v>300</v>
      </c>
      <c r="U16" s="428" t="s">
        <v>4260</v>
      </c>
      <c r="AC16" s="441" t="s">
        <v>1294</v>
      </c>
      <c r="AK16" s="429" t="s">
        <v>4253</v>
      </c>
      <c r="AL16" s="430">
        <v>0.30907415634310398</v>
      </c>
      <c r="AM16" s="231" t="s">
        <v>4313</v>
      </c>
      <c r="AN16" s="430" t="s">
        <v>4312</v>
      </c>
    </row>
    <row r="17" spans="1:40">
      <c r="B17" s="236" t="s">
        <v>105</v>
      </c>
      <c r="C17" s="4" t="str">
        <f t="shared" si="0"/>
        <v>Publishing industries, except internet (includes software) - General</v>
      </c>
      <c r="D17">
        <f>VLOOKUP(B17,'2016_Summary_Commodity_v1.1'!$P$2:$Q$67,2,FALSE)</f>
        <v>6.7000000000000004E-2</v>
      </c>
      <c r="F17" s="457" t="s">
        <v>1430</v>
      </c>
      <c r="G17" s="231" t="s">
        <v>136</v>
      </c>
      <c r="H17" s="231" t="s">
        <v>1025</v>
      </c>
      <c r="I17" s="455" t="s">
        <v>1026</v>
      </c>
      <c r="L17" s="1219"/>
      <c r="M17" s="433" t="s">
        <v>251</v>
      </c>
      <c r="N17" s="430" t="s">
        <v>256</v>
      </c>
      <c r="O17" s="430" t="s">
        <v>247</v>
      </c>
      <c r="P17" s="430">
        <v>0.69723000000000002</v>
      </c>
      <c r="Q17" s="430" t="s">
        <v>256</v>
      </c>
      <c r="R17" s="430" t="s">
        <v>295</v>
      </c>
      <c r="S17" s="430">
        <f>P17*Conversions!$B$16</f>
        <v>2.6393026717273735</v>
      </c>
      <c r="T17" s="430" t="s">
        <v>300</v>
      </c>
      <c r="U17" s="428" t="s">
        <v>4260</v>
      </c>
      <c r="AC17" s="440" t="s">
        <v>1303</v>
      </c>
      <c r="AK17" s="432" t="s">
        <v>4254</v>
      </c>
      <c r="AL17" s="231">
        <v>0.3407533148647296</v>
      </c>
      <c r="AM17" s="231" t="s">
        <v>4313</v>
      </c>
      <c r="AN17" s="231" t="s">
        <v>4312</v>
      </c>
    </row>
    <row r="18" spans="1:40">
      <c r="B18" s="236" t="s">
        <v>46</v>
      </c>
      <c r="C18" s="4" t="str">
        <f t="shared" si="0"/>
        <v>Textile mills and textile product mills - General</v>
      </c>
      <c r="D18">
        <f>VLOOKUP(B18,'2016_Summary_Commodity_v1.1'!$P$2:$Q$67,2,FALSE)</f>
        <v>0.28500000000000003</v>
      </c>
      <c r="F18" s="457" t="s">
        <v>1430</v>
      </c>
      <c r="G18" s="231" t="s">
        <v>136</v>
      </c>
      <c r="H18" s="231" t="s">
        <v>1023</v>
      </c>
      <c r="I18" s="456" t="s">
        <v>1024</v>
      </c>
      <c r="L18" s="1219"/>
      <c r="M18" s="432" t="s">
        <v>245</v>
      </c>
      <c r="N18" s="231" t="s">
        <v>248</v>
      </c>
      <c r="O18" s="231" t="s">
        <v>247</v>
      </c>
      <c r="P18" s="231">
        <v>0.18382999999999999</v>
      </c>
      <c r="Q18" s="231" t="s">
        <v>248</v>
      </c>
      <c r="R18" s="231" t="s">
        <v>295</v>
      </c>
      <c r="S18" s="231">
        <f>P18*Conversions!$B$16</f>
        <v>0.69587225183030421</v>
      </c>
      <c r="T18" s="231" t="s">
        <v>300</v>
      </c>
      <c r="U18" s="428" t="s">
        <v>4260</v>
      </c>
    </row>
    <row r="19" spans="1:40">
      <c r="F19" s="457" t="s">
        <v>1430</v>
      </c>
      <c r="G19" s="231" t="s">
        <v>136</v>
      </c>
      <c r="H19" s="231" t="s">
        <v>1017</v>
      </c>
      <c r="I19" s="455" t="s">
        <v>1018</v>
      </c>
      <c r="L19" s="1219"/>
      <c r="M19" s="433" t="s">
        <v>251</v>
      </c>
      <c r="N19" s="430" t="s">
        <v>254</v>
      </c>
      <c r="O19" s="430" t="s">
        <v>247</v>
      </c>
      <c r="P19" s="430">
        <v>0.60985999999999996</v>
      </c>
      <c r="Q19" s="430" t="s">
        <v>298</v>
      </c>
      <c r="R19" s="430" t="s">
        <v>295</v>
      </c>
      <c r="S19" s="430">
        <f>P19*Conversions!$B$16</f>
        <v>2.3085712424589531</v>
      </c>
      <c r="T19" s="430" t="s">
        <v>300</v>
      </c>
      <c r="U19" s="428" t="s">
        <v>4260</v>
      </c>
      <c r="AC19" s="540" t="s">
        <v>1285</v>
      </c>
    </row>
    <row r="20" spans="1:40">
      <c r="B20" s="236" t="s">
        <v>81</v>
      </c>
      <c r="C20" s="4" t="str">
        <f t="shared" si="0"/>
        <v>Wholesale trade - General</v>
      </c>
      <c r="D20">
        <f>VLOOKUP(B20,'2016_Summary_Commodity_v1.1'!$P$2:$Q$67,2,FALSE)</f>
        <v>0.159</v>
      </c>
      <c r="F20" s="427" t="s">
        <v>1429</v>
      </c>
      <c r="G20" s="231" t="s">
        <v>145</v>
      </c>
      <c r="H20" s="231" t="s">
        <v>1052</v>
      </c>
      <c r="I20" s="456" t="s">
        <v>1053</v>
      </c>
      <c r="L20" s="1219"/>
      <c r="M20" s="261" t="s">
        <v>245</v>
      </c>
      <c r="N20" s="224" t="s">
        <v>246</v>
      </c>
      <c r="O20" s="224" t="s">
        <v>247</v>
      </c>
      <c r="P20" s="224">
        <v>9.4079999999999997E-2</v>
      </c>
      <c r="Q20" s="224" t="s">
        <v>246</v>
      </c>
      <c r="R20" s="224" t="s">
        <v>295</v>
      </c>
      <c r="S20" s="224">
        <f>P20*Conversions!$B$16</f>
        <v>0.35613154246964601</v>
      </c>
      <c r="T20" s="224" t="s">
        <v>300</v>
      </c>
      <c r="U20" s="428" t="s">
        <v>4260</v>
      </c>
      <c r="AC20" s="447" t="s">
        <v>1293</v>
      </c>
    </row>
    <row r="21" spans="1:40" ht="60">
      <c r="B21" s="237" t="s">
        <v>1432</v>
      </c>
      <c r="C21" s="235" t="s">
        <v>1509</v>
      </c>
      <c r="D21" s="235" t="s">
        <v>4233</v>
      </c>
      <c r="E21" s="508"/>
      <c r="F21" s="427" t="s">
        <v>1429</v>
      </c>
      <c r="G21" s="231" t="s">
        <v>145</v>
      </c>
      <c r="H21" s="231" t="s">
        <v>1054</v>
      </c>
      <c r="I21" s="455" t="s">
        <v>1055</v>
      </c>
      <c r="L21" s="1219"/>
      <c r="AC21" s="441" t="s">
        <v>1294</v>
      </c>
    </row>
    <row r="22" spans="1:40" ht="15">
      <c r="A22" s="230" t="s">
        <v>136</v>
      </c>
      <c r="B22" s="238" t="s">
        <v>1030</v>
      </c>
      <c r="C22" s="4" t="str">
        <f>_xlfn.CONCAT(A22," - ",B22)</f>
        <v>Ambulatory health care services - Ambulances</v>
      </c>
      <c r="D22" s="13">
        <f>VLOOKUP(B22,'2016_Detail_Commodity_v1.1'!$W:$Y,3,FALSE)</f>
        <v>0.19</v>
      </c>
      <c r="F22" s="427" t="s">
        <v>1429</v>
      </c>
      <c r="G22" s="231" t="s">
        <v>145</v>
      </c>
      <c r="H22" s="231" t="s">
        <v>1056</v>
      </c>
      <c r="I22" s="456" t="s">
        <v>1057</v>
      </c>
      <c r="L22" s="1219"/>
      <c r="M22" t="s">
        <v>4273</v>
      </c>
      <c r="AC22" s="440" t="s">
        <v>1303</v>
      </c>
    </row>
    <row r="23" spans="1:40" ht="29.25">
      <c r="A23" s="230" t="s">
        <v>136</v>
      </c>
      <c r="B23" s="238" t="s">
        <v>1022</v>
      </c>
      <c r="C23" s="4" t="str">
        <f t="shared" ref="C23:C53" si="1">_xlfn.CONCAT(A23," - ",B23)</f>
        <v>Ambulatory health care services - Healthcare practitioners (except physicians and dentists)</v>
      </c>
      <c r="D23" s="13">
        <f>VLOOKUP(B23,'2016_Detail_Commodity_v1.1'!$W:$Y,3,FALSE)</f>
        <v>0.10400000000000001</v>
      </c>
      <c r="F23" s="457" t="s">
        <v>1430</v>
      </c>
      <c r="G23" s="231" t="s">
        <v>48</v>
      </c>
      <c r="H23" s="231" t="s">
        <v>451</v>
      </c>
      <c r="I23" s="455" t="s">
        <v>452</v>
      </c>
      <c r="L23" s="1219"/>
      <c r="M23" s="423" t="s">
        <v>206</v>
      </c>
      <c r="N23" s="424" t="s">
        <v>156</v>
      </c>
      <c r="O23" s="424" t="s">
        <v>210</v>
      </c>
      <c r="P23" s="424" t="s">
        <v>180</v>
      </c>
      <c r="Q23" s="424" t="s">
        <v>24</v>
      </c>
      <c r="R23" s="425" t="s">
        <v>211</v>
      </c>
    </row>
    <row r="24" spans="1:40">
      <c r="A24" s="230" t="s">
        <v>136</v>
      </c>
      <c r="B24" s="239" t="s">
        <v>1028</v>
      </c>
      <c r="C24" s="4" t="str">
        <f t="shared" si="1"/>
        <v>Ambulatory health care services - Home healthcare</v>
      </c>
      <c r="D24" s="13">
        <f>VLOOKUP(B24,'2016_Detail_Commodity_v1.1'!$W:$Y,3,FALSE)</f>
        <v>0.13200000000000001</v>
      </c>
      <c r="F24" s="427" t="s">
        <v>1429</v>
      </c>
      <c r="G24" s="231" t="s">
        <v>48</v>
      </c>
      <c r="H24" s="231" t="s">
        <v>453</v>
      </c>
      <c r="I24" s="456" t="s">
        <v>454</v>
      </c>
      <c r="L24" s="1219"/>
      <c r="M24" s="433" t="s">
        <v>208</v>
      </c>
      <c r="N24" s="430"/>
      <c r="O24" s="430">
        <v>0.10657110155510501</v>
      </c>
      <c r="P24" s="430" t="s">
        <v>209</v>
      </c>
      <c r="Q24" s="430">
        <v>2021</v>
      </c>
      <c r="R24" s="431" t="s">
        <v>1127</v>
      </c>
      <c r="AC24" s="540" t="s">
        <v>1286</v>
      </c>
    </row>
    <row r="25" spans="1:40">
      <c r="A25" s="230" t="s">
        <v>136</v>
      </c>
      <c r="B25" s="238" t="s">
        <v>1026</v>
      </c>
      <c r="C25" s="4" t="str">
        <f t="shared" si="1"/>
        <v>Ambulatory health care services - Medical laboratories</v>
      </c>
      <c r="D25" s="13">
        <f>VLOOKUP(B25,'2016_Detail_Commodity_v1.1'!$W:$Y,3,FALSE)</f>
        <v>0.10200000000000001</v>
      </c>
      <c r="F25" s="427" t="s">
        <v>1429</v>
      </c>
      <c r="G25" s="231" t="s">
        <v>109</v>
      </c>
      <c r="H25" s="231" t="s">
        <v>921</v>
      </c>
      <c r="I25" s="455" t="s">
        <v>922</v>
      </c>
      <c r="L25" s="1219"/>
      <c r="AC25" s="447" t="s">
        <v>1293</v>
      </c>
    </row>
    <row r="26" spans="1:40" ht="15">
      <c r="A26" s="230" t="s">
        <v>136</v>
      </c>
      <c r="B26" s="239" t="s">
        <v>1024</v>
      </c>
      <c r="C26" s="4" t="str">
        <f t="shared" si="1"/>
        <v>Ambulatory health care services - Outpatient healthcare</v>
      </c>
      <c r="D26" s="13">
        <f>VLOOKUP(B26,'2016_Detail_Commodity_v1.1'!$W:$Y,3,FALSE)</f>
        <v>0.14600000000000002</v>
      </c>
      <c r="F26" s="427" t="s">
        <v>1429</v>
      </c>
      <c r="G26" s="231" t="s">
        <v>109</v>
      </c>
      <c r="H26" s="231" t="s">
        <v>919</v>
      </c>
      <c r="I26" s="456" t="s">
        <v>920</v>
      </c>
      <c r="L26" s="1219"/>
      <c r="M26" t="s">
        <v>4274</v>
      </c>
      <c r="AC26" s="441" t="s">
        <v>1294</v>
      </c>
    </row>
    <row r="27" spans="1:40" ht="15">
      <c r="A27" s="230" t="s">
        <v>136</v>
      </c>
      <c r="B27" s="238" t="s">
        <v>1018</v>
      </c>
      <c r="C27" s="4" t="str">
        <f t="shared" si="1"/>
        <v>Ambulatory health care services - Physicians</v>
      </c>
      <c r="D27" s="13">
        <f>VLOOKUP(B27,'2016_Detail_Commodity_v1.1'!$W:$Y,3,FALSE)</f>
        <v>8.2000000000000003E-2</v>
      </c>
      <c r="F27" s="427" t="s">
        <v>1429</v>
      </c>
      <c r="G27" s="231" t="s">
        <v>109</v>
      </c>
      <c r="H27" s="231" t="s">
        <v>927</v>
      </c>
      <c r="I27" s="455" t="s">
        <v>928</v>
      </c>
      <c r="L27" s="1219"/>
      <c r="M27" s="423" t="s">
        <v>206</v>
      </c>
      <c r="N27" s="424" t="s">
        <v>156</v>
      </c>
      <c r="O27" s="424" t="s">
        <v>210</v>
      </c>
      <c r="P27" s="424" t="s">
        <v>180</v>
      </c>
      <c r="Q27" s="424" t="s">
        <v>24</v>
      </c>
      <c r="R27" s="425" t="s">
        <v>211</v>
      </c>
      <c r="AC27" s="440" t="s">
        <v>1303</v>
      </c>
    </row>
    <row r="28" spans="1:40">
      <c r="A28" s="230" t="s">
        <v>48</v>
      </c>
      <c r="B28" s="238" t="s">
        <v>452</v>
      </c>
      <c r="C28" s="4" t="str">
        <f t="shared" si="1"/>
        <v>Apparel and leather and allied products - Clothing</v>
      </c>
      <c r="D28" s="13">
        <f>VLOOKUP(B28,'2016_Detail_Commodity_v1.1'!$W:$Y,3,FALSE)</f>
        <v>0.19</v>
      </c>
      <c r="F28" s="427" t="s">
        <v>1429</v>
      </c>
      <c r="G28" s="231" t="s">
        <v>109</v>
      </c>
      <c r="H28" s="231" t="s">
        <v>923</v>
      </c>
      <c r="I28" s="456" t="s">
        <v>924</v>
      </c>
      <c r="L28" s="1219"/>
      <c r="M28" s="433" t="s">
        <v>208</v>
      </c>
      <c r="N28" s="430"/>
      <c r="O28" s="430">
        <v>5.7681912812502702E-3</v>
      </c>
      <c r="P28" s="430" t="s">
        <v>209</v>
      </c>
      <c r="Q28" s="430">
        <v>2021</v>
      </c>
      <c r="R28" s="431" t="s">
        <v>1127</v>
      </c>
    </row>
    <row r="29" spans="1:40">
      <c r="A29" s="230" t="s">
        <v>58</v>
      </c>
      <c r="B29" s="239" t="s">
        <v>520</v>
      </c>
      <c r="C29" s="4" t="str">
        <f t="shared" si="1"/>
        <v>Chemical products - Adhesives</v>
      </c>
      <c r="D29" s="13">
        <f>VLOOKUP(B29,'2016_Detail_Commodity_v1.1'!$W:$Y,3,FALSE)</f>
        <v>0.76500000000000001</v>
      </c>
      <c r="F29" s="427" t="s">
        <v>1429</v>
      </c>
      <c r="G29" s="231" t="s">
        <v>109</v>
      </c>
      <c r="H29" s="231" t="s">
        <v>925</v>
      </c>
      <c r="I29" s="455" t="s">
        <v>926</v>
      </c>
      <c r="L29" s="1219"/>
      <c r="AC29" s="540" t="s">
        <v>1287</v>
      </c>
    </row>
    <row r="30" spans="1:40" ht="28.5">
      <c r="A30" s="230" t="s">
        <v>58</v>
      </c>
      <c r="B30" s="238" t="s">
        <v>514</v>
      </c>
      <c r="C30" s="4" t="str">
        <f t="shared" si="1"/>
        <v>Chemical products - Blood sugar, pregnancy, and other diagnostic test kits</v>
      </c>
      <c r="D30" s="13">
        <f>VLOOKUP(B30,'2016_Detail_Commodity_v1.1'!$W:$Y,3,FALSE)</f>
        <v>0.152</v>
      </c>
      <c r="F30" s="457" t="s">
        <v>1430</v>
      </c>
      <c r="G30" s="231" t="s">
        <v>58</v>
      </c>
      <c r="H30" s="231" t="s">
        <v>519</v>
      </c>
      <c r="I30" s="456" t="s">
        <v>520</v>
      </c>
      <c r="AC30" s="447" t="s">
        <v>1293</v>
      </c>
    </row>
    <row r="31" spans="1:40" ht="42.75">
      <c r="A31" s="230" t="s">
        <v>58</v>
      </c>
      <c r="B31" s="239" t="s">
        <v>3593</v>
      </c>
      <c r="C31" s="4" t="str">
        <f t="shared" si="1"/>
        <v>Chemical products - Chemicals (except basic chemicals, agrichemicals, polymers, paints, pharmaceuticals, soaps, cleaning compounds)</v>
      </c>
      <c r="D31" s="13">
        <f>VLOOKUP(B31,'2016_Detail_Commodity_v1.1'!$W:$Y,3,FALSE)</f>
        <v>0.56800000000000006</v>
      </c>
      <c r="F31" s="457" t="s">
        <v>1430</v>
      </c>
      <c r="G31" s="231" t="s">
        <v>58</v>
      </c>
      <c r="H31" s="231" t="s">
        <v>513</v>
      </c>
      <c r="I31" s="455" t="s">
        <v>514</v>
      </c>
      <c r="AC31" s="441" t="s">
        <v>1294</v>
      </c>
    </row>
    <row r="32" spans="1:40">
      <c r="A32" s="230" t="s">
        <v>58</v>
      </c>
      <c r="B32" s="238" t="s">
        <v>494</v>
      </c>
      <c r="C32" s="4" t="str">
        <f t="shared" si="1"/>
        <v>Chemical products - Compressed Gases</v>
      </c>
      <c r="D32" s="13">
        <f>VLOOKUP(B32,'2016_Detail_Commodity_v1.1'!$W:$Y,3,FALSE)</f>
        <v>1.4259999999999999</v>
      </c>
      <c r="F32" s="457" t="s">
        <v>1430</v>
      </c>
      <c r="G32" s="231" t="s">
        <v>58</v>
      </c>
      <c r="H32" s="231" t="s">
        <v>527</v>
      </c>
      <c r="I32" s="456" t="s">
        <v>3593</v>
      </c>
      <c r="AC32" s="440" t="s">
        <v>1303</v>
      </c>
    </row>
    <row r="33" spans="1:29">
      <c r="A33" s="230" t="s">
        <v>58</v>
      </c>
      <c r="B33" s="239" t="s">
        <v>510</v>
      </c>
      <c r="C33" s="4" t="str">
        <f t="shared" si="1"/>
        <v>Chemical products - Medicinal and botanical ingredients</v>
      </c>
      <c r="D33" s="13">
        <f>VLOOKUP(B33,'2016_Detail_Commodity_v1.1'!$W:$Y,3,FALSE)</f>
        <v>0.48700000000000004</v>
      </c>
      <c r="F33" s="457" t="s">
        <v>1430</v>
      </c>
      <c r="G33" s="231" t="s">
        <v>58</v>
      </c>
      <c r="H33" s="231" t="s">
        <v>493</v>
      </c>
      <c r="I33" s="455" t="s">
        <v>494</v>
      </c>
    </row>
    <row r="34" spans="1:29">
      <c r="A34" s="230" t="s">
        <v>58</v>
      </c>
      <c r="B34" s="238" t="s">
        <v>498</v>
      </c>
      <c r="C34" s="4" t="str">
        <f t="shared" si="1"/>
        <v>Chemical products - Other basic inorganic chemicals</v>
      </c>
      <c r="D34" s="13">
        <f>VLOOKUP(B34,'2016_Detail_Commodity_v1.1'!$W:$Y,3,FALSE)</f>
        <v>0.76700000000000002</v>
      </c>
      <c r="F34" s="427" t="s">
        <v>1429</v>
      </c>
      <c r="G34" s="231" t="s">
        <v>58</v>
      </c>
      <c r="H34" s="231" t="s">
        <v>505</v>
      </c>
      <c r="I34" s="456" t="s">
        <v>506</v>
      </c>
      <c r="AC34" s="540" t="s">
        <v>1288</v>
      </c>
    </row>
    <row r="35" spans="1:29">
      <c r="A35" s="230" t="s">
        <v>58</v>
      </c>
      <c r="B35" s="239" t="s">
        <v>500</v>
      </c>
      <c r="C35" s="4" t="str">
        <f t="shared" si="1"/>
        <v>Chemical products - Other basic organic chemicals</v>
      </c>
      <c r="D35" s="13">
        <f>VLOOKUP(B35,'2016_Detail_Commodity_v1.1'!$W:$Y,3,FALSE)</f>
        <v>1.6649999999999998</v>
      </c>
      <c r="F35" s="427" t="s">
        <v>1429</v>
      </c>
      <c r="G35" s="231" t="s">
        <v>58</v>
      </c>
      <c r="H35" s="231" t="s">
        <v>525</v>
      </c>
      <c r="I35" s="455" t="s">
        <v>526</v>
      </c>
      <c r="AC35" s="447" t="s">
        <v>1294</v>
      </c>
    </row>
    <row r="36" spans="1:29" ht="28.5">
      <c r="A36" s="230" t="s">
        <v>58</v>
      </c>
      <c r="B36" s="239" t="s">
        <v>512</v>
      </c>
      <c r="C36" s="4" t="str">
        <f t="shared" si="1"/>
        <v>Chemical products - Pharmaceutical products (pills, powders, solutions, etc.)</v>
      </c>
      <c r="D36" s="13">
        <f>VLOOKUP(B36,'2016_Detail_Commodity_v1.1'!$W:$Y,3,FALSE)</f>
        <v>0.14000000000000001</v>
      </c>
      <c r="F36" s="457" t="s">
        <v>1430</v>
      </c>
      <c r="G36" s="231" t="s">
        <v>58</v>
      </c>
      <c r="H36" s="231" t="s">
        <v>509</v>
      </c>
      <c r="I36" s="456" t="s">
        <v>510</v>
      </c>
      <c r="AC36" s="441" t="s">
        <v>1303</v>
      </c>
    </row>
    <row r="37" spans="1:29">
      <c r="A37" s="230" t="s">
        <v>58</v>
      </c>
      <c r="B37" s="239" t="s">
        <v>522</v>
      </c>
      <c r="C37" s="4" t="str">
        <f t="shared" si="1"/>
        <v>Chemical products - Soap and cleaning compounds</v>
      </c>
      <c r="D37" s="13">
        <f>VLOOKUP(B37,'2016_Detail_Commodity_v1.1'!$W:$Y,3,FALSE)</f>
        <v>0.49100000000000005</v>
      </c>
      <c r="F37" s="457" t="s">
        <v>1430</v>
      </c>
      <c r="G37" s="231" t="s">
        <v>58</v>
      </c>
      <c r="H37" s="231" t="s">
        <v>497</v>
      </c>
      <c r="I37" s="455" t="s">
        <v>498</v>
      </c>
      <c r="AC37" s="440" t="s">
        <v>1295</v>
      </c>
    </row>
    <row r="38" spans="1:29">
      <c r="A38" s="230" t="s">
        <v>58</v>
      </c>
      <c r="B38" s="238" t="s">
        <v>524</v>
      </c>
      <c r="C38" s="4" t="str">
        <f t="shared" si="1"/>
        <v>Chemical products - Toiletries</v>
      </c>
      <c r="D38" s="13">
        <f>VLOOKUP(B38,'2016_Detail_Commodity_v1.1'!$W:$Y,3,FALSE)</f>
        <v>0.24399999999999999</v>
      </c>
      <c r="F38" s="457" t="s">
        <v>1430</v>
      </c>
      <c r="G38" s="231" t="s">
        <v>58</v>
      </c>
      <c r="H38" s="231" t="s">
        <v>499</v>
      </c>
      <c r="I38" s="456" t="s">
        <v>500</v>
      </c>
    </row>
    <row r="39" spans="1:29">
      <c r="A39" s="230" t="s">
        <v>58</v>
      </c>
      <c r="B39" s="239" t="s">
        <v>516</v>
      </c>
      <c r="C39" s="4" t="str">
        <f t="shared" si="1"/>
        <v>Chemical products - Vaccines and other biological medical products</v>
      </c>
      <c r="D39" s="13">
        <f>VLOOKUP(B39,'2016_Detail_Commodity_v1.1'!$W:$Y,3,FALSE)</f>
        <v>8.6000000000000007E-2</v>
      </c>
      <c r="F39" s="427" t="s">
        <v>1429</v>
      </c>
      <c r="G39" s="231" t="s">
        <v>58</v>
      </c>
      <c r="H39" s="231" t="s">
        <v>517</v>
      </c>
      <c r="I39" s="455" t="s">
        <v>518</v>
      </c>
      <c r="AC39" s="540" t="s">
        <v>1289</v>
      </c>
    </row>
    <row r="40" spans="1:29">
      <c r="A40" s="230" t="s">
        <v>70</v>
      </c>
      <c r="B40" s="238" t="s">
        <v>720</v>
      </c>
      <c r="C40" s="4" t="str">
        <f t="shared" si="1"/>
        <v>Computer and electronic products - Analytical laboratory instruments</v>
      </c>
      <c r="D40" s="13">
        <f>VLOOKUP(B40,'2016_Detail_Commodity_v1.1'!$W:$Y,3,FALSE)</f>
        <v>8.7999999999999995E-2</v>
      </c>
      <c r="F40" s="427" t="s">
        <v>1429</v>
      </c>
      <c r="G40" s="231" t="s">
        <v>58</v>
      </c>
      <c r="H40" s="231" t="s">
        <v>507</v>
      </c>
      <c r="I40" s="456" t="s">
        <v>508</v>
      </c>
      <c r="AC40" s="447" t="s">
        <v>1294</v>
      </c>
    </row>
    <row r="41" spans="1:29">
      <c r="A41" s="230" t="s">
        <v>70</v>
      </c>
      <c r="B41" s="239" t="s">
        <v>700</v>
      </c>
      <c r="C41" s="4" t="str">
        <f t="shared" si="1"/>
        <v>Computer and electronic products - Audio and video equipment</v>
      </c>
      <c r="D41" s="13">
        <f>VLOOKUP(B41,'2016_Detail_Commodity_v1.1'!$W:$Y,3,FALSE)</f>
        <v>0.17199999999999999</v>
      </c>
      <c r="F41" s="427" t="s">
        <v>1429</v>
      </c>
      <c r="G41" s="231" t="s">
        <v>58</v>
      </c>
      <c r="H41" s="231" t="s">
        <v>491</v>
      </c>
      <c r="I41" s="455" t="s">
        <v>492</v>
      </c>
      <c r="AC41" s="441" t="s">
        <v>1303</v>
      </c>
    </row>
    <row r="42" spans="1:29">
      <c r="A42" s="230" t="s">
        <v>70</v>
      </c>
      <c r="B42" s="238" t="s">
        <v>690</v>
      </c>
      <c r="C42" s="4" t="str">
        <f t="shared" si="1"/>
        <v>Computer and electronic products - Computer storage device readers</v>
      </c>
      <c r="D42" s="13">
        <f>VLOOKUP(B42,'2016_Detail_Commodity_v1.1'!$W:$Y,3,FALSE)</f>
        <v>0.16900000000000001</v>
      </c>
      <c r="F42" s="457" t="s">
        <v>1430</v>
      </c>
      <c r="G42" s="231" t="s">
        <v>58</v>
      </c>
      <c r="H42" s="231" t="s">
        <v>511</v>
      </c>
      <c r="I42" s="456" t="s">
        <v>512</v>
      </c>
    </row>
    <row r="43" spans="1:29" ht="28.5">
      <c r="A43" s="230" t="s">
        <v>70</v>
      </c>
      <c r="B43" s="239" t="s">
        <v>692</v>
      </c>
      <c r="C43" s="4" t="str">
        <f t="shared" si="1"/>
        <v>Computer and electronic products - Computer terminals and other computer peripheral equipment</v>
      </c>
      <c r="D43" s="13">
        <f>VLOOKUP(B43,'2016_Detail_Commodity_v1.1'!$W:$Y,3,FALSE)</f>
        <v>0.19900000000000001</v>
      </c>
      <c r="F43" s="427" t="s">
        <v>1429</v>
      </c>
      <c r="G43" s="231" t="s">
        <v>58</v>
      </c>
      <c r="H43" s="231" t="s">
        <v>501</v>
      </c>
      <c r="I43" s="455" t="s">
        <v>502</v>
      </c>
      <c r="AC43" s="540" t="s">
        <v>1290</v>
      </c>
    </row>
    <row r="44" spans="1:29">
      <c r="A44" s="230" t="s">
        <v>70</v>
      </c>
      <c r="B44" s="238" t="s">
        <v>688</v>
      </c>
      <c r="C44" s="4" t="str">
        <f t="shared" si="1"/>
        <v>Computer and electronic products - Computers</v>
      </c>
      <c r="D44" s="13">
        <f>VLOOKUP(B44,'2016_Detail_Commodity_v1.1'!$W:$Y,3,FALSE)</f>
        <v>0.109</v>
      </c>
      <c r="F44" s="457" t="s">
        <v>1430</v>
      </c>
      <c r="G44" s="231" t="s">
        <v>58</v>
      </c>
      <c r="H44" s="231" t="s">
        <v>521</v>
      </c>
      <c r="I44" s="456" t="s">
        <v>522</v>
      </c>
      <c r="AC44" s="447" t="s">
        <v>1294</v>
      </c>
    </row>
    <row r="45" spans="1:29">
      <c r="A45" s="230" t="s">
        <v>70</v>
      </c>
      <c r="B45" s="239" t="s">
        <v>3594</v>
      </c>
      <c r="C45" s="4" t="str">
        <f t="shared" si="1"/>
        <v>Computer and electronic products - Electromedical apparatuses</v>
      </c>
      <c r="D45" s="13">
        <f>VLOOKUP(B45,'2016_Detail_Commodity_v1.1'!$W:$Y,3,FALSE)</f>
        <v>0.16700000000000001</v>
      </c>
      <c r="F45" s="427" t="s">
        <v>1429</v>
      </c>
      <c r="G45" s="231" t="s">
        <v>58</v>
      </c>
      <c r="H45" s="231" t="s">
        <v>495</v>
      </c>
      <c r="I45" s="455" t="s">
        <v>496</v>
      </c>
      <c r="AC45" s="441" t="s">
        <v>1303</v>
      </c>
    </row>
    <row r="46" spans="1:29" ht="42.75">
      <c r="A46" s="230" t="s">
        <v>70</v>
      </c>
      <c r="B46" s="238" t="s">
        <v>706</v>
      </c>
      <c r="C46" s="4" t="str">
        <f t="shared" si="1"/>
        <v>Computer and electronic products - Electronic capacitors, resistors, coils, transformers, connectors and other components (except  semiconductors and printed circuit assemblies)</v>
      </c>
      <c r="D46" s="13">
        <f>VLOOKUP(B46,'2016_Detail_Commodity_v1.1'!$W:$Y,3,FALSE)</f>
        <v>0.20700000000000002</v>
      </c>
      <c r="F46" s="427" t="s">
        <v>1429</v>
      </c>
      <c r="G46" s="231" t="s">
        <v>58</v>
      </c>
      <c r="H46" s="231" t="s">
        <v>503</v>
      </c>
      <c r="I46" s="456" t="s">
        <v>504</v>
      </c>
    </row>
    <row r="47" spans="1:29">
      <c r="A47" s="230" t="s">
        <v>70</v>
      </c>
      <c r="B47" s="238" t="s">
        <v>722</v>
      </c>
      <c r="C47" s="4" t="str">
        <f t="shared" si="1"/>
        <v>Computer and electronic products - Irradiation apparatuses</v>
      </c>
      <c r="D47" s="13">
        <f>VLOOKUP(B47,'2016_Detail_Commodity_v1.1'!$W:$Y,3,FALSE)</f>
        <v>0.19700000000000001</v>
      </c>
      <c r="F47" s="457" t="s">
        <v>1430</v>
      </c>
      <c r="G47" s="231" t="s">
        <v>58</v>
      </c>
      <c r="H47" s="231" t="s">
        <v>523</v>
      </c>
      <c r="I47" s="455" t="s">
        <v>524</v>
      </c>
      <c r="AC47" s="540" t="s">
        <v>3635</v>
      </c>
    </row>
    <row r="48" spans="1:29">
      <c r="A48" s="230" t="s">
        <v>70</v>
      </c>
      <c r="B48" s="239" t="s">
        <v>694</v>
      </c>
      <c r="C48" s="4" t="str">
        <f t="shared" si="1"/>
        <v>Computer and electronic products - Telephones</v>
      </c>
      <c r="D48" s="13">
        <f>VLOOKUP(B48,'2016_Detail_Commodity_v1.1'!$W:$Y,3,FALSE)</f>
        <v>0.19400000000000001</v>
      </c>
      <c r="F48" s="457" t="s">
        <v>1430</v>
      </c>
      <c r="G48" s="231" t="s">
        <v>58</v>
      </c>
      <c r="H48" s="231" t="s">
        <v>515</v>
      </c>
      <c r="I48" s="456" t="s">
        <v>516</v>
      </c>
      <c r="AC48" s="447" t="s">
        <v>1293</v>
      </c>
    </row>
    <row r="49" spans="1:29" ht="28.5">
      <c r="A49" s="230" t="s">
        <v>126</v>
      </c>
      <c r="B49" s="238" t="s">
        <v>974</v>
      </c>
      <c r="C49" s="4" t="str">
        <f t="shared" si="1"/>
        <v>Computer systems design and related services - Computer systems design</v>
      </c>
      <c r="D49" s="13">
        <f>VLOOKUP(B49,'2016_Detail_Commodity_v1.1'!$W:$Y,3,FALSE)</f>
        <v>6.8000000000000005E-2</v>
      </c>
      <c r="F49" s="457" t="s">
        <v>1430</v>
      </c>
      <c r="G49" s="231" t="s">
        <v>70</v>
      </c>
      <c r="H49" s="231" t="s">
        <v>719</v>
      </c>
      <c r="I49" s="455" t="s">
        <v>720</v>
      </c>
      <c r="AC49" s="441" t="s">
        <v>1294</v>
      </c>
    </row>
    <row r="50" spans="1:29" ht="28.5">
      <c r="A50" s="230" t="s">
        <v>126</v>
      </c>
      <c r="B50" s="239" t="s">
        <v>972</v>
      </c>
      <c r="C50" s="4" t="str">
        <f t="shared" si="1"/>
        <v>Computer systems design and related services - Custom computer programming</v>
      </c>
      <c r="D50" s="13">
        <f>VLOOKUP(B50,'2016_Detail_Commodity_v1.1'!$W:$Y,3,FALSE)</f>
        <v>9.1999999999999998E-2</v>
      </c>
      <c r="F50" s="457" t="s">
        <v>1430</v>
      </c>
      <c r="G50" s="231" t="s">
        <v>70</v>
      </c>
      <c r="H50" s="231" t="s">
        <v>699</v>
      </c>
      <c r="I50" s="456" t="s">
        <v>700</v>
      </c>
      <c r="AC50" s="440" t="s">
        <v>1303</v>
      </c>
    </row>
    <row r="51" spans="1:29" ht="28.5">
      <c r="A51" s="230" t="s">
        <v>126</v>
      </c>
      <c r="B51" s="238" t="s">
        <v>976</v>
      </c>
      <c r="C51" s="4" t="str">
        <f t="shared" si="1"/>
        <v>Computer systems design and related services - Other computer related services, including facilities management</v>
      </c>
      <c r="D51" s="13">
        <f>VLOOKUP(B51,'2016_Detail_Commodity_v1.1'!$W:$Y,3,FALSE)</f>
        <v>0.08</v>
      </c>
      <c r="F51" s="427" t="s">
        <v>1429</v>
      </c>
      <c r="G51" s="231" t="s">
        <v>70</v>
      </c>
      <c r="H51" s="231" t="s">
        <v>711</v>
      </c>
      <c r="I51" s="455" t="s">
        <v>712</v>
      </c>
    </row>
    <row r="52" spans="1:29">
      <c r="A52" s="230" t="s">
        <v>42</v>
      </c>
      <c r="B52" s="239" t="s">
        <v>1391</v>
      </c>
      <c r="C52" s="4" t="str">
        <f t="shared" si="1"/>
        <v>Construction - Health care buildings</v>
      </c>
      <c r="D52" s="13">
        <f>VLOOKUP(B52,'2016_Detail_Commodity_v1.1'!$W:$Y,3,FALSE)</f>
        <v>0.28599999999999998</v>
      </c>
      <c r="F52" s="436" t="s">
        <v>1429</v>
      </c>
      <c r="G52" s="231" t="s">
        <v>70</v>
      </c>
      <c r="H52" s="231" t="s">
        <v>697</v>
      </c>
      <c r="I52" s="456" t="s">
        <v>698</v>
      </c>
    </row>
    <row r="53" spans="1:29" ht="28.5">
      <c r="A53" s="230" t="s">
        <v>111</v>
      </c>
      <c r="B53" s="239" t="s">
        <v>930</v>
      </c>
      <c r="C53" s="4" t="str">
        <f t="shared" si="1"/>
        <v>Data processing, internet publishing, and other information services - Data processing and hosting</v>
      </c>
      <c r="D53" s="13">
        <f>VLOOKUP(B53,'2016_Detail_Commodity_v1.1'!$W:$Y,3,FALSE)</f>
        <v>0.17500000000000002</v>
      </c>
      <c r="F53" s="457" t="s">
        <v>1430</v>
      </c>
      <c r="G53" s="231" t="s">
        <v>70</v>
      </c>
      <c r="H53" s="231" t="s">
        <v>689</v>
      </c>
      <c r="I53" s="455" t="s">
        <v>690</v>
      </c>
    </row>
    <row r="54" spans="1:29">
      <c r="A54" s="230"/>
      <c r="B54" s="239" t="s">
        <v>388</v>
      </c>
      <c r="C54" s="342" t="s">
        <v>3568</v>
      </c>
      <c r="D54" s="13">
        <f>VLOOKUP(B54,'2016_Detail_Commodity_v1.1'!$W:$Y,3,FALSE)</f>
        <v>2.0049999999999999</v>
      </c>
      <c r="F54" s="457" t="s">
        <v>1430</v>
      </c>
      <c r="G54" s="231" t="s">
        <v>70</v>
      </c>
      <c r="H54" s="231" t="s">
        <v>691</v>
      </c>
      <c r="I54" s="456" t="s">
        <v>692</v>
      </c>
    </row>
    <row r="55" spans="1:29">
      <c r="A55" s="230"/>
      <c r="B55" s="345" t="s">
        <v>392</v>
      </c>
      <c r="C55" s="345" t="s">
        <v>3542</v>
      </c>
      <c r="D55" s="13">
        <f>VLOOKUP(B55,'2016_Detail_Commodity_v1.1'!$W:$Y,3,FALSE)</f>
        <v>0.96099999999999997</v>
      </c>
      <c r="F55" s="457" t="s">
        <v>1430</v>
      </c>
      <c r="G55" s="231" t="s">
        <v>70</v>
      </c>
      <c r="H55" s="231" t="s">
        <v>687</v>
      </c>
      <c r="I55" s="455" t="s">
        <v>688</v>
      </c>
    </row>
    <row r="56" spans="1:29">
      <c r="A56" s="230"/>
      <c r="B56" s="342" t="s">
        <v>394</v>
      </c>
      <c r="C56" s="342" t="s">
        <v>3543</v>
      </c>
      <c r="D56" s="13">
        <f>VLOOKUP(B56,'2016_Detail_Commodity_v1.1'!$W:$Y,3,FALSE)</f>
        <v>0.42899999999999999</v>
      </c>
      <c r="F56" s="457" t="s">
        <v>1430</v>
      </c>
      <c r="G56" s="231" t="s">
        <v>70</v>
      </c>
      <c r="H56" s="231" t="s">
        <v>707</v>
      </c>
      <c r="I56" s="456" t="s">
        <v>3594</v>
      </c>
    </row>
    <row r="57" spans="1:29">
      <c r="A57" s="230"/>
      <c r="B57" s="345" t="s">
        <v>396</v>
      </c>
      <c r="C57" s="345" t="s">
        <v>3544</v>
      </c>
      <c r="D57" s="13">
        <f>VLOOKUP(B57,'2016_Detail_Commodity_v1.1'!$W:$Y,3,FALSE)</f>
        <v>0.53400000000000003</v>
      </c>
      <c r="F57" s="457" t="s">
        <v>1430</v>
      </c>
      <c r="G57" s="231" t="s">
        <v>70</v>
      </c>
      <c r="H57" s="231" t="s">
        <v>705</v>
      </c>
      <c r="I57" s="455" t="s">
        <v>706</v>
      </c>
    </row>
    <row r="58" spans="1:29">
      <c r="A58" s="230"/>
      <c r="B58" s="342" t="s">
        <v>398</v>
      </c>
      <c r="C58" s="342" t="s">
        <v>3545</v>
      </c>
      <c r="D58" s="13">
        <f>VLOOKUP(B58,'2016_Detail_Commodity_v1.1'!$W:$Y,3,FALSE)</f>
        <v>0.82800000000000007</v>
      </c>
      <c r="F58" s="436" t="s">
        <v>1429</v>
      </c>
      <c r="G58" s="231" t="s">
        <v>70</v>
      </c>
      <c r="H58" s="231" t="s">
        <v>725</v>
      </c>
      <c r="I58" s="456" t="s">
        <v>726</v>
      </c>
    </row>
    <row r="59" spans="1:29">
      <c r="A59" s="230"/>
      <c r="B59" s="345" t="s">
        <v>400</v>
      </c>
      <c r="C59" s="345" t="s">
        <v>3546</v>
      </c>
      <c r="D59" s="13">
        <f>VLOOKUP(B59,'2016_Detail_Commodity_v1.1'!$W:$Y,3,FALSE)</f>
        <v>0.55600000000000005</v>
      </c>
      <c r="F59" s="427" t="s">
        <v>1429</v>
      </c>
      <c r="G59" s="231" t="s">
        <v>70</v>
      </c>
      <c r="H59" s="231" t="s">
        <v>715</v>
      </c>
      <c r="I59" s="455" t="s">
        <v>716</v>
      </c>
    </row>
    <row r="60" spans="1:29">
      <c r="A60" s="230"/>
      <c r="B60" s="342" t="s">
        <v>402</v>
      </c>
      <c r="C60" s="342" t="s">
        <v>3547</v>
      </c>
      <c r="D60" s="13">
        <f>VLOOKUP(B60,'2016_Detail_Commodity_v1.1'!$W:$Y,3,FALSE)</f>
        <v>1.651</v>
      </c>
      <c r="F60" s="436" t="s">
        <v>1429</v>
      </c>
      <c r="G60" s="231" t="s">
        <v>70</v>
      </c>
      <c r="H60" s="231" t="s">
        <v>713</v>
      </c>
      <c r="I60" s="456" t="s">
        <v>714</v>
      </c>
    </row>
    <row r="61" spans="1:29">
      <c r="A61" s="230"/>
      <c r="B61" s="342" t="s">
        <v>404</v>
      </c>
      <c r="C61" s="342" t="s">
        <v>3548</v>
      </c>
      <c r="D61" s="13">
        <f>VLOOKUP(B61,'2016_Detail_Commodity_v1.1'!$W:$Y,3,FALSE)</f>
        <v>1.3559999999999999</v>
      </c>
      <c r="F61" s="457" t="s">
        <v>1430</v>
      </c>
      <c r="G61" s="231" t="s">
        <v>70</v>
      </c>
      <c r="H61" s="231" t="s">
        <v>721</v>
      </c>
      <c r="I61" s="455" t="s">
        <v>722</v>
      </c>
    </row>
    <row r="62" spans="1:29">
      <c r="A62" s="230"/>
      <c r="B62" s="342" t="s">
        <v>406</v>
      </c>
      <c r="C62" s="342" t="s">
        <v>3549</v>
      </c>
      <c r="D62" s="13">
        <f>VLOOKUP(B62,'2016_Detail_Commodity_v1.1'!$W:$Y,3,FALSE)</f>
        <v>1.365</v>
      </c>
      <c r="F62" s="436" t="s">
        <v>1429</v>
      </c>
      <c r="G62" s="231" t="s">
        <v>70</v>
      </c>
      <c r="H62" s="231" t="s">
        <v>709</v>
      </c>
      <c r="I62" s="456" t="s">
        <v>710</v>
      </c>
    </row>
    <row r="63" spans="1:29">
      <c r="A63" s="230"/>
      <c r="B63" s="342" t="s">
        <v>408</v>
      </c>
      <c r="C63" s="342" t="s">
        <v>3550</v>
      </c>
      <c r="D63" s="13">
        <f>VLOOKUP(B63,'2016_Detail_Commodity_v1.1'!$W:$Y,3,FALSE)</f>
        <v>0.65500000000000003</v>
      </c>
      <c r="F63" s="427" t="s">
        <v>1429</v>
      </c>
      <c r="G63" s="231" t="s">
        <v>70</v>
      </c>
      <c r="H63" s="231" t="s">
        <v>703</v>
      </c>
      <c r="I63" s="455" t="s">
        <v>704</v>
      </c>
    </row>
    <row r="64" spans="1:29">
      <c r="A64" s="230"/>
      <c r="B64" s="342" t="s">
        <v>410</v>
      </c>
      <c r="C64" s="342" t="s">
        <v>3551</v>
      </c>
      <c r="D64" s="13">
        <f>VLOOKUP(B64,'2016_Detail_Commodity_v1.1'!$W:$Y,3,FALSE)</f>
        <v>0.96300000000000008</v>
      </c>
      <c r="F64" s="436" t="s">
        <v>1429</v>
      </c>
      <c r="G64" s="231" t="s">
        <v>70</v>
      </c>
      <c r="H64" s="231" t="s">
        <v>701</v>
      </c>
      <c r="I64" s="456" t="s">
        <v>702</v>
      </c>
    </row>
    <row r="65" spans="1:24">
      <c r="A65" s="230"/>
      <c r="B65" s="342" t="s">
        <v>412</v>
      </c>
      <c r="C65" s="342" t="s">
        <v>3552</v>
      </c>
      <c r="D65" s="13">
        <f>VLOOKUP(B65,'2016_Detail_Commodity_v1.1'!$W:$Y,3,FALSE)</f>
        <v>2.0470000000000002</v>
      </c>
      <c r="F65" s="427" t="s">
        <v>1429</v>
      </c>
      <c r="G65" s="231" t="s">
        <v>70</v>
      </c>
      <c r="H65" s="231" t="s">
        <v>717</v>
      </c>
      <c r="I65" s="455" t="s">
        <v>718</v>
      </c>
    </row>
    <row r="66" spans="1:24">
      <c r="A66" s="230"/>
      <c r="B66" s="342" t="s">
        <v>414</v>
      </c>
      <c r="C66" s="342" t="s">
        <v>3553</v>
      </c>
      <c r="D66" s="13">
        <f>VLOOKUP(B66,'2016_Detail_Commodity_v1.1'!$W:$Y,3,FALSE)</f>
        <v>0.41899999999999998</v>
      </c>
      <c r="F66" s="457" t="s">
        <v>1430</v>
      </c>
      <c r="G66" s="231" t="s">
        <v>70</v>
      </c>
      <c r="H66" s="231" t="s">
        <v>693</v>
      </c>
      <c r="I66" s="456" t="s">
        <v>694</v>
      </c>
    </row>
    <row r="67" spans="1:24">
      <c r="A67" s="230"/>
      <c r="B67" s="342" t="s">
        <v>416</v>
      </c>
      <c r="C67" s="342" t="s">
        <v>3554</v>
      </c>
      <c r="D67" s="13">
        <f>VLOOKUP(B67,'2016_Detail_Commodity_v1.1'!$W:$Y,3,FALSE)</f>
        <v>0.316</v>
      </c>
      <c r="F67" s="427" t="s">
        <v>1429</v>
      </c>
      <c r="G67" s="231" t="s">
        <v>70</v>
      </c>
      <c r="H67" s="231" t="s">
        <v>723</v>
      </c>
      <c r="I67" s="455" t="s">
        <v>724</v>
      </c>
      <c r="V67" t="s">
        <v>1427</v>
      </c>
    </row>
    <row r="68" spans="1:24">
      <c r="A68" s="230"/>
      <c r="B68" s="342" t="s">
        <v>418</v>
      </c>
      <c r="C68" s="342" t="s">
        <v>3555</v>
      </c>
      <c r="D68" s="13">
        <f>VLOOKUP(B68,'2016_Detail_Commodity_v1.1'!$W:$Y,3,FALSE)</f>
        <v>0.72400000000000009</v>
      </c>
      <c r="F68" s="436" t="s">
        <v>1429</v>
      </c>
      <c r="G68" s="231" t="s">
        <v>70</v>
      </c>
      <c r="H68" s="231" t="s">
        <v>695</v>
      </c>
      <c r="I68" s="456" t="s">
        <v>696</v>
      </c>
    </row>
    <row r="69" spans="1:24">
      <c r="A69" s="230"/>
      <c r="B69" s="342" t="s">
        <v>420</v>
      </c>
      <c r="C69" s="342" t="s">
        <v>3556</v>
      </c>
      <c r="D69" s="13">
        <f>VLOOKUP(B69,'2016_Detail_Commodity_v1.1'!$W:$Y,3,FALSE)</f>
        <v>0.41399999999999998</v>
      </c>
      <c r="F69" s="457" t="s">
        <v>1430</v>
      </c>
      <c r="G69" s="231" t="s">
        <v>126</v>
      </c>
      <c r="H69" s="231" t="s">
        <v>973</v>
      </c>
      <c r="I69" s="455" t="s">
        <v>974</v>
      </c>
      <c r="X69" s="13"/>
    </row>
    <row r="70" spans="1:24">
      <c r="B70" s="342" t="s">
        <v>422</v>
      </c>
      <c r="C70" s="342" t="s">
        <v>3557</v>
      </c>
      <c r="D70" s="13">
        <f>VLOOKUP(B70,'2016_Detail_Commodity_v1.1'!$W:$Y,3,FALSE)</f>
        <v>0.42299999999999999</v>
      </c>
      <c r="F70" s="457" t="s">
        <v>1430</v>
      </c>
      <c r="G70" s="231" t="s">
        <v>126</v>
      </c>
      <c r="H70" s="231" t="s">
        <v>971</v>
      </c>
      <c r="I70" s="456" t="s">
        <v>972</v>
      </c>
    </row>
    <row r="71" spans="1:24">
      <c r="B71" s="355" t="s">
        <v>424</v>
      </c>
      <c r="C71" s="355" t="s">
        <v>3569</v>
      </c>
      <c r="D71" s="13">
        <f>VLOOKUP(B71,'2016_Detail_Commodity_v1.1'!$W:$Y,3,FALSE)</f>
        <v>0.44400000000000001</v>
      </c>
      <c r="F71" s="457" t="s">
        <v>1430</v>
      </c>
      <c r="G71" s="231" t="s">
        <v>126</v>
      </c>
      <c r="H71" s="231" t="s">
        <v>975</v>
      </c>
      <c r="I71" s="455" t="s">
        <v>976</v>
      </c>
    </row>
    <row r="72" spans="1:24">
      <c r="B72" s="355" t="s">
        <v>426</v>
      </c>
      <c r="C72" s="355" t="s">
        <v>3570</v>
      </c>
      <c r="D72" s="13">
        <f>VLOOKUP(B72,'2016_Detail_Commodity_v1.1'!$W:$Y,3,FALSE)</f>
        <v>0.40900000000000003</v>
      </c>
      <c r="F72" s="427" t="s">
        <v>1429</v>
      </c>
      <c r="G72" s="231" t="s">
        <v>42</v>
      </c>
      <c r="H72" s="231" t="s">
        <v>369</v>
      </c>
      <c r="I72" s="456" t="s">
        <v>370</v>
      </c>
    </row>
    <row r="73" spans="1:24">
      <c r="B73" s="228" t="s">
        <v>317</v>
      </c>
      <c r="C73" s="357" t="s">
        <v>3571</v>
      </c>
      <c r="D73" s="13">
        <f>VLOOKUP(B73,'2016_Detail_Commodity_v1.1'!$W:$Y,3,FALSE)</f>
        <v>0.56600000000000006</v>
      </c>
      <c r="F73" s="427" t="s">
        <v>1429</v>
      </c>
      <c r="G73" s="231" t="s">
        <v>42</v>
      </c>
      <c r="H73" s="231" t="s">
        <v>367</v>
      </c>
      <c r="I73" s="455" t="s">
        <v>368</v>
      </c>
    </row>
    <row r="74" spans="1:24">
      <c r="B74" s="228" t="s">
        <v>315</v>
      </c>
      <c r="C74" s="356" t="s">
        <v>3572</v>
      </c>
      <c r="D74" s="13">
        <f>VLOOKUP(B74,'2016_Detail_Commodity_v1.1'!$W:$Y,3,FALSE)</f>
        <v>0.58799999999999997</v>
      </c>
      <c r="F74" s="457" t="s">
        <v>1430</v>
      </c>
      <c r="G74" s="231" t="s">
        <v>42</v>
      </c>
      <c r="H74" s="231" t="s">
        <v>361</v>
      </c>
      <c r="I74" s="456" t="s">
        <v>362</v>
      </c>
    </row>
    <row r="75" spans="1:24">
      <c r="A75" s="230" t="s">
        <v>77</v>
      </c>
      <c r="B75" s="238" t="s">
        <v>816</v>
      </c>
      <c r="C75" s="4" t="str">
        <f t="shared" ref="C75:C96" si="2">_xlfn.CONCAT(A75," - ",B75)</f>
        <v>Furniture and related products - Institutional furniture</v>
      </c>
      <c r="D75" s="13">
        <f>VLOOKUP(B75,'2016_Detail_Commodity_v1.1'!$W:$Y,3,FALSE)</f>
        <v>0.375</v>
      </c>
      <c r="F75" s="427" t="s">
        <v>1429</v>
      </c>
      <c r="G75" s="231" t="s">
        <v>42</v>
      </c>
      <c r="H75" s="231" t="s">
        <v>363</v>
      </c>
      <c r="I75" s="455" t="s">
        <v>364</v>
      </c>
    </row>
    <row r="76" spans="1:24" ht="28.5">
      <c r="A76" s="230" t="s">
        <v>77</v>
      </c>
      <c r="B76" s="238" t="s">
        <v>822</v>
      </c>
      <c r="C76" s="4" t="str">
        <f t="shared" si="2"/>
        <v>Furniture and related products - Office furniture and custom architectural woodwork and millwork</v>
      </c>
      <c r="D76" s="13">
        <f>VLOOKUP(B76,'2016_Detail_Commodity_v1.1'!$W:$Y,3,FALSE)</f>
        <v>0.371</v>
      </c>
      <c r="F76" s="427" t="s">
        <v>1429</v>
      </c>
      <c r="G76" s="231" t="s">
        <v>42</v>
      </c>
      <c r="H76" s="231" t="s">
        <v>377</v>
      </c>
      <c r="I76" s="456" t="s">
        <v>378</v>
      </c>
    </row>
    <row r="77" spans="1:24" ht="28.5">
      <c r="A77" s="230" t="s">
        <v>68</v>
      </c>
      <c r="B77" s="228" t="s">
        <v>654</v>
      </c>
      <c r="C77" s="4" t="str">
        <f>_xlfn.CONCAT(A77," - ",B77)</f>
        <v>Machinery - Air conditioning, refrigeration, and warm air heating equipment</v>
      </c>
      <c r="D77" s="13">
        <f>VLOOKUP(B77,'2016_Detail_Commodity_v1.1'!$W:$Y,3,FALSE)</f>
        <v>0.65800000000000003</v>
      </c>
      <c r="F77" s="427" t="s">
        <v>1429</v>
      </c>
      <c r="G77" s="231" t="s">
        <v>42</v>
      </c>
      <c r="H77" s="231" t="s">
        <v>357</v>
      </c>
      <c r="I77" s="455" t="s">
        <v>358</v>
      </c>
    </row>
    <row r="78" spans="1:24">
      <c r="A78" s="230" t="s">
        <v>79</v>
      </c>
      <c r="B78" s="239" t="s">
        <v>842</v>
      </c>
      <c r="C78" s="4" t="str">
        <f t="shared" si="2"/>
        <v>Miscellaneous manufacturing - Office supplies (not paper)</v>
      </c>
      <c r="D78" s="13">
        <f>VLOOKUP(B78,'2016_Detail_Commodity_v1.1'!$W:$Y,3,FALSE)</f>
        <v>0.34899999999999998</v>
      </c>
      <c r="F78" s="427" t="s">
        <v>1429</v>
      </c>
      <c r="G78" s="231" t="s">
        <v>42</v>
      </c>
      <c r="H78" s="231" t="s">
        <v>373</v>
      </c>
      <c r="I78" s="456" t="s">
        <v>374</v>
      </c>
    </row>
    <row r="79" spans="1:24">
      <c r="A79" s="230" t="s">
        <v>79</v>
      </c>
      <c r="B79" s="239" t="s">
        <v>826</v>
      </c>
      <c r="C79" s="4" t="str">
        <f t="shared" si="2"/>
        <v>Miscellaneous manufacturing - Surgical and medical instruments</v>
      </c>
      <c r="D79" s="13">
        <f>VLOOKUP(B79,'2016_Detail_Commodity_v1.1'!$W:$Y,3,FALSE)</f>
        <v>0.20799999999999999</v>
      </c>
      <c r="F79" s="427" t="s">
        <v>1429</v>
      </c>
      <c r="G79" s="231" t="s">
        <v>42</v>
      </c>
      <c r="H79" s="231" t="s">
        <v>379</v>
      </c>
      <c r="I79" s="455" t="s">
        <v>380</v>
      </c>
    </row>
    <row r="80" spans="1:24">
      <c r="A80" s="230" t="s">
        <v>79</v>
      </c>
      <c r="B80" s="240" t="s">
        <v>828</v>
      </c>
      <c r="C80" s="4" t="str">
        <f t="shared" si="2"/>
        <v>Miscellaneous manufacturing - Surgical appliance and supplies</v>
      </c>
      <c r="D80" s="13">
        <f>VLOOKUP(B80,'2016_Detail_Commodity_v1.1'!$W:$Y,3,FALSE)</f>
        <v>0.20599999999999999</v>
      </c>
      <c r="F80" s="427" t="s">
        <v>1429</v>
      </c>
      <c r="G80" s="231" t="s">
        <v>42</v>
      </c>
      <c r="H80" s="231" t="s">
        <v>365</v>
      </c>
      <c r="I80" s="456" t="s">
        <v>366</v>
      </c>
    </row>
    <row r="81" spans="1:9" ht="28.5">
      <c r="A81" s="230" t="s">
        <v>124</v>
      </c>
      <c r="B81" s="239" t="s">
        <v>968</v>
      </c>
      <c r="C81" s="4" t="str">
        <f t="shared" si="2"/>
        <v>Miscellaneous professional, scientific, and technical services - Architectural, engineering, and related services</v>
      </c>
      <c r="D81" s="13">
        <f>VLOOKUP(B81,'2016_Detail_Commodity_v1.1'!$W:$Y,3,FALSE)</f>
        <v>0.11800000000000001</v>
      </c>
      <c r="F81" s="427" t="s">
        <v>1429</v>
      </c>
      <c r="G81" s="231" t="s">
        <v>42</v>
      </c>
      <c r="H81" s="231" t="s">
        <v>359</v>
      </c>
      <c r="I81" s="455" t="s">
        <v>360</v>
      </c>
    </row>
    <row r="82" spans="1:9" ht="28.5">
      <c r="A82" s="230" t="s">
        <v>124</v>
      </c>
      <c r="B82" s="238" t="s">
        <v>980</v>
      </c>
      <c r="C82" s="4" t="str">
        <f t="shared" si="2"/>
        <v>Miscellaneous professional, scientific, and technical services - Environmental and other technical consulting services</v>
      </c>
      <c r="D82" s="13">
        <f>VLOOKUP(B82,'2016_Detail_Commodity_v1.1'!$W:$Y,3,FALSE)</f>
        <v>7.1000000000000008E-2</v>
      </c>
      <c r="F82" s="427" t="s">
        <v>1429</v>
      </c>
      <c r="G82" s="231" t="s">
        <v>42</v>
      </c>
      <c r="H82" s="231" t="s">
        <v>375</v>
      </c>
      <c r="I82" s="456" t="s">
        <v>376</v>
      </c>
    </row>
    <row r="83" spans="1:9" ht="28.5">
      <c r="A83" s="230" t="s">
        <v>124</v>
      </c>
      <c r="B83" s="238" t="s">
        <v>982</v>
      </c>
      <c r="C83" s="4" t="str">
        <f t="shared" si="2"/>
        <v>Miscellaneous professional, scientific, and technical services - Scientific research and development</v>
      </c>
      <c r="D83" s="13">
        <f>VLOOKUP(B83,'2016_Detail_Commodity_v1.1'!$W:$Y,3,FALSE)</f>
        <v>0.186</v>
      </c>
      <c r="F83" s="427" t="s">
        <v>1429</v>
      </c>
      <c r="G83" s="231" t="s">
        <v>42</v>
      </c>
      <c r="H83" s="231" t="s">
        <v>371</v>
      </c>
      <c r="I83" s="455" t="s">
        <v>372</v>
      </c>
    </row>
    <row r="84" spans="1:9" ht="28.5">
      <c r="A84" s="230" t="s">
        <v>139</v>
      </c>
      <c r="B84" s="238" t="s">
        <v>1033</v>
      </c>
      <c r="C84" s="4" t="str">
        <f t="shared" si="2"/>
        <v>Nursing and residential care facilities - Nursing and community care facilities</v>
      </c>
      <c r="D84" s="13">
        <f>VLOOKUP(B84,'2016_Detail_Commodity_v1.1'!$W:$Y,3,FALSE)</f>
        <v>0.17200000000000001</v>
      </c>
      <c r="F84" s="457" t="s">
        <v>1430</v>
      </c>
      <c r="G84" s="231" t="s">
        <v>111</v>
      </c>
      <c r="H84" s="231" t="s">
        <v>929</v>
      </c>
      <c r="I84" s="456" t="s">
        <v>930</v>
      </c>
    </row>
    <row r="85" spans="1:9" ht="28.5">
      <c r="A85" s="230" t="s">
        <v>139</v>
      </c>
      <c r="B85" s="239" t="s">
        <v>1035</v>
      </c>
      <c r="C85" s="4" t="str">
        <f t="shared" si="2"/>
        <v>Nursing and residential care facilities - Residential mental retardation, mental health, substance abuse and other facilities</v>
      </c>
      <c r="D85" s="13">
        <f>VLOOKUP(B85,'2016_Detail_Commodity_v1.1'!$W:$Y,3,FALSE)</f>
        <v>0.17100000000000001</v>
      </c>
      <c r="F85" s="427" t="s">
        <v>1429</v>
      </c>
      <c r="G85" s="231" t="s">
        <v>111</v>
      </c>
      <c r="H85" s="231" t="s">
        <v>931</v>
      </c>
      <c r="I85" s="455" t="s">
        <v>932</v>
      </c>
    </row>
    <row r="86" spans="1:9">
      <c r="A86" s="230" t="s">
        <v>151</v>
      </c>
      <c r="B86" s="239" t="s">
        <v>1071</v>
      </c>
      <c r="C86" s="4" t="str">
        <f t="shared" si="2"/>
        <v>Other services, except government - Commercial machinery repair</v>
      </c>
      <c r="D86" s="13">
        <f>VLOOKUP(B86,'2016_Detail_Commodity_v1.1'!$W:$Y,3,FALSE)</f>
        <v>0.13900000000000001</v>
      </c>
      <c r="F86" s="436" t="s">
        <v>1429</v>
      </c>
      <c r="G86" s="231" t="s">
        <v>111</v>
      </c>
      <c r="H86" s="231" t="s">
        <v>933</v>
      </c>
      <c r="I86" s="456" t="s">
        <v>934</v>
      </c>
    </row>
    <row r="87" spans="1:9">
      <c r="A87" s="230" t="s">
        <v>151</v>
      </c>
      <c r="B87" s="238" t="s">
        <v>1079</v>
      </c>
      <c r="C87" s="4" t="str">
        <f t="shared" si="2"/>
        <v>Other services, except government - Dry-cleaning and laundry</v>
      </c>
      <c r="D87" s="13">
        <f>VLOOKUP(B87,'2016_Detail_Commodity_v1.1'!$W:$Y,3,FALSE)</f>
        <v>0.193</v>
      </c>
      <c r="F87" s="427" t="s">
        <v>1429</v>
      </c>
      <c r="G87" s="231" t="s">
        <v>134</v>
      </c>
      <c r="H87" s="231" t="s">
        <v>1013</v>
      </c>
      <c r="I87" s="455" t="s">
        <v>1014</v>
      </c>
    </row>
    <row r="88" spans="1:9" ht="28.5">
      <c r="A88" s="230" t="s">
        <v>151</v>
      </c>
      <c r="B88" s="239" t="s">
        <v>1069</v>
      </c>
      <c r="C88" s="4" t="str">
        <f t="shared" si="2"/>
        <v>Other services, except government - Electronic  equipment repair and maintenance</v>
      </c>
      <c r="D88" s="13">
        <f>VLOOKUP(B88,'2016_Detail_Commodity_v1.1'!$W:$Y,3,FALSE)</f>
        <v>9.7000000000000003E-2</v>
      </c>
      <c r="F88" s="427" t="s">
        <v>1429</v>
      </c>
      <c r="G88" s="231" t="s">
        <v>134</v>
      </c>
      <c r="H88" s="231" t="s">
        <v>1011</v>
      </c>
      <c r="I88" s="456" t="s">
        <v>1012</v>
      </c>
    </row>
    <row r="89" spans="1:9">
      <c r="A89" s="230" t="s">
        <v>52</v>
      </c>
      <c r="B89" s="239" t="s">
        <v>478</v>
      </c>
      <c r="C89" s="4" t="str">
        <f t="shared" si="2"/>
        <v>Paper products - All other converted paper products</v>
      </c>
      <c r="D89" s="13">
        <f>VLOOKUP(B89,'2016_Detail_Commodity_v1.1'!$W:$Y,3,FALSE)</f>
        <v>0.54900000000000004</v>
      </c>
      <c r="F89" s="427" t="s">
        <v>1429</v>
      </c>
      <c r="G89" s="231" t="s">
        <v>134</v>
      </c>
      <c r="H89" s="231" t="s">
        <v>1015</v>
      </c>
      <c r="I89" s="455" t="s">
        <v>1016</v>
      </c>
    </row>
    <row r="90" spans="1:9">
      <c r="A90" s="230" t="s">
        <v>52</v>
      </c>
      <c r="B90" s="238" t="s">
        <v>466</v>
      </c>
      <c r="C90" s="4" t="str">
        <f t="shared" si="2"/>
        <v>Paper products - Paper</v>
      </c>
      <c r="D90" s="13">
        <f>VLOOKUP(B90,'2016_Detail_Commodity_v1.1'!$W:$Y,3,FALSE)</f>
        <v>0.79400000000000004</v>
      </c>
      <c r="F90" s="427" t="s">
        <v>1429</v>
      </c>
      <c r="G90" s="231" t="s">
        <v>72</v>
      </c>
      <c r="H90" s="231" t="s">
        <v>757</v>
      </c>
      <c r="I90" s="456" t="s">
        <v>758</v>
      </c>
    </row>
    <row r="91" spans="1:9">
      <c r="A91" s="230" t="s">
        <v>52</v>
      </c>
      <c r="B91" s="238" t="s">
        <v>476</v>
      </c>
      <c r="C91" s="4" t="str">
        <f t="shared" si="2"/>
        <v>Paper products - Sanitary paper (tissues, napkins, diapers, etc.)</v>
      </c>
      <c r="D91" s="13">
        <f>VLOOKUP(B91,'2016_Detail_Commodity_v1.1'!$W:$Y,3,FALSE)</f>
        <v>0.504</v>
      </c>
      <c r="F91" s="427" t="s">
        <v>1429</v>
      </c>
      <c r="G91" s="231" t="s">
        <v>72</v>
      </c>
      <c r="H91" s="231" t="s">
        <v>753</v>
      </c>
      <c r="I91" s="455" t="s">
        <v>754</v>
      </c>
    </row>
    <row r="92" spans="1:9" ht="28.5">
      <c r="A92" s="230" t="s">
        <v>105</v>
      </c>
      <c r="B92" s="238" t="s">
        <v>908</v>
      </c>
      <c r="C92" s="4" t="str">
        <f t="shared" si="2"/>
        <v>Publishing industries, except internet (includes software) - Magazines and journals</v>
      </c>
      <c r="D92" s="13">
        <f>VLOOKUP(B92,'2016_Detail_Commodity_v1.1'!$W:$Y,3,FALSE)</f>
        <v>0.159</v>
      </c>
      <c r="F92" s="427" t="s">
        <v>1429</v>
      </c>
      <c r="G92" s="231" t="s">
        <v>72</v>
      </c>
      <c r="H92" s="231" t="s">
        <v>733</v>
      </c>
      <c r="I92" s="456" t="s">
        <v>734</v>
      </c>
    </row>
    <row r="93" spans="1:9">
      <c r="A93" s="230" t="s">
        <v>46</v>
      </c>
      <c r="B93" s="239" t="s">
        <v>446</v>
      </c>
      <c r="C93" s="4" t="str">
        <f t="shared" si="2"/>
        <v>Textile mills and textile product mills - Carpets and rugs</v>
      </c>
      <c r="D93" s="13">
        <f>VLOOKUP(B93,'2016_Detail_Commodity_v1.1'!$W:$Y,3,FALSE)</f>
        <v>0.35100000000000003</v>
      </c>
      <c r="F93" s="427" t="s">
        <v>1429</v>
      </c>
      <c r="G93" s="231" t="s">
        <v>72</v>
      </c>
      <c r="H93" s="231" t="s">
        <v>737</v>
      </c>
      <c r="I93" s="455" t="s">
        <v>738</v>
      </c>
    </row>
    <row r="94" spans="1:9">
      <c r="A94" s="230" t="s">
        <v>46</v>
      </c>
      <c r="B94" s="238" t="s">
        <v>448</v>
      </c>
      <c r="C94" s="4" t="str">
        <f t="shared" si="2"/>
        <v>Textile mills and textile product mills - Curtains and linens</v>
      </c>
      <c r="D94" s="13">
        <f>VLOOKUP(B94,'2016_Detail_Commodity_v1.1'!$W:$Y,3,FALSE)</f>
        <v>0.27</v>
      </c>
      <c r="F94" s="427" t="s">
        <v>1429</v>
      </c>
      <c r="G94" s="231" t="s">
        <v>72</v>
      </c>
      <c r="H94" s="231" t="s">
        <v>735</v>
      </c>
      <c r="I94" s="456" t="s">
        <v>736</v>
      </c>
    </row>
    <row r="95" spans="1:9" ht="14.25" customHeight="1">
      <c r="A95" s="230" t="s">
        <v>46</v>
      </c>
      <c r="B95" s="239" t="s">
        <v>442</v>
      </c>
      <c r="C95" s="4" t="str">
        <f t="shared" si="2"/>
        <v>Textile mills and textile product mills - Fabric</v>
      </c>
      <c r="D95" s="13">
        <f>VLOOKUP(B95,'2016_Detail_Commodity_v1.1'!$W:$Y,3,FALSE)</f>
        <v>0.63200000000000001</v>
      </c>
      <c r="F95" s="427" t="s">
        <v>1429</v>
      </c>
      <c r="G95" s="231" t="s">
        <v>72</v>
      </c>
      <c r="H95" s="231" t="s">
        <v>727</v>
      </c>
      <c r="I95" s="455" t="s">
        <v>728</v>
      </c>
    </row>
    <row r="96" spans="1:9">
      <c r="A96" s="230" t="s">
        <v>46</v>
      </c>
      <c r="B96" s="238" t="s">
        <v>450</v>
      </c>
      <c r="C96" s="4" t="str">
        <f t="shared" si="2"/>
        <v>Textile mills and textile product mills - Other textiles</v>
      </c>
      <c r="D96" s="13">
        <f>VLOOKUP(B96,'2016_Detail_Commodity_v1.1'!$W:$Y,3,FALSE)</f>
        <v>0.31100000000000005</v>
      </c>
      <c r="F96" s="427" t="s">
        <v>1429</v>
      </c>
      <c r="G96" s="231" t="s">
        <v>72</v>
      </c>
      <c r="H96" s="231" t="s">
        <v>729</v>
      </c>
      <c r="I96" s="456" t="s">
        <v>730</v>
      </c>
    </row>
    <row r="97" spans="1:9">
      <c r="B97" s="70" t="s">
        <v>1010</v>
      </c>
      <c r="C97" s="261" t="s">
        <v>1010</v>
      </c>
      <c r="D97" s="13">
        <f>VLOOKUP(B97,'2016_Detail_Commodity_v1.1'!$W:$Y,3,FALSE)</f>
        <v>1.4430000000000001</v>
      </c>
      <c r="F97" s="427" t="s">
        <v>1429</v>
      </c>
      <c r="G97" s="231" t="s">
        <v>72</v>
      </c>
      <c r="H97" s="231" t="s">
        <v>739</v>
      </c>
      <c r="I97" s="455" t="s">
        <v>740</v>
      </c>
    </row>
    <row r="98" spans="1:9">
      <c r="F98" s="427" t="s">
        <v>1429</v>
      </c>
      <c r="G98" s="231" t="s">
        <v>72</v>
      </c>
      <c r="H98" s="231" t="s">
        <v>743</v>
      </c>
      <c r="I98" s="456" t="s">
        <v>744</v>
      </c>
    </row>
    <row r="99" spans="1:9">
      <c r="F99" s="427" t="s">
        <v>1429</v>
      </c>
      <c r="G99" s="231" t="s">
        <v>72</v>
      </c>
      <c r="H99" s="231" t="s">
        <v>759</v>
      </c>
      <c r="I99" s="455" t="s">
        <v>760</v>
      </c>
    </row>
    <row r="100" spans="1:9" ht="14.25" customHeight="1">
      <c r="A100" s="389" t="s">
        <v>3616</v>
      </c>
      <c r="F100" s="427" t="s">
        <v>1429</v>
      </c>
      <c r="G100" s="231" t="s">
        <v>72</v>
      </c>
      <c r="H100" s="231" t="s">
        <v>751</v>
      </c>
      <c r="I100" s="456" t="s">
        <v>752</v>
      </c>
    </row>
    <row r="101" spans="1:9" ht="15">
      <c r="A101" s="230" t="s">
        <v>81</v>
      </c>
      <c r="B101" s="238" t="s">
        <v>860</v>
      </c>
      <c r="C101" s="241" t="s">
        <v>1433</v>
      </c>
      <c r="D101" s="13">
        <f>VLOOKUP(B101,'2016_Detail_Commodity_v1.1'!$W:$Y,3,FALSE)+D36</f>
        <v>0.31000000000000005</v>
      </c>
      <c r="E101" s="509"/>
      <c r="F101" s="427" t="s">
        <v>1429</v>
      </c>
      <c r="G101" s="231" t="s">
        <v>72</v>
      </c>
      <c r="H101" s="231" t="s">
        <v>747</v>
      </c>
      <c r="I101" s="455" t="s">
        <v>748</v>
      </c>
    </row>
    <row r="102" spans="1:9" ht="48" customHeight="1">
      <c r="A102" s="230" t="s">
        <v>81</v>
      </c>
      <c r="B102" s="239" t="s">
        <v>858</v>
      </c>
      <c r="C102" s="241" t="s">
        <v>1514</v>
      </c>
      <c r="D102" s="13">
        <f>VLOOKUP(B102,'2016_Detail_Commodity_v1.1'!$W:$Y,3,FALSE)+D80</f>
        <v>0.41399999999999998</v>
      </c>
      <c r="E102" s="509"/>
      <c r="F102" s="427" t="s">
        <v>1429</v>
      </c>
      <c r="G102" s="231" t="s">
        <v>72</v>
      </c>
      <c r="H102" s="231" t="s">
        <v>731</v>
      </c>
      <c r="I102" s="456" t="s">
        <v>732</v>
      </c>
    </row>
    <row r="103" spans="1:9">
      <c r="F103" s="427" t="s">
        <v>1429</v>
      </c>
      <c r="G103" s="231" t="s">
        <v>72</v>
      </c>
      <c r="H103" s="231" t="s">
        <v>741</v>
      </c>
      <c r="I103" s="455" t="s">
        <v>742</v>
      </c>
    </row>
    <row r="104" spans="1:9" ht="39.75" customHeight="1">
      <c r="A104" s="1214" t="s">
        <v>1507</v>
      </c>
      <c r="B104" s="1214"/>
      <c r="C104" s="1214"/>
      <c r="F104" s="427" t="s">
        <v>1429</v>
      </c>
      <c r="G104" s="231" t="s">
        <v>72</v>
      </c>
      <c r="H104" s="231" t="s">
        <v>749</v>
      </c>
      <c r="I104" s="456" t="s">
        <v>750</v>
      </c>
    </row>
    <row r="105" spans="1:9">
      <c r="A105" s="341"/>
      <c r="B105" s="341"/>
      <c r="C105" s="341"/>
      <c r="F105" s="427" t="s">
        <v>1429</v>
      </c>
      <c r="G105" s="231" t="s">
        <v>72</v>
      </c>
      <c r="H105" s="231" t="s">
        <v>745</v>
      </c>
      <c r="I105" s="455" t="s">
        <v>746</v>
      </c>
    </row>
    <row r="106" spans="1:9" ht="39.75" customHeight="1">
      <c r="A106" s="1214" t="s">
        <v>1508</v>
      </c>
      <c r="B106" s="1214"/>
      <c r="C106" s="1214"/>
      <c r="F106" s="427" t="s">
        <v>1429</v>
      </c>
      <c r="G106" s="231" t="s">
        <v>72</v>
      </c>
      <c r="H106" s="231" t="s">
        <v>755</v>
      </c>
      <c r="I106" s="456" t="s">
        <v>756</v>
      </c>
    </row>
    <row r="107" spans="1:9">
      <c r="B107" s="341"/>
      <c r="C107" s="341"/>
      <c r="F107" s="427" t="s">
        <v>1429</v>
      </c>
      <c r="G107" s="231" t="s">
        <v>66</v>
      </c>
      <c r="H107" s="231" t="s">
        <v>595</v>
      </c>
      <c r="I107" s="455" t="s">
        <v>596</v>
      </c>
    </row>
    <row r="108" spans="1:9">
      <c r="F108" s="427" t="s">
        <v>1429</v>
      </c>
      <c r="G108" s="231" t="s">
        <v>66</v>
      </c>
      <c r="H108" s="231" t="s">
        <v>629</v>
      </c>
      <c r="I108" s="456" t="s">
        <v>630</v>
      </c>
    </row>
    <row r="109" spans="1:9">
      <c r="F109" s="427" t="s">
        <v>1429</v>
      </c>
      <c r="G109" s="231" t="s">
        <v>66</v>
      </c>
      <c r="H109" s="231" t="s">
        <v>623</v>
      </c>
      <c r="I109" s="455" t="s">
        <v>624</v>
      </c>
    </row>
    <row r="110" spans="1:9">
      <c r="F110" s="427" t="s">
        <v>1429</v>
      </c>
      <c r="G110" s="231" t="s">
        <v>66</v>
      </c>
      <c r="H110" s="231" t="s">
        <v>591</v>
      </c>
      <c r="I110" s="456" t="s">
        <v>592</v>
      </c>
    </row>
    <row r="111" spans="1:9">
      <c r="F111" s="427" t="s">
        <v>1429</v>
      </c>
      <c r="G111" s="231" t="s">
        <v>66</v>
      </c>
      <c r="H111" s="231" t="s">
        <v>597</v>
      </c>
      <c r="I111" s="455" t="s">
        <v>598</v>
      </c>
    </row>
    <row r="112" spans="1:9">
      <c r="F112" s="427" t="s">
        <v>1429</v>
      </c>
      <c r="G112" s="231" t="s">
        <v>66</v>
      </c>
      <c r="H112" s="231" t="s">
        <v>625</v>
      </c>
      <c r="I112" s="456" t="s">
        <v>626</v>
      </c>
    </row>
    <row r="113" spans="6:9">
      <c r="F113" s="427" t="s">
        <v>1429</v>
      </c>
      <c r="G113" s="231" t="s">
        <v>66</v>
      </c>
      <c r="H113" s="231" t="s">
        <v>605</v>
      </c>
      <c r="I113" s="455" t="s">
        <v>606</v>
      </c>
    </row>
    <row r="114" spans="6:9">
      <c r="F114" s="427" t="s">
        <v>1429</v>
      </c>
      <c r="G114" s="231" t="s">
        <v>66</v>
      </c>
      <c r="H114" s="231" t="s">
        <v>607</v>
      </c>
      <c r="I114" s="456" t="s">
        <v>608</v>
      </c>
    </row>
    <row r="115" spans="6:9">
      <c r="F115" s="427" t="s">
        <v>1429</v>
      </c>
      <c r="G115" s="231" t="s">
        <v>66</v>
      </c>
      <c r="H115" s="231" t="s">
        <v>613</v>
      </c>
      <c r="I115" s="455" t="s">
        <v>614</v>
      </c>
    </row>
    <row r="116" spans="6:9">
      <c r="F116" s="427" t="s">
        <v>1429</v>
      </c>
      <c r="G116" s="231" t="s">
        <v>66</v>
      </c>
      <c r="H116" s="231" t="s">
        <v>617</v>
      </c>
      <c r="I116" s="456" t="s">
        <v>618</v>
      </c>
    </row>
    <row r="117" spans="6:9">
      <c r="F117" s="427" t="s">
        <v>1429</v>
      </c>
      <c r="G117" s="231" t="s">
        <v>66</v>
      </c>
      <c r="H117" s="231" t="s">
        <v>593</v>
      </c>
      <c r="I117" s="455" t="s">
        <v>594</v>
      </c>
    </row>
    <row r="118" spans="6:9">
      <c r="F118" s="427" t="s">
        <v>1429</v>
      </c>
      <c r="G118" s="231" t="s">
        <v>66</v>
      </c>
      <c r="H118" s="231" t="s">
        <v>609</v>
      </c>
      <c r="I118" s="456" t="s">
        <v>610</v>
      </c>
    </row>
    <row r="119" spans="6:9">
      <c r="F119" s="427" t="s">
        <v>1429</v>
      </c>
      <c r="G119" s="231" t="s">
        <v>66</v>
      </c>
      <c r="H119" s="231" t="s">
        <v>619</v>
      </c>
      <c r="I119" s="455" t="s">
        <v>620</v>
      </c>
    </row>
    <row r="120" spans="6:9">
      <c r="F120" s="427" t="s">
        <v>1429</v>
      </c>
      <c r="G120" s="231" t="s">
        <v>66</v>
      </c>
      <c r="H120" s="231" t="s">
        <v>599</v>
      </c>
      <c r="I120" s="456" t="s">
        <v>600</v>
      </c>
    </row>
    <row r="121" spans="6:9">
      <c r="F121" s="427" t="s">
        <v>1429</v>
      </c>
      <c r="G121" s="231" t="s">
        <v>66</v>
      </c>
      <c r="H121" s="231" t="s">
        <v>601</v>
      </c>
      <c r="I121" s="455" t="s">
        <v>602</v>
      </c>
    </row>
    <row r="122" spans="6:9">
      <c r="F122" s="427" t="s">
        <v>1429</v>
      </c>
      <c r="G122" s="231" t="s">
        <v>66</v>
      </c>
      <c r="H122" s="231" t="s">
        <v>627</v>
      </c>
      <c r="I122" s="456" t="s">
        <v>628</v>
      </c>
    </row>
    <row r="123" spans="6:9">
      <c r="F123" s="427" t="s">
        <v>1429</v>
      </c>
      <c r="G123" s="231" t="s">
        <v>66</v>
      </c>
      <c r="H123" s="231" t="s">
        <v>603</v>
      </c>
      <c r="I123" s="455" t="s">
        <v>604</v>
      </c>
    </row>
    <row r="124" spans="6:9">
      <c r="F124" s="427" t="s">
        <v>1429</v>
      </c>
      <c r="G124" s="231" t="s">
        <v>66</v>
      </c>
      <c r="H124" s="231" t="s">
        <v>615</v>
      </c>
      <c r="I124" s="456" t="s">
        <v>616</v>
      </c>
    </row>
    <row r="125" spans="6:9">
      <c r="F125" s="427" t="s">
        <v>1429</v>
      </c>
      <c r="G125" s="231" t="s">
        <v>66</v>
      </c>
      <c r="H125" s="231" t="s">
        <v>611</v>
      </c>
      <c r="I125" s="455" t="s">
        <v>612</v>
      </c>
    </row>
    <row r="126" spans="6:9">
      <c r="F126" s="427" t="s">
        <v>1429</v>
      </c>
      <c r="G126" s="231" t="s">
        <v>66</v>
      </c>
      <c r="H126" s="231" t="s">
        <v>621</v>
      </c>
      <c r="I126" s="456" t="s">
        <v>622</v>
      </c>
    </row>
    <row r="127" spans="6:9">
      <c r="F127" s="427" t="s">
        <v>1429</v>
      </c>
      <c r="G127" s="231" t="s">
        <v>30</v>
      </c>
      <c r="H127" s="231" t="s">
        <v>328</v>
      </c>
      <c r="I127" s="455" t="s">
        <v>329</v>
      </c>
    </row>
    <row r="128" spans="6:9">
      <c r="F128" s="427" t="s">
        <v>1429</v>
      </c>
      <c r="G128" s="231" t="s">
        <v>30</v>
      </c>
      <c r="H128" s="231" t="s">
        <v>324</v>
      </c>
      <c r="I128" s="456" t="s">
        <v>325</v>
      </c>
    </row>
    <row r="129" spans="6:9">
      <c r="F129" s="427" t="s">
        <v>1429</v>
      </c>
      <c r="G129" s="231" t="s">
        <v>30</v>
      </c>
      <c r="H129" s="231" t="s">
        <v>322</v>
      </c>
      <c r="I129" s="455" t="s">
        <v>323</v>
      </c>
    </row>
    <row r="130" spans="6:9">
      <c r="F130" s="427" t="s">
        <v>1429</v>
      </c>
      <c r="G130" s="231" t="s">
        <v>30</v>
      </c>
      <c r="H130" s="231" t="s">
        <v>316</v>
      </c>
      <c r="I130" s="456" t="s">
        <v>317</v>
      </c>
    </row>
    <row r="131" spans="6:9">
      <c r="F131" s="427" t="s">
        <v>1429</v>
      </c>
      <c r="G131" s="231" t="s">
        <v>30</v>
      </c>
      <c r="H131" s="231" t="s">
        <v>310</v>
      </c>
      <c r="I131" s="455" t="s">
        <v>311</v>
      </c>
    </row>
    <row r="132" spans="6:9">
      <c r="F132" s="427" t="s">
        <v>1429</v>
      </c>
      <c r="G132" s="231" t="s">
        <v>30</v>
      </c>
      <c r="H132" s="231" t="s">
        <v>314</v>
      </c>
      <c r="I132" s="456" t="s">
        <v>315</v>
      </c>
    </row>
    <row r="133" spans="6:9">
      <c r="F133" s="427" t="s">
        <v>1429</v>
      </c>
      <c r="G133" s="231" t="s">
        <v>30</v>
      </c>
      <c r="H133" s="231" t="s">
        <v>312</v>
      </c>
      <c r="I133" s="455" t="s">
        <v>313</v>
      </c>
    </row>
    <row r="134" spans="6:9">
      <c r="F134" s="427" t="s">
        <v>1429</v>
      </c>
      <c r="G134" s="231" t="s">
        <v>30</v>
      </c>
      <c r="H134" s="231" t="s">
        <v>318</v>
      </c>
      <c r="I134" s="456" t="s">
        <v>319</v>
      </c>
    </row>
    <row r="135" spans="6:9">
      <c r="F135" s="427" t="s">
        <v>1429</v>
      </c>
      <c r="G135" s="231" t="s">
        <v>30</v>
      </c>
      <c r="H135" s="231" t="s">
        <v>326</v>
      </c>
      <c r="I135" s="455" t="s">
        <v>327</v>
      </c>
    </row>
    <row r="136" spans="6:9">
      <c r="F136" s="427" t="s">
        <v>1429</v>
      </c>
      <c r="G136" s="231" t="s">
        <v>30</v>
      </c>
      <c r="H136" s="231" t="s">
        <v>320</v>
      </c>
      <c r="I136" s="456" t="s">
        <v>321</v>
      </c>
    </row>
    <row r="137" spans="6:9">
      <c r="F137" s="427" t="s">
        <v>1429</v>
      </c>
      <c r="G137" s="231" t="s">
        <v>1404</v>
      </c>
      <c r="H137" s="231" t="s">
        <v>897</v>
      </c>
      <c r="I137" s="455" t="s">
        <v>898</v>
      </c>
    </row>
    <row r="138" spans="6:9">
      <c r="F138" s="427" t="s">
        <v>1429</v>
      </c>
      <c r="G138" s="231" t="s">
        <v>113</v>
      </c>
      <c r="H138" s="231" t="s">
        <v>949</v>
      </c>
      <c r="I138" s="456" t="s">
        <v>950</v>
      </c>
    </row>
    <row r="139" spans="6:9">
      <c r="F139" s="427" t="s">
        <v>1429</v>
      </c>
      <c r="G139" s="231" t="s">
        <v>113</v>
      </c>
      <c r="H139" s="231" t="s">
        <v>935</v>
      </c>
      <c r="I139" s="455" t="s">
        <v>936</v>
      </c>
    </row>
    <row r="140" spans="6:9">
      <c r="F140" s="457" t="s">
        <v>1430</v>
      </c>
      <c r="G140" s="231" t="s">
        <v>44</v>
      </c>
      <c r="H140" s="231" t="s">
        <v>427</v>
      </c>
      <c r="I140" s="456" t="s">
        <v>428</v>
      </c>
    </row>
    <row r="141" spans="6:9">
      <c r="F141" s="427" t="s">
        <v>1429</v>
      </c>
      <c r="G141" s="231" t="s">
        <v>44</v>
      </c>
      <c r="H141" s="231" t="s">
        <v>415</v>
      </c>
      <c r="I141" s="455" t="s">
        <v>416</v>
      </c>
    </row>
    <row r="142" spans="6:9">
      <c r="F142" s="427" t="s">
        <v>1429</v>
      </c>
      <c r="G142" s="231" t="s">
        <v>44</v>
      </c>
      <c r="H142" s="231" t="s">
        <v>393</v>
      </c>
      <c r="I142" s="456" t="s">
        <v>394</v>
      </c>
    </row>
    <row r="143" spans="6:9">
      <c r="F143" s="427" t="s">
        <v>1429</v>
      </c>
      <c r="G143" s="231" t="s">
        <v>44</v>
      </c>
      <c r="H143" s="231" t="s">
        <v>431</v>
      </c>
      <c r="I143" s="455" t="s">
        <v>432</v>
      </c>
    </row>
    <row r="144" spans="6:9">
      <c r="F144" s="427" t="s">
        <v>1429</v>
      </c>
      <c r="G144" s="231" t="s">
        <v>44</v>
      </c>
      <c r="H144" s="231" t="s">
        <v>401</v>
      </c>
      <c r="I144" s="456" t="s">
        <v>402</v>
      </c>
    </row>
    <row r="145" spans="6:9">
      <c r="F145" s="427" t="s">
        <v>1429</v>
      </c>
      <c r="G145" s="231" t="s">
        <v>44</v>
      </c>
      <c r="H145" s="231" t="s">
        <v>421</v>
      </c>
      <c r="I145" s="455" t="s">
        <v>422</v>
      </c>
    </row>
    <row r="146" spans="6:9">
      <c r="F146" s="427" t="s">
        <v>1429</v>
      </c>
      <c r="G146" s="231" t="s">
        <v>44</v>
      </c>
      <c r="H146" s="231" t="s">
        <v>417</v>
      </c>
      <c r="I146" s="456" t="s">
        <v>418</v>
      </c>
    </row>
    <row r="147" spans="6:9">
      <c r="F147" s="427" t="s">
        <v>1429</v>
      </c>
      <c r="G147" s="231" t="s">
        <v>44</v>
      </c>
      <c r="H147" s="231" t="s">
        <v>387</v>
      </c>
      <c r="I147" s="455" t="s">
        <v>388</v>
      </c>
    </row>
    <row r="148" spans="6:9">
      <c r="F148" s="427" t="s">
        <v>1429</v>
      </c>
      <c r="G148" s="231" t="s">
        <v>44</v>
      </c>
      <c r="H148" s="231" t="s">
        <v>435</v>
      </c>
      <c r="I148" s="456" t="s">
        <v>436</v>
      </c>
    </row>
    <row r="149" spans="6:9">
      <c r="F149" s="427" t="s">
        <v>1429</v>
      </c>
      <c r="G149" s="231" t="s">
        <v>44</v>
      </c>
      <c r="H149" s="231" t="s">
        <v>381</v>
      </c>
      <c r="I149" s="455" t="s">
        <v>382</v>
      </c>
    </row>
    <row r="150" spans="6:9">
      <c r="F150" s="427" t="s">
        <v>1429</v>
      </c>
      <c r="G150" s="231" t="s">
        <v>44</v>
      </c>
      <c r="H150" s="231" t="s">
        <v>403</v>
      </c>
      <c r="I150" s="456" t="s">
        <v>404</v>
      </c>
    </row>
    <row r="151" spans="6:9">
      <c r="F151" s="427" t="s">
        <v>1429</v>
      </c>
      <c r="G151" s="231" t="s">
        <v>44</v>
      </c>
      <c r="H151" s="231" t="s">
        <v>423</v>
      </c>
      <c r="I151" s="455" t="s">
        <v>424</v>
      </c>
    </row>
    <row r="152" spans="6:9">
      <c r="F152" s="427" t="s">
        <v>1429</v>
      </c>
      <c r="G152" s="231" t="s">
        <v>44</v>
      </c>
      <c r="H152" s="231" t="s">
        <v>385</v>
      </c>
      <c r="I152" s="456" t="s">
        <v>386</v>
      </c>
    </row>
    <row r="153" spans="6:9">
      <c r="F153" s="427" t="s">
        <v>1429</v>
      </c>
      <c r="G153" s="231" t="s">
        <v>44</v>
      </c>
      <c r="H153" s="231" t="s">
        <v>405</v>
      </c>
      <c r="I153" s="455" t="s">
        <v>406</v>
      </c>
    </row>
    <row r="154" spans="6:9">
      <c r="F154" s="427" t="s">
        <v>1429</v>
      </c>
      <c r="G154" s="231" t="s">
        <v>44</v>
      </c>
      <c r="H154" s="231" t="s">
        <v>397</v>
      </c>
      <c r="I154" s="456" t="s">
        <v>398</v>
      </c>
    </row>
    <row r="155" spans="6:9">
      <c r="F155" s="427" t="s">
        <v>1429</v>
      </c>
      <c r="G155" s="231" t="s">
        <v>44</v>
      </c>
      <c r="H155" s="231" t="s">
        <v>399</v>
      </c>
      <c r="I155" s="455" t="s">
        <v>400</v>
      </c>
    </row>
    <row r="156" spans="6:9">
      <c r="F156" s="427" t="s">
        <v>1429</v>
      </c>
      <c r="G156" s="231" t="s">
        <v>44</v>
      </c>
      <c r="H156" s="231" t="s">
        <v>407</v>
      </c>
      <c r="I156" s="456" t="s">
        <v>408</v>
      </c>
    </row>
    <row r="157" spans="6:9">
      <c r="F157" s="427" t="s">
        <v>1429</v>
      </c>
      <c r="G157" s="231" t="s">
        <v>44</v>
      </c>
      <c r="H157" s="231" t="s">
        <v>383</v>
      </c>
      <c r="I157" s="455" t="s">
        <v>384</v>
      </c>
    </row>
    <row r="158" spans="6:9">
      <c r="F158" s="427" t="s">
        <v>1429</v>
      </c>
      <c r="G158" s="231" t="s">
        <v>44</v>
      </c>
      <c r="H158" s="231" t="s">
        <v>411</v>
      </c>
      <c r="I158" s="456" t="s">
        <v>412</v>
      </c>
    </row>
    <row r="159" spans="6:9">
      <c r="F159" s="427" t="s">
        <v>1429</v>
      </c>
      <c r="G159" s="231" t="s">
        <v>44</v>
      </c>
      <c r="H159" s="231" t="s">
        <v>409</v>
      </c>
      <c r="I159" s="455" t="s">
        <v>410</v>
      </c>
    </row>
    <row r="160" spans="6:9">
      <c r="F160" s="427" t="s">
        <v>1429</v>
      </c>
      <c r="G160" s="231" t="s">
        <v>44</v>
      </c>
      <c r="H160" s="231" t="s">
        <v>391</v>
      </c>
      <c r="I160" s="456" t="s">
        <v>392</v>
      </c>
    </row>
    <row r="161" spans="6:9">
      <c r="F161" s="427" t="s">
        <v>1429</v>
      </c>
      <c r="G161" s="231" t="s">
        <v>44</v>
      </c>
      <c r="H161" s="231" t="s">
        <v>413</v>
      </c>
      <c r="I161" s="455" t="s">
        <v>414</v>
      </c>
    </row>
    <row r="162" spans="6:9">
      <c r="F162" s="427" t="s">
        <v>1429</v>
      </c>
      <c r="G162" s="231" t="s">
        <v>44</v>
      </c>
      <c r="H162" s="231" t="s">
        <v>425</v>
      </c>
      <c r="I162" s="456" t="s">
        <v>426</v>
      </c>
    </row>
    <row r="163" spans="6:9">
      <c r="F163" s="427" t="s">
        <v>1429</v>
      </c>
      <c r="G163" s="231" t="s">
        <v>44</v>
      </c>
      <c r="H163" s="231" t="s">
        <v>419</v>
      </c>
      <c r="I163" s="455" t="s">
        <v>420</v>
      </c>
    </row>
    <row r="164" spans="6:9">
      <c r="F164" s="427" t="s">
        <v>1429</v>
      </c>
      <c r="G164" s="231" t="s">
        <v>44</v>
      </c>
      <c r="H164" s="231" t="s">
        <v>429</v>
      </c>
      <c r="I164" s="456" t="s">
        <v>430</v>
      </c>
    </row>
    <row r="165" spans="6:9">
      <c r="F165" s="427" t="s">
        <v>1429</v>
      </c>
      <c r="G165" s="231" t="s">
        <v>44</v>
      </c>
      <c r="H165" s="231" t="s">
        <v>389</v>
      </c>
      <c r="I165" s="455" t="s">
        <v>390</v>
      </c>
    </row>
    <row r="166" spans="6:9">
      <c r="F166" s="427" t="s">
        <v>1429</v>
      </c>
      <c r="G166" s="231" t="s">
        <v>44</v>
      </c>
      <c r="H166" s="231" t="s">
        <v>395</v>
      </c>
      <c r="I166" s="456" t="s">
        <v>396</v>
      </c>
    </row>
    <row r="167" spans="6:9">
      <c r="F167" s="427" t="s">
        <v>1429</v>
      </c>
      <c r="G167" s="231" t="s">
        <v>44</v>
      </c>
      <c r="H167" s="231" t="s">
        <v>437</v>
      </c>
      <c r="I167" s="455" t="s">
        <v>438</v>
      </c>
    </row>
    <row r="168" spans="6:9">
      <c r="F168" s="427" t="s">
        <v>1429</v>
      </c>
      <c r="G168" s="231" t="s">
        <v>44</v>
      </c>
      <c r="H168" s="231" t="s">
        <v>433</v>
      </c>
      <c r="I168" s="456" t="s">
        <v>434</v>
      </c>
    </row>
    <row r="169" spans="6:9">
      <c r="F169" s="427" t="s">
        <v>1429</v>
      </c>
      <c r="G169" s="231" t="s">
        <v>19</v>
      </c>
      <c r="H169" s="231" t="s">
        <v>873</v>
      </c>
      <c r="I169" s="455" t="s">
        <v>19</v>
      </c>
    </row>
    <row r="170" spans="6:9">
      <c r="F170" s="427" t="s">
        <v>1429</v>
      </c>
      <c r="G170" s="231" t="s">
        <v>149</v>
      </c>
      <c r="H170" s="231" t="s">
        <v>1064</v>
      </c>
      <c r="I170" s="456" t="s">
        <v>1065</v>
      </c>
    </row>
    <row r="171" spans="6:9">
      <c r="F171" s="427" t="s">
        <v>1429</v>
      </c>
      <c r="G171" s="231" t="s">
        <v>149</v>
      </c>
      <c r="H171" s="231" t="s">
        <v>1060</v>
      </c>
      <c r="I171" s="455" t="s">
        <v>1061</v>
      </c>
    </row>
    <row r="172" spans="6:9">
      <c r="F172" s="427" t="s">
        <v>1429</v>
      </c>
      <c r="G172" s="231" t="s">
        <v>149</v>
      </c>
      <c r="H172" s="231" t="s">
        <v>1062</v>
      </c>
      <c r="I172" s="456" t="s">
        <v>1063</v>
      </c>
    </row>
    <row r="173" spans="6:9">
      <c r="F173" s="427" t="s">
        <v>1429</v>
      </c>
      <c r="G173" s="231" t="s">
        <v>32</v>
      </c>
      <c r="H173" s="231" t="s">
        <v>334</v>
      </c>
      <c r="I173" s="455" t="s">
        <v>335</v>
      </c>
    </row>
    <row r="174" spans="6:9">
      <c r="F174" s="427" t="s">
        <v>1429</v>
      </c>
      <c r="G174" s="231" t="s">
        <v>32</v>
      </c>
      <c r="H174" s="231" t="s">
        <v>330</v>
      </c>
      <c r="I174" s="456" t="s">
        <v>331</v>
      </c>
    </row>
    <row r="175" spans="6:9">
      <c r="F175" s="427" t="s">
        <v>1429</v>
      </c>
      <c r="G175" s="231" t="s">
        <v>32</v>
      </c>
      <c r="H175" s="231" t="s">
        <v>332</v>
      </c>
      <c r="I175" s="455" t="s">
        <v>333</v>
      </c>
    </row>
    <row r="176" spans="6:9">
      <c r="F176" s="427" t="s">
        <v>1429</v>
      </c>
      <c r="G176" s="231" t="s">
        <v>119</v>
      </c>
      <c r="H176" s="231" t="s">
        <v>947</v>
      </c>
      <c r="I176" s="456" t="s">
        <v>948</v>
      </c>
    </row>
    <row r="177" spans="6:9">
      <c r="F177" s="427" t="s">
        <v>1429</v>
      </c>
      <c r="G177" s="231" t="s">
        <v>77</v>
      </c>
      <c r="H177" s="231" t="s">
        <v>811</v>
      </c>
      <c r="I177" s="455" t="s">
        <v>812</v>
      </c>
    </row>
    <row r="178" spans="6:9">
      <c r="F178" s="427" t="s">
        <v>1429</v>
      </c>
      <c r="G178" s="231" t="s">
        <v>77</v>
      </c>
      <c r="H178" s="231" t="s">
        <v>813</v>
      </c>
      <c r="I178" s="456" t="s">
        <v>814</v>
      </c>
    </row>
    <row r="179" spans="6:9">
      <c r="F179" s="457" t="s">
        <v>1430</v>
      </c>
      <c r="G179" s="231" t="s">
        <v>77</v>
      </c>
      <c r="H179" s="231" t="s">
        <v>815</v>
      </c>
      <c r="I179" s="455" t="s">
        <v>816</v>
      </c>
    </row>
    <row r="180" spans="6:9">
      <c r="F180" s="427" t="s">
        <v>1429</v>
      </c>
      <c r="G180" s="231" t="s">
        <v>77</v>
      </c>
      <c r="H180" s="231" t="s">
        <v>823</v>
      </c>
      <c r="I180" s="456" t="s">
        <v>824</v>
      </c>
    </row>
    <row r="181" spans="6:9">
      <c r="F181" s="457" t="s">
        <v>1430</v>
      </c>
      <c r="G181" s="231" t="s">
        <v>77</v>
      </c>
      <c r="H181" s="231" t="s">
        <v>821</v>
      </c>
      <c r="I181" s="455" t="s">
        <v>822</v>
      </c>
    </row>
    <row r="182" spans="6:9">
      <c r="F182" s="427" t="s">
        <v>1429</v>
      </c>
      <c r="G182" s="231" t="s">
        <v>77</v>
      </c>
      <c r="H182" s="231" t="s">
        <v>817</v>
      </c>
      <c r="I182" s="456" t="s">
        <v>818</v>
      </c>
    </row>
    <row r="183" spans="6:9">
      <c r="F183" s="427" t="s">
        <v>1429</v>
      </c>
      <c r="G183" s="231" t="s">
        <v>77</v>
      </c>
      <c r="H183" s="231" t="s">
        <v>819</v>
      </c>
      <c r="I183" s="455" t="s">
        <v>820</v>
      </c>
    </row>
    <row r="184" spans="6:9">
      <c r="F184" s="427" t="s">
        <v>1429</v>
      </c>
      <c r="G184" s="231" t="s">
        <v>77</v>
      </c>
      <c r="H184" s="231" t="s">
        <v>809</v>
      </c>
      <c r="I184" s="456" t="s">
        <v>810</v>
      </c>
    </row>
    <row r="185" spans="6:9">
      <c r="F185" s="427" t="s">
        <v>1429</v>
      </c>
      <c r="G185" s="231" t="s">
        <v>20</v>
      </c>
      <c r="H185" s="231" t="s">
        <v>880</v>
      </c>
      <c r="I185" s="455" t="s">
        <v>20</v>
      </c>
    </row>
    <row r="186" spans="6:9">
      <c r="F186" s="427" t="s">
        <v>1429</v>
      </c>
      <c r="G186" s="231" t="s">
        <v>23</v>
      </c>
      <c r="H186" s="231" t="s">
        <v>1031</v>
      </c>
      <c r="I186" s="456" t="s">
        <v>23</v>
      </c>
    </row>
    <row r="187" spans="6:9">
      <c r="F187" s="427" t="s">
        <v>1429</v>
      </c>
      <c r="G187" s="231" t="s">
        <v>153</v>
      </c>
      <c r="H187" s="231" t="s">
        <v>951</v>
      </c>
      <c r="I187" s="455" t="s">
        <v>952</v>
      </c>
    </row>
    <row r="188" spans="6:9">
      <c r="F188" s="427" t="s">
        <v>1429</v>
      </c>
      <c r="G188" s="231" t="s">
        <v>153</v>
      </c>
      <c r="H188" s="231" t="s">
        <v>953</v>
      </c>
      <c r="I188" s="456" t="s">
        <v>954</v>
      </c>
    </row>
    <row r="189" spans="6:9">
      <c r="F189" s="427" t="s">
        <v>1429</v>
      </c>
      <c r="G189" s="231" t="s">
        <v>117</v>
      </c>
      <c r="H189" s="231" t="s">
        <v>941</v>
      </c>
      <c r="I189" s="455" t="s">
        <v>942</v>
      </c>
    </row>
    <row r="190" spans="6:9">
      <c r="F190" s="427" t="s">
        <v>1429</v>
      </c>
      <c r="G190" s="231" t="s">
        <v>117</v>
      </c>
      <c r="H190" s="231" t="s">
        <v>945</v>
      </c>
      <c r="I190" s="456" t="s">
        <v>946</v>
      </c>
    </row>
    <row r="191" spans="6:9">
      <c r="F191" s="427" t="s">
        <v>1429</v>
      </c>
      <c r="G191" s="231" t="s">
        <v>117</v>
      </c>
      <c r="H191" s="231" t="s">
        <v>943</v>
      </c>
      <c r="I191" s="455" t="s">
        <v>944</v>
      </c>
    </row>
    <row r="192" spans="6:9">
      <c r="F192" s="427" t="s">
        <v>1429</v>
      </c>
      <c r="G192" s="231" t="s">
        <v>22</v>
      </c>
      <c r="H192" s="231" t="s">
        <v>964</v>
      </c>
      <c r="I192" s="456" t="s">
        <v>22</v>
      </c>
    </row>
    <row r="193" spans="6:9">
      <c r="F193" s="427" t="s">
        <v>1429</v>
      </c>
      <c r="G193" s="231" t="s">
        <v>68</v>
      </c>
      <c r="H193" s="231" t="s">
        <v>671</v>
      </c>
      <c r="I193" s="455" t="s">
        <v>672</v>
      </c>
    </row>
    <row r="194" spans="6:9">
      <c r="F194" s="458" t="s">
        <v>1430</v>
      </c>
      <c r="G194" s="231" t="s">
        <v>68</v>
      </c>
      <c r="H194" s="231" t="s">
        <v>653</v>
      </c>
      <c r="I194" s="456" t="s">
        <v>654</v>
      </c>
    </row>
    <row r="195" spans="6:9">
      <c r="F195" s="427" t="s">
        <v>1429</v>
      </c>
      <c r="G195" s="231" t="s">
        <v>68</v>
      </c>
      <c r="H195" s="231" t="s">
        <v>635</v>
      </c>
      <c r="I195" s="455" t="s">
        <v>636</v>
      </c>
    </row>
    <row r="196" spans="6:9">
      <c r="F196" s="427" t="s">
        <v>1429</v>
      </c>
      <c r="G196" s="231" t="s">
        <v>68</v>
      </c>
      <c r="H196" s="231" t="s">
        <v>661</v>
      </c>
      <c r="I196" s="456" t="s">
        <v>662</v>
      </c>
    </row>
    <row r="197" spans="6:9">
      <c r="F197" s="427" t="s">
        <v>1429</v>
      </c>
      <c r="G197" s="231" t="s">
        <v>68</v>
      </c>
      <c r="H197" s="231" t="s">
        <v>631</v>
      </c>
      <c r="I197" s="455" t="s">
        <v>632</v>
      </c>
    </row>
    <row r="198" spans="6:9">
      <c r="F198" s="427" t="s">
        <v>1429</v>
      </c>
      <c r="G198" s="231" t="s">
        <v>68</v>
      </c>
      <c r="H198" s="231" t="s">
        <v>651</v>
      </c>
      <c r="I198" s="456" t="s">
        <v>652</v>
      </c>
    </row>
    <row r="199" spans="6:9">
      <c r="F199" s="427" t="s">
        <v>1429</v>
      </c>
      <c r="G199" s="231" t="s">
        <v>68</v>
      </c>
      <c r="H199" s="231" t="s">
        <v>685</v>
      </c>
      <c r="I199" s="455" t="s">
        <v>686</v>
      </c>
    </row>
    <row r="200" spans="6:9">
      <c r="F200" s="427" t="s">
        <v>1429</v>
      </c>
      <c r="G200" s="231" t="s">
        <v>68</v>
      </c>
      <c r="H200" s="231" t="s">
        <v>649</v>
      </c>
      <c r="I200" s="456" t="s">
        <v>650</v>
      </c>
    </row>
    <row r="201" spans="6:9">
      <c r="F201" s="427" t="s">
        <v>1429</v>
      </c>
      <c r="G201" s="231" t="s">
        <v>68</v>
      </c>
      <c r="H201" s="231" t="s">
        <v>655</v>
      </c>
      <c r="I201" s="455" t="s">
        <v>656</v>
      </c>
    </row>
    <row r="202" spans="6:9">
      <c r="F202" s="427" t="s">
        <v>1429</v>
      </c>
      <c r="G202" s="231" t="s">
        <v>68</v>
      </c>
      <c r="H202" s="231" t="s">
        <v>681</v>
      </c>
      <c r="I202" s="456" t="s">
        <v>682</v>
      </c>
    </row>
    <row r="203" spans="6:9">
      <c r="F203" s="427" t="s">
        <v>1429</v>
      </c>
      <c r="G203" s="231" t="s">
        <v>68</v>
      </c>
      <c r="H203" s="231" t="s">
        <v>633</v>
      </c>
      <c r="I203" s="455" t="s">
        <v>634</v>
      </c>
    </row>
    <row r="204" spans="6:9">
      <c r="F204" s="427" t="s">
        <v>1429</v>
      </c>
      <c r="G204" s="231" t="s">
        <v>68</v>
      </c>
      <c r="H204" s="231" t="s">
        <v>659</v>
      </c>
      <c r="I204" s="456" t="s">
        <v>660</v>
      </c>
    </row>
    <row r="205" spans="6:9">
      <c r="F205" s="427" t="s">
        <v>1429</v>
      </c>
      <c r="G205" s="231" t="s">
        <v>68</v>
      </c>
      <c r="H205" s="231" t="s">
        <v>641</v>
      </c>
      <c r="I205" s="455" t="s">
        <v>642</v>
      </c>
    </row>
    <row r="206" spans="6:9">
      <c r="F206" s="427" t="s">
        <v>1429</v>
      </c>
      <c r="G206" s="231" t="s">
        <v>68</v>
      </c>
      <c r="H206" s="231" t="s">
        <v>675</v>
      </c>
      <c r="I206" s="456" t="s">
        <v>676</v>
      </c>
    </row>
    <row r="207" spans="6:9">
      <c r="F207" s="427" t="s">
        <v>1429</v>
      </c>
      <c r="G207" s="231" t="s">
        <v>68</v>
      </c>
      <c r="H207" s="231" t="s">
        <v>667</v>
      </c>
      <c r="I207" s="455" t="s">
        <v>668</v>
      </c>
    </row>
    <row r="208" spans="6:9">
      <c r="F208" s="427" t="s">
        <v>1429</v>
      </c>
      <c r="G208" s="231" t="s">
        <v>68</v>
      </c>
      <c r="H208" s="231" t="s">
        <v>637</v>
      </c>
      <c r="I208" s="456" t="s">
        <v>638</v>
      </c>
    </row>
    <row r="209" spans="6:9">
      <c r="F209" s="427" t="s">
        <v>1429</v>
      </c>
      <c r="G209" s="231" t="s">
        <v>68</v>
      </c>
      <c r="H209" s="231" t="s">
        <v>643</v>
      </c>
      <c r="I209" s="455" t="s">
        <v>644</v>
      </c>
    </row>
    <row r="210" spans="6:9">
      <c r="F210" s="427" t="s">
        <v>1429</v>
      </c>
      <c r="G210" s="231" t="s">
        <v>68</v>
      </c>
      <c r="H210" s="231" t="s">
        <v>647</v>
      </c>
      <c r="I210" s="456" t="s">
        <v>648</v>
      </c>
    </row>
    <row r="211" spans="6:9">
      <c r="F211" s="427" t="s">
        <v>1429</v>
      </c>
      <c r="G211" s="231" t="s">
        <v>68</v>
      </c>
      <c r="H211" s="231" t="s">
        <v>669</v>
      </c>
      <c r="I211" s="455" t="s">
        <v>670</v>
      </c>
    </row>
    <row r="212" spans="6:9">
      <c r="F212" s="427" t="s">
        <v>1429</v>
      </c>
      <c r="G212" s="231" t="s">
        <v>68</v>
      </c>
      <c r="H212" s="231" t="s">
        <v>679</v>
      </c>
      <c r="I212" s="456" t="s">
        <v>680</v>
      </c>
    </row>
    <row r="213" spans="6:9">
      <c r="F213" s="427" t="s">
        <v>1429</v>
      </c>
      <c r="G213" s="231" t="s">
        <v>68</v>
      </c>
      <c r="H213" s="231" t="s">
        <v>645</v>
      </c>
      <c r="I213" s="455" t="s">
        <v>646</v>
      </c>
    </row>
    <row r="214" spans="6:9">
      <c r="F214" s="427" t="s">
        <v>1429</v>
      </c>
      <c r="G214" s="231" t="s">
        <v>68</v>
      </c>
      <c r="H214" s="231" t="s">
        <v>677</v>
      </c>
      <c r="I214" s="456" t="s">
        <v>678</v>
      </c>
    </row>
    <row r="215" spans="6:9">
      <c r="F215" s="427" t="s">
        <v>1429</v>
      </c>
      <c r="G215" s="231" t="s">
        <v>68</v>
      </c>
      <c r="H215" s="231" t="s">
        <v>673</v>
      </c>
      <c r="I215" s="455" t="s">
        <v>674</v>
      </c>
    </row>
    <row r="216" spans="6:9">
      <c r="F216" s="427" t="s">
        <v>1429</v>
      </c>
      <c r="G216" s="231" t="s">
        <v>68</v>
      </c>
      <c r="H216" s="231" t="s">
        <v>639</v>
      </c>
      <c r="I216" s="456" t="s">
        <v>640</v>
      </c>
    </row>
    <row r="217" spans="6:9">
      <c r="F217" s="427" t="s">
        <v>1429</v>
      </c>
      <c r="G217" s="231" t="s">
        <v>68</v>
      </c>
      <c r="H217" s="231" t="s">
        <v>657</v>
      </c>
      <c r="I217" s="455" t="s">
        <v>658</v>
      </c>
    </row>
    <row r="218" spans="6:9">
      <c r="F218" s="427" t="s">
        <v>1429</v>
      </c>
      <c r="G218" s="231" t="s">
        <v>68</v>
      </c>
      <c r="H218" s="231" t="s">
        <v>665</v>
      </c>
      <c r="I218" s="456" t="s">
        <v>666</v>
      </c>
    </row>
    <row r="219" spans="6:9">
      <c r="F219" s="427" t="s">
        <v>1429</v>
      </c>
      <c r="G219" s="231" t="s">
        <v>68</v>
      </c>
      <c r="H219" s="231" t="s">
        <v>663</v>
      </c>
      <c r="I219" s="455" t="s">
        <v>664</v>
      </c>
    </row>
    <row r="220" spans="6:9">
      <c r="F220" s="427" t="s">
        <v>1429</v>
      </c>
      <c r="G220" s="231" t="s">
        <v>68</v>
      </c>
      <c r="H220" s="231" t="s">
        <v>683</v>
      </c>
      <c r="I220" s="456" t="s">
        <v>684</v>
      </c>
    </row>
    <row r="221" spans="6:9">
      <c r="F221" s="427" t="s">
        <v>1429</v>
      </c>
      <c r="G221" s="231" t="s">
        <v>128</v>
      </c>
      <c r="H221" s="231" t="s">
        <v>991</v>
      </c>
      <c r="I221" s="455" t="s">
        <v>992</v>
      </c>
    </row>
    <row r="222" spans="6:9">
      <c r="F222" s="427" t="s">
        <v>1429</v>
      </c>
      <c r="G222" s="231" t="s">
        <v>36</v>
      </c>
      <c r="H222" s="231" t="s">
        <v>338</v>
      </c>
      <c r="I222" s="456" t="s">
        <v>339</v>
      </c>
    </row>
    <row r="223" spans="6:9">
      <c r="F223" s="427" t="s">
        <v>1429</v>
      </c>
      <c r="G223" s="231" t="s">
        <v>36</v>
      </c>
      <c r="H223" s="231" t="s">
        <v>340</v>
      </c>
      <c r="I223" s="455" t="s">
        <v>341</v>
      </c>
    </row>
    <row r="224" spans="6:9">
      <c r="F224" s="427" t="s">
        <v>1429</v>
      </c>
      <c r="G224" s="231" t="s">
        <v>36</v>
      </c>
      <c r="H224" s="231" t="s">
        <v>344</v>
      </c>
      <c r="I224" s="456" t="s">
        <v>345</v>
      </c>
    </row>
    <row r="225" spans="6:9">
      <c r="F225" s="427" t="s">
        <v>1429</v>
      </c>
      <c r="G225" s="231" t="s">
        <v>36</v>
      </c>
      <c r="H225" s="231" t="s">
        <v>342</v>
      </c>
      <c r="I225" s="455" t="s">
        <v>343</v>
      </c>
    </row>
    <row r="226" spans="6:9">
      <c r="F226" s="427" t="s">
        <v>1429</v>
      </c>
      <c r="G226" s="231" t="s">
        <v>36</v>
      </c>
      <c r="H226" s="231" t="s">
        <v>346</v>
      </c>
      <c r="I226" s="456" t="s">
        <v>347</v>
      </c>
    </row>
    <row r="227" spans="6:9">
      <c r="F227" s="427" t="s">
        <v>1429</v>
      </c>
      <c r="G227" s="231" t="s">
        <v>79</v>
      </c>
      <c r="H227" s="231" t="s">
        <v>829</v>
      </c>
      <c r="I227" s="455" t="s">
        <v>830</v>
      </c>
    </row>
    <row r="228" spans="6:9">
      <c r="F228" s="427" t="s">
        <v>1429</v>
      </c>
      <c r="G228" s="231" t="s">
        <v>79</v>
      </c>
      <c r="H228" s="231" t="s">
        <v>833</v>
      </c>
      <c r="I228" s="456" t="s">
        <v>834</v>
      </c>
    </row>
    <row r="229" spans="6:9">
      <c r="F229" s="427" t="s">
        <v>1429</v>
      </c>
      <c r="G229" s="231" t="s">
        <v>79</v>
      </c>
      <c r="H229" s="231" t="s">
        <v>839</v>
      </c>
      <c r="I229" s="455" t="s">
        <v>840</v>
      </c>
    </row>
    <row r="230" spans="6:9">
      <c r="F230" s="427" t="s">
        <v>1429</v>
      </c>
      <c r="G230" s="231" t="s">
        <v>79</v>
      </c>
      <c r="H230" s="231" t="s">
        <v>845</v>
      </c>
      <c r="I230" s="456" t="s">
        <v>846</v>
      </c>
    </row>
    <row r="231" spans="6:9">
      <c r="F231" s="427" t="s">
        <v>1429</v>
      </c>
      <c r="G231" s="231" t="s">
        <v>79</v>
      </c>
      <c r="H231" s="231" t="s">
        <v>835</v>
      </c>
      <c r="I231" s="455" t="s">
        <v>836</v>
      </c>
    </row>
    <row r="232" spans="6:9">
      <c r="F232" s="457" t="s">
        <v>1430</v>
      </c>
      <c r="G232" s="231" t="s">
        <v>79</v>
      </c>
      <c r="H232" s="231" t="s">
        <v>841</v>
      </c>
      <c r="I232" s="456" t="s">
        <v>842</v>
      </c>
    </row>
    <row r="233" spans="6:9">
      <c r="F233" s="427" t="s">
        <v>1429</v>
      </c>
      <c r="G233" s="231" t="s">
        <v>79</v>
      </c>
      <c r="H233" s="231" t="s">
        <v>831</v>
      </c>
      <c r="I233" s="455" t="s">
        <v>832</v>
      </c>
    </row>
    <row r="234" spans="6:9">
      <c r="F234" s="427" t="s">
        <v>1429</v>
      </c>
      <c r="G234" s="231" t="s">
        <v>79</v>
      </c>
      <c r="H234" s="231" t="s">
        <v>843</v>
      </c>
      <c r="I234" s="456" t="s">
        <v>844</v>
      </c>
    </row>
    <row r="235" spans="6:9">
      <c r="F235" s="427" t="s">
        <v>1429</v>
      </c>
      <c r="G235" s="231" t="s">
        <v>79</v>
      </c>
      <c r="H235" s="231" t="s">
        <v>837</v>
      </c>
      <c r="I235" s="455" t="s">
        <v>838</v>
      </c>
    </row>
    <row r="236" spans="6:9">
      <c r="F236" s="457" t="s">
        <v>1430</v>
      </c>
      <c r="G236" s="231" t="s">
        <v>79</v>
      </c>
      <c r="H236" s="231" t="s">
        <v>825</v>
      </c>
      <c r="I236" s="456" t="s">
        <v>826</v>
      </c>
    </row>
    <row r="237" spans="6:9">
      <c r="F237" s="457" t="s">
        <v>1430</v>
      </c>
      <c r="G237" s="231" t="s">
        <v>79</v>
      </c>
      <c r="H237" s="231" t="s">
        <v>827</v>
      </c>
      <c r="I237" s="459" t="s">
        <v>828</v>
      </c>
    </row>
    <row r="238" spans="6:9">
      <c r="F238" s="427" t="s">
        <v>1429</v>
      </c>
      <c r="G238" s="231" t="s">
        <v>124</v>
      </c>
      <c r="H238" s="231" t="s">
        <v>965</v>
      </c>
      <c r="I238" s="456" t="s">
        <v>966</v>
      </c>
    </row>
    <row r="239" spans="6:9">
      <c r="F239" s="427" t="s">
        <v>1429</v>
      </c>
      <c r="G239" s="231" t="s">
        <v>124</v>
      </c>
      <c r="H239" s="231" t="s">
        <v>983</v>
      </c>
      <c r="I239" s="455" t="s">
        <v>984</v>
      </c>
    </row>
    <row r="240" spans="6:9">
      <c r="F240" s="457" t="s">
        <v>1430</v>
      </c>
      <c r="G240" s="231" t="s">
        <v>124</v>
      </c>
      <c r="H240" s="231" t="s">
        <v>967</v>
      </c>
      <c r="I240" s="456" t="s">
        <v>968</v>
      </c>
    </row>
    <row r="241" spans="6:9">
      <c r="F241" s="457" t="s">
        <v>1430</v>
      </c>
      <c r="G241" s="231" t="s">
        <v>124</v>
      </c>
      <c r="H241" s="231" t="s">
        <v>979</v>
      </c>
      <c r="I241" s="455" t="s">
        <v>980</v>
      </c>
    </row>
    <row r="242" spans="6:9">
      <c r="F242" s="427" t="s">
        <v>1429</v>
      </c>
      <c r="G242" s="231" t="s">
        <v>124</v>
      </c>
      <c r="H242" s="231" t="s">
        <v>977</v>
      </c>
      <c r="I242" s="456" t="s">
        <v>978</v>
      </c>
    </row>
    <row r="243" spans="6:9">
      <c r="F243" s="427" t="s">
        <v>1429</v>
      </c>
      <c r="G243" s="231" t="s">
        <v>124</v>
      </c>
      <c r="H243" s="231" t="s">
        <v>989</v>
      </c>
      <c r="I243" s="455" t="s">
        <v>990</v>
      </c>
    </row>
    <row r="244" spans="6:9">
      <c r="F244" s="427" t="s">
        <v>1429</v>
      </c>
      <c r="G244" s="231" t="s">
        <v>124</v>
      </c>
      <c r="H244" s="231" t="s">
        <v>985</v>
      </c>
      <c r="I244" s="456" t="s">
        <v>986</v>
      </c>
    </row>
    <row r="245" spans="6:9">
      <c r="F245" s="457" t="s">
        <v>1430</v>
      </c>
      <c r="G245" s="231" t="s">
        <v>124</v>
      </c>
      <c r="H245" s="231" t="s">
        <v>981</v>
      </c>
      <c r="I245" s="455" t="s">
        <v>982</v>
      </c>
    </row>
    <row r="246" spans="6:9">
      <c r="F246" s="427" t="s">
        <v>1429</v>
      </c>
      <c r="G246" s="231" t="s">
        <v>124</v>
      </c>
      <c r="H246" s="231" t="s">
        <v>969</v>
      </c>
      <c r="I246" s="456" t="s">
        <v>970</v>
      </c>
    </row>
    <row r="247" spans="6:9">
      <c r="F247" s="427" t="s">
        <v>1429</v>
      </c>
      <c r="G247" s="231" t="s">
        <v>124</v>
      </c>
      <c r="H247" s="231" t="s">
        <v>987</v>
      </c>
      <c r="I247" s="455" t="s">
        <v>988</v>
      </c>
    </row>
    <row r="248" spans="6:9">
      <c r="F248" s="427" t="s">
        <v>1429</v>
      </c>
      <c r="G248" s="231" t="s">
        <v>107</v>
      </c>
      <c r="H248" s="231" t="s">
        <v>915</v>
      </c>
      <c r="I248" s="456" t="s">
        <v>916</v>
      </c>
    </row>
    <row r="249" spans="6:9">
      <c r="F249" s="427" t="s">
        <v>1429</v>
      </c>
      <c r="G249" s="231" t="s">
        <v>107</v>
      </c>
      <c r="H249" s="231" t="s">
        <v>917</v>
      </c>
      <c r="I249" s="455" t="s">
        <v>918</v>
      </c>
    </row>
    <row r="250" spans="6:9">
      <c r="F250" s="427" t="s">
        <v>1429</v>
      </c>
      <c r="G250" s="231" t="s">
        <v>83</v>
      </c>
      <c r="H250" s="231" t="s">
        <v>869</v>
      </c>
      <c r="I250" s="456" t="s">
        <v>870</v>
      </c>
    </row>
    <row r="251" spans="6:9">
      <c r="F251" s="427" t="s">
        <v>1429</v>
      </c>
      <c r="G251" s="231" t="s">
        <v>74</v>
      </c>
      <c r="H251" s="231" t="s">
        <v>761</v>
      </c>
      <c r="I251" s="455" t="s">
        <v>762</v>
      </c>
    </row>
    <row r="252" spans="6:9">
      <c r="F252" s="427" t="s">
        <v>1429</v>
      </c>
      <c r="G252" s="231" t="s">
        <v>74</v>
      </c>
      <c r="H252" s="231" t="s">
        <v>765</v>
      </c>
      <c r="I252" s="456" t="s">
        <v>766</v>
      </c>
    </row>
    <row r="253" spans="6:9">
      <c r="F253" s="427" t="s">
        <v>1429</v>
      </c>
      <c r="G253" s="231" t="s">
        <v>74</v>
      </c>
      <c r="H253" s="231" t="s">
        <v>771</v>
      </c>
      <c r="I253" s="455" t="s">
        <v>772</v>
      </c>
    </row>
    <row r="254" spans="6:9">
      <c r="F254" s="427" t="s">
        <v>1429</v>
      </c>
      <c r="G254" s="231" t="s">
        <v>74</v>
      </c>
      <c r="H254" s="231" t="s">
        <v>787</v>
      </c>
      <c r="I254" s="456" t="s">
        <v>788</v>
      </c>
    </row>
    <row r="255" spans="6:9">
      <c r="F255" s="427" t="s">
        <v>1429</v>
      </c>
      <c r="G255" s="231" t="s">
        <v>74</v>
      </c>
      <c r="H255" s="231" t="s">
        <v>785</v>
      </c>
      <c r="I255" s="455" t="s">
        <v>786</v>
      </c>
    </row>
    <row r="256" spans="6:9">
      <c r="F256" s="427" t="s">
        <v>1429</v>
      </c>
      <c r="G256" s="231" t="s">
        <v>74</v>
      </c>
      <c r="H256" s="231" t="s">
        <v>763</v>
      </c>
      <c r="I256" s="456" t="s">
        <v>764</v>
      </c>
    </row>
    <row r="257" spans="6:9">
      <c r="F257" s="427" t="s">
        <v>1429</v>
      </c>
      <c r="G257" s="231" t="s">
        <v>74</v>
      </c>
      <c r="H257" s="231" t="s">
        <v>779</v>
      </c>
      <c r="I257" s="455" t="s">
        <v>780</v>
      </c>
    </row>
    <row r="258" spans="6:9">
      <c r="F258" s="427" t="s">
        <v>1429</v>
      </c>
      <c r="G258" s="231" t="s">
        <v>74</v>
      </c>
      <c r="H258" s="231" t="s">
        <v>773</v>
      </c>
      <c r="I258" s="456" t="s">
        <v>774</v>
      </c>
    </row>
    <row r="259" spans="6:9">
      <c r="F259" s="427" t="s">
        <v>1429</v>
      </c>
      <c r="G259" s="231" t="s">
        <v>74</v>
      </c>
      <c r="H259" s="231" t="s">
        <v>769</v>
      </c>
      <c r="I259" s="455" t="s">
        <v>770</v>
      </c>
    </row>
    <row r="260" spans="6:9">
      <c r="F260" s="427" t="s">
        <v>1429</v>
      </c>
      <c r="G260" s="231" t="s">
        <v>74</v>
      </c>
      <c r="H260" s="231" t="s">
        <v>767</v>
      </c>
      <c r="I260" s="456" t="s">
        <v>768</v>
      </c>
    </row>
    <row r="261" spans="6:9">
      <c r="F261" s="427" t="s">
        <v>1429</v>
      </c>
      <c r="G261" s="231" t="s">
        <v>74</v>
      </c>
      <c r="H261" s="231" t="s">
        <v>777</v>
      </c>
      <c r="I261" s="455" t="s">
        <v>778</v>
      </c>
    </row>
    <row r="262" spans="6:9">
      <c r="F262" s="427" t="s">
        <v>1429</v>
      </c>
      <c r="G262" s="231" t="s">
        <v>74</v>
      </c>
      <c r="H262" s="231" t="s">
        <v>775</v>
      </c>
      <c r="I262" s="456" t="s">
        <v>776</v>
      </c>
    </row>
    <row r="263" spans="6:9">
      <c r="F263" s="427" t="s">
        <v>1429</v>
      </c>
      <c r="G263" s="231" t="s">
        <v>74</v>
      </c>
      <c r="H263" s="231" t="s">
        <v>783</v>
      </c>
      <c r="I263" s="455" t="s">
        <v>784</v>
      </c>
    </row>
    <row r="264" spans="6:9">
      <c r="F264" s="427" t="s">
        <v>1429</v>
      </c>
      <c r="G264" s="231" t="s">
        <v>74</v>
      </c>
      <c r="H264" s="231" t="s">
        <v>781</v>
      </c>
      <c r="I264" s="456" t="s">
        <v>782</v>
      </c>
    </row>
    <row r="265" spans="6:9">
      <c r="F265" s="427" t="s">
        <v>1429</v>
      </c>
      <c r="G265" s="231" t="s">
        <v>62</v>
      </c>
      <c r="H265" s="231" t="s">
        <v>563</v>
      </c>
      <c r="I265" s="455" t="s">
        <v>564</v>
      </c>
    </row>
    <row r="266" spans="6:9">
      <c r="F266" s="427" t="s">
        <v>1429</v>
      </c>
      <c r="G266" s="231" t="s">
        <v>62</v>
      </c>
      <c r="H266" s="231" t="s">
        <v>553</v>
      </c>
      <c r="I266" s="456" t="s">
        <v>554</v>
      </c>
    </row>
    <row r="267" spans="6:9">
      <c r="F267" s="427" t="s">
        <v>1429</v>
      </c>
      <c r="G267" s="231" t="s">
        <v>62</v>
      </c>
      <c r="H267" s="231" t="s">
        <v>549</v>
      </c>
      <c r="I267" s="455" t="s">
        <v>550</v>
      </c>
    </row>
    <row r="268" spans="6:9">
      <c r="F268" s="427" t="s">
        <v>1429</v>
      </c>
      <c r="G268" s="231" t="s">
        <v>62</v>
      </c>
      <c r="H268" s="231" t="s">
        <v>557</v>
      </c>
      <c r="I268" s="456" t="s">
        <v>558</v>
      </c>
    </row>
    <row r="269" spans="6:9">
      <c r="F269" s="427" t="s">
        <v>1429</v>
      </c>
      <c r="G269" s="231" t="s">
        <v>62</v>
      </c>
      <c r="H269" s="231" t="s">
        <v>565</v>
      </c>
      <c r="I269" s="455" t="s">
        <v>566</v>
      </c>
    </row>
    <row r="270" spans="6:9">
      <c r="F270" s="427" t="s">
        <v>1429</v>
      </c>
      <c r="G270" s="231" t="s">
        <v>62</v>
      </c>
      <c r="H270" s="231" t="s">
        <v>551</v>
      </c>
      <c r="I270" s="456" t="s">
        <v>552</v>
      </c>
    </row>
    <row r="271" spans="6:9">
      <c r="F271" s="427" t="s">
        <v>1429</v>
      </c>
      <c r="G271" s="231" t="s">
        <v>62</v>
      </c>
      <c r="H271" s="231" t="s">
        <v>567</v>
      </c>
      <c r="I271" s="455" t="s">
        <v>568</v>
      </c>
    </row>
    <row r="272" spans="6:9">
      <c r="F272" s="427" t="s">
        <v>1429</v>
      </c>
      <c r="G272" s="231" t="s">
        <v>62</v>
      </c>
      <c r="H272" s="231" t="s">
        <v>561</v>
      </c>
      <c r="I272" s="456" t="s">
        <v>562</v>
      </c>
    </row>
    <row r="273" spans="6:9">
      <c r="F273" s="427" t="s">
        <v>1429</v>
      </c>
      <c r="G273" s="231" t="s">
        <v>62</v>
      </c>
      <c r="H273" s="231" t="s">
        <v>569</v>
      </c>
      <c r="I273" s="455" t="s">
        <v>570</v>
      </c>
    </row>
    <row r="274" spans="6:9">
      <c r="F274" s="427" t="s">
        <v>1429</v>
      </c>
      <c r="G274" s="231" t="s">
        <v>62</v>
      </c>
      <c r="H274" s="231" t="s">
        <v>559</v>
      </c>
      <c r="I274" s="456" t="s">
        <v>560</v>
      </c>
    </row>
    <row r="275" spans="6:9">
      <c r="F275" s="427" t="s">
        <v>1429</v>
      </c>
      <c r="G275" s="231" t="s">
        <v>62</v>
      </c>
      <c r="H275" s="231" t="s">
        <v>571</v>
      </c>
      <c r="I275" s="455" t="s">
        <v>572</v>
      </c>
    </row>
    <row r="276" spans="6:9">
      <c r="F276" s="427" t="s">
        <v>1429</v>
      </c>
      <c r="G276" s="231" t="s">
        <v>62</v>
      </c>
      <c r="H276" s="231" t="s">
        <v>555</v>
      </c>
      <c r="I276" s="456" t="s">
        <v>556</v>
      </c>
    </row>
    <row r="277" spans="6:9">
      <c r="F277" s="457" t="s">
        <v>1430</v>
      </c>
      <c r="G277" s="231" t="s">
        <v>139</v>
      </c>
      <c r="H277" s="231" t="s">
        <v>1032</v>
      </c>
      <c r="I277" s="455" t="s">
        <v>1033</v>
      </c>
    </row>
    <row r="278" spans="6:9">
      <c r="F278" s="457" t="s">
        <v>1430</v>
      </c>
      <c r="G278" s="231" t="s">
        <v>139</v>
      </c>
      <c r="H278" s="231" t="s">
        <v>1034</v>
      </c>
      <c r="I278" s="456" t="s">
        <v>1035</v>
      </c>
    </row>
    <row r="279" spans="6:9">
      <c r="F279" s="427" t="s">
        <v>1429</v>
      </c>
      <c r="G279" s="231" t="s">
        <v>34</v>
      </c>
      <c r="H279" s="231" t="s">
        <v>336</v>
      </c>
      <c r="I279" s="455" t="s">
        <v>337</v>
      </c>
    </row>
    <row r="280" spans="6:9">
      <c r="F280" s="427" t="s">
        <v>1429</v>
      </c>
      <c r="G280" s="231" t="s">
        <v>21</v>
      </c>
      <c r="H280" s="231" t="s">
        <v>955</v>
      </c>
      <c r="I280" s="456" t="s">
        <v>21</v>
      </c>
    </row>
    <row r="281" spans="6:9">
      <c r="F281" s="427" t="s">
        <v>1429</v>
      </c>
      <c r="G281" s="231" t="s">
        <v>103</v>
      </c>
      <c r="H281" s="231" t="s">
        <v>903</v>
      </c>
      <c r="I281" s="455" t="s">
        <v>904</v>
      </c>
    </row>
    <row r="282" spans="6:9">
      <c r="F282" s="427" t="s">
        <v>1429</v>
      </c>
      <c r="G282" s="231" t="s">
        <v>103</v>
      </c>
      <c r="H282" s="231" t="s">
        <v>871</v>
      </c>
      <c r="I282" s="456" t="s">
        <v>872</v>
      </c>
    </row>
    <row r="283" spans="6:9">
      <c r="F283" s="427" t="s">
        <v>1429</v>
      </c>
      <c r="G283" s="231" t="s">
        <v>103</v>
      </c>
      <c r="H283" s="231" t="s">
        <v>878</v>
      </c>
      <c r="I283" s="455" t="s">
        <v>879</v>
      </c>
    </row>
    <row r="284" spans="6:9">
      <c r="F284" s="427" t="s">
        <v>1429</v>
      </c>
      <c r="G284" s="231" t="s">
        <v>103</v>
      </c>
      <c r="H284" s="231" t="s">
        <v>876</v>
      </c>
      <c r="I284" s="456" t="s">
        <v>877</v>
      </c>
    </row>
    <row r="285" spans="6:9">
      <c r="F285" s="427" t="s">
        <v>1429</v>
      </c>
      <c r="G285" s="231" t="s">
        <v>103</v>
      </c>
      <c r="H285" s="231" t="s">
        <v>874</v>
      </c>
      <c r="I285" s="455" t="s">
        <v>875</v>
      </c>
    </row>
    <row r="286" spans="6:9">
      <c r="F286" s="427" t="s">
        <v>1429</v>
      </c>
      <c r="G286" s="231" t="s">
        <v>103</v>
      </c>
      <c r="H286" s="231" t="s">
        <v>881</v>
      </c>
      <c r="I286" s="456" t="s">
        <v>882</v>
      </c>
    </row>
    <row r="287" spans="6:9">
      <c r="F287" s="427" t="s">
        <v>1429</v>
      </c>
      <c r="G287" s="231" t="s">
        <v>151</v>
      </c>
      <c r="H287" s="231" t="s">
        <v>1086</v>
      </c>
      <c r="I287" s="455" t="s">
        <v>1087</v>
      </c>
    </row>
    <row r="288" spans="6:9">
      <c r="F288" s="457" t="s">
        <v>1430</v>
      </c>
      <c r="G288" s="231" t="s">
        <v>151</v>
      </c>
      <c r="H288" s="231" t="s">
        <v>1070</v>
      </c>
      <c r="I288" s="456" t="s">
        <v>1071</v>
      </c>
    </row>
    <row r="289" spans="6:9">
      <c r="F289" s="457" t="s">
        <v>1430</v>
      </c>
      <c r="G289" s="231" t="s">
        <v>151</v>
      </c>
      <c r="H289" s="231" t="s">
        <v>1078</v>
      </c>
      <c r="I289" s="455" t="s">
        <v>1079</v>
      </c>
    </row>
    <row r="290" spans="6:9">
      <c r="F290" s="457" t="s">
        <v>1430</v>
      </c>
      <c r="G290" s="231" t="s">
        <v>151</v>
      </c>
      <c r="H290" s="231" t="s">
        <v>1068</v>
      </c>
      <c r="I290" s="456" t="s">
        <v>1069</v>
      </c>
    </row>
    <row r="291" spans="6:9">
      <c r="F291" s="427" t="s">
        <v>1429</v>
      </c>
      <c r="G291" s="231" t="s">
        <v>151</v>
      </c>
      <c r="H291" s="231" t="s">
        <v>1076</v>
      </c>
      <c r="I291" s="455" t="s">
        <v>1077</v>
      </c>
    </row>
    <row r="292" spans="6:9">
      <c r="F292" s="427" t="s">
        <v>1429</v>
      </c>
      <c r="G292" s="231" t="s">
        <v>151</v>
      </c>
      <c r="H292" s="231" t="s">
        <v>1084</v>
      </c>
      <c r="I292" s="456" t="s">
        <v>1085</v>
      </c>
    </row>
    <row r="293" spans="6:9">
      <c r="F293" s="427" t="s">
        <v>1429</v>
      </c>
      <c r="G293" s="231" t="s">
        <v>151</v>
      </c>
      <c r="H293" s="231" t="s">
        <v>1088</v>
      </c>
      <c r="I293" s="455" t="s">
        <v>1089</v>
      </c>
    </row>
    <row r="294" spans="6:9">
      <c r="F294" s="427" t="s">
        <v>1429</v>
      </c>
      <c r="G294" s="231" t="s">
        <v>151</v>
      </c>
      <c r="H294" s="231" t="s">
        <v>1072</v>
      </c>
      <c r="I294" s="456" t="s">
        <v>1073</v>
      </c>
    </row>
    <row r="295" spans="6:9">
      <c r="F295" s="427" t="s">
        <v>1429</v>
      </c>
      <c r="G295" s="231" t="s">
        <v>151</v>
      </c>
      <c r="H295" s="231" t="s">
        <v>1080</v>
      </c>
      <c r="I295" s="455" t="s">
        <v>1081</v>
      </c>
    </row>
    <row r="296" spans="6:9">
      <c r="F296" s="427" t="s">
        <v>1429</v>
      </c>
      <c r="G296" s="231" t="s">
        <v>151</v>
      </c>
      <c r="H296" s="231" t="s">
        <v>1082</v>
      </c>
      <c r="I296" s="456" t="s">
        <v>1083</v>
      </c>
    </row>
    <row r="297" spans="6:9">
      <c r="F297" s="427" t="s">
        <v>1429</v>
      </c>
      <c r="G297" s="231" t="s">
        <v>151</v>
      </c>
      <c r="H297" s="231" t="s">
        <v>1074</v>
      </c>
      <c r="I297" s="455" t="s">
        <v>1075</v>
      </c>
    </row>
    <row r="298" spans="6:9">
      <c r="F298" s="427" t="s">
        <v>1429</v>
      </c>
      <c r="G298" s="231" t="s">
        <v>151</v>
      </c>
      <c r="H298" s="231" t="s">
        <v>1066</v>
      </c>
      <c r="I298" s="456" t="s">
        <v>1067</v>
      </c>
    </row>
    <row r="299" spans="6:9">
      <c r="F299" s="427" t="s">
        <v>1431</v>
      </c>
      <c r="G299" s="231" t="s">
        <v>99</v>
      </c>
      <c r="H299" s="231" t="s">
        <v>899</v>
      </c>
      <c r="I299" s="455" t="s">
        <v>900</v>
      </c>
    </row>
    <row r="300" spans="6:9">
      <c r="F300" s="427" t="s">
        <v>1429</v>
      </c>
      <c r="G300" s="231" t="s">
        <v>99</v>
      </c>
      <c r="H300" s="231" t="s">
        <v>895</v>
      </c>
      <c r="I300" s="456" t="s">
        <v>896</v>
      </c>
    </row>
    <row r="301" spans="6:9">
      <c r="F301" s="427" t="s">
        <v>1429</v>
      </c>
      <c r="G301" s="231" t="s">
        <v>18</v>
      </c>
      <c r="H301" s="231" t="s">
        <v>789</v>
      </c>
      <c r="I301" s="455" t="s">
        <v>17</v>
      </c>
    </row>
    <row r="302" spans="6:9">
      <c r="F302" s="427" t="s">
        <v>1429</v>
      </c>
      <c r="G302" s="231" t="s">
        <v>18</v>
      </c>
      <c r="H302" s="231" t="s">
        <v>790</v>
      </c>
      <c r="I302" s="456" t="s">
        <v>791</v>
      </c>
    </row>
    <row r="303" spans="6:9">
      <c r="F303" s="427" t="s">
        <v>1429</v>
      </c>
      <c r="G303" s="231" t="s">
        <v>18</v>
      </c>
      <c r="H303" s="231" t="s">
        <v>802</v>
      </c>
      <c r="I303" s="455" t="s">
        <v>803</v>
      </c>
    </row>
    <row r="304" spans="6:9">
      <c r="F304" s="427" t="s">
        <v>1429</v>
      </c>
      <c r="G304" s="231" t="s">
        <v>18</v>
      </c>
      <c r="H304" s="231" t="s">
        <v>794</v>
      </c>
      <c r="I304" s="456" t="s">
        <v>795</v>
      </c>
    </row>
    <row r="305" spans="6:9">
      <c r="F305" s="427" t="s">
        <v>1429</v>
      </c>
      <c r="G305" s="231" t="s">
        <v>18</v>
      </c>
      <c r="H305" s="231" t="s">
        <v>806</v>
      </c>
      <c r="I305" s="455" t="s">
        <v>807</v>
      </c>
    </row>
    <row r="306" spans="6:9">
      <c r="F306" s="427" t="s">
        <v>1429</v>
      </c>
      <c r="G306" s="231" t="s">
        <v>18</v>
      </c>
      <c r="H306" s="231" t="s">
        <v>804</v>
      </c>
      <c r="I306" s="456" t="s">
        <v>805</v>
      </c>
    </row>
    <row r="307" spans="6:9">
      <c r="F307" s="427" t="s">
        <v>1429</v>
      </c>
      <c r="G307" s="231" t="s">
        <v>18</v>
      </c>
      <c r="H307" s="231" t="s">
        <v>792</v>
      </c>
      <c r="I307" s="455" t="s">
        <v>793</v>
      </c>
    </row>
    <row r="308" spans="6:9">
      <c r="F308" s="427" t="s">
        <v>1429</v>
      </c>
      <c r="G308" s="231" t="s">
        <v>18</v>
      </c>
      <c r="H308" s="231" t="s">
        <v>808</v>
      </c>
      <c r="I308" s="456" t="s">
        <v>18</v>
      </c>
    </row>
    <row r="309" spans="6:9">
      <c r="F309" s="427" t="s">
        <v>1429</v>
      </c>
      <c r="G309" s="231" t="s">
        <v>18</v>
      </c>
      <c r="H309" s="231" t="s">
        <v>796</v>
      </c>
      <c r="I309" s="455" t="s">
        <v>797</v>
      </c>
    </row>
    <row r="310" spans="6:9">
      <c r="F310" s="427" t="s">
        <v>1429</v>
      </c>
      <c r="G310" s="231" t="s">
        <v>18</v>
      </c>
      <c r="H310" s="231" t="s">
        <v>798</v>
      </c>
      <c r="I310" s="456" t="s">
        <v>799</v>
      </c>
    </row>
    <row r="311" spans="6:9">
      <c r="F311" s="427" t="s">
        <v>1429</v>
      </c>
      <c r="G311" s="231" t="s">
        <v>18</v>
      </c>
      <c r="H311" s="231" t="s">
        <v>800</v>
      </c>
      <c r="I311" s="455" t="s">
        <v>801</v>
      </c>
    </row>
    <row r="312" spans="6:9">
      <c r="F312" s="457" t="s">
        <v>1430</v>
      </c>
      <c r="G312" s="231" t="s">
        <v>52</v>
      </c>
      <c r="H312" s="231" t="s">
        <v>477</v>
      </c>
      <c r="I312" s="456" t="s">
        <v>478</v>
      </c>
    </row>
    <row r="313" spans="6:9">
      <c r="F313" s="427" t="s">
        <v>1429</v>
      </c>
      <c r="G313" s="231" t="s">
        <v>52</v>
      </c>
      <c r="H313" s="231" t="s">
        <v>467</v>
      </c>
      <c r="I313" s="455" t="s">
        <v>468</v>
      </c>
    </row>
    <row r="314" spans="6:9">
      <c r="F314" s="436" t="s">
        <v>1429</v>
      </c>
      <c r="G314" s="231" t="s">
        <v>52</v>
      </c>
      <c r="H314" s="231" t="s">
        <v>469</v>
      </c>
      <c r="I314" s="456" t="s">
        <v>470</v>
      </c>
    </row>
    <row r="315" spans="6:9">
      <c r="F315" s="457" t="s">
        <v>1430</v>
      </c>
      <c r="G315" s="231" t="s">
        <v>52</v>
      </c>
      <c r="H315" s="231" t="s">
        <v>465</v>
      </c>
      <c r="I315" s="455" t="s">
        <v>466</v>
      </c>
    </row>
    <row r="316" spans="6:9">
      <c r="F316" s="436" t="s">
        <v>1429</v>
      </c>
      <c r="G316" s="231" t="s">
        <v>52</v>
      </c>
      <c r="H316" s="231" t="s">
        <v>471</v>
      </c>
      <c r="I316" s="456" t="s">
        <v>472</v>
      </c>
    </row>
    <row r="317" spans="6:9">
      <c r="F317" s="457" t="s">
        <v>1430</v>
      </c>
      <c r="G317" s="231" t="s">
        <v>52</v>
      </c>
      <c r="H317" s="231" t="s">
        <v>475</v>
      </c>
      <c r="I317" s="455" t="s">
        <v>476</v>
      </c>
    </row>
    <row r="318" spans="6:9">
      <c r="F318" s="427" t="s">
        <v>1429</v>
      </c>
      <c r="G318" s="231" t="s">
        <v>52</v>
      </c>
      <c r="H318" s="231" t="s">
        <v>473</v>
      </c>
      <c r="I318" s="456" t="s">
        <v>474</v>
      </c>
    </row>
    <row r="319" spans="6:9">
      <c r="F319" s="427" t="s">
        <v>1429</v>
      </c>
      <c r="G319" s="231" t="s">
        <v>52</v>
      </c>
      <c r="H319" s="231" t="s">
        <v>463</v>
      </c>
      <c r="I319" s="455" t="s">
        <v>464</v>
      </c>
    </row>
    <row r="320" spans="6:9">
      <c r="F320" s="427" t="s">
        <v>1429</v>
      </c>
      <c r="G320" s="231" t="s">
        <v>143</v>
      </c>
      <c r="H320" s="231" t="s">
        <v>1046</v>
      </c>
      <c r="I320" s="456" t="s">
        <v>1047</v>
      </c>
    </row>
    <row r="321" spans="6:9">
      <c r="F321" s="427" t="s">
        <v>1429</v>
      </c>
      <c r="G321" s="231" t="s">
        <v>143</v>
      </c>
      <c r="H321" s="231" t="s">
        <v>1050</v>
      </c>
      <c r="I321" s="455" t="s">
        <v>1051</v>
      </c>
    </row>
    <row r="322" spans="6:9">
      <c r="F322" s="427" t="s">
        <v>1429</v>
      </c>
      <c r="G322" s="231" t="s">
        <v>143</v>
      </c>
      <c r="H322" s="231" t="s">
        <v>1042</v>
      </c>
      <c r="I322" s="456" t="s">
        <v>1043</v>
      </c>
    </row>
    <row r="323" spans="6:9">
      <c r="F323" s="427" t="s">
        <v>1429</v>
      </c>
      <c r="G323" s="231" t="s">
        <v>143</v>
      </c>
      <c r="H323" s="231" t="s">
        <v>1048</v>
      </c>
      <c r="I323" s="455" t="s">
        <v>1049</v>
      </c>
    </row>
    <row r="324" spans="6:9">
      <c r="F324" s="427" t="s">
        <v>1429</v>
      </c>
      <c r="G324" s="231" t="s">
        <v>143</v>
      </c>
      <c r="H324" s="231" t="s">
        <v>1044</v>
      </c>
      <c r="I324" s="456" t="s">
        <v>1045</v>
      </c>
    </row>
    <row r="325" spans="6:9">
      <c r="F325" s="427" t="s">
        <v>1429</v>
      </c>
      <c r="G325" s="231" t="s">
        <v>56</v>
      </c>
      <c r="H325" s="231" t="s">
        <v>485</v>
      </c>
      <c r="I325" s="455" t="s">
        <v>486</v>
      </c>
    </row>
    <row r="326" spans="6:9">
      <c r="F326" s="427" t="s">
        <v>1429</v>
      </c>
      <c r="G326" s="231" t="s">
        <v>56</v>
      </c>
      <c r="H326" s="231" t="s">
        <v>487</v>
      </c>
      <c r="I326" s="456" t="s">
        <v>488</v>
      </c>
    </row>
    <row r="327" spans="6:9">
      <c r="F327" s="427" t="s">
        <v>1429</v>
      </c>
      <c r="G327" s="231" t="s">
        <v>56</v>
      </c>
      <c r="H327" s="231" t="s">
        <v>483</v>
      </c>
      <c r="I327" s="455" t="s">
        <v>484</v>
      </c>
    </row>
    <row r="328" spans="6:9">
      <c r="F328" s="427" t="s">
        <v>1429</v>
      </c>
      <c r="G328" s="231" t="s">
        <v>56</v>
      </c>
      <c r="H328" s="231" t="s">
        <v>489</v>
      </c>
      <c r="I328" s="456" t="s">
        <v>490</v>
      </c>
    </row>
    <row r="329" spans="6:9">
      <c r="F329" s="427" t="s">
        <v>1429</v>
      </c>
      <c r="G329" s="231" t="s">
        <v>97</v>
      </c>
      <c r="H329" s="231" t="s">
        <v>893</v>
      </c>
      <c r="I329" s="455" t="s">
        <v>894</v>
      </c>
    </row>
    <row r="330" spans="6:9">
      <c r="F330" s="427" t="s">
        <v>1429</v>
      </c>
      <c r="G330" s="231" t="s">
        <v>60</v>
      </c>
      <c r="H330" s="231" t="s">
        <v>533</v>
      </c>
      <c r="I330" s="456" t="s">
        <v>534</v>
      </c>
    </row>
    <row r="331" spans="6:9">
      <c r="F331" s="427" t="s">
        <v>1429</v>
      </c>
      <c r="G331" s="231" t="s">
        <v>60</v>
      </c>
      <c r="H331" s="231" t="s">
        <v>541</v>
      </c>
      <c r="I331" s="455" t="s">
        <v>542</v>
      </c>
    </row>
    <row r="332" spans="6:9">
      <c r="F332" s="427" t="s">
        <v>1429</v>
      </c>
      <c r="G332" s="231" t="s">
        <v>60</v>
      </c>
      <c r="H332" s="231" t="s">
        <v>547</v>
      </c>
      <c r="I332" s="456" t="s">
        <v>548</v>
      </c>
    </row>
    <row r="333" spans="6:9">
      <c r="F333" s="427" t="s">
        <v>1429</v>
      </c>
      <c r="G333" s="231" t="s">
        <v>60</v>
      </c>
      <c r="H333" s="231" t="s">
        <v>529</v>
      </c>
      <c r="I333" s="455" t="s">
        <v>530</v>
      </c>
    </row>
    <row r="334" spans="6:9">
      <c r="F334" s="427" t="s">
        <v>1429</v>
      </c>
      <c r="G334" s="231" t="s">
        <v>60</v>
      </c>
      <c r="H334" s="231" t="s">
        <v>539</v>
      </c>
      <c r="I334" s="456" t="s">
        <v>540</v>
      </c>
    </row>
    <row r="335" spans="6:9">
      <c r="F335" s="427" t="s">
        <v>1429</v>
      </c>
      <c r="G335" s="231" t="s">
        <v>60</v>
      </c>
      <c r="H335" s="231" t="s">
        <v>531</v>
      </c>
      <c r="I335" s="455" t="s">
        <v>532</v>
      </c>
    </row>
    <row r="336" spans="6:9">
      <c r="F336" s="427" t="s">
        <v>1429</v>
      </c>
      <c r="G336" s="231" t="s">
        <v>60</v>
      </c>
      <c r="H336" s="231" t="s">
        <v>535</v>
      </c>
      <c r="I336" s="456" t="s">
        <v>536</v>
      </c>
    </row>
    <row r="337" spans="6:9">
      <c r="F337" s="427" t="s">
        <v>1429</v>
      </c>
      <c r="G337" s="231" t="s">
        <v>60</v>
      </c>
      <c r="H337" s="231" t="s">
        <v>545</v>
      </c>
      <c r="I337" s="455" t="s">
        <v>546</v>
      </c>
    </row>
    <row r="338" spans="6:9">
      <c r="F338" s="427" t="s">
        <v>1429</v>
      </c>
      <c r="G338" s="231" t="s">
        <v>60</v>
      </c>
      <c r="H338" s="231" t="s">
        <v>543</v>
      </c>
      <c r="I338" s="456" t="s">
        <v>544</v>
      </c>
    </row>
    <row r="339" spans="6:9">
      <c r="F339" s="427" t="s">
        <v>1429</v>
      </c>
      <c r="G339" s="231" t="s">
        <v>60</v>
      </c>
      <c r="H339" s="231" t="s">
        <v>537</v>
      </c>
      <c r="I339" s="455" t="s">
        <v>538</v>
      </c>
    </row>
    <row r="340" spans="6:9">
      <c r="F340" s="427" t="s">
        <v>1429</v>
      </c>
      <c r="G340" s="231" t="s">
        <v>64</v>
      </c>
      <c r="H340" s="231" t="s">
        <v>577</v>
      </c>
      <c r="I340" s="456" t="s">
        <v>578</v>
      </c>
    </row>
    <row r="341" spans="6:9">
      <c r="F341" s="427" t="s">
        <v>1429</v>
      </c>
      <c r="G341" s="231" t="s">
        <v>64</v>
      </c>
      <c r="H341" s="231" t="s">
        <v>579</v>
      </c>
      <c r="I341" s="455" t="s">
        <v>580</v>
      </c>
    </row>
    <row r="342" spans="6:9">
      <c r="F342" s="427" t="s">
        <v>1429</v>
      </c>
      <c r="G342" s="231" t="s">
        <v>64</v>
      </c>
      <c r="H342" s="231" t="s">
        <v>587</v>
      </c>
      <c r="I342" s="456" t="s">
        <v>588</v>
      </c>
    </row>
    <row r="343" spans="6:9">
      <c r="F343" s="427" t="s">
        <v>1429</v>
      </c>
      <c r="G343" s="231" t="s">
        <v>64</v>
      </c>
      <c r="H343" s="231" t="s">
        <v>581</v>
      </c>
      <c r="I343" s="455" t="s">
        <v>582</v>
      </c>
    </row>
    <row r="344" spans="6:9">
      <c r="F344" s="427" t="s">
        <v>1429</v>
      </c>
      <c r="G344" s="231" t="s">
        <v>64</v>
      </c>
      <c r="H344" s="231" t="s">
        <v>589</v>
      </c>
      <c r="I344" s="456" t="s">
        <v>590</v>
      </c>
    </row>
    <row r="345" spans="6:9">
      <c r="F345" s="427" t="s">
        <v>1429</v>
      </c>
      <c r="G345" s="231" t="s">
        <v>64</v>
      </c>
      <c r="H345" s="231" t="s">
        <v>585</v>
      </c>
      <c r="I345" s="455" t="s">
        <v>586</v>
      </c>
    </row>
    <row r="346" spans="6:9">
      <c r="F346" s="427" t="s">
        <v>1429</v>
      </c>
      <c r="G346" s="231" t="s">
        <v>64</v>
      </c>
      <c r="H346" s="231" t="s">
        <v>573</v>
      </c>
      <c r="I346" s="456" t="s">
        <v>574</v>
      </c>
    </row>
    <row r="347" spans="6:9">
      <c r="F347" s="427" t="s">
        <v>1429</v>
      </c>
      <c r="G347" s="231" t="s">
        <v>64</v>
      </c>
      <c r="H347" s="231" t="s">
        <v>583</v>
      </c>
      <c r="I347" s="455" t="s">
        <v>584</v>
      </c>
    </row>
    <row r="348" spans="6:9">
      <c r="F348" s="427" t="s">
        <v>1429</v>
      </c>
      <c r="G348" s="231" t="s">
        <v>64</v>
      </c>
      <c r="H348" s="231" t="s">
        <v>575</v>
      </c>
      <c r="I348" s="456" t="s">
        <v>576</v>
      </c>
    </row>
    <row r="349" spans="6:9">
      <c r="F349" s="427" t="s">
        <v>1429</v>
      </c>
      <c r="G349" s="231" t="s">
        <v>54</v>
      </c>
      <c r="H349" s="231" t="s">
        <v>479</v>
      </c>
      <c r="I349" s="455" t="s">
        <v>480</v>
      </c>
    </row>
    <row r="350" spans="6:9">
      <c r="F350" s="427" t="s">
        <v>1429</v>
      </c>
      <c r="G350" s="231" t="s">
        <v>54</v>
      </c>
      <c r="H350" s="231" t="s">
        <v>481</v>
      </c>
      <c r="I350" s="456" t="s">
        <v>482</v>
      </c>
    </row>
    <row r="351" spans="6:9">
      <c r="F351" s="427" t="s">
        <v>1429</v>
      </c>
      <c r="G351" s="231" t="s">
        <v>105</v>
      </c>
      <c r="H351" s="231" t="s">
        <v>909</v>
      </c>
      <c r="I351" s="455" t="s">
        <v>910</v>
      </c>
    </row>
    <row r="352" spans="6:9">
      <c r="F352" s="436" t="s">
        <v>1429</v>
      </c>
      <c r="G352" s="231" t="s">
        <v>105</v>
      </c>
      <c r="H352" s="231" t="s">
        <v>911</v>
      </c>
      <c r="I352" s="456" t="s">
        <v>912</v>
      </c>
    </row>
    <row r="353" spans="6:9">
      <c r="F353" s="457" t="s">
        <v>1430</v>
      </c>
      <c r="G353" s="231" t="s">
        <v>105</v>
      </c>
      <c r="H353" s="231" t="s">
        <v>907</v>
      </c>
      <c r="I353" s="455" t="s">
        <v>908</v>
      </c>
    </row>
    <row r="354" spans="6:9">
      <c r="F354" s="427" t="s">
        <v>1429</v>
      </c>
      <c r="G354" s="231" t="s">
        <v>105</v>
      </c>
      <c r="H354" s="231" t="s">
        <v>905</v>
      </c>
      <c r="I354" s="456" t="s">
        <v>906</v>
      </c>
    </row>
    <row r="355" spans="6:9">
      <c r="F355" s="427" t="s">
        <v>1429</v>
      </c>
      <c r="G355" s="231" t="s">
        <v>105</v>
      </c>
      <c r="H355" s="231" t="s">
        <v>913</v>
      </c>
      <c r="I355" s="455" t="s">
        <v>914</v>
      </c>
    </row>
    <row r="356" spans="6:9">
      <c r="F356" s="427" t="s">
        <v>1429</v>
      </c>
      <c r="G356" s="231" t="s">
        <v>1412</v>
      </c>
      <c r="H356" s="231" t="s">
        <v>885</v>
      </c>
      <c r="I356" s="456" t="s">
        <v>886</v>
      </c>
    </row>
    <row r="357" spans="6:9">
      <c r="F357" s="427" t="s">
        <v>1429</v>
      </c>
      <c r="G357" s="231" t="s">
        <v>121</v>
      </c>
      <c r="H357" s="231" t="s">
        <v>958</v>
      </c>
      <c r="I357" s="455" t="s">
        <v>959</v>
      </c>
    </row>
    <row r="358" spans="6:9">
      <c r="F358" s="427" t="s">
        <v>1429</v>
      </c>
      <c r="G358" s="231" t="s">
        <v>121</v>
      </c>
      <c r="H358" s="231" t="s">
        <v>960</v>
      </c>
      <c r="I358" s="456" t="s">
        <v>961</v>
      </c>
    </row>
    <row r="359" spans="6:9">
      <c r="F359" s="427" t="s">
        <v>1429</v>
      </c>
      <c r="G359" s="231" t="s">
        <v>121</v>
      </c>
      <c r="H359" s="231" t="s">
        <v>962</v>
      </c>
      <c r="I359" s="455" t="s">
        <v>963</v>
      </c>
    </row>
    <row r="360" spans="6:9">
      <c r="F360" s="427" t="s">
        <v>1429</v>
      </c>
      <c r="G360" s="231" t="s">
        <v>121</v>
      </c>
      <c r="H360" s="231" t="s">
        <v>956</v>
      </c>
      <c r="I360" s="456" t="s">
        <v>957</v>
      </c>
    </row>
    <row r="361" spans="6:9">
      <c r="F361" s="427" t="s">
        <v>1429</v>
      </c>
      <c r="G361" s="231" t="s">
        <v>115</v>
      </c>
      <c r="H361" s="231" t="s">
        <v>937</v>
      </c>
      <c r="I361" s="455" t="s">
        <v>938</v>
      </c>
    </row>
    <row r="362" spans="6:9">
      <c r="F362" s="427" t="s">
        <v>1429</v>
      </c>
      <c r="G362" s="231" t="s">
        <v>115</v>
      </c>
      <c r="H362" s="231" t="s">
        <v>939</v>
      </c>
      <c r="I362" s="456" t="s">
        <v>940</v>
      </c>
    </row>
    <row r="363" spans="6:9">
      <c r="F363" s="427" t="s">
        <v>1429</v>
      </c>
      <c r="G363" s="231" t="s">
        <v>141</v>
      </c>
      <c r="H363" s="231" t="s">
        <v>1038</v>
      </c>
      <c r="I363" s="455" t="s">
        <v>1039</v>
      </c>
    </row>
    <row r="364" spans="6:9">
      <c r="F364" s="427" t="s">
        <v>1429</v>
      </c>
      <c r="G364" s="231" t="s">
        <v>141</v>
      </c>
      <c r="H364" s="231" t="s">
        <v>1040</v>
      </c>
      <c r="I364" s="456" t="s">
        <v>1041</v>
      </c>
    </row>
    <row r="365" spans="6:9">
      <c r="F365" s="427" t="s">
        <v>1429</v>
      </c>
      <c r="G365" s="231" t="s">
        <v>141</v>
      </c>
      <c r="H365" s="231" t="s">
        <v>1036</v>
      </c>
      <c r="I365" s="455" t="s">
        <v>1037</v>
      </c>
    </row>
    <row r="366" spans="6:9">
      <c r="F366" s="427" t="s">
        <v>1429</v>
      </c>
      <c r="G366" s="231" t="s">
        <v>38</v>
      </c>
      <c r="H366" s="231" t="s">
        <v>350</v>
      </c>
      <c r="I366" s="456" t="s">
        <v>351</v>
      </c>
    </row>
    <row r="367" spans="6:9">
      <c r="F367" s="427" t="s">
        <v>1429</v>
      </c>
      <c r="G367" s="231" t="s">
        <v>38</v>
      </c>
      <c r="H367" s="231" t="s">
        <v>348</v>
      </c>
      <c r="I367" s="455" t="s">
        <v>349</v>
      </c>
    </row>
    <row r="368" spans="6:9">
      <c r="F368" s="457" t="s">
        <v>1430</v>
      </c>
      <c r="G368" s="231" t="s">
        <v>46</v>
      </c>
      <c r="H368" s="231" t="s">
        <v>445</v>
      </c>
      <c r="I368" s="456" t="s">
        <v>446</v>
      </c>
    </row>
    <row r="369" spans="6:9">
      <c r="F369" s="457" t="s">
        <v>1430</v>
      </c>
      <c r="G369" s="231" t="s">
        <v>46</v>
      </c>
      <c r="H369" s="231" t="s">
        <v>447</v>
      </c>
      <c r="I369" s="455" t="s">
        <v>448</v>
      </c>
    </row>
    <row r="370" spans="6:9">
      <c r="F370" s="457" t="s">
        <v>1430</v>
      </c>
      <c r="G370" s="231" t="s">
        <v>46</v>
      </c>
      <c r="H370" s="231" t="s">
        <v>441</v>
      </c>
      <c r="I370" s="456" t="s">
        <v>442</v>
      </c>
    </row>
    <row r="371" spans="6:9">
      <c r="F371" s="427" t="s">
        <v>1429</v>
      </c>
      <c r="G371" s="231" t="s">
        <v>46</v>
      </c>
      <c r="H371" s="231" t="s">
        <v>439</v>
      </c>
      <c r="I371" s="455" t="s">
        <v>440</v>
      </c>
    </row>
    <row r="372" spans="6:9">
      <c r="F372" s="436" t="s">
        <v>1429</v>
      </c>
      <c r="G372" s="231" t="s">
        <v>46</v>
      </c>
      <c r="H372" s="231" t="s">
        <v>443</v>
      </c>
      <c r="I372" s="456" t="s">
        <v>444</v>
      </c>
    </row>
    <row r="373" spans="6:9">
      <c r="F373" s="457" t="s">
        <v>1430</v>
      </c>
      <c r="G373" s="231" t="s">
        <v>46</v>
      </c>
      <c r="H373" s="231" t="s">
        <v>449</v>
      </c>
      <c r="I373" s="455" t="s">
        <v>450</v>
      </c>
    </row>
    <row r="374" spans="6:9">
      <c r="F374" s="427" t="s">
        <v>1429</v>
      </c>
      <c r="G374" s="231" t="s">
        <v>1413</v>
      </c>
      <c r="H374" s="231" t="s">
        <v>891</v>
      </c>
      <c r="I374" s="456" t="s">
        <v>892</v>
      </c>
    </row>
    <row r="375" spans="6:9">
      <c r="F375" s="427" t="s">
        <v>1429</v>
      </c>
      <c r="G375" s="231" t="s">
        <v>93</v>
      </c>
      <c r="H375" s="231" t="s">
        <v>889</v>
      </c>
      <c r="I375" s="455" t="s">
        <v>890</v>
      </c>
    </row>
    <row r="376" spans="6:9">
      <c r="F376" s="427" t="s">
        <v>1429</v>
      </c>
      <c r="G376" s="231" t="s">
        <v>40</v>
      </c>
      <c r="H376" s="231" t="s">
        <v>355</v>
      </c>
      <c r="I376" s="456" t="s">
        <v>356</v>
      </c>
    </row>
    <row r="377" spans="6:9">
      <c r="F377" s="427" t="s">
        <v>1429</v>
      </c>
      <c r="G377" s="231" t="s">
        <v>40</v>
      </c>
      <c r="H377" s="231" t="s">
        <v>352</v>
      </c>
      <c r="I377" s="455" t="s">
        <v>353</v>
      </c>
    </row>
    <row r="378" spans="6:9">
      <c r="F378" s="427" t="s">
        <v>1429</v>
      </c>
      <c r="G378" s="231" t="s">
        <v>40</v>
      </c>
      <c r="H378" s="231" t="s">
        <v>354</v>
      </c>
      <c r="I378" s="456" t="s">
        <v>249</v>
      </c>
    </row>
    <row r="379" spans="6:9">
      <c r="F379" s="427" t="s">
        <v>1429</v>
      </c>
      <c r="G379" s="231" t="s">
        <v>101</v>
      </c>
      <c r="H379" s="231" t="s">
        <v>901</v>
      </c>
      <c r="I379" s="455" t="s">
        <v>902</v>
      </c>
    </row>
    <row r="380" spans="6:9">
      <c r="F380" s="427" t="s">
        <v>1429</v>
      </c>
      <c r="G380" s="231" t="s">
        <v>132</v>
      </c>
      <c r="H380" s="231" t="s">
        <v>1009</v>
      </c>
      <c r="I380" s="456" t="s">
        <v>1010</v>
      </c>
    </row>
    <row r="381" spans="6:9">
      <c r="F381" s="427" t="s">
        <v>1429</v>
      </c>
      <c r="G381" s="231" t="s">
        <v>91</v>
      </c>
      <c r="H381" s="231" t="s">
        <v>887</v>
      </c>
      <c r="I381" s="455" t="s">
        <v>888</v>
      </c>
    </row>
    <row r="382" spans="6:9">
      <c r="F382" s="427" t="s">
        <v>1429</v>
      </c>
      <c r="G382" s="231" t="s">
        <v>81</v>
      </c>
      <c r="H382" s="231" t="s">
        <v>847</v>
      </c>
      <c r="I382" s="456" t="s">
        <v>848</v>
      </c>
    </row>
    <row r="383" spans="6:9">
      <c r="F383" s="457" t="s">
        <v>1430</v>
      </c>
      <c r="G383" s="231" t="s">
        <v>81</v>
      </c>
      <c r="H383" s="231" t="s">
        <v>859</v>
      </c>
      <c r="I383" s="455" t="s">
        <v>860</v>
      </c>
    </row>
    <row r="384" spans="6:9">
      <c r="F384" s="427" t="s">
        <v>1429</v>
      </c>
      <c r="G384" s="231" t="s">
        <v>81</v>
      </c>
      <c r="H384" s="231" t="s">
        <v>861</v>
      </c>
      <c r="I384" s="456" t="s">
        <v>862</v>
      </c>
    </row>
    <row r="385" spans="6:9">
      <c r="F385" s="427" t="s">
        <v>1429</v>
      </c>
      <c r="G385" s="231" t="s">
        <v>81</v>
      </c>
      <c r="H385" s="231" t="s">
        <v>853</v>
      </c>
      <c r="I385" s="455" t="s">
        <v>854</v>
      </c>
    </row>
    <row r="386" spans="6:9">
      <c r="F386" s="427" t="s">
        <v>1429</v>
      </c>
      <c r="G386" s="231" t="s">
        <v>81</v>
      </c>
      <c r="H386" s="231" t="s">
        <v>855</v>
      </c>
      <c r="I386" s="456" t="s">
        <v>856</v>
      </c>
    </row>
    <row r="387" spans="6:9">
      <c r="F387" s="427" t="s">
        <v>1429</v>
      </c>
      <c r="G387" s="231" t="s">
        <v>81</v>
      </c>
      <c r="H387" s="231" t="s">
        <v>849</v>
      </c>
      <c r="I387" s="455" t="s">
        <v>850</v>
      </c>
    </row>
    <row r="388" spans="6:9">
      <c r="F388" s="457" t="s">
        <v>1430</v>
      </c>
      <c r="G388" s="231" t="s">
        <v>81</v>
      </c>
      <c r="H388" s="231" t="s">
        <v>857</v>
      </c>
      <c r="I388" s="456" t="s">
        <v>858</v>
      </c>
    </row>
    <row r="389" spans="6:9">
      <c r="F389" s="427" t="s">
        <v>1429</v>
      </c>
      <c r="G389" s="231" t="s">
        <v>81</v>
      </c>
      <c r="H389" s="231" t="s">
        <v>865</v>
      </c>
      <c r="I389" s="455" t="s">
        <v>866</v>
      </c>
    </row>
    <row r="390" spans="6:9">
      <c r="F390" s="427" t="s">
        <v>1429</v>
      </c>
      <c r="G390" s="231" t="s">
        <v>81</v>
      </c>
      <c r="H390" s="231" t="s">
        <v>863</v>
      </c>
      <c r="I390" s="456" t="s">
        <v>864</v>
      </c>
    </row>
    <row r="391" spans="6:9">
      <c r="F391" s="427" t="s">
        <v>1429</v>
      </c>
      <c r="G391" s="231" t="s">
        <v>81</v>
      </c>
      <c r="H391" s="231" t="s">
        <v>851</v>
      </c>
      <c r="I391" s="455" t="s">
        <v>852</v>
      </c>
    </row>
    <row r="392" spans="6:9">
      <c r="F392" s="427" t="s">
        <v>1429</v>
      </c>
      <c r="G392" s="231" t="s">
        <v>81</v>
      </c>
      <c r="H392" s="231" t="s">
        <v>867</v>
      </c>
      <c r="I392" s="456" t="s">
        <v>868</v>
      </c>
    </row>
    <row r="393" spans="6:9">
      <c r="F393" s="427" t="s">
        <v>1429</v>
      </c>
      <c r="G393" s="231" t="s">
        <v>50</v>
      </c>
      <c r="H393" s="231" t="s">
        <v>455</v>
      </c>
      <c r="I393" s="455" t="s">
        <v>456</v>
      </c>
    </row>
    <row r="394" spans="6:9">
      <c r="F394" s="427" t="s">
        <v>1429</v>
      </c>
      <c r="G394" s="231" t="s">
        <v>50</v>
      </c>
      <c r="H394" s="231" t="s">
        <v>457</v>
      </c>
      <c r="I394" s="456" t="s">
        <v>458</v>
      </c>
    </row>
    <row r="395" spans="6:9">
      <c r="F395" s="427" t="s">
        <v>1429</v>
      </c>
      <c r="G395" s="231" t="s">
        <v>50</v>
      </c>
      <c r="H395" s="231" t="s">
        <v>461</v>
      </c>
      <c r="I395" s="455" t="s">
        <v>462</v>
      </c>
    </row>
    <row r="396" spans="6:9">
      <c r="F396" s="460" t="s">
        <v>1429</v>
      </c>
      <c r="G396" s="224" t="s">
        <v>50</v>
      </c>
      <c r="H396" s="224" t="s">
        <v>459</v>
      </c>
      <c r="I396" s="461" t="s">
        <v>460</v>
      </c>
    </row>
  </sheetData>
  <mergeCells count="6">
    <mergeCell ref="A104:C104"/>
    <mergeCell ref="A106:C106"/>
    <mergeCell ref="Q10:S10"/>
    <mergeCell ref="O10:P10"/>
    <mergeCell ref="AD4:AG4"/>
    <mergeCell ref="L1:L29"/>
  </mergeCells>
  <phoneticPr fontId="6" type="noConversion"/>
  <dataValidations count="1">
    <dataValidation type="decimal" allowBlank="1" showInputMessage="1" showErrorMessage="1" error="Please enter a valid Number." prompt="Enter a Number." sqref="R3" xr:uid="{00000000-0002-0000-1900-000000000000}">
      <formula1>-99999.99999</formula1>
      <formula2>99999.99999</formula2>
    </dataValidation>
  </dataValidations>
  <hyperlinks>
    <hyperlink ref="AC3" r:id="rId1" xr:uid="{00000000-0004-0000-1900-000000000000}"/>
  </hyperlinks>
  <pageMargins left="0.7" right="0.7" top="0.75" bottom="0.75" header="0.3" footer="0.3"/>
  <pageSetup orientation="portrait" horizontalDpi="1200" verticalDpi="1200" r:id="rId2"/>
  <legacyDrawing r:id="rId3"/>
  <tableParts count="8">
    <tablePart r:id="rId4"/>
    <tablePart r:id="rId5"/>
    <tablePart r:id="rId6"/>
    <tablePart r:id="rId7"/>
    <tablePart r:id="rId8"/>
    <tablePart r:id="rId9"/>
    <tablePart r:id="rId10"/>
    <tablePart r:id="rId1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tabColor theme="3" tint="0.59999389629810485"/>
  </sheetPr>
  <dimension ref="A1:I55"/>
  <sheetViews>
    <sheetView showGridLines="0" topLeftCell="A13" zoomScale="85" zoomScaleNormal="85" workbookViewId="0">
      <selection activeCell="C21" sqref="C21:E21"/>
    </sheetView>
  </sheetViews>
  <sheetFormatPr defaultColWidth="8.875" defaultRowHeight="14.25"/>
  <cols>
    <col min="1" max="7" width="31.625" customWidth="1"/>
    <col min="8" max="8" width="20.125" bestFit="1" customWidth="1"/>
    <col min="9" max="9" width="48.25" customWidth="1"/>
  </cols>
  <sheetData>
    <row r="1" spans="1:8" ht="24.6" customHeight="1">
      <c r="A1" s="198" t="s">
        <v>303</v>
      </c>
      <c r="B1" s="210"/>
      <c r="C1" s="210"/>
      <c r="D1" s="210"/>
      <c r="E1" s="210"/>
      <c r="F1" s="210"/>
      <c r="G1" s="210"/>
    </row>
    <row r="2" spans="1:8" ht="18.75" customHeight="1">
      <c r="A2" s="208" t="s">
        <v>1263</v>
      </c>
      <c r="B2" s="201"/>
      <c r="C2" s="201"/>
      <c r="D2" s="201"/>
      <c r="E2" s="201"/>
      <c r="F2" s="201"/>
      <c r="G2" s="201"/>
    </row>
    <row r="3" spans="1:8">
      <c r="A3" s="202" t="s">
        <v>1386</v>
      </c>
      <c r="B3" s="201"/>
      <c r="C3" s="201"/>
      <c r="D3" s="201"/>
      <c r="E3" s="201"/>
      <c r="F3" s="201"/>
      <c r="G3" s="201"/>
    </row>
    <row r="4" spans="1:8">
      <c r="A4" s="202" t="s">
        <v>1518</v>
      </c>
      <c r="B4" s="201"/>
      <c r="C4" s="201"/>
      <c r="D4" s="201"/>
      <c r="E4" s="201"/>
      <c r="F4" s="201"/>
      <c r="G4" s="212"/>
      <c r="H4" s="20"/>
    </row>
    <row r="5" spans="1:8">
      <c r="A5" s="202" t="s">
        <v>1291</v>
      </c>
      <c r="B5" s="201"/>
      <c r="C5" s="201"/>
      <c r="D5" s="201"/>
      <c r="E5" s="201"/>
      <c r="F5" s="201"/>
      <c r="G5" s="201"/>
    </row>
    <row r="6" spans="1:8">
      <c r="A6" s="265" t="s">
        <v>3639</v>
      </c>
      <c r="B6" s="201"/>
      <c r="C6" s="201"/>
      <c r="D6" s="201"/>
      <c r="E6" s="201"/>
      <c r="F6" s="201"/>
      <c r="G6" s="201"/>
    </row>
    <row r="7" spans="1:8">
      <c r="A7" s="202" t="s">
        <v>1304</v>
      </c>
      <c r="B7" s="201"/>
      <c r="C7" s="201"/>
      <c r="D7" s="201"/>
      <c r="E7" s="201"/>
      <c r="F7" s="201"/>
      <c r="G7" s="201"/>
    </row>
    <row r="8" spans="1:8" ht="18.75" customHeight="1"/>
    <row r="9" spans="1:8" ht="18.75" customHeight="1"/>
    <row r="10" spans="1:8" ht="18.75" customHeight="1"/>
    <row r="11" spans="1:8" ht="18.75" customHeight="1"/>
    <row r="12" spans="1:8" ht="18.75" customHeight="1">
      <c r="A12" s="262" t="s">
        <v>4290</v>
      </c>
    </row>
    <row r="13" spans="1:8" ht="18.75" customHeight="1">
      <c r="A13" s="263" t="s">
        <v>3636</v>
      </c>
    </row>
    <row r="14" spans="1:8" ht="39" customHeight="1">
      <c r="A14" s="1220" t="s">
        <v>4361</v>
      </c>
      <c r="B14" s="1220"/>
      <c r="C14" s="1220"/>
      <c r="D14" s="1220"/>
      <c r="E14" s="1220"/>
      <c r="F14" s="1220"/>
      <c r="G14" s="1220"/>
    </row>
    <row r="15" spans="1:8" ht="18.75" customHeight="1">
      <c r="A15" s="264"/>
      <c r="B15" s="264"/>
      <c r="C15" s="264"/>
      <c r="D15" s="264"/>
      <c r="E15" s="264"/>
      <c r="F15" s="264"/>
      <c r="G15" s="264"/>
    </row>
    <row r="16" spans="1:8">
      <c r="A16" s="267" t="s">
        <v>1371</v>
      </c>
    </row>
    <row r="17" spans="1:7">
      <c r="A17" s="267" t="s">
        <v>4292</v>
      </c>
    </row>
    <row r="18" spans="1:7">
      <c r="B18" s="9" t="s">
        <v>188</v>
      </c>
      <c r="C18" s="9" t="s">
        <v>188</v>
      </c>
      <c r="D18" s="9" t="s">
        <v>188</v>
      </c>
      <c r="E18" s="9" t="s">
        <v>188</v>
      </c>
    </row>
    <row r="19" spans="1:7" ht="30">
      <c r="A19" s="203" t="s">
        <v>155</v>
      </c>
      <c r="B19" s="204" t="s">
        <v>1134</v>
      </c>
      <c r="C19" s="204" t="s">
        <v>1292</v>
      </c>
      <c r="D19" s="205" t="s">
        <v>1366</v>
      </c>
      <c r="E19" s="203" t="s">
        <v>1282</v>
      </c>
      <c r="F19" s="209" t="s">
        <v>1260</v>
      </c>
      <c r="G19" s="203" t="s">
        <v>160</v>
      </c>
    </row>
    <row r="20" spans="1:7" ht="15">
      <c r="A20" s="186">
        <v>1</v>
      </c>
      <c r="B20" s="395" t="s">
        <v>1519</v>
      </c>
      <c r="C20" s="395" t="s">
        <v>3635</v>
      </c>
      <c r="D20" s="395" t="s">
        <v>1293</v>
      </c>
      <c r="E20" s="396">
        <v>20000</v>
      </c>
      <c r="F20" s="273">
        <f>IF(OR(C20="",D20=""),"",VLOOKUP(C20,EF!$AC$6:$AG$13,IF(D20="recycled",2,IF(D20="landfilled",3,IF(D20="combusted (incineration)",4,5))),FALSE))</f>
        <v>0.05</v>
      </c>
      <c r="G20" s="276">
        <f>IFERROR(E20*F20,"")</f>
        <v>1000</v>
      </c>
    </row>
    <row r="21" spans="1:7" ht="15">
      <c r="A21" s="186">
        <v>2</v>
      </c>
      <c r="B21" s="252"/>
      <c r="C21" s="250"/>
      <c r="D21" s="252"/>
      <c r="E21" s="255"/>
      <c r="F21" s="278" t="str">
        <f>IF(OR(C21="",D21=""),"",VLOOKUP(C21,EF!$AC$6:$AG$13,IF(D21="recycled",2,IF(D21="landfilled",3,IF(D21="combusted (incineration)",4,5))),FALSE))</f>
        <v/>
      </c>
      <c r="G21" s="279" t="str">
        <f t="shared" ref="G21:G34" si="0">IFERROR(E21*F21,"")</f>
        <v/>
      </c>
    </row>
    <row r="22" spans="1:7" ht="15">
      <c r="A22" s="186">
        <v>3</v>
      </c>
      <c r="B22" s="252"/>
      <c r="C22" s="250"/>
      <c r="D22" s="252"/>
      <c r="E22" s="255"/>
      <c r="F22" s="278" t="str">
        <f>IF(OR(C22="",D22=""),"",VLOOKUP(C22,EF!$AC$6:$AG$13,IF(D22="recycled",2,IF(D22="landfilled",3,IF(D22="combusted (incineration)",4,5))),FALSE))</f>
        <v/>
      </c>
      <c r="G22" s="279" t="str">
        <f t="shared" si="0"/>
        <v/>
      </c>
    </row>
    <row r="23" spans="1:7" ht="15">
      <c r="A23" s="186">
        <v>4</v>
      </c>
      <c r="B23" s="252"/>
      <c r="C23" s="250"/>
      <c r="D23" s="252"/>
      <c r="E23" s="255"/>
      <c r="F23" s="278" t="str">
        <f>IF(OR(C23="",D23=""),"",VLOOKUP(C23,EF!$AC$6:$AG$13,IF(D23="recycled",2,IF(D23="landfilled",3,IF(D23="combusted (incineration)",4,5))),FALSE))</f>
        <v/>
      </c>
      <c r="G23" s="279" t="str">
        <f t="shared" si="0"/>
        <v/>
      </c>
    </row>
    <row r="24" spans="1:7" ht="15">
      <c r="A24" s="186">
        <v>5</v>
      </c>
      <c r="B24" s="252"/>
      <c r="C24" s="250"/>
      <c r="D24" s="252"/>
      <c r="E24" s="255"/>
      <c r="F24" s="278" t="str">
        <f>IF(OR(C24="",D24=""),"",VLOOKUP(C24,EF!$AC$6:$AG$13,IF(D24="recycled",2,IF(D24="landfilled",3,IF(D24="combusted (incineration)",4,5))),FALSE))</f>
        <v/>
      </c>
      <c r="G24" s="279" t="str">
        <f>IFERROR(E24*F24,"")</f>
        <v/>
      </c>
    </row>
    <row r="25" spans="1:7" ht="15">
      <c r="A25" s="186">
        <v>6</v>
      </c>
      <c r="B25" s="252"/>
      <c r="C25" s="250"/>
      <c r="D25" s="252"/>
      <c r="E25" s="255"/>
      <c r="F25" s="278" t="str">
        <f>IF(OR(C25="",D25=""),"",VLOOKUP(C25,EF!$AC$6:$AG$13,IF(D25="recycled",2,IF(D25="landfilled",3,IF(D25="combusted (incineration)",4,5))),FALSE))</f>
        <v/>
      </c>
      <c r="G25" s="279" t="str">
        <f t="shared" si="0"/>
        <v/>
      </c>
    </row>
    <row r="26" spans="1:7" ht="15">
      <c r="A26" s="186">
        <v>7</v>
      </c>
      <c r="B26" s="252"/>
      <c r="C26" s="250"/>
      <c r="D26" s="252"/>
      <c r="E26" s="255"/>
      <c r="F26" s="278" t="str">
        <f>IF(OR(C26="",D26=""),"",VLOOKUP(C26,EF!$AC$6:$AG$13,IF(D26="recycled",2,IF(D26="landfilled",3,IF(D26="combusted (incineration)",4,5))),FALSE))</f>
        <v/>
      </c>
      <c r="G26" s="279" t="str">
        <f t="shared" si="0"/>
        <v/>
      </c>
    </row>
    <row r="27" spans="1:7" ht="15">
      <c r="A27" s="186">
        <v>8</v>
      </c>
      <c r="B27" s="252"/>
      <c r="C27" s="250"/>
      <c r="D27" s="252"/>
      <c r="E27" s="255"/>
      <c r="F27" s="278" t="str">
        <f>IF(OR(C27="",D27=""),"",VLOOKUP(C27,EF!$AC$6:$AG$13,IF(D27="recycled",2,IF(D27="landfilled",3,IF(D27="combusted (incineration)",4,5))),FALSE))</f>
        <v/>
      </c>
      <c r="G27" s="279" t="str">
        <f t="shared" si="0"/>
        <v/>
      </c>
    </row>
    <row r="28" spans="1:7" ht="15">
      <c r="A28" s="186">
        <v>9</v>
      </c>
      <c r="B28" s="252"/>
      <c r="C28" s="250"/>
      <c r="D28" s="252"/>
      <c r="E28" s="255"/>
      <c r="F28" s="278" t="str">
        <f>IF(OR(C28="",D28=""),"",VLOOKUP(C28,EF!$AC$6:$AG$13,IF(D28="recycled",2,IF(D28="landfilled",3,IF(D28="combusted (incineration)",4,5))),FALSE))</f>
        <v/>
      </c>
      <c r="G28" s="279" t="str">
        <f t="shared" si="0"/>
        <v/>
      </c>
    </row>
    <row r="29" spans="1:7" ht="15">
      <c r="A29" s="186">
        <v>10</v>
      </c>
      <c r="B29" s="252"/>
      <c r="C29" s="250"/>
      <c r="D29" s="252"/>
      <c r="E29" s="255"/>
      <c r="F29" s="278" t="str">
        <f>IF(OR(C29="",D29=""),"",VLOOKUP(C29,EF!$AC$6:$AG$13,IF(D29="recycled",2,IF(D29="landfilled",3,IF(D29="combusted (incineration)",4,5))),FALSE))</f>
        <v/>
      </c>
      <c r="G29" s="279" t="str">
        <f t="shared" si="0"/>
        <v/>
      </c>
    </row>
    <row r="30" spans="1:7" ht="15">
      <c r="A30" s="186">
        <v>11</v>
      </c>
      <c r="B30" s="252"/>
      <c r="C30" s="250"/>
      <c r="D30" s="252"/>
      <c r="E30" s="255"/>
      <c r="F30" s="278" t="str">
        <f>IF(OR(C30="",D30=""),"",VLOOKUP(C30,EF!$AC$6:$AG$13,IF(D30="recycled",2,IF(D30="landfilled",3,IF(D30="combusted (incineration)",4,5))),FALSE))</f>
        <v/>
      </c>
      <c r="G30" s="279" t="str">
        <f t="shared" si="0"/>
        <v/>
      </c>
    </row>
    <row r="31" spans="1:7" ht="15">
      <c r="A31" s="186">
        <v>12</v>
      </c>
      <c r="B31" s="252"/>
      <c r="C31" s="250"/>
      <c r="D31" s="252"/>
      <c r="E31" s="255"/>
      <c r="F31" s="278" t="str">
        <f>IF(OR(C31="",D31=""),"",VLOOKUP(C31,EF!$AC$6:$AG$13,IF(D31="recycled",2,IF(D31="landfilled",3,IF(D31="combusted (incineration)",4,5))),FALSE))</f>
        <v/>
      </c>
      <c r="G31" s="279" t="str">
        <f t="shared" si="0"/>
        <v/>
      </c>
    </row>
    <row r="32" spans="1:7" ht="15">
      <c r="A32" s="186">
        <v>13</v>
      </c>
      <c r="B32" s="252"/>
      <c r="C32" s="250"/>
      <c r="D32" s="252"/>
      <c r="E32" s="255"/>
      <c r="F32" s="278" t="str">
        <f>IF(OR(C32="",D32=""),"",VLOOKUP(C32,EF!$AC$6:$AG$13,IF(D32="recycled",2,IF(D32="landfilled",3,IF(D32="combusted (incineration)",4,5))),FALSE))</f>
        <v/>
      </c>
      <c r="G32" s="279" t="str">
        <f t="shared" si="0"/>
        <v/>
      </c>
    </row>
    <row r="33" spans="1:9" ht="15">
      <c r="A33" s="186">
        <v>14</v>
      </c>
      <c r="B33" s="252"/>
      <c r="C33" s="250"/>
      <c r="D33" s="252"/>
      <c r="E33" s="255"/>
      <c r="F33" s="278" t="str">
        <f>IF(OR(C33="",D33=""),"",VLOOKUP(C33,EF!$AC$6:$AG$13,IF(D33="recycled",2,IF(D33="landfilled",3,IF(D33="combusted (incineration)",4,5))),FALSE))</f>
        <v/>
      </c>
      <c r="G33" s="279" t="str">
        <f t="shared" si="0"/>
        <v/>
      </c>
    </row>
    <row r="34" spans="1:9" ht="15">
      <c r="A34" s="186">
        <v>15</v>
      </c>
      <c r="B34" s="252"/>
      <c r="C34" s="250"/>
      <c r="D34" s="252"/>
      <c r="E34" s="255"/>
      <c r="F34" s="278" t="str">
        <f>IF(OR(C34="",D34=""),"",VLOOKUP(C34,EF!$AC$6:$AG$13,IF(D34="recycled",2,IF(D34="landfilled",3,IF(D34="combusted (incineration)",4,5))),FALSE))</f>
        <v/>
      </c>
      <c r="G34" s="279" t="str">
        <f t="shared" si="0"/>
        <v/>
      </c>
    </row>
    <row r="35" spans="1:9" ht="15">
      <c r="A35" s="186">
        <v>16</v>
      </c>
      <c r="B35" s="252"/>
      <c r="C35" s="250"/>
      <c r="D35" s="252"/>
      <c r="E35" s="255"/>
      <c r="F35" s="278" t="str">
        <f>IF(OR(C35="",D35=""),"",VLOOKUP(C35,EF!$AC$6:$AG$13,IF(D35="recycled",2,IF(D35="landfilled",3,IF(D35="combusted (incineration)",4,5))),FALSE))</f>
        <v/>
      </c>
      <c r="G35" s="279" t="str">
        <f>IFERROR(E35*F35,"")</f>
        <v/>
      </c>
    </row>
    <row r="36" spans="1:9" ht="15">
      <c r="A36" s="186">
        <v>17</v>
      </c>
      <c r="B36" s="252"/>
      <c r="C36" s="250"/>
      <c r="D36" s="252"/>
      <c r="E36" s="255"/>
      <c r="F36" s="278" t="str">
        <f>IF(OR(C36="",D36=""),"",VLOOKUP(C36,EF!$AC$6:$AG$13,IF(D36="recycled",2,IF(D36="landfilled",3,IF(D36="combusted (incineration)",4,5))),FALSE))</f>
        <v/>
      </c>
      <c r="G36" s="279" t="str">
        <f>IFERROR(E36*F36,"")</f>
        <v/>
      </c>
    </row>
    <row r="37" spans="1:9" ht="15">
      <c r="A37" s="186">
        <v>18</v>
      </c>
      <c r="B37" s="252"/>
      <c r="C37" s="250"/>
      <c r="D37" s="252"/>
      <c r="E37" s="255"/>
      <c r="F37" s="278" t="str">
        <f>IF(OR(C37="",D37=""),"",VLOOKUP(C37,EF!$AC$6:$AG$13,IF(D37="recycled",2,IF(D37="landfilled",3,IF(D37="combusted (incineration)",4,5))),FALSE))</f>
        <v/>
      </c>
      <c r="G37" s="279" t="str">
        <f>IFERROR(E37*F37,"")</f>
        <v/>
      </c>
    </row>
    <row r="38" spans="1:9" ht="15">
      <c r="A38" s="186">
        <v>19</v>
      </c>
      <c r="B38" s="252"/>
      <c r="C38" s="250"/>
      <c r="D38" s="252"/>
      <c r="E38" s="255"/>
      <c r="F38" s="278" t="str">
        <f>IF(OR(C38="",D38=""),"",VLOOKUP(C38,EF!$AC$6:$AG$13,IF(D38="recycled",2,IF(D38="landfilled",3,IF(D38="combusted (incineration)",4,5))),FALSE))</f>
        <v/>
      </c>
      <c r="G38" s="279" t="str">
        <f>IFERROR(E38*F38,"")</f>
        <v/>
      </c>
    </row>
    <row r="39" spans="1:9" ht="15.75" thickBot="1">
      <c r="A39" s="186">
        <v>20</v>
      </c>
      <c r="B39" s="252"/>
      <c r="C39" s="250"/>
      <c r="D39" s="252"/>
      <c r="E39" s="255"/>
      <c r="F39" s="278" t="str">
        <f>IF(OR(C39="",D39=""),"",VLOOKUP(C39,EF!$AC$6:$AG$13,IF(D39="recycled",2,IF(D39="landfilled",3,IF(D39="combusted (incineration)",4,5))),FALSE))</f>
        <v/>
      </c>
      <c r="G39" s="279" t="str">
        <f>IFERROR(E39*F39,"")</f>
        <v/>
      </c>
    </row>
    <row r="40" spans="1:9" ht="15" thickBot="1">
      <c r="F40" s="183" t="s">
        <v>1129</v>
      </c>
      <c r="G40" s="122">
        <f>SUM(G21:G39)</f>
        <v>0</v>
      </c>
    </row>
    <row r="41" spans="1:9">
      <c r="A41" s="514" t="s">
        <v>4291</v>
      </c>
      <c r="F41" s="370"/>
      <c r="G41" s="371"/>
    </row>
    <row r="42" spans="1:9">
      <c r="A42" s="514" t="s">
        <v>4362</v>
      </c>
      <c r="F42" s="370"/>
      <c r="G42" s="371"/>
    </row>
    <row r="43" spans="1:9">
      <c r="B43" s="9" t="s">
        <v>188</v>
      </c>
      <c r="C43" s="9" t="s">
        <v>188</v>
      </c>
      <c r="D43" s="9" t="s">
        <v>188</v>
      </c>
      <c r="E43" s="9" t="s">
        <v>188</v>
      </c>
      <c r="F43" s="9" t="s">
        <v>188</v>
      </c>
      <c r="G43" s="513" t="s">
        <v>188</v>
      </c>
      <c r="H43" s="9" t="s">
        <v>188</v>
      </c>
      <c r="I43" s="9" t="s">
        <v>188</v>
      </c>
    </row>
    <row r="44" spans="1:9" ht="30">
      <c r="A44" s="203" t="s">
        <v>155</v>
      </c>
      <c r="B44" s="204" t="s">
        <v>1134</v>
      </c>
      <c r="C44" s="204" t="s">
        <v>1292</v>
      </c>
      <c r="D44" s="205" t="s">
        <v>1366</v>
      </c>
      <c r="E44" s="203" t="s">
        <v>4301</v>
      </c>
      <c r="F44" s="203" t="s">
        <v>4302</v>
      </c>
      <c r="G44" s="209" t="s">
        <v>4303</v>
      </c>
      <c r="H44" s="203" t="s">
        <v>160</v>
      </c>
      <c r="I44" s="209" t="s">
        <v>4300</v>
      </c>
    </row>
    <row r="45" spans="1:9" ht="15">
      <c r="A45" s="186">
        <v>1</v>
      </c>
      <c r="B45" s="395" t="s">
        <v>1372</v>
      </c>
      <c r="C45" s="395" t="s">
        <v>4304</v>
      </c>
      <c r="D45" s="395" t="s">
        <v>4305</v>
      </c>
      <c r="E45" s="519">
        <v>10</v>
      </c>
      <c r="F45" s="395" t="s">
        <v>4306</v>
      </c>
      <c r="G45" s="395">
        <v>0.82799999999999996</v>
      </c>
      <c r="H45" s="519">
        <f>G45*E45</f>
        <v>8.2799999999999994</v>
      </c>
      <c r="I45" s="395" t="s">
        <v>4308</v>
      </c>
    </row>
    <row r="46" spans="1:9" ht="15">
      <c r="A46" s="186">
        <v>2</v>
      </c>
      <c r="B46" s="252"/>
      <c r="C46" s="250"/>
      <c r="D46" s="250"/>
      <c r="E46" s="533"/>
      <c r="F46" s="533"/>
      <c r="G46" s="533"/>
      <c r="H46" s="536"/>
      <c r="I46" s="536"/>
    </row>
    <row r="47" spans="1:9" ht="15">
      <c r="A47" s="186">
        <v>3</v>
      </c>
      <c r="B47" s="252"/>
      <c r="C47" s="250"/>
      <c r="D47" s="250"/>
      <c r="E47" s="533"/>
      <c r="F47" s="533"/>
      <c r="G47" s="533"/>
      <c r="H47" s="536"/>
      <c r="I47" s="536"/>
    </row>
    <row r="48" spans="1:9" ht="15">
      <c r="A48" s="186">
        <v>4</v>
      </c>
      <c r="B48" s="252"/>
      <c r="C48" s="250"/>
      <c r="D48" s="250"/>
      <c r="E48" s="533"/>
      <c r="F48" s="533"/>
      <c r="G48" s="533"/>
      <c r="H48" s="536"/>
      <c r="I48" s="536"/>
    </row>
    <row r="49" spans="1:9" ht="15">
      <c r="A49" s="186">
        <v>5</v>
      </c>
      <c r="B49" s="252"/>
      <c r="C49" s="250"/>
      <c r="D49" s="250"/>
      <c r="E49" s="533"/>
      <c r="F49" s="533"/>
      <c r="G49" s="533"/>
      <c r="H49" s="536"/>
      <c r="I49" s="536"/>
    </row>
    <row r="50" spans="1:9" ht="15">
      <c r="A50" s="186">
        <v>6</v>
      </c>
      <c r="B50" s="252"/>
      <c r="C50" s="250"/>
      <c r="D50" s="250"/>
      <c r="E50" s="533"/>
      <c r="F50" s="533"/>
      <c r="G50" s="533"/>
      <c r="H50" s="536"/>
      <c r="I50" s="536"/>
    </row>
    <row r="51" spans="1:9" ht="15">
      <c r="A51" s="186">
        <v>7</v>
      </c>
      <c r="B51" s="252"/>
      <c r="C51" s="250"/>
      <c r="D51" s="250"/>
      <c r="E51" s="533"/>
      <c r="F51" s="533"/>
      <c r="G51" s="533"/>
      <c r="H51" s="536"/>
      <c r="I51" s="536"/>
    </row>
    <row r="52" spans="1:9" ht="15">
      <c r="A52" s="186">
        <v>8</v>
      </c>
      <c r="B52" s="252"/>
      <c r="C52" s="250"/>
      <c r="D52" s="250"/>
      <c r="E52" s="533"/>
      <c r="F52" s="533"/>
      <c r="G52" s="533"/>
      <c r="H52" s="536"/>
      <c r="I52" s="536"/>
    </row>
    <row r="53" spans="1:9" ht="15">
      <c r="A53" s="186">
        <v>9</v>
      </c>
      <c r="B53" s="252"/>
      <c r="C53" s="250"/>
      <c r="D53" s="250"/>
      <c r="E53" s="533"/>
      <c r="F53" s="533"/>
      <c r="G53" s="533"/>
      <c r="H53" s="536"/>
      <c r="I53" s="536"/>
    </row>
    <row r="54" spans="1:9" ht="15.75" thickBot="1">
      <c r="A54" s="186">
        <v>10</v>
      </c>
      <c r="B54" s="252"/>
      <c r="C54" s="250"/>
      <c r="D54" s="250"/>
      <c r="E54" s="533"/>
      <c r="F54" s="533"/>
      <c r="G54" s="533"/>
      <c r="H54" s="536"/>
      <c r="I54" s="536"/>
    </row>
    <row r="55" spans="1:9" ht="15" thickBot="1">
      <c r="G55" s="515" t="s">
        <v>1129</v>
      </c>
      <c r="H55" s="516">
        <f>SUM(H46:H54)</f>
        <v>0</v>
      </c>
      <c r="I55" s="262"/>
    </row>
  </sheetData>
  <sheetProtection algorithmName="SHA-512" hashValue="lhKI3JXB1QCuFBSJXfhgfq/aOEbFD3OriaLHl8jB/W/4nU8c2GcyawF+mbmFcyOEh9BgIbnocv3L3b2xENWAZg==" saltValue="aadg6RnLaxHwKSBR7KbZnA==" spinCount="100000" sheet="1" objects="1" scenarios="1"/>
  <mergeCells count="1">
    <mergeCell ref="A14:G14"/>
  </mergeCells>
  <dataValidations count="1">
    <dataValidation type="list" allowBlank="1" showInputMessage="1" showErrorMessage="1" sqref="D20:D39" xr:uid="{00000000-0002-0000-1A00-000000000000}">
      <formula1>INDIRECT(C20)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1000000}">
          <x14:formula1>
            <xm:f>EF!$AC$6:$AC$13</xm:f>
          </x14:formula1>
          <xm:sqref>C20 C22:C39 C21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59999389629810485"/>
  </sheetPr>
  <dimension ref="A1:J58"/>
  <sheetViews>
    <sheetView showGridLines="0" topLeftCell="A17" zoomScale="80" zoomScaleNormal="80" workbookViewId="0">
      <selection activeCell="C27" sqref="C27:D30"/>
    </sheetView>
  </sheetViews>
  <sheetFormatPr defaultColWidth="8.875" defaultRowHeight="14.25"/>
  <cols>
    <col min="1" max="1" width="7" customWidth="1"/>
    <col min="2" max="2" width="44.625" customWidth="1"/>
    <col min="3" max="3" width="36.375" customWidth="1"/>
    <col min="4" max="4" width="20.875" customWidth="1"/>
    <col min="5" max="5" width="26.125" customWidth="1"/>
    <col min="6" max="6" width="19.5" customWidth="1"/>
    <col min="7" max="7" width="19.25" customWidth="1"/>
    <col min="8" max="8" width="20.125" bestFit="1" customWidth="1"/>
    <col min="9" max="9" width="47.875" customWidth="1"/>
    <col min="10" max="10" width="25" customWidth="1"/>
    <col min="11" max="11" width="140.5" customWidth="1"/>
  </cols>
  <sheetData>
    <row r="1" spans="1:6" ht="20.25">
      <c r="A1" s="198" t="s">
        <v>304</v>
      </c>
      <c r="B1" s="210"/>
      <c r="C1" s="210"/>
      <c r="D1" s="210"/>
      <c r="E1" s="210"/>
      <c r="F1" s="199"/>
    </row>
    <row r="2" spans="1:6">
      <c r="A2" s="208" t="s">
        <v>1263</v>
      </c>
      <c r="B2" s="201"/>
      <c r="C2" s="201"/>
      <c r="D2" s="201"/>
      <c r="E2" s="201"/>
      <c r="F2" s="201"/>
    </row>
    <row r="3" spans="1:6">
      <c r="A3" s="202" t="s">
        <v>1386</v>
      </c>
      <c r="B3" s="201"/>
      <c r="C3" s="201"/>
      <c r="D3" s="201"/>
      <c r="E3" s="201"/>
      <c r="F3" s="201"/>
    </row>
    <row r="4" spans="1:6">
      <c r="A4" s="202" t="s">
        <v>1518</v>
      </c>
      <c r="B4" s="201"/>
      <c r="C4" s="201"/>
      <c r="D4" s="201"/>
      <c r="E4" s="201"/>
      <c r="F4" s="201"/>
    </row>
    <row r="5" spans="1:6">
      <c r="A5" s="202" t="s">
        <v>1352</v>
      </c>
      <c r="B5" s="201"/>
      <c r="C5" s="201"/>
      <c r="D5" s="201"/>
      <c r="E5" s="201"/>
      <c r="F5" s="211"/>
    </row>
    <row r="6" spans="1:6">
      <c r="A6" s="265" t="s">
        <v>1516</v>
      </c>
      <c r="B6" s="201"/>
      <c r="C6" s="201"/>
      <c r="D6" s="201"/>
      <c r="E6" s="201"/>
      <c r="F6" s="211"/>
    </row>
    <row r="7" spans="1:6">
      <c r="A7" s="171"/>
      <c r="F7" s="20"/>
    </row>
    <row r="8" spans="1:6">
      <c r="A8" s="171"/>
      <c r="F8" s="20"/>
    </row>
    <row r="9" spans="1:6">
      <c r="A9" s="171"/>
      <c r="F9" s="20"/>
    </row>
    <row r="10" spans="1:6">
      <c r="A10" s="171"/>
      <c r="F10" s="20"/>
    </row>
    <row r="11" spans="1:6">
      <c r="A11" s="171"/>
      <c r="F11" s="20"/>
    </row>
    <row r="12" spans="1:6">
      <c r="A12" s="171"/>
      <c r="F12" s="20"/>
    </row>
    <row r="13" spans="1:6">
      <c r="A13" s="171"/>
      <c r="F13" s="20"/>
    </row>
    <row r="14" spans="1:6">
      <c r="A14" s="171"/>
      <c r="F14" s="20"/>
    </row>
    <row r="15" spans="1:6">
      <c r="A15" s="171"/>
      <c r="F15" s="20"/>
    </row>
    <row r="16" spans="1:6">
      <c r="A16" s="171"/>
      <c r="F16" s="20"/>
    </row>
    <row r="17" spans="1:7">
      <c r="A17" s="171"/>
      <c r="F17" s="20"/>
    </row>
    <row r="18" spans="1:7">
      <c r="A18" s="171"/>
      <c r="F18" s="20"/>
    </row>
    <row r="19" spans="1:7">
      <c r="A19" s="171"/>
      <c r="F19" s="20"/>
    </row>
    <row r="20" spans="1:7">
      <c r="A20" s="171"/>
      <c r="F20" s="20"/>
    </row>
    <row r="21" spans="1:7">
      <c r="A21" s="171"/>
      <c r="F21" s="20"/>
    </row>
    <row r="22" spans="1:7">
      <c r="A22" s="171"/>
      <c r="F22" s="20"/>
    </row>
    <row r="23" spans="1:7">
      <c r="A23" s="267" t="s">
        <v>1371</v>
      </c>
    </row>
    <row r="24" spans="1:7">
      <c r="B24" s="9" t="s">
        <v>188</v>
      </c>
      <c r="C24" s="9" t="s">
        <v>188</v>
      </c>
      <c r="D24" s="9" t="s">
        <v>188</v>
      </c>
    </row>
    <row r="25" spans="1:7" ht="15">
      <c r="A25" s="203" t="s">
        <v>155</v>
      </c>
      <c r="B25" s="204" t="s">
        <v>1134</v>
      </c>
      <c r="C25" s="204" t="s">
        <v>3614</v>
      </c>
      <c r="D25" s="204" t="s">
        <v>157</v>
      </c>
      <c r="E25" s="204" t="s">
        <v>1130</v>
      </c>
      <c r="F25" s="204" t="s">
        <v>160</v>
      </c>
    </row>
    <row r="26" spans="1:7" ht="15">
      <c r="A26" s="186">
        <v>1</v>
      </c>
      <c r="B26" s="216" t="s">
        <v>1372</v>
      </c>
      <c r="C26" s="216" t="s">
        <v>884</v>
      </c>
      <c r="D26" s="218">
        <v>50000</v>
      </c>
      <c r="E26" s="270">
        <f>IFERROR(VLOOKUP($C26,EF!$AK$4:$AL$9,2,FALSE),"")</f>
        <v>0.96299999999999997</v>
      </c>
      <c r="F26" s="271">
        <f>IFERROR(E26*D26*'inventory year and inflation'!$J$18/1000,"")</f>
        <v>40.927500000000002</v>
      </c>
      <c r="G26" s="17"/>
    </row>
    <row r="27" spans="1:7" ht="15">
      <c r="A27" s="186">
        <v>2</v>
      </c>
      <c r="B27" s="250"/>
      <c r="C27" s="250"/>
      <c r="D27" s="251"/>
      <c r="E27" s="381" t="str">
        <f>IFERROR(VLOOKUP($C27,EF!$AK$4:$AL$9,2,FALSE),"")</f>
        <v/>
      </c>
      <c r="F27" s="382" t="str">
        <f>IFERROR(E27*D27*'inventory year and inflation'!$J$18/1000,"")</f>
        <v/>
      </c>
    </row>
    <row r="28" spans="1:7" ht="15">
      <c r="A28" s="186">
        <v>3</v>
      </c>
      <c r="B28" s="250"/>
      <c r="C28" s="250"/>
      <c r="D28" s="251"/>
      <c r="E28" s="381" t="str">
        <f>IFERROR(VLOOKUP($C28,EF!$AK$4:$AL$9,2,FALSE),"")</f>
        <v/>
      </c>
      <c r="F28" s="382" t="str">
        <f>IFERROR(E28*D28*'inventory year and inflation'!$J$18/1000,"")</f>
        <v/>
      </c>
    </row>
    <row r="29" spans="1:7" ht="15">
      <c r="A29" s="186">
        <v>4</v>
      </c>
      <c r="B29" s="250"/>
      <c r="C29" s="250"/>
      <c r="D29" s="251"/>
      <c r="E29" s="381" t="str">
        <f>IFERROR(VLOOKUP($C29,EF!$AK$4:$AL$9,2,FALSE),"")</f>
        <v/>
      </c>
      <c r="F29" s="382" t="str">
        <f>IFERROR(E29*D29*'inventory year and inflation'!$J$18/1000,"")</f>
        <v/>
      </c>
    </row>
    <row r="30" spans="1:7" ht="15">
      <c r="A30" s="186">
        <v>5</v>
      </c>
      <c r="B30" s="250"/>
      <c r="C30" s="250"/>
      <c r="D30" s="269"/>
      <c r="E30" s="381" t="str">
        <f>IFERROR(VLOOKUP($C30,EF!$AK$4:$AL$9,2,FALSE),"")</f>
        <v/>
      </c>
      <c r="F30" s="382" t="str">
        <f>IFERROR(E30*D30*'inventory year and inflation'!$J$18/1000,"")</f>
        <v/>
      </c>
    </row>
    <row r="31" spans="1:7" ht="15">
      <c r="A31" s="186">
        <v>6</v>
      </c>
      <c r="B31" s="250"/>
      <c r="C31" s="250"/>
      <c r="D31" s="269"/>
      <c r="E31" s="381" t="str">
        <f>IFERROR(VLOOKUP($C31,EF!$AK$4:$AL$9,2,FALSE),"")</f>
        <v/>
      </c>
      <c r="F31" s="382" t="str">
        <f>IFERROR(E31*D31*'inventory year and inflation'!$J$18/1000,"")</f>
        <v/>
      </c>
    </row>
    <row r="32" spans="1:7" ht="15">
      <c r="A32" s="186">
        <v>7</v>
      </c>
      <c r="B32" s="250"/>
      <c r="C32" s="250"/>
      <c r="D32" s="269"/>
      <c r="E32" s="381" t="str">
        <f>IFERROR(VLOOKUP($C32,EF!$AK$4:$AL$9,2,FALSE),"")</f>
        <v/>
      </c>
      <c r="F32" s="382" t="str">
        <f>IFERROR(E32*D32*'inventory year and inflation'!$J$18/1000,"")</f>
        <v/>
      </c>
    </row>
    <row r="33" spans="1:6" ht="15">
      <c r="A33" s="186">
        <v>8</v>
      </c>
      <c r="B33" s="250"/>
      <c r="C33" s="250"/>
      <c r="D33" s="269"/>
      <c r="E33" s="381" t="str">
        <f>IFERROR(VLOOKUP($C33,EF!$AK$4:$AL$9,2,FALSE),"")</f>
        <v/>
      </c>
      <c r="F33" s="382" t="str">
        <f>IFERROR(E33*D33*'inventory year and inflation'!$J$18/1000,"")</f>
        <v/>
      </c>
    </row>
    <row r="34" spans="1:6" ht="15">
      <c r="A34" s="186">
        <v>9</v>
      </c>
      <c r="B34" s="250"/>
      <c r="C34" s="250"/>
      <c r="D34" s="269"/>
      <c r="E34" s="381" t="str">
        <f>IFERROR(VLOOKUP($C34,EF!$AK$4:$AL$9,2,FALSE),"")</f>
        <v/>
      </c>
      <c r="F34" s="382" t="str">
        <f>IFERROR(E34*D34*'inventory year and inflation'!$J$18/1000,"")</f>
        <v/>
      </c>
    </row>
    <row r="35" spans="1:6" ht="15">
      <c r="A35" s="186">
        <v>10</v>
      </c>
      <c r="B35" s="250"/>
      <c r="C35" s="250"/>
      <c r="D35" s="269"/>
      <c r="E35" s="381" t="str">
        <f>IFERROR(VLOOKUP($C35,EF!$AK$4:$AL$9,2,FALSE),"")</f>
        <v/>
      </c>
      <c r="F35" s="382" t="str">
        <f>IFERROR(E35*D35*'inventory year and inflation'!$J$18/1000,"")</f>
        <v/>
      </c>
    </row>
    <row r="36" spans="1:6" ht="15">
      <c r="A36" s="186">
        <v>11</v>
      </c>
      <c r="B36" s="250"/>
      <c r="C36" s="250"/>
      <c r="D36" s="269"/>
      <c r="E36" s="381" t="str">
        <f>IFERROR(VLOOKUP($C36,EF!$AK$4:$AL$9,2,FALSE),"")</f>
        <v/>
      </c>
      <c r="F36" s="382" t="str">
        <f>IFERROR(E36*D36*'inventory year and inflation'!$J$18/1000,"")</f>
        <v/>
      </c>
    </row>
    <row r="37" spans="1:6" ht="15">
      <c r="A37" s="186">
        <v>12</v>
      </c>
      <c r="B37" s="250"/>
      <c r="C37" s="250"/>
      <c r="D37" s="269"/>
      <c r="E37" s="381" t="str">
        <f>IFERROR(VLOOKUP($C37,EF!$AK$4:$AL$9,2,FALSE),"")</f>
        <v/>
      </c>
      <c r="F37" s="382" t="str">
        <f>IFERROR(E37*D37*'inventory year and inflation'!$J$18/1000,"")</f>
        <v/>
      </c>
    </row>
    <row r="38" spans="1:6" ht="15">
      <c r="A38" s="186">
        <v>13</v>
      </c>
      <c r="B38" s="250"/>
      <c r="C38" s="250"/>
      <c r="D38" s="269"/>
      <c r="E38" s="381" t="str">
        <f>IFERROR(VLOOKUP($C38,EF!$AK$4:$AL$9,2,FALSE),"")</f>
        <v/>
      </c>
      <c r="F38" s="382" t="str">
        <f>IFERROR(E38*D38*'inventory year and inflation'!$J$18/1000,"")</f>
        <v/>
      </c>
    </row>
    <row r="39" spans="1:6" ht="15">
      <c r="A39" s="186">
        <v>14</v>
      </c>
      <c r="B39" s="250"/>
      <c r="C39" s="250"/>
      <c r="D39" s="269"/>
      <c r="E39" s="381" t="str">
        <f>IFERROR(VLOOKUP($C39,EF!$AK$4:$AL$9,2,FALSE),"")</f>
        <v/>
      </c>
      <c r="F39" s="382" t="str">
        <f>IFERROR(E39*D39*'inventory year and inflation'!$J$18/1000,"")</f>
        <v/>
      </c>
    </row>
    <row r="40" spans="1:6" ht="15">
      <c r="A40" s="186">
        <v>15</v>
      </c>
      <c r="B40" s="250"/>
      <c r="C40" s="250"/>
      <c r="D40" s="269"/>
      <c r="E40" s="381" t="str">
        <f>IFERROR(VLOOKUP($C40,EF!$AK$4:$AL$9,2,FALSE),"")</f>
        <v/>
      </c>
      <c r="F40" s="382" t="str">
        <f>IFERROR(E40*D40*'inventory year and inflation'!$J$18/1000,"")</f>
        <v/>
      </c>
    </row>
    <row r="41" spans="1:6" ht="15">
      <c r="A41" s="186">
        <v>16</v>
      </c>
      <c r="B41" s="250"/>
      <c r="C41" s="250"/>
      <c r="D41" s="269"/>
      <c r="E41" s="381" t="str">
        <f>IFERROR(VLOOKUP($C41,EF!$AK$4:$AL$9,2,FALSE),"")</f>
        <v/>
      </c>
      <c r="F41" s="382" t="str">
        <f>IFERROR(E41*D41*'inventory year and inflation'!$J$18/1000,"")</f>
        <v/>
      </c>
    </row>
    <row r="42" spans="1:6" ht="15">
      <c r="A42" s="186">
        <v>17</v>
      </c>
      <c r="B42" s="250"/>
      <c r="C42" s="250"/>
      <c r="D42" s="269"/>
      <c r="E42" s="381" t="str">
        <f>IFERROR(VLOOKUP($C42,EF!$AK$4:$AL$9,2,FALSE),"")</f>
        <v/>
      </c>
      <c r="F42" s="382" t="str">
        <f>IFERROR(E42*D42*'inventory year and inflation'!$J$18/1000,"")</f>
        <v/>
      </c>
    </row>
    <row r="43" spans="1:6" ht="15">
      <c r="A43" s="186">
        <v>18</v>
      </c>
      <c r="B43" s="250"/>
      <c r="C43" s="250"/>
      <c r="D43" s="269"/>
      <c r="E43" s="381" t="str">
        <f>IFERROR(VLOOKUP($C43,EF!$AK$4:$AL$9,2,FALSE),"")</f>
        <v/>
      </c>
      <c r="F43" s="382" t="str">
        <f>IFERROR(E43*D43*'inventory year and inflation'!$J$18/1000,"")</f>
        <v/>
      </c>
    </row>
    <row r="44" spans="1:6" ht="15">
      <c r="A44" s="186">
        <v>19</v>
      </c>
      <c r="B44" s="250"/>
      <c r="C44" s="250"/>
      <c r="D44" s="269"/>
      <c r="E44" s="381" t="str">
        <f>IFERROR(VLOOKUP($C44,EF!$AK$4:$AL$9,2,FALSE),"")</f>
        <v/>
      </c>
      <c r="F44" s="382" t="str">
        <f>IFERROR(E44*D44*'inventory year and inflation'!$J$18/1000,"")</f>
        <v/>
      </c>
    </row>
    <row r="45" spans="1:6" ht="15.75" thickBot="1">
      <c r="A45" s="186">
        <v>20</v>
      </c>
      <c r="B45" s="250"/>
      <c r="C45" s="250"/>
      <c r="D45" s="269"/>
      <c r="E45" s="381" t="str">
        <f>IFERROR(VLOOKUP($C45,EF!$AK$4:$AL$9,2,FALSE),"")</f>
        <v/>
      </c>
      <c r="F45" s="382" t="str">
        <f>IFERROR(E45*D45*'inventory year and inflation'!$J$18/1000,"")</f>
        <v/>
      </c>
    </row>
    <row r="46" spans="1:6" ht="15" thickBot="1">
      <c r="E46" s="183" t="s">
        <v>1129</v>
      </c>
      <c r="F46" s="122">
        <f>SUM(F27:F45)</f>
        <v>0</v>
      </c>
    </row>
    <row r="47" spans="1:6" ht="15">
      <c r="A47" s="10" t="s">
        <v>4280</v>
      </c>
      <c r="E47" s="370"/>
      <c r="F47" s="371"/>
    </row>
    <row r="48" spans="1:6">
      <c r="A48" s="262" t="s">
        <v>4323</v>
      </c>
      <c r="E48" s="370"/>
      <c r="F48" s="371"/>
    </row>
    <row r="49" spans="1:10" ht="15">
      <c r="A49" s="10"/>
      <c r="B49" s="9" t="s">
        <v>188</v>
      </c>
      <c r="C49" s="9" t="s">
        <v>188</v>
      </c>
      <c r="D49" s="9" t="s">
        <v>188</v>
      </c>
      <c r="E49" s="9" t="s">
        <v>188</v>
      </c>
      <c r="F49" s="9" t="s">
        <v>188</v>
      </c>
      <c r="G49" s="9" t="s">
        <v>188</v>
      </c>
      <c r="H49" s="9" t="s">
        <v>188</v>
      </c>
      <c r="I49" s="9" t="s">
        <v>188</v>
      </c>
    </row>
    <row r="50" spans="1:10" ht="45">
      <c r="A50" s="203" t="s">
        <v>155</v>
      </c>
      <c r="B50" s="204" t="s">
        <v>1134</v>
      </c>
      <c r="C50" s="204" t="s">
        <v>3614</v>
      </c>
      <c r="D50" s="209" t="s">
        <v>4293</v>
      </c>
      <c r="E50" s="209" t="s">
        <v>4295</v>
      </c>
      <c r="F50" s="209" t="s">
        <v>4296</v>
      </c>
      <c r="G50" s="209" t="s">
        <v>4299</v>
      </c>
      <c r="H50" s="204" t="s">
        <v>160</v>
      </c>
      <c r="I50" s="209" t="s">
        <v>4300</v>
      </c>
    </row>
    <row r="51" spans="1:10" ht="15">
      <c r="A51" s="186">
        <v>1</v>
      </c>
      <c r="B51" s="395" t="s">
        <v>4310</v>
      </c>
      <c r="C51" s="395" t="s">
        <v>884</v>
      </c>
      <c r="D51" s="395" t="s">
        <v>4297</v>
      </c>
      <c r="E51" s="519">
        <v>5000</v>
      </c>
      <c r="F51" s="395" t="s">
        <v>4298</v>
      </c>
      <c r="G51" s="395">
        <v>0.140625</v>
      </c>
      <c r="H51" s="519">
        <f>G51*E51</f>
        <v>703.125</v>
      </c>
      <c r="I51" s="395" t="s">
        <v>4309</v>
      </c>
      <c r="J51" s="9" t="s">
        <v>4281</v>
      </c>
    </row>
    <row r="52" spans="1:10" ht="15">
      <c r="A52" s="186">
        <v>2</v>
      </c>
      <c r="B52" s="250"/>
      <c r="C52" s="250"/>
      <c r="D52" s="269"/>
      <c r="E52" s="269"/>
      <c r="F52" s="269"/>
      <c r="G52" s="534"/>
      <c r="H52" s="535"/>
      <c r="I52" s="257"/>
      <c r="J52" t="s">
        <v>4282</v>
      </c>
    </row>
    <row r="53" spans="1:10" ht="15">
      <c r="A53" s="186">
        <v>3</v>
      </c>
      <c r="B53" s="250"/>
      <c r="C53" s="250"/>
      <c r="D53" s="269"/>
      <c r="E53" s="269"/>
      <c r="F53" s="269"/>
      <c r="G53" s="534"/>
      <c r="H53" s="535"/>
      <c r="I53" s="257"/>
    </row>
    <row r="54" spans="1:10" ht="15">
      <c r="A54" s="186">
        <v>4</v>
      </c>
      <c r="B54" s="250"/>
      <c r="C54" s="250"/>
      <c r="D54" s="269"/>
      <c r="E54" s="269"/>
      <c r="F54" s="269"/>
      <c r="G54" s="534"/>
      <c r="H54" s="535"/>
      <c r="I54" s="257"/>
    </row>
    <row r="55" spans="1:10" ht="15">
      <c r="A55" s="186">
        <v>5</v>
      </c>
      <c r="B55" s="250"/>
      <c r="C55" s="250"/>
      <c r="D55" s="269"/>
      <c r="E55" s="269"/>
      <c r="F55" s="269"/>
      <c r="G55" s="534"/>
      <c r="H55" s="535"/>
      <c r="I55" s="257"/>
    </row>
    <row r="56" spans="1:10" ht="15">
      <c r="A56" s="186">
        <v>6</v>
      </c>
      <c r="B56" s="250"/>
      <c r="C56" s="250"/>
      <c r="D56" s="269"/>
      <c r="E56" s="269"/>
      <c r="F56" s="269"/>
      <c r="G56" s="534"/>
      <c r="H56" s="535"/>
      <c r="I56" s="257"/>
    </row>
    <row r="57" spans="1:10" ht="15.75" thickBot="1">
      <c r="A57" s="186">
        <v>7</v>
      </c>
      <c r="B57" s="250"/>
      <c r="C57" s="250"/>
      <c r="D57" s="269"/>
      <c r="E57" s="269"/>
      <c r="F57" s="269"/>
      <c r="G57" s="534"/>
      <c r="H57" s="535"/>
      <c r="I57" s="257"/>
    </row>
    <row r="58" spans="1:10" ht="15" thickBot="1">
      <c r="G58" s="515" t="s">
        <v>1129</v>
      </c>
      <c r="H58" s="516">
        <f>SUM(H52:H57)</f>
        <v>0</v>
      </c>
      <c r="I58" s="262"/>
    </row>
  </sheetData>
  <sheetProtection algorithmName="SHA-512" hashValue="m1YQZWtc6YWs3qwBkr/ulSFvUo0O/hFD70g81FoGONfCRm8OojvUZRwi5b/cjxQA7L8E0PspoKkFtAlg1VSaGQ==" saltValue="rubRQ39xoTHkAQugcCavXQ=="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EF!$AK$5:$AK$9</xm:f>
          </x14:formula1>
          <xm:sqref>C26:C45 C52:C57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theme="3" tint="0.59999389629810485"/>
  </sheetPr>
  <dimension ref="A1:B94"/>
  <sheetViews>
    <sheetView zoomScale="80" zoomScaleNormal="80" workbookViewId="0">
      <pane ySplit="3" topLeftCell="A4" activePane="bottomLeft" state="frozen"/>
      <selection activeCell="E25" sqref="E25"/>
      <selection pane="bottomLeft" activeCell="E25" sqref="E25"/>
    </sheetView>
  </sheetViews>
  <sheetFormatPr defaultColWidth="8.875" defaultRowHeight="14.25"/>
  <cols>
    <col min="1" max="1" width="43.5" style="4" customWidth="1"/>
    <col min="2" max="2" width="156.25" style="4" customWidth="1"/>
    <col min="3" max="3" width="33.5" customWidth="1"/>
    <col min="4" max="4" width="8" customWidth="1"/>
    <col min="5" max="5" width="33.5" customWidth="1"/>
    <col min="6" max="6" width="29.875" customWidth="1"/>
    <col min="7" max="7" width="33.5" customWidth="1"/>
    <col min="8" max="8" width="69.5" customWidth="1"/>
    <col min="9" max="9" width="33.5" customWidth="1"/>
    <col min="11" max="12" width="62.875" customWidth="1"/>
    <col min="16" max="16" width="14.375" customWidth="1"/>
    <col min="17" max="17" width="13" customWidth="1"/>
    <col min="19" max="19" width="14.5" customWidth="1"/>
    <col min="21" max="21" width="24.375" customWidth="1"/>
    <col min="23" max="23" width="23.625" customWidth="1"/>
    <col min="25" max="25" width="16.375" customWidth="1"/>
  </cols>
  <sheetData>
    <row r="1" spans="1:2" ht="15.75">
      <c r="A1" s="317" t="s">
        <v>3600</v>
      </c>
    </row>
    <row r="3" spans="1:2" ht="15">
      <c r="A3" s="287" t="s">
        <v>3598</v>
      </c>
      <c r="B3" s="287" t="s">
        <v>3599</v>
      </c>
    </row>
    <row r="4" spans="1:2" ht="142.5" customHeight="1">
      <c r="A4" s="226" t="s">
        <v>884</v>
      </c>
      <c r="B4" s="226" t="s">
        <v>3609</v>
      </c>
    </row>
    <row r="5" spans="1:2" ht="96.75" customHeight="1">
      <c r="A5" s="226" t="s">
        <v>886</v>
      </c>
      <c r="B5" s="226" t="s">
        <v>3610</v>
      </c>
    </row>
    <row r="6" spans="1:2" ht="84.75" customHeight="1">
      <c r="A6" s="226" t="s">
        <v>888</v>
      </c>
      <c r="B6" s="226" t="s">
        <v>3611</v>
      </c>
    </row>
    <row r="7" spans="1:2" ht="113.25" customHeight="1">
      <c r="A7" s="226" t="s">
        <v>892</v>
      </c>
      <c r="B7" s="226" t="s">
        <v>3612</v>
      </c>
    </row>
    <row r="8" spans="1:2" ht="172.5" customHeight="1">
      <c r="A8" s="226" t="s">
        <v>1059</v>
      </c>
      <c r="B8" s="226" t="s">
        <v>3613</v>
      </c>
    </row>
    <row r="9" spans="1:2">
      <c r="A9"/>
      <c r="B9"/>
    </row>
    <row r="10" spans="1:2">
      <c r="A10"/>
      <c r="B10"/>
    </row>
    <row r="11" spans="1:2">
      <c r="A11"/>
      <c r="B11"/>
    </row>
    <row r="12" spans="1:2">
      <c r="A12"/>
      <c r="B12"/>
    </row>
    <row r="13" spans="1:2">
      <c r="A13"/>
      <c r="B13"/>
    </row>
    <row r="14" spans="1:2">
      <c r="A14"/>
      <c r="B14"/>
    </row>
    <row r="15" spans="1:2">
      <c r="A15"/>
      <c r="B15"/>
    </row>
    <row r="16" spans="1:2">
      <c r="A16"/>
      <c r="B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sheetData>
  <sheetProtection algorithmName="SHA-512" hashValue="CYfxtL8IzDx/IS5bVgMBkqs8aH7XfY5uhumTonnBL8mb7ru33YEXGH5Epk3ntDgVNuiWSfBUs3CdeezmgeJ86w==" saltValue="sOYg+gLTNLcNQYWd2qc1j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4E494"/>
  </sheetPr>
  <dimension ref="A1:G24"/>
  <sheetViews>
    <sheetView showGridLines="0" zoomScale="96" zoomScaleNormal="96" zoomScaleSheetLayoutView="100" workbookViewId="0">
      <selection activeCell="C6" sqref="C6"/>
    </sheetView>
  </sheetViews>
  <sheetFormatPr defaultColWidth="10.5" defaultRowHeight="14.25"/>
  <cols>
    <col min="1" max="1" width="21.5" style="22" customWidth="1"/>
    <col min="2" max="2" width="49.375" style="22" customWidth="1"/>
    <col min="3" max="3" width="65.875" style="22" bestFit="1" customWidth="1"/>
    <col min="4" max="4" width="14" style="22" bestFit="1" customWidth="1"/>
    <col min="5" max="6" width="13.25" style="22" customWidth="1"/>
    <col min="7" max="16384" width="10.5" style="22"/>
  </cols>
  <sheetData>
    <row r="1" spans="1:7" ht="102.95" customHeight="1">
      <c r="C1" s="984" t="str">
        <f>+Instructions!B2</f>
        <v>Health Care Emissions Impact Calculator-Facility</v>
      </c>
    </row>
    <row r="2" spans="1:7" ht="15" thickBot="1"/>
    <row r="3" spans="1:7" ht="18" customHeight="1">
      <c r="A3" s="1107" t="s">
        <v>4367</v>
      </c>
      <c r="B3" s="1053" t="s">
        <v>5677</v>
      </c>
      <c r="C3" s="1054" t="s">
        <v>4437</v>
      </c>
    </row>
    <row r="4" spans="1:7" ht="18" customHeight="1">
      <c r="A4" s="1108"/>
      <c r="B4" s="1056" t="s">
        <v>5663</v>
      </c>
      <c r="C4" s="1057"/>
    </row>
    <row r="5" spans="1:7" ht="18" customHeight="1">
      <c r="A5" s="1108"/>
      <c r="B5" s="1056" t="s">
        <v>4368</v>
      </c>
      <c r="C5" s="1057"/>
    </row>
    <row r="6" spans="1:7" ht="18" customHeight="1">
      <c r="A6" s="1108"/>
      <c r="B6" s="1056" t="s">
        <v>4369</v>
      </c>
      <c r="C6" s="1057"/>
    </row>
    <row r="7" spans="1:7" ht="18" customHeight="1">
      <c r="A7" s="1108"/>
      <c r="B7" s="1056" t="s">
        <v>5657</v>
      </c>
      <c r="C7" s="1057"/>
      <c r="D7"/>
    </row>
    <row r="8" spans="1:7" ht="18" customHeight="1">
      <c r="A8" s="1108"/>
      <c r="B8" s="1056" t="s">
        <v>5658</v>
      </c>
      <c r="C8" s="1057"/>
      <c r="D8"/>
    </row>
    <row r="9" spans="1:7" ht="18" customHeight="1">
      <c r="A9" s="1108"/>
      <c r="B9" s="1056" t="s">
        <v>5743</v>
      </c>
      <c r="C9" s="1057"/>
      <c r="D9"/>
    </row>
    <row r="10" spans="1:7" ht="63" customHeight="1">
      <c r="A10" s="1055"/>
      <c r="B10" s="1058" t="s">
        <v>5695</v>
      </c>
      <c r="C10" s="1059"/>
      <c r="E10" s="1106" t="s">
        <v>5785</v>
      </c>
      <c r="F10" s="1106"/>
      <c r="G10" s="1106"/>
    </row>
    <row r="11" spans="1:7" ht="18" customHeight="1">
      <c r="A11" s="1108" t="s">
        <v>5671</v>
      </c>
      <c r="B11" s="1056" t="s">
        <v>5696</v>
      </c>
      <c r="C11" s="1060"/>
      <c r="D11"/>
    </row>
    <row r="12" spans="1:7" ht="18" customHeight="1">
      <c r="A12" s="1108"/>
      <c r="B12" s="1056" t="s">
        <v>5670</v>
      </c>
      <c r="C12" s="1060"/>
      <c r="D12" s="1008" t="s">
        <v>4437</v>
      </c>
    </row>
    <row r="13" spans="1:7" ht="18" customHeight="1">
      <c r="A13" s="1108"/>
      <c r="B13" s="1056" t="s">
        <v>5654</v>
      </c>
      <c r="C13" s="1060"/>
      <c r="D13"/>
    </row>
    <row r="14" spans="1:7" ht="18" customHeight="1">
      <c r="A14" s="1108"/>
      <c r="B14" s="1056" t="s">
        <v>5676</v>
      </c>
      <c r="C14" s="1060"/>
      <c r="D14"/>
    </row>
    <row r="15" spans="1:7" ht="18" customHeight="1">
      <c r="A15" s="1108"/>
      <c r="B15" s="1056" t="s">
        <v>5672</v>
      </c>
      <c r="C15" s="1060"/>
      <c r="D15"/>
    </row>
    <row r="16" spans="1:7" ht="18" customHeight="1">
      <c r="A16" s="1108"/>
      <c r="B16" s="1058" t="s">
        <v>5675</v>
      </c>
      <c r="C16" s="1060"/>
      <c r="D16"/>
    </row>
    <row r="17" spans="1:4" ht="18" customHeight="1">
      <c r="A17" s="1108"/>
      <c r="B17" s="1056" t="s">
        <v>5673</v>
      </c>
      <c r="C17" s="1060"/>
      <c r="D17" t="s">
        <v>4437</v>
      </c>
    </row>
    <row r="18" spans="1:4" ht="18" customHeight="1" thickBot="1">
      <c r="A18" s="1109"/>
      <c r="B18" s="1061" t="s">
        <v>5674</v>
      </c>
      <c r="C18" s="1062"/>
      <c r="D18"/>
    </row>
    <row r="19" spans="1:4" ht="15">
      <c r="A19" s="580"/>
      <c r="B19" s="581"/>
      <c r="C19" s="1009"/>
      <c r="D19"/>
    </row>
    <row r="20" spans="1:4" ht="15">
      <c r="A20" s="580"/>
      <c r="B20" s="581"/>
      <c r="C20" s="937"/>
      <c r="D20"/>
    </row>
    <row r="21" spans="1:4">
      <c r="B21" s="574"/>
      <c r="C21" s="75"/>
    </row>
    <row r="22" spans="1:4">
      <c r="B22" s="582"/>
      <c r="C22" s="583"/>
    </row>
    <row r="23" spans="1:4">
      <c r="B23" s="919"/>
      <c r="C23" s="584"/>
    </row>
    <row r="24" spans="1:4">
      <c r="B24" s="585"/>
    </row>
  </sheetData>
  <sheetProtection algorithmName="SHA-512" hashValue="26yVYGM4qJyTnV0kkY9aCsIRzod28eHYJVyDg/ifXsaV+dNKbEjCx3VvjgTxSWAefRbemdi5ecUle5Zhx7EG0g==" saltValue="aXyasDrUDFrCM2uSAC3KtA==" spinCount="100000" sheet="1" selectLockedCells="1"/>
  <mergeCells count="3">
    <mergeCell ref="E10:G10"/>
    <mergeCell ref="A3:A9"/>
    <mergeCell ref="A11:A18"/>
  </mergeCells>
  <dataValidations count="1">
    <dataValidation type="decimal" operator="greaterThanOrEqual" allowBlank="1" showInputMessage="1" showErrorMessage="1" sqref="C11:C17" xr:uid="{00000000-0002-0000-0200-000000000000}">
      <formula1>0</formula1>
    </dataValidation>
  </dataValidations>
  <hyperlinks>
    <hyperlink ref="E10:G10" r:id="rId1" display="Click here for more information on determining an organizational boundary for GHG inventory" xr:uid="{00000000-0004-0000-0200-000000000000}"/>
  </hyperlinks>
  <pageMargins left="0.7" right="0.7" top="0.75" bottom="0.75" header="0.3" footer="0.3"/>
  <pageSetup paperSize="9" orientation="landscape" r:id="rId2"/>
  <headerFooter>
    <oddHeader>&amp;L&amp;G&amp;R
&amp;"-,Negrita"&amp;8Herramienta para el cálculo de la huella de carbono en hospitales</oddHead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'S1&amp;2 Lists'!$DN$3:$DN$160</xm:f>
          </x14:formula1>
          <xm:sqref>C19</xm:sqref>
        </x14:dataValidation>
        <x14:dataValidation type="list" allowBlank="1" showInputMessage="1" showErrorMessage="1" xr:uid="{00000000-0002-0000-0200-000002000000}">
          <x14:formula1>
            <xm:f>'S1&amp;2 Lists'!$AL$3:$AL$7</xm:f>
          </x14:formula1>
          <xm:sqref>C18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3" tint="0.59999389629810485"/>
  </sheetPr>
  <dimension ref="A1:H64"/>
  <sheetViews>
    <sheetView showGridLines="0" zoomScale="80" zoomScaleNormal="80" workbookViewId="0">
      <selection activeCell="C19" sqref="C19:F19"/>
    </sheetView>
  </sheetViews>
  <sheetFormatPr defaultColWidth="8.875" defaultRowHeight="14.25"/>
  <cols>
    <col min="2" max="2" width="39.5" customWidth="1"/>
    <col min="3" max="3" width="29.125" customWidth="1"/>
    <col min="4" max="4" width="20" customWidth="1"/>
    <col min="5" max="5" width="27.375" customWidth="1"/>
    <col min="6" max="6" width="22.5" customWidth="1"/>
    <col min="7" max="7" width="24.5" customWidth="1"/>
    <col min="8" max="8" width="19.375" bestFit="1" customWidth="1"/>
  </cols>
  <sheetData>
    <row r="1" spans="1:6" ht="25.7" customHeight="1">
      <c r="A1" s="198" t="s">
        <v>305</v>
      </c>
      <c r="B1" s="198"/>
      <c r="C1" s="198"/>
      <c r="D1" s="198"/>
      <c r="E1" s="198"/>
      <c r="F1" s="198"/>
    </row>
    <row r="2" spans="1:6" ht="18.75" customHeight="1">
      <c r="A2" s="208" t="s">
        <v>1125</v>
      </c>
      <c r="B2" s="201"/>
      <c r="C2" s="201"/>
      <c r="D2" s="201"/>
      <c r="E2" s="201"/>
      <c r="F2" s="201"/>
    </row>
    <row r="3" spans="1:6" ht="18.75" customHeight="1">
      <c r="A3" s="202" t="s">
        <v>1381</v>
      </c>
      <c r="B3" s="201"/>
      <c r="C3" s="201"/>
      <c r="D3" s="201"/>
      <c r="E3" s="201"/>
      <c r="F3" s="201"/>
    </row>
    <row r="4" spans="1:6" ht="18.75" customHeight="1">
      <c r="A4" s="202" t="s">
        <v>4321</v>
      </c>
      <c r="B4" s="201"/>
      <c r="C4" s="201"/>
      <c r="D4" s="201"/>
      <c r="E4" s="201"/>
      <c r="F4" s="201"/>
    </row>
    <row r="5" spans="1:6" ht="18.75" customHeight="1">
      <c r="A5" s="213" t="s">
        <v>1517</v>
      </c>
      <c r="B5" s="201"/>
      <c r="C5" s="201"/>
      <c r="D5" s="201"/>
      <c r="E5" s="201"/>
      <c r="F5" s="201"/>
    </row>
    <row r="6" spans="1:6" ht="18.75" customHeight="1">
      <c r="A6" s="266" t="s">
        <v>1516</v>
      </c>
      <c r="B6" s="201"/>
      <c r="C6" s="201"/>
      <c r="D6" s="201"/>
      <c r="E6" s="201"/>
      <c r="F6" s="201"/>
    </row>
    <row r="7" spans="1:6" ht="15.95" customHeight="1"/>
    <row r="8" spans="1:6" ht="15.95" customHeight="1">
      <c r="E8" s="4"/>
    </row>
    <row r="9" spans="1:6" ht="15.95" customHeight="1">
      <c r="E9" s="4"/>
    </row>
    <row r="10" spans="1:6" ht="15.95" customHeight="1"/>
    <row r="11" spans="1:6" ht="15.95" customHeight="1"/>
    <row r="12" spans="1:6" ht="15.95" customHeight="1"/>
    <row r="13" spans="1:6" ht="15.95" customHeight="1"/>
    <row r="14" spans="1:6" ht="18.75">
      <c r="A14" s="16" t="s">
        <v>4314</v>
      </c>
    </row>
    <row r="15" spans="1:6">
      <c r="A15" s="267" t="s">
        <v>1371</v>
      </c>
    </row>
    <row r="16" spans="1:6">
      <c r="B16" s="9" t="s">
        <v>188</v>
      </c>
      <c r="C16" s="9" t="s">
        <v>188</v>
      </c>
      <c r="D16" s="9" t="s">
        <v>188</v>
      </c>
      <c r="E16" s="9" t="s">
        <v>188</v>
      </c>
      <c r="F16" s="9" t="s">
        <v>188</v>
      </c>
    </row>
    <row r="17" spans="1:7" ht="45">
      <c r="A17" s="203" t="s">
        <v>155</v>
      </c>
      <c r="B17" s="204" t="s">
        <v>1134</v>
      </c>
      <c r="C17" s="205" t="s">
        <v>1245</v>
      </c>
      <c r="D17" s="209" t="s">
        <v>1248</v>
      </c>
      <c r="E17" s="205" t="s">
        <v>4316</v>
      </c>
      <c r="F17" s="209" t="s">
        <v>1250</v>
      </c>
      <c r="G17" s="204" t="s">
        <v>160</v>
      </c>
    </row>
    <row r="18" spans="1:7" ht="15">
      <c r="A18" s="186">
        <v>1</v>
      </c>
      <c r="B18" s="216" t="s">
        <v>1246</v>
      </c>
      <c r="C18" s="216" t="s">
        <v>1213</v>
      </c>
      <c r="D18" s="219">
        <v>10000</v>
      </c>
      <c r="E18" s="219">
        <v>49</v>
      </c>
      <c r="F18" s="220">
        <v>5</v>
      </c>
      <c r="G18" s="276">
        <f>IFERROR((D18*E18*F18*VLOOKUP(C18,'Commute Calcs'!$F$6:$I$56,4,FALSE)/1000),"")</f>
        <v>10455.393444681853</v>
      </c>
    </row>
    <row r="19" spans="1:7" ht="15">
      <c r="A19" s="186">
        <v>2</v>
      </c>
      <c r="B19" s="252"/>
      <c r="C19" s="252"/>
      <c r="D19" s="257"/>
      <c r="E19" s="257"/>
      <c r="F19" s="258"/>
      <c r="G19" s="277" t="str">
        <f>IFERROR((D19*E19*F19*VLOOKUP(C19,'Commute Calcs'!$F$6:$I$56,4,FALSE)/1000),"")</f>
        <v/>
      </c>
    </row>
    <row r="20" spans="1:7" ht="15">
      <c r="A20" s="186">
        <v>3</v>
      </c>
      <c r="B20" s="252"/>
      <c r="C20" s="252"/>
      <c r="D20" s="257" t="s">
        <v>5738</v>
      </c>
      <c r="E20" s="257"/>
      <c r="F20" s="258"/>
      <c r="G20" s="277" t="str">
        <f>IFERROR((D20*E20*F20*VLOOKUP(C20,'Commute Calcs'!$F$6:$I$56,4,FALSE)/1000),"")</f>
        <v/>
      </c>
    </row>
    <row r="21" spans="1:7" ht="15">
      <c r="A21" s="186">
        <v>4</v>
      </c>
      <c r="B21" s="252"/>
      <c r="C21" s="252"/>
      <c r="D21" s="257"/>
      <c r="E21" s="257"/>
      <c r="F21" s="258"/>
      <c r="G21" s="277" t="str">
        <f>IFERROR((D21*E21*F21*VLOOKUP(C21,'Commute Calcs'!$F$6:$I$56,4,FALSE)/1000),"")</f>
        <v/>
      </c>
    </row>
    <row r="22" spans="1:7" ht="15">
      <c r="A22" s="186">
        <v>5</v>
      </c>
      <c r="B22" s="252"/>
      <c r="C22" s="252"/>
      <c r="D22" s="257"/>
      <c r="E22" s="257"/>
      <c r="F22" s="258"/>
      <c r="G22" s="277" t="str">
        <f>IFERROR((D22*E22*F22*VLOOKUP(C22,'Commute Calcs'!$F$6:$I$56,4,FALSE)/1000),"")</f>
        <v/>
      </c>
    </row>
    <row r="23" spans="1:7" ht="15">
      <c r="A23" s="186">
        <v>6</v>
      </c>
      <c r="B23" s="252"/>
      <c r="C23" s="252"/>
      <c r="D23" s="257"/>
      <c r="E23" s="257"/>
      <c r="F23" s="258"/>
      <c r="G23" s="277" t="str">
        <f>IFERROR((D23*E23*F23*VLOOKUP(C23,'Commute Calcs'!$F$6:$I$56,4,FALSE)/1000),"")</f>
        <v/>
      </c>
    </row>
    <row r="24" spans="1:7" ht="15">
      <c r="A24" s="186">
        <v>7</v>
      </c>
      <c r="B24" s="252"/>
      <c r="C24" s="252"/>
      <c r="D24" s="257"/>
      <c r="E24" s="257"/>
      <c r="F24" s="258"/>
      <c r="G24" s="277" t="str">
        <f>IFERROR((D24*E24*F24*VLOOKUP(C24,'Commute Calcs'!$F$6:$I$56,4,FALSE)/1000),"")</f>
        <v/>
      </c>
    </row>
    <row r="25" spans="1:7" ht="15">
      <c r="A25" s="186">
        <v>8</v>
      </c>
      <c r="B25" s="252"/>
      <c r="C25" s="252"/>
      <c r="D25" s="257"/>
      <c r="E25" s="257"/>
      <c r="F25" s="258"/>
      <c r="G25" s="277" t="str">
        <f>IFERROR((D25*E25*F25*VLOOKUP(C25,'Commute Calcs'!$F$6:$I$56,4,FALSE)/1000),"")</f>
        <v/>
      </c>
    </row>
    <row r="26" spans="1:7" ht="15">
      <c r="A26" s="186">
        <v>9</v>
      </c>
      <c r="B26" s="252"/>
      <c r="C26" s="252"/>
      <c r="D26" s="257"/>
      <c r="E26" s="257"/>
      <c r="F26" s="258"/>
      <c r="G26" s="277" t="str">
        <f>IFERROR((D26*E26*F26*VLOOKUP(C26,'Commute Calcs'!$F$6:$I$56,4,FALSE)/1000),"")</f>
        <v/>
      </c>
    </row>
    <row r="27" spans="1:7" ht="15">
      <c r="A27" s="186">
        <v>10</v>
      </c>
      <c r="B27" s="252"/>
      <c r="C27" s="252"/>
      <c r="D27" s="257"/>
      <c r="E27" s="257"/>
      <c r="F27" s="258"/>
      <c r="G27" s="277" t="str">
        <f>IFERROR((D27*E27*F27*VLOOKUP(C27,'Commute Calcs'!$F$6:$I$56,4,FALSE)/1000),"")</f>
        <v/>
      </c>
    </row>
    <row r="28" spans="1:7" ht="15">
      <c r="A28" s="186">
        <v>11</v>
      </c>
      <c r="B28" s="252"/>
      <c r="C28" s="252"/>
      <c r="D28" s="257"/>
      <c r="E28" s="257"/>
      <c r="F28" s="258"/>
      <c r="G28" s="277" t="str">
        <f>IFERROR((D28*E28*F28*VLOOKUP(C28,'Commute Calcs'!$F$6:$I$56,4,FALSE)/1000),"")</f>
        <v/>
      </c>
    </row>
    <row r="29" spans="1:7" ht="15">
      <c r="A29" s="186">
        <v>12</v>
      </c>
      <c r="B29" s="252"/>
      <c r="C29" s="252"/>
      <c r="D29" s="257"/>
      <c r="E29" s="257"/>
      <c r="F29" s="258"/>
      <c r="G29" s="277" t="str">
        <f>IFERROR((D29*E29*F29*VLOOKUP(C29,'Commute Calcs'!$F$6:$I$56,4,FALSE)/1000),"")</f>
        <v/>
      </c>
    </row>
    <row r="30" spans="1:7" ht="15">
      <c r="A30" s="186">
        <v>13</v>
      </c>
      <c r="B30" s="252"/>
      <c r="C30" s="252"/>
      <c r="D30" s="257"/>
      <c r="E30" s="257"/>
      <c r="F30" s="258"/>
      <c r="G30" s="277" t="str">
        <f>IFERROR((D30*E30*F30*VLOOKUP(C30,'Commute Calcs'!$F$6:$I$56,4,FALSE)/1000),"")</f>
        <v/>
      </c>
    </row>
    <row r="31" spans="1:7" ht="15">
      <c r="A31" s="186">
        <v>14</v>
      </c>
      <c r="B31" s="252"/>
      <c r="C31" s="252"/>
      <c r="D31" s="257"/>
      <c r="E31" s="257"/>
      <c r="F31" s="258"/>
      <c r="G31" s="277" t="str">
        <f>IFERROR((D31*E31*F31*VLOOKUP(C31,'Commute Calcs'!$F$6:$I$56,4,FALSE)/1000),"")</f>
        <v/>
      </c>
    </row>
    <row r="32" spans="1:7" ht="15">
      <c r="A32" s="186">
        <v>15</v>
      </c>
      <c r="B32" s="252"/>
      <c r="C32" s="252"/>
      <c r="D32" s="257"/>
      <c r="E32" s="257"/>
      <c r="F32" s="258"/>
      <c r="G32" s="277" t="str">
        <f>IFERROR((D32*E32*F32*VLOOKUP(C32,'Commute Calcs'!$F$6:$I$56,4,FALSE)/1000),"")</f>
        <v/>
      </c>
    </row>
    <row r="33" spans="1:8" ht="15">
      <c r="A33" s="186">
        <v>16</v>
      </c>
      <c r="B33" s="252"/>
      <c r="C33" s="252"/>
      <c r="D33" s="257"/>
      <c r="E33" s="257"/>
      <c r="F33" s="258"/>
      <c r="G33" s="277" t="str">
        <f>IFERROR((D33*E33*F33*VLOOKUP(C33,'Commute Calcs'!$F$6:$I$56,4,FALSE)/1000),"")</f>
        <v/>
      </c>
    </row>
    <row r="34" spans="1:8" ht="15">
      <c r="A34" s="186">
        <v>17</v>
      </c>
      <c r="B34" s="252"/>
      <c r="C34" s="252"/>
      <c r="D34" s="257"/>
      <c r="E34" s="257"/>
      <c r="F34" s="258"/>
      <c r="G34" s="277" t="str">
        <f>IFERROR((D34*E34*F34*VLOOKUP(C34,'Commute Calcs'!$F$6:$I$56,4,FALSE)/1000),"")</f>
        <v/>
      </c>
    </row>
    <row r="35" spans="1:8" ht="15">
      <c r="A35" s="186">
        <v>18</v>
      </c>
      <c r="B35" s="252"/>
      <c r="C35" s="252"/>
      <c r="D35" s="257"/>
      <c r="E35" s="257"/>
      <c r="F35" s="258"/>
      <c r="G35" s="277" t="str">
        <f>IFERROR((D35*E35*F35*VLOOKUP(C35,'Commute Calcs'!$F$6:$I$56,4,FALSE)/1000),"")</f>
        <v/>
      </c>
    </row>
    <row r="36" spans="1:8" ht="15">
      <c r="A36" s="186">
        <v>19</v>
      </c>
      <c r="B36" s="252"/>
      <c r="C36" s="252"/>
      <c r="D36" s="257"/>
      <c r="E36" s="257"/>
      <c r="F36" s="258"/>
      <c r="G36" s="277" t="str">
        <f>IFERROR((D36*E36*F36*VLOOKUP(C36,'Commute Calcs'!$F$6:$I$56,4,FALSE)/1000),"")</f>
        <v/>
      </c>
    </row>
    <row r="37" spans="1:8" ht="15.75" thickBot="1">
      <c r="A37" s="186">
        <v>20</v>
      </c>
      <c r="B37" s="252"/>
      <c r="C37" s="252"/>
      <c r="D37" s="257"/>
      <c r="E37" s="257"/>
      <c r="F37" s="258"/>
      <c r="G37" s="277" t="str">
        <f>IFERROR((D37*E37*F37*VLOOKUP(C37,'Commute Calcs'!$F$6:$I$56,4,FALSE)/1000),"")</f>
        <v/>
      </c>
    </row>
    <row r="38" spans="1:8" ht="15" thickBot="1">
      <c r="F38" s="183" t="s">
        <v>1129</v>
      </c>
      <c r="G38" s="122">
        <f>SUM(G19:G37)</f>
        <v>0</v>
      </c>
    </row>
    <row r="39" spans="1:8" ht="19.5" thickBot="1">
      <c r="A39" s="16" t="s">
        <v>4315</v>
      </c>
      <c r="F39" s="304" t="s">
        <v>1129</v>
      </c>
      <c r="G39" s="319"/>
      <c r="H39" s="262" t="s">
        <v>3437</v>
      </c>
    </row>
    <row r="40" spans="1:8">
      <c r="A40" s="267" t="s">
        <v>1371</v>
      </c>
    </row>
    <row r="41" spans="1:8">
      <c r="B41" s="9" t="s">
        <v>188</v>
      </c>
      <c r="C41" s="9" t="s">
        <v>188</v>
      </c>
      <c r="D41" s="9" t="s">
        <v>188</v>
      </c>
      <c r="E41" s="9" t="s">
        <v>188</v>
      </c>
      <c r="F41" s="9" t="s">
        <v>188</v>
      </c>
    </row>
    <row r="42" spans="1:8" ht="45">
      <c r="A42" s="203" t="s">
        <v>155</v>
      </c>
      <c r="B42" s="204" t="s">
        <v>1134</v>
      </c>
      <c r="C42" s="205" t="s">
        <v>1245</v>
      </c>
      <c r="D42" s="205" t="s">
        <v>1249</v>
      </c>
      <c r="E42" s="205" t="s">
        <v>4316</v>
      </c>
      <c r="F42" s="205" t="s">
        <v>1251</v>
      </c>
      <c r="G42" s="204" t="s">
        <v>160</v>
      </c>
    </row>
    <row r="43" spans="1:8" ht="15">
      <c r="A43" s="186">
        <v>1</v>
      </c>
      <c r="B43" s="216" t="s">
        <v>1247</v>
      </c>
      <c r="C43" s="216" t="s">
        <v>1169</v>
      </c>
      <c r="D43" s="217">
        <v>5000</v>
      </c>
      <c r="E43" s="217">
        <v>49</v>
      </c>
      <c r="F43" s="216">
        <v>3</v>
      </c>
      <c r="G43" s="276">
        <f>IFERROR((D43*E43*F43*VLOOKUP(C43,'Commute Calcs'!$F$6:$I$56,4,FALSE)/1000),"")</f>
        <v>2719.0464094336289</v>
      </c>
    </row>
    <row r="44" spans="1:8" ht="15">
      <c r="A44" s="186">
        <v>2</v>
      </c>
      <c r="B44" s="252"/>
      <c r="C44" s="252"/>
      <c r="D44" s="253"/>
      <c r="E44" s="253"/>
      <c r="F44" s="252">
        <v>3</v>
      </c>
      <c r="G44" s="277" t="str">
        <f>IFERROR((D44*E44*F44*VLOOKUP(C44,'Commute Calcs'!$F$6:$I$56,4,FALSE)/1000),"")</f>
        <v/>
      </c>
    </row>
    <row r="45" spans="1:8" ht="15">
      <c r="A45" s="186">
        <v>3</v>
      </c>
      <c r="B45" s="252"/>
      <c r="C45" s="252"/>
      <c r="D45" s="253"/>
      <c r="E45" s="253"/>
      <c r="F45" s="252"/>
      <c r="G45" s="277" t="str">
        <f>IFERROR((D45*E45*F45*VLOOKUP(C45,'Commute Calcs'!$F$6:$I$56,4,FALSE)/1000),"")</f>
        <v/>
      </c>
    </row>
    <row r="46" spans="1:8" ht="15">
      <c r="A46" s="186">
        <v>4</v>
      </c>
      <c r="B46" s="252"/>
      <c r="C46" s="252"/>
      <c r="D46" s="253"/>
      <c r="E46" s="253"/>
      <c r="F46" s="252"/>
      <c r="G46" s="277" t="str">
        <f>IFERROR((D46*E46*F46*VLOOKUP(C46,'Commute Calcs'!$F$6:$I$56,4,FALSE)/1000),"")</f>
        <v/>
      </c>
    </row>
    <row r="47" spans="1:8" ht="15">
      <c r="A47" s="186">
        <v>5</v>
      </c>
      <c r="B47" s="252"/>
      <c r="C47" s="252"/>
      <c r="D47" s="253"/>
      <c r="E47" s="253"/>
      <c r="F47" s="252"/>
      <c r="G47" s="277" t="str">
        <f>IFERROR((D47*E47*F47*VLOOKUP(C47,'Commute Calcs'!$F$6:$I$56,4,FALSE)/1000),"")</f>
        <v/>
      </c>
    </row>
    <row r="48" spans="1:8" ht="15">
      <c r="A48" s="186">
        <v>6</v>
      </c>
      <c r="B48" s="252"/>
      <c r="C48" s="252"/>
      <c r="D48" s="253"/>
      <c r="E48" s="253"/>
      <c r="F48" s="252"/>
      <c r="G48" s="277" t="str">
        <f>IFERROR((D48*E48*F48*VLOOKUP(C48,'Commute Calcs'!$F$6:$I$56,4,FALSE)/1000),"")</f>
        <v/>
      </c>
    </row>
    <row r="49" spans="1:8" ht="15">
      <c r="A49" s="186">
        <v>7</v>
      </c>
      <c r="B49" s="252"/>
      <c r="C49" s="252"/>
      <c r="D49" s="253"/>
      <c r="E49" s="253"/>
      <c r="F49" s="252"/>
      <c r="G49" s="277" t="str">
        <f>IFERROR((D49*E49*F49*VLOOKUP(C49,'Commute Calcs'!$F$6:$I$56,4,FALSE)/1000),"")</f>
        <v/>
      </c>
    </row>
    <row r="50" spans="1:8" ht="15">
      <c r="A50" s="186">
        <v>8</v>
      </c>
      <c r="B50" s="252"/>
      <c r="C50" s="252"/>
      <c r="D50" s="253"/>
      <c r="E50" s="253"/>
      <c r="F50" s="252"/>
      <c r="G50" s="277" t="str">
        <f>IFERROR((D50*E50*F50*VLOOKUP(C50,'Commute Calcs'!$F$6:$I$56,4,FALSE)/1000),"")</f>
        <v/>
      </c>
    </row>
    <row r="51" spans="1:8" ht="15">
      <c r="A51" s="186">
        <v>9</v>
      </c>
      <c r="B51" s="252"/>
      <c r="C51" s="252"/>
      <c r="D51" s="253"/>
      <c r="E51" s="253"/>
      <c r="F51" s="252"/>
      <c r="G51" s="277" t="str">
        <f>IFERROR((D51*E51*F51*VLOOKUP(C51,'Commute Calcs'!$F$6:$I$56,4,FALSE)/1000),"")</f>
        <v/>
      </c>
    </row>
    <row r="52" spans="1:8" ht="15">
      <c r="A52" s="186">
        <v>10</v>
      </c>
      <c r="B52" s="252"/>
      <c r="C52" s="252"/>
      <c r="D52" s="253"/>
      <c r="E52" s="253"/>
      <c r="F52" s="252"/>
      <c r="G52" s="277" t="str">
        <f>IFERROR((D52*E52*F52*VLOOKUP(C52,'Commute Calcs'!$F$6:$I$56,4,FALSE)/1000),"")</f>
        <v/>
      </c>
    </row>
    <row r="53" spans="1:8" ht="15">
      <c r="A53" s="186">
        <v>11</v>
      </c>
      <c r="B53" s="252"/>
      <c r="C53" s="252"/>
      <c r="D53" s="253"/>
      <c r="E53" s="253"/>
      <c r="F53" s="252"/>
      <c r="G53" s="277" t="str">
        <f>IFERROR((D53*E53*F53*VLOOKUP(C53,'Commute Calcs'!$F$6:$I$56,4,FALSE)/1000),"")</f>
        <v/>
      </c>
    </row>
    <row r="54" spans="1:8" ht="15">
      <c r="A54" s="186">
        <v>12</v>
      </c>
      <c r="B54" s="252"/>
      <c r="C54" s="252"/>
      <c r="D54" s="253"/>
      <c r="E54" s="253"/>
      <c r="F54" s="252"/>
      <c r="G54" s="277" t="str">
        <f>IFERROR((D54*E54*F54*VLOOKUP(C54,'Commute Calcs'!$F$6:$I$56,4,FALSE)/1000),"")</f>
        <v/>
      </c>
    </row>
    <row r="55" spans="1:8" ht="15">
      <c r="A55" s="186">
        <v>13</v>
      </c>
      <c r="B55" s="252"/>
      <c r="C55" s="252"/>
      <c r="D55" s="253"/>
      <c r="E55" s="253"/>
      <c r="F55" s="252"/>
      <c r="G55" s="277" t="str">
        <f>IFERROR((D55*E55*F55*VLOOKUP(C55,'Commute Calcs'!$F$6:$I$56,4,FALSE)/1000),"")</f>
        <v/>
      </c>
    </row>
    <row r="56" spans="1:8" ht="15">
      <c r="A56" s="186">
        <v>14</v>
      </c>
      <c r="B56" s="252"/>
      <c r="C56" s="252"/>
      <c r="D56" s="253"/>
      <c r="E56" s="253"/>
      <c r="F56" s="252"/>
      <c r="G56" s="277" t="str">
        <f>IFERROR((D56*E56*F56*VLOOKUP(C56,'Commute Calcs'!$F$6:$I$56,4,FALSE)/1000),"")</f>
        <v/>
      </c>
    </row>
    <row r="57" spans="1:8" ht="15">
      <c r="A57" s="186">
        <v>15</v>
      </c>
      <c r="B57" s="252"/>
      <c r="C57" s="252"/>
      <c r="D57" s="253"/>
      <c r="E57" s="253"/>
      <c r="F57" s="252"/>
      <c r="G57" s="277" t="str">
        <f>IFERROR((D57*E57*F57*VLOOKUP(C57,'Commute Calcs'!$F$6:$I$56,4,FALSE)/1000),"")</f>
        <v/>
      </c>
    </row>
    <row r="58" spans="1:8" ht="15">
      <c r="A58" s="186">
        <v>16</v>
      </c>
      <c r="B58" s="252"/>
      <c r="C58" s="252"/>
      <c r="D58" s="257"/>
      <c r="E58" s="257"/>
      <c r="F58" s="258"/>
      <c r="G58" s="277" t="str">
        <f>IFERROR((D58*E58*F58*VLOOKUP(C58,'Commute Calcs'!$F$6:$I$56,4,FALSE)/1000),"")</f>
        <v/>
      </c>
    </row>
    <row r="59" spans="1:8" ht="15">
      <c r="A59" s="186">
        <v>17</v>
      </c>
      <c r="B59" s="252"/>
      <c r="C59" s="252"/>
      <c r="D59" s="257"/>
      <c r="E59" s="257"/>
      <c r="F59" s="258"/>
      <c r="G59" s="277" t="str">
        <f>IFERROR((D59*E59*F59*VLOOKUP(C59,'Commute Calcs'!$F$6:$I$56,4,FALSE)/1000),"")</f>
        <v/>
      </c>
    </row>
    <row r="60" spans="1:8" ht="15">
      <c r="A60" s="186">
        <v>18</v>
      </c>
      <c r="B60" s="252"/>
      <c r="C60" s="252"/>
      <c r="D60" s="257"/>
      <c r="E60" s="257"/>
      <c r="F60" s="258"/>
      <c r="G60" s="277" t="str">
        <f>IFERROR((D60*E60*F60*VLOOKUP(C60,'Commute Calcs'!$F$6:$I$56,4,FALSE)/1000),"")</f>
        <v/>
      </c>
    </row>
    <row r="61" spans="1:8" ht="15">
      <c r="A61" s="186">
        <v>19</v>
      </c>
      <c r="B61" s="252"/>
      <c r="C61" s="252"/>
      <c r="D61" s="257"/>
      <c r="E61" s="257"/>
      <c r="F61" s="258"/>
      <c r="G61" s="277" t="str">
        <f>IFERROR((D61*E61*F61*VLOOKUP(C61,'Commute Calcs'!$F$6:$I$56,4,FALSE)/1000),"")</f>
        <v/>
      </c>
    </row>
    <row r="62" spans="1:8" ht="15.75" thickBot="1">
      <c r="A62" s="186">
        <v>20</v>
      </c>
      <c r="B62" s="252"/>
      <c r="C62" s="252"/>
      <c r="D62" s="257"/>
      <c r="E62" s="257"/>
      <c r="F62" s="258"/>
      <c r="G62" s="277" t="str">
        <f>IFERROR((D62*E62*F62*VLOOKUP(C62,'Commute Calcs'!$F$6:$I$56,4,FALSE)/1000),"")</f>
        <v/>
      </c>
    </row>
    <row r="63" spans="1:8" ht="15" thickBot="1">
      <c r="F63" s="183" t="s">
        <v>1129</v>
      </c>
      <c r="G63" s="122">
        <f>SUM(G44:G62)</f>
        <v>0</v>
      </c>
    </row>
    <row r="64" spans="1:8" ht="15" thickBot="1">
      <c r="F64" s="304" t="s">
        <v>1129</v>
      </c>
      <c r="G64" s="319"/>
      <c r="H64" s="262" t="s">
        <v>3437</v>
      </c>
    </row>
  </sheetData>
  <sheetProtection algorithmName="SHA-512" hashValue="zrZemLZPY7ou1vrLRzqLzBnuZcrGqdnB6UyDVXbxAGKMoOXZce22dKro9ssN0V4Oqz8a7pzlRYG45uA5oXd7jg==" saltValue="f/O80D3abmYP5xC0o3C9Ig=="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'Commute Calcs'!$F$6:$F$56</xm:f>
          </x14:formula1>
          <xm:sqref>C18:C37 C43:C62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2">
    <tabColor theme="5" tint="0.39997558519241921"/>
    <pageSetUpPr fitToPage="1"/>
  </sheetPr>
  <dimension ref="A1:AB82"/>
  <sheetViews>
    <sheetView zoomScale="80" zoomScaleNormal="80" workbookViewId="0">
      <pane xSplit="1" ySplit="2" topLeftCell="B16" activePane="bottomRight" state="frozen"/>
      <selection pane="topRight" activeCell="B1" sqref="B1"/>
      <selection pane="bottomLeft" activeCell="A3" sqref="A3"/>
      <selection pane="bottomRight" activeCell="D33" sqref="D33"/>
    </sheetView>
  </sheetViews>
  <sheetFormatPr defaultColWidth="9.875" defaultRowHeight="14.25"/>
  <cols>
    <col min="1" max="1" width="5" style="469" customWidth="1"/>
    <col min="2" max="2" width="40.25" style="497" customWidth="1"/>
    <col min="3" max="3" width="21.5" style="497" customWidth="1"/>
    <col min="4" max="4" width="19.5" style="497" bestFit="1" customWidth="1"/>
    <col min="5" max="6" width="11.625" style="497" customWidth="1"/>
    <col min="7" max="7" width="15.375" style="497" customWidth="1"/>
    <col min="8" max="13" width="11.625" style="497" customWidth="1"/>
    <col min="14" max="28" width="11.625" style="469" customWidth="1"/>
    <col min="29" max="256" width="9.875" style="497"/>
    <col min="257" max="257" width="5" style="497" customWidth="1"/>
    <col min="258" max="258" width="36.125" style="497" customWidth="1"/>
    <col min="259" max="259" width="18.375" style="497" bestFit="1" customWidth="1"/>
    <col min="260" max="260" width="19.5" style="497" bestFit="1" customWidth="1"/>
    <col min="261" max="262" width="11.625" style="497" customWidth="1"/>
    <col min="263" max="263" width="15.375" style="497" customWidth="1"/>
    <col min="264" max="284" width="11.625" style="497" customWidth="1"/>
    <col min="285" max="512" width="9.875" style="497"/>
    <col min="513" max="513" width="5" style="497" customWidth="1"/>
    <col min="514" max="514" width="36.125" style="497" customWidth="1"/>
    <col min="515" max="515" width="18.375" style="497" bestFit="1" customWidth="1"/>
    <col min="516" max="516" width="19.5" style="497" bestFit="1" customWidth="1"/>
    <col min="517" max="518" width="11.625" style="497" customWidth="1"/>
    <col min="519" max="519" width="15.375" style="497" customWidth="1"/>
    <col min="520" max="540" width="11.625" style="497" customWidth="1"/>
    <col min="541" max="768" width="9.875" style="497"/>
    <col min="769" max="769" width="5" style="497" customWidth="1"/>
    <col min="770" max="770" width="36.125" style="497" customWidth="1"/>
    <col min="771" max="771" width="18.375" style="497" bestFit="1" customWidth="1"/>
    <col min="772" max="772" width="19.5" style="497" bestFit="1" customWidth="1"/>
    <col min="773" max="774" width="11.625" style="497" customWidth="1"/>
    <col min="775" max="775" width="15.375" style="497" customWidth="1"/>
    <col min="776" max="796" width="11.625" style="497" customWidth="1"/>
    <col min="797" max="1024" width="9.875" style="497"/>
    <col min="1025" max="1025" width="5" style="497" customWidth="1"/>
    <col min="1026" max="1026" width="36.125" style="497" customWidth="1"/>
    <col min="1027" max="1027" width="18.375" style="497" bestFit="1" customWidth="1"/>
    <col min="1028" max="1028" width="19.5" style="497" bestFit="1" customWidth="1"/>
    <col min="1029" max="1030" width="11.625" style="497" customWidth="1"/>
    <col min="1031" max="1031" width="15.375" style="497" customWidth="1"/>
    <col min="1032" max="1052" width="11.625" style="497" customWidth="1"/>
    <col min="1053" max="1280" width="9.875" style="497"/>
    <col min="1281" max="1281" width="5" style="497" customWidth="1"/>
    <col min="1282" max="1282" width="36.125" style="497" customWidth="1"/>
    <col min="1283" max="1283" width="18.375" style="497" bestFit="1" customWidth="1"/>
    <col min="1284" max="1284" width="19.5" style="497" bestFit="1" customWidth="1"/>
    <col min="1285" max="1286" width="11.625" style="497" customWidth="1"/>
    <col min="1287" max="1287" width="15.375" style="497" customWidth="1"/>
    <col min="1288" max="1308" width="11.625" style="497" customWidth="1"/>
    <col min="1309" max="1536" width="9.875" style="497"/>
    <col min="1537" max="1537" width="5" style="497" customWidth="1"/>
    <col min="1538" max="1538" width="36.125" style="497" customWidth="1"/>
    <col min="1539" max="1539" width="18.375" style="497" bestFit="1" customWidth="1"/>
    <col min="1540" max="1540" width="19.5" style="497" bestFit="1" customWidth="1"/>
    <col min="1541" max="1542" width="11.625" style="497" customWidth="1"/>
    <col min="1543" max="1543" width="15.375" style="497" customWidth="1"/>
    <col min="1544" max="1564" width="11.625" style="497" customWidth="1"/>
    <col min="1565" max="1792" width="9.875" style="497"/>
    <col min="1793" max="1793" width="5" style="497" customWidth="1"/>
    <col min="1794" max="1794" width="36.125" style="497" customWidth="1"/>
    <col min="1795" max="1795" width="18.375" style="497" bestFit="1" customWidth="1"/>
    <col min="1796" max="1796" width="19.5" style="497" bestFit="1" customWidth="1"/>
    <col min="1797" max="1798" width="11.625" style="497" customWidth="1"/>
    <col min="1799" max="1799" width="15.375" style="497" customWidth="1"/>
    <col min="1800" max="1820" width="11.625" style="497" customWidth="1"/>
    <col min="1821" max="2048" width="9.875" style="497"/>
    <col min="2049" max="2049" width="5" style="497" customWidth="1"/>
    <col min="2050" max="2050" width="36.125" style="497" customWidth="1"/>
    <col min="2051" max="2051" width="18.375" style="497" bestFit="1" customWidth="1"/>
    <col min="2052" max="2052" width="19.5" style="497" bestFit="1" customWidth="1"/>
    <col min="2053" max="2054" width="11.625" style="497" customWidth="1"/>
    <col min="2055" max="2055" width="15.375" style="497" customWidth="1"/>
    <col min="2056" max="2076" width="11.625" style="497" customWidth="1"/>
    <col min="2077" max="2304" width="9.875" style="497"/>
    <col min="2305" max="2305" width="5" style="497" customWidth="1"/>
    <col min="2306" max="2306" width="36.125" style="497" customWidth="1"/>
    <col min="2307" max="2307" width="18.375" style="497" bestFit="1" customWidth="1"/>
    <col min="2308" max="2308" width="19.5" style="497" bestFit="1" customWidth="1"/>
    <col min="2309" max="2310" width="11.625" style="497" customWidth="1"/>
    <col min="2311" max="2311" width="15.375" style="497" customWidth="1"/>
    <col min="2312" max="2332" width="11.625" style="497" customWidth="1"/>
    <col min="2333" max="2560" width="9.875" style="497"/>
    <col min="2561" max="2561" width="5" style="497" customWidth="1"/>
    <col min="2562" max="2562" width="36.125" style="497" customWidth="1"/>
    <col min="2563" max="2563" width="18.375" style="497" bestFit="1" customWidth="1"/>
    <col min="2564" max="2564" width="19.5" style="497" bestFit="1" customWidth="1"/>
    <col min="2565" max="2566" width="11.625" style="497" customWidth="1"/>
    <col min="2567" max="2567" width="15.375" style="497" customWidth="1"/>
    <col min="2568" max="2588" width="11.625" style="497" customWidth="1"/>
    <col min="2589" max="2816" width="9.875" style="497"/>
    <col min="2817" max="2817" width="5" style="497" customWidth="1"/>
    <col min="2818" max="2818" width="36.125" style="497" customWidth="1"/>
    <col min="2819" max="2819" width="18.375" style="497" bestFit="1" customWidth="1"/>
    <col min="2820" max="2820" width="19.5" style="497" bestFit="1" customWidth="1"/>
    <col min="2821" max="2822" width="11.625" style="497" customWidth="1"/>
    <col min="2823" max="2823" width="15.375" style="497" customWidth="1"/>
    <col min="2824" max="2844" width="11.625" style="497" customWidth="1"/>
    <col min="2845" max="3072" width="9.875" style="497"/>
    <col min="3073" max="3073" width="5" style="497" customWidth="1"/>
    <col min="3074" max="3074" width="36.125" style="497" customWidth="1"/>
    <col min="3075" max="3075" width="18.375" style="497" bestFit="1" customWidth="1"/>
    <col min="3076" max="3076" width="19.5" style="497" bestFit="1" customWidth="1"/>
    <col min="3077" max="3078" width="11.625" style="497" customWidth="1"/>
    <col min="3079" max="3079" width="15.375" style="497" customWidth="1"/>
    <col min="3080" max="3100" width="11.625" style="497" customWidth="1"/>
    <col min="3101" max="3328" width="9.875" style="497"/>
    <col min="3329" max="3329" width="5" style="497" customWidth="1"/>
    <col min="3330" max="3330" width="36.125" style="497" customWidth="1"/>
    <col min="3331" max="3331" width="18.375" style="497" bestFit="1" customWidth="1"/>
    <col min="3332" max="3332" width="19.5" style="497" bestFit="1" customWidth="1"/>
    <col min="3333" max="3334" width="11.625" style="497" customWidth="1"/>
    <col min="3335" max="3335" width="15.375" style="497" customWidth="1"/>
    <col min="3336" max="3356" width="11.625" style="497" customWidth="1"/>
    <col min="3357" max="3584" width="9.875" style="497"/>
    <col min="3585" max="3585" width="5" style="497" customWidth="1"/>
    <col min="3586" max="3586" width="36.125" style="497" customWidth="1"/>
    <col min="3587" max="3587" width="18.375" style="497" bestFit="1" customWidth="1"/>
    <col min="3588" max="3588" width="19.5" style="497" bestFit="1" customWidth="1"/>
    <col min="3589" max="3590" width="11.625" style="497" customWidth="1"/>
    <col min="3591" max="3591" width="15.375" style="497" customWidth="1"/>
    <col min="3592" max="3612" width="11.625" style="497" customWidth="1"/>
    <col min="3613" max="3840" width="9.875" style="497"/>
    <col min="3841" max="3841" width="5" style="497" customWidth="1"/>
    <col min="3842" max="3842" width="36.125" style="497" customWidth="1"/>
    <col min="3843" max="3843" width="18.375" style="497" bestFit="1" customWidth="1"/>
    <col min="3844" max="3844" width="19.5" style="497" bestFit="1" customWidth="1"/>
    <col min="3845" max="3846" width="11.625" style="497" customWidth="1"/>
    <col min="3847" max="3847" width="15.375" style="497" customWidth="1"/>
    <col min="3848" max="3868" width="11.625" style="497" customWidth="1"/>
    <col min="3869" max="4096" width="9.875" style="497"/>
    <col min="4097" max="4097" width="5" style="497" customWidth="1"/>
    <col min="4098" max="4098" width="36.125" style="497" customWidth="1"/>
    <col min="4099" max="4099" width="18.375" style="497" bestFit="1" customWidth="1"/>
    <col min="4100" max="4100" width="19.5" style="497" bestFit="1" customWidth="1"/>
    <col min="4101" max="4102" width="11.625" style="497" customWidth="1"/>
    <col min="4103" max="4103" width="15.375" style="497" customWidth="1"/>
    <col min="4104" max="4124" width="11.625" style="497" customWidth="1"/>
    <col min="4125" max="4352" width="9.875" style="497"/>
    <col min="4353" max="4353" width="5" style="497" customWidth="1"/>
    <col min="4354" max="4354" width="36.125" style="497" customWidth="1"/>
    <col min="4355" max="4355" width="18.375" style="497" bestFit="1" customWidth="1"/>
    <col min="4356" max="4356" width="19.5" style="497" bestFit="1" customWidth="1"/>
    <col min="4357" max="4358" width="11.625" style="497" customWidth="1"/>
    <col min="4359" max="4359" width="15.375" style="497" customWidth="1"/>
    <col min="4360" max="4380" width="11.625" style="497" customWidth="1"/>
    <col min="4381" max="4608" width="9.875" style="497"/>
    <col min="4609" max="4609" width="5" style="497" customWidth="1"/>
    <col min="4610" max="4610" width="36.125" style="497" customWidth="1"/>
    <col min="4611" max="4611" width="18.375" style="497" bestFit="1" customWidth="1"/>
    <col min="4612" max="4612" width="19.5" style="497" bestFit="1" customWidth="1"/>
    <col min="4613" max="4614" width="11.625" style="497" customWidth="1"/>
    <col min="4615" max="4615" width="15.375" style="497" customWidth="1"/>
    <col min="4616" max="4636" width="11.625" style="497" customWidth="1"/>
    <col min="4637" max="4864" width="9.875" style="497"/>
    <col min="4865" max="4865" width="5" style="497" customWidth="1"/>
    <col min="4866" max="4866" width="36.125" style="497" customWidth="1"/>
    <col min="4867" max="4867" width="18.375" style="497" bestFit="1" customWidth="1"/>
    <col min="4868" max="4868" width="19.5" style="497" bestFit="1" customWidth="1"/>
    <col min="4869" max="4870" width="11.625" style="497" customWidth="1"/>
    <col min="4871" max="4871" width="15.375" style="497" customWidth="1"/>
    <col min="4872" max="4892" width="11.625" style="497" customWidth="1"/>
    <col min="4893" max="5120" width="9.875" style="497"/>
    <col min="5121" max="5121" width="5" style="497" customWidth="1"/>
    <col min="5122" max="5122" width="36.125" style="497" customWidth="1"/>
    <col min="5123" max="5123" width="18.375" style="497" bestFit="1" customWidth="1"/>
    <col min="5124" max="5124" width="19.5" style="497" bestFit="1" customWidth="1"/>
    <col min="5125" max="5126" width="11.625" style="497" customWidth="1"/>
    <col min="5127" max="5127" width="15.375" style="497" customWidth="1"/>
    <col min="5128" max="5148" width="11.625" style="497" customWidth="1"/>
    <col min="5149" max="5376" width="9.875" style="497"/>
    <col min="5377" max="5377" width="5" style="497" customWidth="1"/>
    <col min="5378" max="5378" width="36.125" style="497" customWidth="1"/>
    <col min="5379" max="5379" width="18.375" style="497" bestFit="1" customWidth="1"/>
    <col min="5380" max="5380" width="19.5" style="497" bestFit="1" customWidth="1"/>
    <col min="5381" max="5382" width="11.625" style="497" customWidth="1"/>
    <col min="5383" max="5383" width="15.375" style="497" customWidth="1"/>
    <col min="5384" max="5404" width="11.625" style="497" customWidth="1"/>
    <col min="5405" max="5632" width="9.875" style="497"/>
    <col min="5633" max="5633" width="5" style="497" customWidth="1"/>
    <col min="5634" max="5634" width="36.125" style="497" customWidth="1"/>
    <col min="5635" max="5635" width="18.375" style="497" bestFit="1" customWidth="1"/>
    <col min="5636" max="5636" width="19.5" style="497" bestFit="1" customWidth="1"/>
    <col min="5637" max="5638" width="11.625" style="497" customWidth="1"/>
    <col min="5639" max="5639" width="15.375" style="497" customWidth="1"/>
    <col min="5640" max="5660" width="11.625" style="497" customWidth="1"/>
    <col min="5661" max="5888" width="9.875" style="497"/>
    <col min="5889" max="5889" width="5" style="497" customWidth="1"/>
    <col min="5890" max="5890" width="36.125" style="497" customWidth="1"/>
    <col min="5891" max="5891" width="18.375" style="497" bestFit="1" customWidth="1"/>
    <col min="5892" max="5892" width="19.5" style="497" bestFit="1" customWidth="1"/>
    <col min="5893" max="5894" width="11.625" style="497" customWidth="1"/>
    <col min="5895" max="5895" width="15.375" style="497" customWidth="1"/>
    <col min="5896" max="5916" width="11.625" style="497" customWidth="1"/>
    <col min="5917" max="6144" width="9.875" style="497"/>
    <col min="6145" max="6145" width="5" style="497" customWidth="1"/>
    <col min="6146" max="6146" width="36.125" style="497" customWidth="1"/>
    <col min="6147" max="6147" width="18.375" style="497" bestFit="1" customWidth="1"/>
    <col min="6148" max="6148" width="19.5" style="497" bestFit="1" customWidth="1"/>
    <col min="6149" max="6150" width="11.625" style="497" customWidth="1"/>
    <col min="6151" max="6151" width="15.375" style="497" customWidth="1"/>
    <col min="6152" max="6172" width="11.625" style="497" customWidth="1"/>
    <col min="6173" max="6400" width="9.875" style="497"/>
    <col min="6401" max="6401" width="5" style="497" customWidth="1"/>
    <col min="6402" max="6402" width="36.125" style="497" customWidth="1"/>
    <col min="6403" max="6403" width="18.375" style="497" bestFit="1" customWidth="1"/>
    <col min="6404" max="6404" width="19.5" style="497" bestFit="1" customWidth="1"/>
    <col min="6405" max="6406" width="11.625" style="497" customWidth="1"/>
    <col min="6407" max="6407" width="15.375" style="497" customWidth="1"/>
    <col min="6408" max="6428" width="11.625" style="497" customWidth="1"/>
    <col min="6429" max="6656" width="9.875" style="497"/>
    <col min="6657" max="6657" width="5" style="497" customWidth="1"/>
    <col min="6658" max="6658" width="36.125" style="497" customWidth="1"/>
    <col min="6659" max="6659" width="18.375" style="497" bestFit="1" customWidth="1"/>
    <col min="6660" max="6660" width="19.5" style="497" bestFit="1" customWidth="1"/>
    <col min="6661" max="6662" width="11.625" style="497" customWidth="1"/>
    <col min="6663" max="6663" width="15.375" style="497" customWidth="1"/>
    <col min="6664" max="6684" width="11.625" style="497" customWidth="1"/>
    <col min="6685" max="6912" width="9.875" style="497"/>
    <col min="6913" max="6913" width="5" style="497" customWidth="1"/>
    <col min="6914" max="6914" width="36.125" style="497" customWidth="1"/>
    <col min="6915" max="6915" width="18.375" style="497" bestFit="1" customWidth="1"/>
    <col min="6916" max="6916" width="19.5" style="497" bestFit="1" customWidth="1"/>
    <col min="6917" max="6918" width="11.625" style="497" customWidth="1"/>
    <col min="6919" max="6919" width="15.375" style="497" customWidth="1"/>
    <col min="6920" max="6940" width="11.625" style="497" customWidth="1"/>
    <col min="6941" max="7168" width="9.875" style="497"/>
    <col min="7169" max="7169" width="5" style="497" customWidth="1"/>
    <col min="7170" max="7170" width="36.125" style="497" customWidth="1"/>
    <col min="7171" max="7171" width="18.375" style="497" bestFit="1" customWidth="1"/>
    <col min="7172" max="7172" width="19.5" style="497" bestFit="1" customWidth="1"/>
    <col min="7173" max="7174" width="11.625" style="497" customWidth="1"/>
    <col min="7175" max="7175" width="15.375" style="497" customWidth="1"/>
    <col min="7176" max="7196" width="11.625" style="497" customWidth="1"/>
    <col min="7197" max="7424" width="9.875" style="497"/>
    <col min="7425" max="7425" width="5" style="497" customWidth="1"/>
    <col min="7426" max="7426" width="36.125" style="497" customWidth="1"/>
    <col min="7427" max="7427" width="18.375" style="497" bestFit="1" customWidth="1"/>
    <col min="7428" max="7428" width="19.5" style="497" bestFit="1" customWidth="1"/>
    <col min="7429" max="7430" width="11.625" style="497" customWidth="1"/>
    <col min="7431" max="7431" width="15.375" style="497" customWidth="1"/>
    <col min="7432" max="7452" width="11.625" style="497" customWidth="1"/>
    <col min="7453" max="7680" width="9.875" style="497"/>
    <col min="7681" max="7681" width="5" style="497" customWidth="1"/>
    <col min="7682" max="7682" width="36.125" style="497" customWidth="1"/>
    <col min="7683" max="7683" width="18.375" style="497" bestFit="1" customWidth="1"/>
    <col min="7684" max="7684" width="19.5" style="497" bestFit="1" customWidth="1"/>
    <col min="7685" max="7686" width="11.625" style="497" customWidth="1"/>
    <col min="7687" max="7687" width="15.375" style="497" customWidth="1"/>
    <col min="7688" max="7708" width="11.625" style="497" customWidth="1"/>
    <col min="7709" max="7936" width="9.875" style="497"/>
    <col min="7937" max="7937" width="5" style="497" customWidth="1"/>
    <col min="7938" max="7938" width="36.125" style="497" customWidth="1"/>
    <col min="7939" max="7939" width="18.375" style="497" bestFit="1" customWidth="1"/>
    <col min="7940" max="7940" width="19.5" style="497" bestFit="1" customWidth="1"/>
    <col min="7941" max="7942" width="11.625" style="497" customWidth="1"/>
    <col min="7943" max="7943" width="15.375" style="497" customWidth="1"/>
    <col min="7944" max="7964" width="11.625" style="497" customWidth="1"/>
    <col min="7965" max="8192" width="9.875" style="497"/>
    <col min="8193" max="8193" width="5" style="497" customWidth="1"/>
    <col min="8194" max="8194" width="36.125" style="497" customWidth="1"/>
    <col min="8195" max="8195" width="18.375" style="497" bestFit="1" customWidth="1"/>
    <col min="8196" max="8196" width="19.5" style="497" bestFit="1" customWidth="1"/>
    <col min="8197" max="8198" width="11.625" style="497" customWidth="1"/>
    <col min="8199" max="8199" width="15.375" style="497" customWidth="1"/>
    <col min="8200" max="8220" width="11.625" style="497" customWidth="1"/>
    <col min="8221" max="8448" width="9.875" style="497"/>
    <col min="8449" max="8449" width="5" style="497" customWidth="1"/>
    <col min="8450" max="8450" width="36.125" style="497" customWidth="1"/>
    <col min="8451" max="8451" width="18.375" style="497" bestFit="1" customWidth="1"/>
    <col min="8452" max="8452" width="19.5" style="497" bestFit="1" customWidth="1"/>
    <col min="8453" max="8454" width="11.625" style="497" customWidth="1"/>
    <col min="8455" max="8455" width="15.375" style="497" customWidth="1"/>
    <col min="8456" max="8476" width="11.625" style="497" customWidth="1"/>
    <col min="8477" max="8704" width="9.875" style="497"/>
    <col min="8705" max="8705" width="5" style="497" customWidth="1"/>
    <col min="8706" max="8706" width="36.125" style="497" customWidth="1"/>
    <col min="8707" max="8707" width="18.375" style="497" bestFit="1" customWidth="1"/>
    <col min="8708" max="8708" width="19.5" style="497" bestFit="1" customWidth="1"/>
    <col min="8709" max="8710" width="11.625" style="497" customWidth="1"/>
    <col min="8711" max="8711" width="15.375" style="497" customWidth="1"/>
    <col min="8712" max="8732" width="11.625" style="497" customWidth="1"/>
    <col min="8733" max="8960" width="9.875" style="497"/>
    <col min="8961" max="8961" width="5" style="497" customWidth="1"/>
    <col min="8962" max="8962" width="36.125" style="497" customWidth="1"/>
    <col min="8963" max="8963" width="18.375" style="497" bestFit="1" customWidth="1"/>
    <col min="8964" max="8964" width="19.5" style="497" bestFit="1" customWidth="1"/>
    <col min="8965" max="8966" width="11.625" style="497" customWidth="1"/>
    <col min="8967" max="8967" width="15.375" style="497" customWidth="1"/>
    <col min="8968" max="8988" width="11.625" style="497" customWidth="1"/>
    <col min="8989" max="9216" width="9.875" style="497"/>
    <col min="9217" max="9217" width="5" style="497" customWidth="1"/>
    <col min="9218" max="9218" width="36.125" style="497" customWidth="1"/>
    <col min="9219" max="9219" width="18.375" style="497" bestFit="1" customWidth="1"/>
    <col min="9220" max="9220" width="19.5" style="497" bestFit="1" customWidth="1"/>
    <col min="9221" max="9222" width="11.625" style="497" customWidth="1"/>
    <col min="9223" max="9223" width="15.375" style="497" customWidth="1"/>
    <col min="9224" max="9244" width="11.625" style="497" customWidth="1"/>
    <col min="9245" max="9472" width="9.875" style="497"/>
    <col min="9473" max="9473" width="5" style="497" customWidth="1"/>
    <col min="9474" max="9474" width="36.125" style="497" customWidth="1"/>
    <col min="9475" max="9475" width="18.375" style="497" bestFit="1" customWidth="1"/>
    <col min="9476" max="9476" width="19.5" style="497" bestFit="1" customWidth="1"/>
    <col min="9477" max="9478" width="11.625" style="497" customWidth="1"/>
    <col min="9479" max="9479" width="15.375" style="497" customWidth="1"/>
    <col min="9480" max="9500" width="11.625" style="497" customWidth="1"/>
    <col min="9501" max="9728" width="9.875" style="497"/>
    <col min="9729" max="9729" width="5" style="497" customWidth="1"/>
    <col min="9730" max="9730" width="36.125" style="497" customWidth="1"/>
    <col min="9731" max="9731" width="18.375" style="497" bestFit="1" customWidth="1"/>
    <col min="9732" max="9732" width="19.5" style="497" bestFit="1" customWidth="1"/>
    <col min="9733" max="9734" width="11.625" style="497" customWidth="1"/>
    <col min="9735" max="9735" width="15.375" style="497" customWidth="1"/>
    <col min="9736" max="9756" width="11.625" style="497" customWidth="1"/>
    <col min="9757" max="9984" width="9.875" style="497"/>
    <col min="9985" max="9985" width="5" style="497" customWidth="1"/>
    <col min="9986" max="9986" width="36.125" style="497" customWidth="1"/>
    <col min="9987" max="9987" width="18.375" style="497" bestFit="1" customWidth="1"/>
    <col min="9988" max="9988" width="19.5" style="497" bestFit="1" customWidth="1"/>
    <col min="9989" max="9990" width="11.625" style="497" customWidth="1"/>
    <col min="9991" max="9991" width="15.375" style="497" customWidth="1"/>
    <col min="9992" max="10012" width="11.625" style="497" customWidth="1"/>
    <col min="10013" max="10240" width="9.875" style="497"/>
    <col min="10241" max="10241" width="5" style="497" customWidth="1"/>
    <col min="10242" max="10242" width="36.125" style="497" customWidth="1"/>
    <col min="10243" max="10243" width="18.375" style="497" bestFit="1" customWidth="1"/>
    <col min="10244" max="10244" width="19.5" style="497" bestFit="1" customWidth="1"/>
    <col min="10245" max="10246" width="11.625" style="497" customWidth="1"/>
    <col min="10247" max="10247" width="15.375" style="497" customWidth="1"/>
    <col min="10248" max="10268" width="11.625" style="497" customWidth="1"/>
    <col min="10269" max="10496" width="9.875" style="497"/>
    <col min="10497" max="10497" width="5" style="497" customWidth="1"/>
    <col min="10498" max="10498" width="36.125" style="497" customWidth="1"/>
    <col min="10499" max="10499" width="18.375" style="497" bestFit="1" customWidth="1"/>
    <col min="10500" max="10500" width="19.5" style="497" bestFit="1" customWidth="1"/>
    <col min="10501" max="10502" width="11.625" style="497" customWidth="1"/>
    <col min="10503" max="10503" width="15.375" style="497" customWidth="1"/>
    <col min="10504" max="10524" width="11.625" style="497" customWidth="1"/>
    <col min="10525" max="10752" width="9.875" style="497"/>
    <col min="10753" max="10753" width="5" style="497" customWidth="1"/>
    <col min="10754" max="10754" width="36.125" style="497" customWidth="1"/>
    <col min="10755" max="10755" width="18.375" style="497" bestFit="1" customWidth="1"/>
    <col min="10756" max="10756" width="19.5" style="497" bestFit="1" customWidth="1"/>
    <col min="10757" max="10758" width="11.625" style="497" customWidth="1"/>
    <col min="10759" max="10759" width="15.375" style="497" customWidth="1"/>
    <col min="10760" max="10780" width="11.625" style="497" customWidth="1"/>
    <col min="10781" max="11008" width="9.875" style="497"/>
    <col min="11009" max="11009" width="5" style="497" customWidth="1"/>
    <col min="11010" max="11010" width="36.125" style="497" customWidth="1"/>
    <col min="11011" max="11011" width="18.375" style="497" bestFit="1" customWidth="1"/>
    <col min="11012" max="11012" width="19.5" style="497" bestFit="1" customWidth="1"/>
    <col min="11013" max="11014" width="11.625" style="497" customWidth="1"/>
    <col min="11015" max="11015" width="15.375" style="497" customWidth="1"/>
    <col min="11016" max="11036" width="11.625" style="497" customWidth="1"/>
    <col min="11037" max="11264" width="9.875" style="497"/>
    <col min="11265" max="11265" width="5" style="497" customWidth="1"/>
    <col min="11266" max="11266" width="36.125" style="497" customWidth="1"/>
    <col min="11267" max="11267" width="18.375" style="497" bestFit="1" customWidth="1"/>
    <col min="11268" max="11268" width="19.5" style="497" bestFit="1" customWidth="1"/>
    <col min="11269" max="11270" width="11.625" style="497" customWidth="1"/>
    <col min="11271" max="11271" width="15.375" style="497" customWidth="1"/>
    <col min="11272" max="11292" width="11.625" style="497" customWidth="1"/>
    <col min="11293" max="11520" width="9.875" style="497"/>
    <col min="11521" max="11521" width="5" style="497" customWidth="1"/>
    <col min="11522" max="11522" width="36.125" style="497" customWidth="1"/>
    <col min="11523" max="11523" width="18.375" style="497" bestFit="1" customWidth="1"/>
    <col min="11524" max="11524" width="19.5" style="497" bestFit="1" customWidth="1"/>
    <col min="11525" max="11526" width="11.625" style="497" customWidth="1"/>
    <col min="11527" max="11527" width="15.375" style="497" customWidth="1"/>
    <col min="11528" max="11548" width="11.625" style="497" customWidth="1"/>
    <col min="11549" max="11776" width="9.875" style="497"/>
    <col min="11777" max="11777" width="5" style="497" customWidth="1"/>
    <col min="11778" max="11778" width="36.125" style="497" customWidth="1"/>
    <col min="11779" max="11779" width="18.375" style="497" bestFit="1" customWidth="1"/>
    <col min="11780" max="11780" width="19.5" style="497" bestFit="1" customWidth="1"/>
    <col min="11781" max="11782" width="11.625" style="497" customWidth="1"/>
    <col min="11783" max="11783" width="15.375" style="497" customWidth="1"/>
    <col min="11784" max="11804" width="11.625" style="497" customWidth="1"/>
    <col min="11805" max="12032" width="9.875" style="497"/>
    <col min="12033" max="12033" width="5" style="497" customWidth="1"/>
    <col min="12034" max="12034" width="36.125" style="497" customWidth="1"/>
    <col min="12035" max="12035" width="18.375" style="497" bestFit="1" customWidth="1"/>
    <col min="12036" max="12036" width="19.5" style="497" bestFit="1" customWidth="1"/>
    <col min="12037" max="12038" width="11.625" style="497" customWidth="1"/>
    <col min="12039" max="12039" width="15.375" style="497" customWidth="1"/>
    <col min="12040" max="12060" width="11.625" style="497" customWidth="1"/>
    <col min="12061" max="12288" width="9.875" style="497"/>
    <col min="12289" max="12289" width="5" style="497" customWidth="1"/>
    <col min="12290" max="12290" width="36.125" style="497" customWidth="1"/>
    <col min="12291" max="12291" width="18.375" style="497" bestFit="1" customWidth="1"/>
    <col min="12292" max="12292" width="19.5" style="497" bestFit="1" customWidth="1"/>
    <col min="12293" max="12294" width="11.625" style="497" customWidth="1"/>
    <col min="12295" max="12295" width="15.375" style="497" customWidth="1"/>
    <col min="12296" max="12316" width="11.625" style="497" customWidth="1"/>
    <col min="12317" max="12544" width="9.875" style="497"/>
    <col min="12545" max="12545" width="5" style="497" customWidth="1"/>
    <col min="12546" max="12546" width="36.125" style="497" customWidth="1"/>
    <col min="12547" max="12547" width="18.375" style="497" bestFit="1" customWidth="1"/>
    <col min="12548" max="12548" width="19.5" style="497" bestFit="1" customWidth="1"/>
    <col min="12549" max="12550" width="11.625" style="497" customWidth="1"/>
    <col min="12551" max="12551" width="15.375" style="497" customWidth="1"/>
    <col min="12552" max="12572" width="11.625" style="497" customWidth="1"/>
    <col min="12573" max="12800" width="9.875" style="497"/>
    <col min="12801" max="12801" width="5" style="497" customWidth="1"/>
    <col min="12802" max="12802" width="36.125" style="497" customWidth="1"/>
    <col min="12803" max="12803" width="18.375" style="497" bestFit="1" customWidth="1"/>
    <col min="12804" max="12804" width="19.5" style="497" bestFit="1" customWidth="1"/>
    <col min="12805" max="12806" width="11.625" style="497" customWidth="1"/>
    <col min="12807" max="12807" width="15.375" style="497" customWidth="1"/>
    <col min="12808" max="12828" width="11.625" style="497" customWidth="1"/>
    <col min="12829" max="13056" width="9.875" style="497"/>
    <col min="13057" max="13057" width="5" style="497" customWidth="1"/>
    <col min="13058" max="13058" width="36.125" style="497" customWidth="1"/>
    <col min="13059" max="13059" width="18.375" style="497" bestFit="1" customWidth="1"/>
    <col min="13060" max="13060" width="19.5" style="497" bestFit="1" customWidth="1"/>
    <col min="13061" max="13062" width="11.625" style="497" customWidth="1"/>
    <col min="13063" max="13063" width="15.375" style="497" customWidth="1"/>
    <col min="13064" max="13084" width="11.625" style="497" customWidth="1"/>
    <col min="13085" max="13312" width="9.875" style="497"/>
    <col min="13313" max="13313" width="5" style="497" customWidth="1"/>
    <col min="13314" max="13314" width="36.125" style="497" customWidth="1"/>
    <col min="13315" max="13315" width="18.375" style="497" bestFit="1" customWidth="1"/>
    <col min="13316" max="13316" width="19.5" style="497" bestFit="1" customWidth="1"/>
    <col min="13317" max="13318" width="11.625" style="497" customWidth="1"/>
    <col min="13319" max="13319" width="15.375" style="497" customWidth="1"/>
    <col min="13320" max="13340" width="11.625" style="497" customWidth="1"/>
    <col min="13341" max="13568" width="9.875" style="497"/>
    <col min="13569" max="13569" width="5" style="497" customWidth="1"/>
    <col min="13570" max="13570" width="36.125" style="497" customWidth="1"/>
    <col min="13571" max="13571" width="18.375" style="497" bestFit="1" customWidth="1"/>
    <col min="13572" max="13572" width="19.5" style="497" bestFit="1" customWidth="1"/>
    <col min="13573" max="13574" width="11.625" style="497" customWidth="1"/>
    <col min="13575" max="13575" width="15.375" style="497" customWidth="1"/>
    <col min="13576" max="13596" width="11.625" style="497" customWidth="1"/>
    <col min="13597" max="13824" width="9.875" style="497"/>
    <col min="13825" max="13825" width="5" style="497" customWidth="1"/>
    <col min="13826" max="13826" width="36.125" style="497" customWidth="1"/>
    <col min="13827" max="13827" width="18.375" style="497" bestFit="1" customWidth="1"/>
    <col min="13828" max="13828" width="19.5" style="497" bestFit="1" customWidth="1"/>
    <col min="13829" max="13830" width="11.625" style="497" customWidth="1"/>
    <col min="13831" max="13831" width="15.375" style="497" customWidth="1"/>
    <col min="13832" max="13852" width="11.625" style="497" customWidth="1"/>
    <col min="13853" max="14080" width="9.875" style="497"/>
    <col min="14081" max="14081" width="5" style="497" customWidth="1"/>
    <col min="14082" max="14082" width="36.125" style="497" customWidth="1"/>
    <col min="14083" max="14083" width="18.375" style="497" bestFit="1" customWidth="1"/>
    <col min="14084" max="14084" width="19.5" style="497" bestFit="1" customWidth="1"/>
    <col min="14085" max="14086" width="11.625" style="497" customWidth="1"/>
    <col min="14087" max="14087" width="15.375" style="497" customWidth="1"/>
    <col min="14088" max="14108" width="11.625" style="497" customWidth="1"/>
    <col min="14109" max="14336" width="9.875" style="497"/>
    <col min="14337" max="14337" width="5" style="497" customWidth="1"/>
    <col min="14338" max="14338" width="36.125" style="497" customWidth="1"/>
    <col min="14339" max="14339" width="18.375" style="497" bestFit="1" customWidth="1"/>
    <col min="14340" max="14340" width="19.5" style="497" bestFit="1" customWidth="1"/>
    <col min="14341" max="14342" width="11.625" style="497" customWidth="1"/>
    <col min="14343" max="14343" width="15.375" style="497" customWidth="1"/>
    <col min="14344" max="14364" width="11.625" style="497" customWidth="1"/>
    <col min="14365" max="14592" width="9.875" style="497"/>
    <col min="14593" max="14593" width="5" style="497" customWidth="1"/>
    <col min="14594" max="14594" width="36.125" style="497" customWidth="1"/>
    <col min="14595" max="14595" width="18.375" style="497" bestFit="1" customWidth="1"/>
    <col min="14596" max="14596" width="19.5" style="497" bestFit="1" customWidth="1"/>
    <col min="14597" max="14598" width="11.625" style="497" customWidth="1"/>
    <col min="14599" max="14599" width="15.375" style="497" customWidth="1"/>
    <col min="14600" max="14620" width="11.625" style="497" customWidth="1"/>
    <col min="14621" max="14848" width="9.875" style="497"/>
    <col min="14849" max="14849" width="5" style="497" customWidth="1"/>
    <col min="14850" max="14850" width="36.125" style="497" customWidth="1"/>
    <col min="14851" max="14851" width="18.375" style="497" bestFit="1" customWidth="1"/>
    <col min="14852" max="14852" width="19.5" style="497" bestFit="1" customWidth="1"/>
    <col min="14853" max="14854" width="11.625" style="497" customWidth="1"/>
    <col min="14855" max="14855" width="15.375" style="497" customWidth="1"/>
    <col min="14856" max="14876" width="11.625" style="497" customWidth="1"/>
    <col min="14877" max="15104" width="9.875" style="497"/>
    <col min="15105" max="15105" width="5" style="497" customWidth="1"/>
    <col min="15106" max="15106" width="36.125" style="497" customWidth="1"/>
    <col min="15107" max="15107" width="18.375" style="497" bestFit="1" customWidth="1"/>
    <col min="15108" max="15108" width="19.5" style="497" bestFit="1" customWidth="1"/>
    <col min="15109" max="15110" width="11.625" style="497" customWidth="1"/>
    <col min="15111" max="15111" width="15.375" style="497" customWidth="1"/>
    <col min="15112" max="15132" width="11.625" style="497" customWidth="1"/>
    <col min="15133" max="15360" width="9.875" style="497"/>
    <col min="15361" max="15361" width="5" style="497" customWidth="1"/>
    <col min="15362" max="15362" width="36.125" style="497" customWidth="1"/>
    <col min="15363" max="15363" width="18.375" style="497" bestFit="1" customWidth="1"/>
    <col min="15364" max="15364" width="19.5" style="497" bestFit="1" customWidth="1"/>
    <col min="15365" max="15366" width="11.625" style="497" customWidth="1"/>
    <col min="15367" max="15367" width="15.375" style="497" customWidth="1"/>
    <col min="15368" max="15388" width="11.625" style="497" customWidth="1"/>
    <col min="15389" max="15616" width="9.875" style="497"/>
    <col min="15617" max="15617" width="5" style="497" customWidth="1"/>
    <col min="15618" max="15618" width="36.125" style="497" customWidth="1"/>
    <col min="15619" max="15619" width="18.375" style="497" bestFit="1" customWidth="1"/>
    <col min="15620" max="15620" width="19.5" style="497" bestFit="1" customWidth="1"/>
    <col min="15621" max="15622" width="11.625" style="497" customWidth="1"/>
    <col min="15623" max="15623" width="15.375" style="497" customWidth="1"/>
    <col min="15624" max="15644" width="11.625" style="497" customWidth="1"/>
    <col min="15645" max="15872" width="9.875" style="497"/>
    <col min="15873" max="15873" width="5" style="497" customWidth="1"/>
    <col min="15874" max="15874" width="36.125" style="497" customWidth="1"/>
    <col min="15875" max="15875" width="18.375" style="497" bestFit="1" customWidth="1"/>
    <col min="15876" max="15876" width="19.5" style="497" bestFit="1" customWidth="1"/>
    <col min="15877" max="15878" width="11.625" style="497" customWidth="1"/>
    <col min="15879" max="15879" width="15.375" style="497" customWidth="1"/>
    <col min="15880" max="15900" width="11.625" style="497" customWidth="1"/>
    <col min="15901" max="16128" width="9.875" style="497"/>
    <col min="16129" max="16129" width="5" style="497" customWidth="1"/>
    <col min="16130" max="16130" width="36.125" style="497" customWidth="1"/>
    <col min="16131" max="16131" width="18.375" style="497" bestFit="1" customWidth="1"/>
    <col min="16132" max="16132" width="19.5" style="497" bestFit="1" customWidth="1"/>
    <col min="16133" max="16134" width="11.625" style="497" customWidth="1"/>
    <col min="16135" max="16135" width="15.375" style="497" customWidth="1"/>
    <col min="16136" max="16156" width="11.625" style="497" customWidth="1"/>
    <col min="16157" max="16384" width="9.875" style="497"/>
  </cols>
  <sheetData>
    <row r="1" spans="1:13" s="468" customFormat="1" ht="11.25">
      <c r="A1" s="1222" t="s">
        <v>4234</v>
      </c>
      <c r="B1" s="1222"/>
      <c r="C1" s="1222"/>
      <c r="D1" s="1222"/>
      <c r="E1" s="1222"/>
      <c r="F1" s="1222"/>
    </row>
    <row r="2" spans="1:13" ht="20.25">
      <c r="A2" s="1223" t="s">
        <v>4235</v>
      </c>
      <c r="B2" s="1223"/>
      <c r="C2" s="1223"/>
      <c r="D2" s="1223"/>
      <c r="E2" s="1223"/>
      <c r="F2" s="1223"/>
      <c r="G2" s="469"/>
      <c r="H2" s="469"/>
      <c r="I2" s="469"/>
      <c r="J2" s="469"/>
      <c r="K2" s="469"/>
      <c r="L2" s="469"/>
      <c r="M2" s="469"/>
    </row>
    <row r="3" spans="1:13">
      <c r="A3" s="470" t="s">
        <v>1522</v>
      </c>
      <c r="B3" s="469"/>
      <c r="C3" s="469"/>
      <c r="D3" s="469"/>
      <c r="E3" s="471"/>
      <c r="F3" s="469"/>
      <c r="G3" s="469"/>
      <c r="H3" s="469"/>
      <c r="I3" s="469"/>
      <c r="J3" s="469"/>
      <c r="K3" s="469"/>
      <c r="L3" s="469"/>
      <c r="M3" s="469"/>
    </row>
    <row r="4" spans="1:13" s="472" customFormat="1" ht="7.5" thickBot="1"/>
    <row r="5" spans="1:13" ht="15" thickTop="1">
      <c r="B5" s="473" t="s">
        <v>4236</v>
      </c>
      <c r="C5" s="474" t="s">
        <v>4235</v>
      </c>
      <c r="D5" s="475" t="s">
        <v>4237</v>
      </c>
      <c r="E5" s="476">
        <v>45085</v>
      </c>
      <c r="F5" s="475" t="s">
        <v>4238</v>
      </c>
      <c r="G5" s="476" t="s">
        <v>4239</v>
      </c>
      <c r="H5" s="469"/>
      <c r="I5" s="469"/>
      <c r="J5" s="469"/>
      <c r="K5" s="469"/>
      <c r="L5" s="469"/>
      <c r="M5" s="469"/>
    </row>
    <row r="6" spans="1:13" ht="15" thickBot="1">
      <c r="B6" s="477" t="s">
        <v>4240</v>
      </c>
      <c r="C6" s="478" t="s">
        <v>218</v>
      </c>
      <c r="D6" s="479" t="s">
        <v>4241</v>
      </c>
      <c r="E6" s="480">
        <v>2</v>
      </c>
      <c r="F6" s="479" t="s">
        <v>4242</v>
      </c>
      <c r="G6" s="481">
        <v>2022</v>
      </c>
      <c r="H6" s="469"/>
      <c r="I6" s="469"/>
      <c r="J6" s="469"/>
      <c r="K6" s="469"/>
      <c r="L6" s="469"/>
      <c r="M6" s="469"/>
    </row>
    <row r="7" spans="1:13" ht="15.75" thickTop="1" thickBot="1">
      <c r="B7" s="469"/>
      <c r="C7" s="469"/>
      <c r="D7" s="469"/>
      <c r="E7" s="469"/>
      <c r="F7" s="469"/>
      <c r="G7" s="469"/>
      <c r="H7" s="469"/>
      <c r="I7" s="469"/>
      <c r="J7" s="469"/>
      <c r="K7" s="469"/>
      <c r="L7" s="469"/>
      <c r="M7" s="469"/>
    </row>
    <row r="8" spans="1:13" ht="34.5" customHeight="1" thickTop="1" thickBot="1">
      <c r="B8" s="1224" t="s">
        <v>4243</v>
      </c>
      <c r="C8" s="1225"/>
      <c r="D8" s="1225"/>
      <c r="E8" s="1225"/>
      <c r="F8" s="1225"/>
      <c r="G8" s="1225"/>
      <c r="H8" s="1225"/>
      <c r="I8" s="1225"/>
      <c r="J8" s="1225"/>
      <c r="K8" s="1225"/>
      <c r="L8" s="1225"/>
      <c r="M8" s="1226"/>
    </row>
    <row r="9" spans="1:13" ht="15" customHeight="1" thickTop="1">
      <c r="B9" s="1227"/>
      <c r="C9" s="1227"/>
      <c r="D9" s="1227"/>
      <c r="E9" s="1227"/>
      <c r="F9" s="1227"/>
      <c r="G9" s="1227"/>
      <c r="H9" s="1227"/>
      <c r="I9" s="1227"/>
      <c r="J9" s="1227"/>
      <c r="K9" s="1227"/>
      <c r="L9" s="1227"/>
      <c r="M9" s="1227"/>
    </row>
    <row r="10" spans="1:13" s="469" customFormat="1" ht="15" customHeight="1">
      <c r="B10" s="1228" t="s">
        <v>1125</v>
      </c>
      <c r="C10" s="1228"/>
      <c r="D10" s="1228"/>
      <c r="E10" s="1228"/>
      <c r="F10" s="1228"/>
      <c r="G10" s="1228"/>
      <c r="H10" s="1228"/>
      <c r="I10" s="1228"/>
      <c r="J10" s="1228"/>
      <c r="K10" s="1228"/>
      <c r="L10" s="1228"/>
      <c r="M10" s="1228"/>
    </row>
    <row r="11" spans="1:13" s="469" customFormat="1">
      <c r="B11" s="1221" t="s">
        <v>4244</v>
      </c>
      <c r="C11" s="1221"/>
      <c r="D11" s="1221"/>
      <c r="E11" s="1221"/>
      <c r="F11" s="1221"/>
      <c r="G11" s="1221"/>
      <c r="H11" s="1221"/>
      <c r="I11" s="1221"/>
      <c r="J11" s="1221"/>
      <c r="K11" s="1221"/>
      <c r="L11" s="1221"/>
      <c r="M11" s="1221"/>
    </row>
    <row r="12" spans="1:13" s="469" customFormat="1">
      <c r="B12" s="482"/>
      <c r="C12" s="482"/>
      <c r="D12" s="482"/>
      <c r="E12" s="482"/>
      <c r="F12" s="482"/>
      <c r="G12" s="482"/>
      <c r="H12" s="482"/>
      <c r="I12" s="482"/>
      <c r="J12" s="482"/>
      <c r="K12" s="482"/>
      <c r="L12" s="482"/>
      <c r="M12" s="482"/>
    </row>
    <row r="13" spans="1:13" s="469" customFormat="1" ht="26.25" customHeight="1">
      <c r="B13" s="1228" t="s">
        <v>4245</v>
      </c>
      <c r="C13" s="1228"/>
      <c r="D13" s="1228"/>
      <c r="E13" s="1228"/>
      <c r="F13" s="1228"/>
      <c r="G13" s="1228"/>
      <c r="H13" s="1228"/>
      <c r="I13" s="1228"/>
      <c r="J13" s="1228"/>
      <c r="K13" s="1228"/>
      <c r="L13" s="1228"/>
      <c r="M13" s="1228"/>
    </row>
    <row r="14" spans="1:13" s="469" customFormat="1" ht="15" customHeight="1">
      <c r="B14" s="1230" t="s">
        <v>4246</v>
      </c>
      <c r="C14" s="1230"/>
      <c r="D14" s="1230"/>
      <c r="E14" s="1230"/>
      <c r="F14" s="1230"/>
      <c r="G14" s="1230"/>
      <c r="H14" s="1230"/>
      <c r="I14" s="1230"/>
      <c r="J14" s="1230"/>
      <c r="K14" s="1230"/>
      <c r="L14" s="1230"/>
      <c r="M14" s="1230"/>
    </row>
    <row r="15" spans="1:13" s="469" customFormat="1">
      <c r="B15" s="1230" t="s">
        <v>4247</v>
      </c>
      <c r="C15" s="1230"/>
      <c r="D15" s="1230"/>
      <c r="E15" s="1230"/>
      <c r="F15" s="1230"/>
      <c r="G15" s="1230"/>
      <c r="H15" s="1230"/>
      <c r="I15" s="1230"/>
      <c r="J15" s="1230"/>
      <c r="K15" s="1230"/>
      <c r="L15" s="1230"/>
      <c r="M15" s="1230"/>
    </row>
    <row r="16" spans="1:13" s="484" customFormat="1">
      <c r="B16" s="1230" t="s">
        <v>4248</v>
      </c>
      <c r="C16" s="1230"/>
      <c r="D16" s="1230"/>
      <c r="E16" s="1230"/>
      <c r="F16" s="1230"/>
      <c r="G16" s="1230"/>
      <c r="H16" s="1230"/>
      <c r="I16" s="1230"/>
      <c r="J16" s="1230"/>
      <c r="K16" s="1230"/>
      <c r="L16" s="1230"/>
      <c r="M16" s="1230"/>
    </row>
    <row r="17" spans="2:13" s="484" customFormat="1">
      <c r="B17" s="483"/>
      <c r="C17" s="483"/>
      <c r="D17" s="483"/>
      <c r="E17" s="483"/>
      <c r="F17" s="483"/>
      <c r="G17" s="483"/>
      <c r="H17" s="483"/>
      <c r="I17" s="483"/>
      <c r="J17" s="483"/>
      <c r="K17" s="483"/>
      <c r="L17" s="483"/>
      <c r="M17" s="483"/>
    </row>
    <row r="18" spans="2:13" s="486" customFormat="1">
      <c r="B18" s="485"/>
    </row>
    <row r="19" spans="2:13" s="486" customFormat="1" ht="12.75">
      <c r="B19" s="487"/>
      <c r="D19" s="487"/>
      <c r="E19" s="487"/>
    </row>
    <row r="20" spans="2:13" s="486" customFormat="1" ht="12.75"/>
    <row r="21" spans="2:13" s="486" customFormat="1" ht="18">
      <c r="B21" s="488" t="s">
        <v>4249</v>
      </c>
      <c r="C21" s="488" t="s">
        <v>2</v>
      </c>
      <c r="D21" s="489" t="s">
        <v>4250</v>
      </c>
    </row>
    <row r="22" spans="2:13" s="486" customFormat="1">
      <c r="B22" s="489" t="s">
        <v>4251</v>
      </c>
      <c r="C22" s="489" t="s">
        <v>4252</v>
      </c>
      <c r="D22" s="490">
        <v>3.1679158521625603E-2</v>
      </c>
      <c r="E22" s="491"/>
    </row>
    <row r="23" spans="2:13" s="486" customFormat="1">
      <c r="B23" s="489" t="s">
        <v>4253</v>
      </c>
      <c r="C23" s="489" t="s">
        <v>4252</v>
      </c>
      <c r="D23" s="490">
        <v>0.30907415634310398</v>
      </c>
      <c r="E23" s="491"/>
    </row>
    <row r="24" spans="2:13" s="492" customFormat="1">
      <c r="B24" s="489" t="s">
        <v>4254</v>
      </c>
      <c r="C24" s="489" t="s">
        <v>4252</v>
      </c>
      <c r="D24" s="490">
        <v>0.3407533148647296</v>
      </c>
      <c r="E24" s="491"/>
    </row>
    <row r="25" spans="2:13" s="484" customFormat="1">
      <c r="B25" s="493"/>
      <c r="C25" s="493"/>
      <c r="D25" s="493"/>
      <c r="E25" s="493"/>
      <c r="F25" s="486"/>
      <c r="G25" s="493"/>
      <c r="H25" s="493"/>
      <c r="I25" s="493"/>
      <c r="J25" s="493"/>
      <c r="K25" s="493"/>
      <c r="L25" s="493"/>
      <c r="M25" s="493"/>
    </row>
    <row r="26" spans="2:13" s="469" customFormat="1" ht="15.75">
      <c r="B26" s="1231" t="s">
        <v>4255</v>
      </c>
      <c r="C26" s="1231"/>
      <c r="D26" s="1231"/>
      <c r="E26" s="1231"/>
      <c r="F26" s="1231"/>
      <c r="G26" s="1231"/>
      <c r="H26" s="1231"/>
      <c r="I26" s="1231"/>
      <c r="J26" s="1231"/>
      <c r="K26" s="1231"/>
      <c r="L26" s="1231"/>
      <c r="M26" s="1231"/>
    </row>
    <row r="27" spans="2:13" s="469" customFormat="1" ht="15.75">
      <c r="B27" s="494"/>
      <c r="C27" s="494"/>
      <c r="D27" s="494"/>
      <c r="E27" s="494"/>
      <c r="F27" s="494"/>
      <c r="G27" s="494"/>
      <c r="H27" s="494"/>
      <c r="I27" s="494"/>
      <c r="J27" s="494"/>
      <c r="K27" s="494"/>
      <c r="L27" s="494"/>
      <c r="M27" s="494"/>
    </row>
    <row r="28" spans="2:13" s="469" customFormat="1" ht="21" customHeight="1">
      <c r="B28" s="1232" t="s">
        <v>4256</v>
      </c>
      <c r="C28" s="1232"/>
      <c r="D28" s="1232"/>
      <c r="E28" s="1232"/>
      <c r="F28" s="1232"/>
      <c r="G28" s="1232"/>
      <c r="H28" s="1232"/>
      <c r="I28" s="1232"/>
      <c r="J28" s="1232"/>
      <c r="K28" s="1232"/>
      <c r="L28" s="1232"/>
      <c r="M28" s="1232"/>
    </row>
    <row r="29" spans="2:13" s="469" customFormat="1" ht="20.65" customHeight="1">
      <c r="B29" s="495" t="s">
        <v>4257</v>
      </c>
      <c r="C29" s="494"/>
      <c r="D29" s="494"/>
      <c r="E29" s="494"/>
      <c r="F29" s="494"/>
      <c r="G29" s="494"/>
      <c r="H29" s="494"/>
      <c r="I29" s="494"/>
      <c r="J29" s="494"/>
      <c r="K29" s="494"/>
      <c r="L29" s="494"/>
      <c r="M29" s="494"/>
    </row>
    <row r="30" spans="2:13" s="469" customFormat="1" ht="15.75">
      <c r="B30" s="495"/>
      <c r="C30" s="494"/>
      <c r="D30" s="496"/>
      <c r="E30" s="494"/>
      <c r="F30" s="494"/>
      <c r="G30" s="494"/>
      <c r="H30" s="494"/>
      <c r="I30" s="494"/>
      <c r="J30" s="494"/>
      <c r="K30" s="494"/>
      <c r="L30" s="494"/>
      <c r="M30" s="494"/>
    </row>
    <row r="31" spans="2:13" s="469" customFormat="1" ht="19.5" customHeight="1">
      <c r="B31" s="1229" t="s">
        <v>4258</v>
      </c>
      <c r="C31" s="1229"/>
      <c r="D31" s="1229"/>
      <c r="E31" s="1229"/>
      <c r="F31" s="1229"/>
      <c r="G31" s="1229"/>
      <c r="H31" s="1229"/>
      <c r="I31" s="1229"/>
      <c r="J31" s="1229"/>
      <c r="K31" s="1229"/>
      <c r="L31" s="1229"/>
      <c r="M31" s="1229"/>
    </row>
    <row r="32" spans="2:13" s="469" customFormat="1"/>
    <row r="33" s="469" customFormat="1"/>
    <row r="34" s="469" customFormat="1"/>
    <row r="35" s="469" customFormat="1"/>
    <row r="36" s="469" customFormat="1"/>
    <row r="37" s="469" customFormat="1"/>
    <row r="38" s="469" customFormat="1"/>
    <row r="39" s="469" customFormat="1"/>
    <row r="40" s="469" customFormat="1"/>
    <row r="41" s="469" customFormat="1"/>
    <row r="42" s="469" customFormat="1"/>
    <row r="43" s="469" customFormat="1"/>
    <row r="44" s="469" customFormat="1"/>
    <row r="45" s="469" customFormat="1"/>
    <row r="46" s="469" customFormat="1"/>
    <row r="47" s="469" customFormat="1"/>
    <row r="48" s="469" customFormat="1"/>
    <row r="49" s="469" customFormat="1"/>
    <row r="50" s="469" customFormat="1"/>
    <row r="51" s="469" customFormat="1"/>
    <row r="52" s="469" customFormat="1"/>
    <row r="53" s="469" customFormat="1"/>
    <row r="54" s="469" customFormat="1"/>
    <row r="55" s="469" customFormat="1"/>
    <row r="56" s="469" customFormat="1"/>
    <row r="57" s="469" customFormat="1"/>
    <row r="58" s="469" customFormat="1"/>
    <row r="59" s="469" customFormat="1"/>
    <row r="60" s="469" customFormat="1"/>
    <row r="61" s="469" customFormat="1"/>
    <row r="62" s="469" customFormat="1"/>
    <row r="63" s="469" customFormat="1"/>
    <row r="64" s="469" customFormat="1"/>
    <row r="65" s="469" customFormat="1"/>
    <row r="66" s="469" customFormat="1"/>
    <row r="67" s="469" customFormat="1"/>
    <row r="68" s="469" customFormat="1"/>
    <row r="69" s="469" customFormat="1"/>
    <row r="70" s="469" customFormat="1"/>
    <row r="71" s="469" customFormat="1"/>
    <row r="72" s="469" customFormat="1"/>
    <row r="73" s="469" customFormat="1"/>
    <row r="74" s="469" customFormat="1"/>
    <row r="75" s="469" customFormat="1"/>
    <row r="76" s="469" customFormat="1"/>
    <row r="77" s="469" customFormat="1"/>
    <row r="78" s="469" customFormat="1"/>
    <row r="79" s="469" customFormat="1"/>
    <row r="80" s="469" customFormat="1"/>
    <row r="81" s="469" customFormat="1"/>
    <row r="82" s="469" customFormat="1"/>
  </sheetData>
  <mergeCells count="13">
    <mergeCell ref="B31:M31"/>
    <mergeCell ref="B13:M13"/>
    <mergeCell ref="B14:M14"/>
    <mergeCell ref="B15:M15"/>
    <mergeCell ref="B16:M16"/>
    <mergeCell ref="B26:M26"/>
    <mergeCell ref="B28:M28"/>
    <mergeCell ref="B11:M11"/>
    <mergeCell ref="A1:F1"/>
    <mergeCell ref="A2:F2"/>
    <mergeCell ref="B8:M8"/>
    <mergeCell ref="B9:M9"/>
    <mergeCell ref="B10:M10"/>
  </mergeCells>
  <hyperlinks>
    <hyperlink ref="A3" location="Index!A1" display="Index" xr:uid="{00000000-0004-0000-1E00-000000000000}"/>
  </hyperlinks>
  <pageMargins left="0.7" right="0.7" top="0.75" bottom="0.75" header="0.3" footer="0.3"/>
  <pageSetup paperSize="9" scale="11"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dimension ref="A1:T33"/>
  <sheetViews>
    <sheetView zoomScale="90" zoomScaleNormal="90" workbookViewId="0">
      <selection activeCell="Q5" sqref="Q5"/>
    </sheetView>
  </sheetViews>
  <sheetFormatPr defaultColWidth="8.875" defaultRowHeight="14.25"/>
  <cols>
    <col min="2" max="2" width="23" customWidth="1"/>
    <col min="3" max="3" width="10.875" bestFit="1" customWidth="1"/>
    <col min="4" max="4" width="13" customWidth="1"/>
    <col min="5" max="5" width="12" customWidth="1"/>
    <col min="13" max="13" width="31" customWidth="1"/>
    <col min="14" max="17" width="16.375" customWidth="1"/>
    <col min="18" max="18" width="14.5" customWidth="1"/>
    <col min="19" max="19" width="10.5" customWidth="1"/>
  </cols>
  <sheetData>
    <row r="1" spans="1:20" ht="15" thickBot="1">
      <c r="A1" s="150" t="s">
        <v>4332</v>
      </c>
      <c r="M1" s="150" t="s">
        <v>3651</v>
      </c>
      <c r="S1" s="148" t="s">
        <v>1343</v>
      </c>
    </row>
    <row r="2" spans="1:20" ht="15.75">
      <c r="M2" s="136"/>
      <c r="N2" s="1233" t="s">
        <v>1310</v>
      </c>
      <c r="O2" s="1234"/>
      <c r="P2" s="1235"/>
      <c r="Q2" s="162"/>
      <c r="S2" s="158">
        <v>28</v>
      </c>
      <c r="T2" s="160" t="s">
        <v>1344</v>
      </c>
    </row>
    <row r="3" spans="1:20" ht="16.5" customHeight="1" thickBot="1">
      <c r="A3" s="391" t="s">
        <v>4333</v>
      </c>
      <c r="M3" s="137" t="s">
        <v>1311</v>
      </c>
      <c r="N3" s="138" t="s">
        <v>1312</v>
      </c>
      <c r="O3" s="139" t="s">
        <v>1313</v>
      </c>
      <c r="P3" s="140" t="s">
        <v>1314</v>
      </c>
      <c r="Q3" s="138" t="s">
        <v>1346</v>
      </c>
      <c r="S3" s="159">
        <v>265</v>
      </c>
      <c r="T3" s="161" t="s">
        <v>1345</v>
      </c>
    </row>
    <row r="4" spans="1:20" ht="15" customHeight="1">
      <c r="A4" s="150" t="s">
        <v>4332</v>
      </c>
      <c r="J4" s="152"/>
      <c r="K4" s="152"/>
      <c r="L4" s="152"/>
      <c r="M4" s="141"/>
      <c r="N4" s="142" t="s">
        <v>1315</v>
      </c>
      <c r="O4" s="143" t="s">
        <v>1315</v>
      </c>
      <c r="P4" s="144" t="s">
        <v>1315</v>
      </c>
      <c r="Q4" s="142" t="s">
        <v>1315</v>
      </c>
    </row>
    <row r="5" spans="1:20">
      <c r="B5" s="151" t="s">
        <v>1308</v>
      </c>
      <c r="C5" s="151"/>
      <c r="D5" s="152"/>
      <c r="E5" s="152"/>
      <c r="F5" s="152"/>
      <c r="G5" s="152"/>
      <c r="H5" s="152"/>
      <c r="I5" s="152"/>
      <c r="J5" s="156"/>
      <c r="K5" s="156"/>
      <c r="L5" s="156"/>
      <c r="M5" s="145" t="s">
        <v>1316</v>
      </c>
      <c r="N5" s="146">
        <v>1097.5999999999999</v>
      </c>
      <c r="O5" s="147">
        <v>0.1</v>
      </c>
      <c r="P5" s="147">
        <v>1.4E-2</v>
      </c>
      <c r="Q5" s="163">
        <f>N5+(O5*$S$2)+(P5*$S$3)</f>
        <v>1104.1099999999999</v>
      </c>
    </row>
    <row r="6" spans="1:20">
      <c r="B6" s="157"/>
      <c r="C6" s="155" t="s">
        <v>1129</v>
      </c>
      <c r="D6" s="157"/>
      <c r="E6" s="157"/>
      <c r="F6" s="157"/>
      <c r="G6" s="157"/>
      <c r="H6" s="157"/>
      <c r="I6" s="156"/>
      <c r="M6" s="145" t="s">
        <v>1317</v>
      </c>
      <c r="N6" s="146">
        <v>534.1</v>
      </c>
      <c r="O6" s="147">
        <v>2.7E-2</v>
      </c>
      <c r="P6" s="147">
        <v>5.0000000000000001E-3</v>
      </c>
      <c r="Q6" s="163">
        <f>N6+(O6*$S$2)+(P6*$S$3)</f>
        <v>536.18100000000004</v>
      </c>
    </row>
    <row r="7" spans="1:20">
      <c r="B7" s="133" t="s">
        <v>1305</v>
      </c>
      <c r="C7" s="134">
        <v>23.8</v>
      </c>
      <c r="M7" s="145" t="s">
        <v>1318</v>
      </c>
      <c r="N7" s="146">
        <v>846.6</v>
      </c>
      <c r="O7" s="147">
        <v>5.3999999999999999E-2</v>
      </c>
      <c r="P7" s="147">
        <v>7.0000000000000001E-3</v>
      </c>
      <c r="Q7" s="163">
        <f t="shared" ref="Q7:Q32" si="0">N7+(O7*$S$2)+(P7*$S$3)</f>
        <v>849.96699999999998</v>
      </c>
    </row>
    <row r="8" spans="1:20">
      <c r="B8" s="135" t="s">
        <v>1306</v>
      </c>
      <c r="C8" s="134">
        <v>28.8</v>
      </c>
      <c r="M8" s="145" t="s">
        <v>1319</v>
      </c>
      <c r="N8" s="146">
        <v>513.5</v>
      </c>
      <c r="O8" s="147">
        <v>3.2000000000000001E-2</v>
      </c>
      <c r="P8" s="147">
        <v>4.0000000000000001E-3</v>
      </c>
      <c r="Q8" s="163">
        <f t="shared" si="0"/>
        <v>515.4559999999999</v>
      </c>
    </row>
    <row r="9" spans="1:20">
      <c r="B9" s="135" t="s">
        <v>1307</v>
      </c>
      <c r="C9" s="134">
        <v>17.399999999999999</v>
      </c>
      <c r="M9" s="145" t="s">
        <v>1320</v>
      </c>
      <c r="N9" s="146">
        <v>818.6</v>
      </c>
      <c r="O9" s="147">
        <v>5.1999999999999998E-2</v>
      </c>
      <c r="P9" s="147">
        <v>7.0000000000000001E-3</v>
      </c>
      <c r="Q9" s="163">
        <f t="shared" si="0"/>
        <v>821.91100000000006</v>
      </c>
    </row>
    <row r="10" spans="1:20">
      <c r="B10" s="392" t="s">
        <v>3620</v>
      </c>
      <c r="C10" s="134">
        <v>14.9</v>
      </c>
      <c r="M10" s="145" t="s">
        <v>1321</v>
      </c>
      <c r="N10" s="146">
        <v>835.1</v>
      </c>
      <c r="O10" s="147">
        <v>4.9000000000000002E-2</v>
      </c>
      <c r="P10" s="147">
        <v>6.0000000000000001E-3</v>
      </c>
      <c r="Q10" s="163">
        <f t="shared" si="0"/>
        <v>838.06200000000001</v>
      </c>
    </row>
    <row r="11" spans="1:20" ht="15" customHeight="1">
      <c r="B11" s="392" t="s">
        <v>3621</v>
      </c>
      <c r="C11" s="134">
        <v>18.899999999999999</v>
      </c>
      <c r="M11" s="145" t="s">
        <v>1322</v>
      </c>
      <c r="N11" s="146">
        <v>1143.2</v>
      </c>
      <c r="O11" s="147">
        <v>0.11</v>
      </c>
      <c r="P11" s="147">
        <v>1.7000000000000001E-2</v>
      </c>
      <c r="Q11" s="163">
        <f t="shared" si="0"/>
        <v>1150.7850000000001</v>
      </c>
    </row>
    <row r="12" spans="1:20">
      <c r="B12" s="150"/>
      <c r="M12" s="145" t="s">
        <v>1323</v>
      </c>
      <c r="N12" s="146">
        <v>1653</v>
      </c>
      <c r="O12" s="147">
        <v>0.17799999999999999</v>
      </c>
      <c r="P12" s="147">
        <v>2.7E-2</v>
      </c>
      <c r="Q12" s="163">
        <f t="shared" si="0"/>
        <v>1665.1389999999999</v>
      </c>
    </row>
    <row r="13" spans="1:20" ht="15.75">
      <c r="A13" s="391" t="s">
        <v>4331</v>
      </c>
      <c r="M13" s="145" t="s">
        <v>1324</v>
      </c>
      <c r="N13" s="146">
        <v>1526.4</v>
      </c>
      <c r="O13" s="147">
        <v>0.13900000000000001</v>
      </c>
      <c r="P13" s="147">
        <v>0.02</v>
      </c>
      <c r="Q13" s="163">
        <f t="shared" si="0"/>
        <v>1535.5920000000001</v>
      </c>
    </row>
    <row r="14" spans="1:20">
      <c r="A14" s="150" t="s">
        <v>4332</v>
      </c>
      <c r="M14" s="145" t="s">
        <v>1325</v>
      </c>
      <c r="N14" s="146">
        <v>979.5</v>
      </c>
      <c r="O14" s="147">
        <v>0.104</v>
      </c>
      <c r="P14" s="147">
        <v>1.4999999999999999E-2</v>
      </c>
      <c r="Q14" s="163">
        <f t="shared" si="0"/>
        <v>986.38700000000006</v>
      </c>
    </row>
    <row r="15" spans="1:20">
      <c r="B15" s="153" t="s">
        <v>3622</v>
      </c>
      <c r="C15" s="152"/>
      <c r="D15" s="152"/>
      <c r="E15" s="152"/>
      <c r="F15" s="152"/>
      <c r="M15" s="145" t="s">
        <v>1326</v>
      </c>
      <c r="N15" s="146">
        <v>528.20000000000005</v>
      </c>
      <c r="O15" s="147">
        <v>7.3999999999999996E-2</v>
      </c>
      <c r="P15" s="147">
        <v>0.01</v>
      </c>
      <c r="Q15" s="163">
        <f t="shared" si="0"/>
        <v>532.92200000000003</v>
      </c>
    </row>
    <row r="16" spans="1:20" ht="25.5">
      <c r="C16" s="154" t="s">
        <v>3619</v>
      </c>
      <c r="D16" s="155" t="s">
        <v>1309</v>
      </c>
      <c r="M16" s="145" t="s">
        <v>1327</v>
      </c>
      <c r="N16" s="146">
        <v>600</v>
      </c>
      <c r="O16" s="147">
        <v>5.6000000000000001E-2</v>
      </c>
      <c r="P16" s="147">
        <v>8.0000000000000002E-3</v>
      </c>
      <c r="Q16" s="163">
        <f t="shared" si="0"/>
        <v>603.68799999999999</v>
      </c>
    </row>
    <row r="17" spans="1:17">
      <c r="B17" s="133" t="s">
        <v>1305</v>
      </c>
      <c r="C17" s="390">
        <v>59.1</v>
      </c>
      <c r="D17" s="390">
        <f>C17/96.7</f>
        <v>0.61116856256463292</v>
      </c>
      <c r="E17" s="149"/>
      <c r="M17" s="145" t="s">
        <v>1328</v>
      </c>
      <c r="N17" s="146">
        <v>634.6</v>
      </c>
      <c r="O17" s="147">
        <v>2.1999999999999999E-2</v>
      </c>
      <c r="P17" s="147">
        <v>3.0000000000000001E-3</v>
      </c>
      <c r="Q17" s="163">
        <f t="shared" si="0"/>
        <v>636.01099999999997</v>
      </c>
    </row>
    <row r="18" spans="1:17">
      <c r="B18" s="135" t="s">
        <v>1306</v>
      </c>
      <c r="C18" s="390">
        <v>77.900000000000006</v>
      </c>
      <c r="D18" s="390">
        <f>C18/96.7</f>
        <v>0.80558428128231652</v>
      </c>
      <c r="E18" s="149"/>
      <c r="F18" t="s">
        <v>3618</v>
      </c>
      <c r="M18" s="145" t="s">
        <v>1329</v>
      </c>
      <c r="N18" s="146">
        <v>1203.9000000000001</v>
      </c>
      <c r="O18" s="147">
        <v>0.13800000000000001</v>
      </c>
      <c r="P18" s="147">
        <v>1.7999999999999999E-2</v>
      </c>
      <c r="Q18" s="163">
        <f>N18+(O18*$S$2)+(P18*$S$3)</f>
        <v>1212.5340000000001</v>
      </c>
    </row>
    <row r="19" spans="1:17">
      <c r="B19" s="135" t="s">
        <v>1307</v>
      </c>
      <c r="C19" s="390">
        <v>27.8</v>
      </c>
      <c r="D19" s="390">
        <f>C19/96.7</f>
        <v>0.2874870734229576</v>
      </c>
      <c r="E19" s="149"/>
      <c r="M19" s="145" t="s">
        <v>1330</v>
      </c>
      <c r="N19" s="146">
        <v>233.5</v>
      </c>
      <c r="O19" s="147">
        <v>1.6E-2</v>
      </c>
      <c r="P19" s="147">
        <v>2E-3</v>
      </c>
      <c r="Q19" s="163">
        <f t="shared" si="0"/>
        <v>234.47800000000001</v>
      </c>
    </row>
    <row r="20" spans="1:17">
      <c r="B20" s="392" t="s">
        <v>3620</v>
      </c>
      <c r="C20" s="390">
        <v>19.2</v>
      </c>
      <c r="D20" s="390">
        <f>C20/96.7</f>
        <v>0.19855222337125128</v>
      </c>
      <c r="E20" s="149"/>
      <c r="M20" s="145" t="s">
        <v>1331</v>
      </c>
      <c r="N20" s="146">
        <v>1602.2</v>
      </c>
      <c r="O20" s="147">
        <v>8.5000000000000006E-2</v>
      </c>
      <c r="P20" s="147">
        <v>1.4E-2</v>
      </c>
      <c r="Q20" s="163">
        <f t="shared" si="0"/>
        <v>1608.2900000000002</v>
      </c>
    </row>
    <row r="21" spans="1:17">
      <c r="B21" s="392" t="s">
        <v>3621</v>
      </c>
      <c r="C21" s="390">
        <v>31.4</v>
      </c>
      <c r="D21" s="390">
        <f>C21/96.7</f>
        <v>0.32471561530506721</v>
      </c>
      <c r="M21" s="145" t="s">
        <v>1332</v>
      </c>
      <c r="N21" s="146">
        <v>652.5</v>
      </c>
      <c r="O21" s="147">
        <v>4.4999999999999998E-2</v>
      </c>
      <c r="P21" s="147">
        <v>6.0000000000000001E-3</v>
      </c>
      <c r="Q21" s="163">
        <f t="shared" si="0"/>
        <v>655.35</v>
      </c>
    </row>
    <row r="22" spans="1:17">
      <c r="M22" s="145" t="s">
        <v>1333</v>
      </c>
      <c r="N22" s="146">
        <v>1153.0999999999999</v>
      </c>
      <c r="O22" s="147">
        <v>0.10100000000000001</v>
      </c>
      <c r="P22" s="147">
        <v>1.4E-2</v>
      </c>
      <c r="Q22" s="163">
        <f t="shared" si="0"/>
        <v>1159.6379999999999</v>
      </c>
    </row>
    <row r="23" spans="1:17">
      <c r="M23" s="145" t="s">
        <v>1334</v>
      </c>
      <c r="N23" s="146">
        <v>985</v>
      </c>
      <c r="O23" s="147">
        <v>8.5999999999999993E-2</v>
      </c>
      <c r="P23" s="147">
        <v>1.2E-2</v>
      </c>
      <c r="Q23" s="163">
        <f t="shared" si="0"/>
        <v>990.58799999999997</v>
      </c>
    </row>
    <row r="24" spans="1:17">
      <c r="M24" s="145" t="s">
        <v>1335</v>
      </c>
      <c r="N24" s="146">
        <v>1144.8</v>
      </c>
      <c r="O24" s="147">
        <v>0.10100000000000001</v>
      </c>
      <c r="P24" s="147">
        <v>1.4E-2</v>
      </c>
      <c r="Q24" s="163">
        <f t="shared" si="0"/>
        <v>1151.338</v>
      </c>
    </row>
    <row r="25" spans="1:17">
      <c r="A25" t="s">
        <v>3447</v>
      </c>
      <c r="M25" s="145" t="s">
        <v>1336</v>
      </c>
      <c r="N25" s="146">
        <v>954</v>
      </c>
      <c r="O25" s="147">
        <v>0.1</v>
      </c>
      <c r="P25" s="147">
        <v>1.4E-2</v>
      </c>
      <c r="Q25" s="163">
        <f t="shared" si="0"/>
        <v>960.51</v>
      </c>
    </row>
    <row r="26" spans="1:17" ht="24">
      <c r="A26" s="176" t="s">
        <v>4228</v>
      </c>
      <c r="C26" s="311" t="s">
        <v>3443</v>
      </c>
      <c r="D26" s="311" t="s">
        <v>3444</v>
      </c>
      <c r="E26" s="311" t="s">
        <v>3445</v>
      </c>
      <c r="F26" s="310"/>
      <c r="M26" s="145" t="s">
        <v>1337</v>
      </c>
      <c r="N26" s="146">
        <v>931.8</v>
      </c>
      <c r="O26" s="147">
        <v>0.06</v>
      </c>
      <c r="P26" s="147">
        <v>8.9999999999999993E-3</v>
      </c>
      <c r="Q26" s="163">
        <f t="shared" si="0"/>
        <v>935.8649999999999</v>
      </c>
    </row>
    <row r="27" spans="1:17">
      <c r="A27" s="315" t="s">
        <v>3446</v>
      </c>
      <c r="C27" s="312">
        <v>53.06</v>
      </c>
      <c r="D27" s="312">
        <v>1</v>
      </c>
      <c r="E27" s="312">
        <v>0.1</v>
      </c>
      <c r="F27" s="310"/>
      <c r="M27" s="145" t="s">
        <v>1338</v>
      </c>
      <c r="N27" s="146">
        <v>740.4</v>
      </c>
      <c r="O27" s="147">
        <v>3.2000000000000001E-2</v>
      </c>
      <c r="P27" s="147">
        <v>4.0000000000000001E-3</v>
      </c>
      <c r="Q27" s="163">
        <f t="shared" si="0"/>
        <v>742.35599999999988</v>
      </c>
    </row>
    <row r="28" spans="1:17">
      <c r="A28" s="150" t="s">
        <v>3651</v>
      </c>
      <c r="C28" s="310"/>
      <c r="D28" s="310"/>
      <c r="E28" s="310"/>
      <c r="F28" s="310"/>
      <c r="M28" s="145" t="s">
        <v>1339</v>
      </c>
      <c r="N28" s="146">
        <v>1480.7</v>
      </c>
      <c r="O28" s="147">
        <v>0.156</v>
      </c>
      <c r="P28" s="147">
        <v>2.3E-2</v>
      </c>
      <c r="Q28" s="163">
        <f t="shared" si="0"/>
        <v>1491.163</v>
      </c>
    </row>
    <row r="29" spans="1:17">
      <c r="M29" s="145" t="s">
        <v>1340</v>
      </c>
      <c r="N29" s="146">
        <v>860.2</v>
      </c>
      <c r="O29" s="147">
        <v>0.06</v>
      </c>
      <c r="P29" s="147">
        <v>8.9999999999999993E-3</v>
      </c>
      <c r="Q29" s="163">
        <f t="shared" si="0"/>
        <v>864.26499999999999</v>
      </c>
    </row>
    <row r="30" spans="1:17" ht="24">
      <c r="C30" s="311" t="s">
        <v>3439</v>
      </c>
      <c r="D30" s="311" t="s">
        <v>3441</v>
      </c>
      <c r="E30" s="311" t="s">
        <v>3442</v>
      </c>
      <c r="G30" s="314" t="s">
        <v>3440</v>
      </c>
      <c r="M30" s="145" t="s">
        <v>1341</v>
      </c>
      <c r="N30" s="146">
        <v>834.2</v>
      </c>
      <c r="O30" s="147">
        <v>7.4999999999999997E-2</v>
      </c>
      <c r="P30" s="147">
        <v>1.0999999999999999E-2</v>
      </c>
      <c r="Q30" s="163">
        <f t="shared" si="0"/>
        <v>839.21500000000003</v>
      </c>
    </row>
    <row r="31" spans="1:17" ht="15" thickBot="1">
      <c r="C31" s="312">
        <f>C27/10</f>
        <v>5.306</v>
      </c>
      <c r="D31" s="312">
        <f>D27/10</f>
        <v>0.1</v>
      </c>
      <c r="E31" s="312">
        <f>E27/10</f>
        <v>0.01</v>
      </c>
      <c r="G31" s="313">
        <f>C31+(D31/1000*$S$2)+(E31/1000*$S$3)</f>
        <v>5.3114499999999998</v>
      </c>
      <c r="M31" s="164" t="s">
        <v>1342</v>
      </c>
      <c r="N31" s="165">
        <v>623.1</v>
      </c>
      <c r="O31" s="166">
        <v>0.05</v>
      </c>
      <c r="P31" s="166">
        <v>7.0000000000000001E-3</v>
      </c>
      <c r="Q31" s="163">
        <f t="shared" si="0"/>
        <v>626.35500000000002</v>
      </c>
    </row>
    <row r="32" spans="1:17" ht="15" thickBot="1">
      <c r="M32" s="167" t="s">
        <v>1229</v>
      </c>
      <c r="N32" s="168">
        <v>818.3</v>
      </c>
      <c r="O32" s="169">
        <v>6.5000000000000002E-2</v>
      </c>
      <c r="P32" s="169">
        <v>8.9999999999999993E-3</v>
      </c>
      <c r="Q32" s="170">
        <f t="shared" si="0"/>
        <v>822.505</v>
      </c>
    </row>
    <row r="33" spans="6:6">
      <c r="F33" t="s">
        <v>4227</v>
      </c>
    </row>
  </sheetData>
  <mergeCells count="1">
    <mergeCell ref="N2:P2"/>
  </mergeCells>
  <hyperlinks>
    <hyperlink ref="A28" r:id="rId1" xr:uid="{00000000-0004-0000-1F00-000000000000}"/>
    <hyperlink ref="M1" r:id="rId2" xr:uid="{00000000-0004-0000-1F00-000001000000}"/>
    <hyperlink ref="A4" r:id="rId3" display="https://www.eia.gov/consumption/commercial/data/2018/index.php?view=consumption" xr:uid="{00000000-0004-0000-1F00-000002000000}"/>
    <hyperlink ref="A14" r:id="rId4" display="https://www.eia.gov/consumption/commercial/data/2018/index.php?view=consumption" xr:uid="{00000000-0004-0000-1F00-000003000000}"/>
    <hyperlink ref="A1" r:id="rId5" display="https://www.eia.gov/consumption/commercial/data/2018/index.php?view=consumption" xr:uid="{00000000-0004-0000-1F00-000004000000}"/>
  </hyperlinks>
  <pageMargins left="0.7" right="0.7" top="0.75" bottom="0.75" header="0.3" footer="0.3"/>
  <pageSetup orientation="portrait" horizontalDpi="1200" verticalDpi="1200"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dimension ref="A1:L53"/>
  <sheetViews>
    <sheetView workbookViewId="0">
      <selection activeCell="H52" sqref="H52"/>
    </sheetView>
  </sheetViews>
  <sheetFormatPr defaultRowHeight="14.25"/>
  <cols>
    <col min="1" max="1" width="21.125" customWidth="1"/>
    <col min="3" max="3" width="13.125" bestFit="1" customWidth="1"/>
  </cols>
  <sheetData>
    <row r="1" spans="1:12" ht="22.5">
      <c r="A1" s="541"/>
      <c r="B1" s="542" t="s">
        <v>4334</v>
      </c>
      <c r="C1" t="s">
        <v>4335</v>
      </c>
    </row>
    <row r="2" spans="1:12">
      <c r="A2" s="541" t="s">
        <v>1168</v>
      </c>
      <c r="B2" s="543">
        <v>966.12800000000004</v>
      </c>
      <c r="C2">
        <f t="shared" ref="C2:C33" si="0">B2/$K$2/1000</f>
        <v>0.43822881040723577</v>
      </c>
      <c r="E2" t="s">
        <v>4336</v>
      </c>
      <c r="J2" t="s">
        <v>4340</v>
      </c>
      <c r="K2">
        <v>2.2046199999999998</v>
      </c>
      <c r="L2" t="s">
        <v>4341</v>
      </c>
    </row>
    <row r="3" spans="1:12">
      <c r="A3" s="541" t="s">
        <v>1154</v>
      </c>
      <c r="B3" s="543">
        <v>721.05799999999999</v>
      </c>
      <c r="C3">
        <f t="shared" si="0"/>
        <v>0.32706679609184353</v>
      </c>
      <c r="E3">
        <v>150</v>
      </c>
      <c r="F3" t="s">
        <v>4337</v>
      </c>
    </row>
    <row r="4" spans="1:12">
      <c r="A4" s="541" t="s">
        <v>1159</v>
      </c>
      <c r="B4" s="543">
        <v>951.28700000000003</v>
      </c>
      <c r="C4">
        <f t="shared" si="0"/>
        <v>0.43149703803830142</v>
      </c>
    </row>
    <row r="5" spans="1:12">
      <c r="A5" s="541" t="s">
        <v>1157</v>
      </c>
      <c r="B5" s="543">
        <v>736.97900000000004</v>
      </c>
      <c r="C5">
        <f t="shared" si="0"/>
        <v>0.33428844880296837</v>
      </c>
    </row>
    <row r="6" spans="1:12">
      <c r="A6" s="541" t="s">
        <v>1161</v>
      </c>
      <c r="B6" s="543">
        <v>453.11799999999999</v>
      </c>
      <c r="C6">
        <f t="shared" si="0"/>
        <v>0.20553111193765822</v>
      </c>
    </row>
    <row r="7" spans="1:12">
      <c r="A7" s="541" t="s">
        <v>1163</v>
      </c>
      <c r="B7" s="543">
        <v>1219.2370000000001</v>
      </c>
      <c r="C7">
        <f t="shared" si="0"/>
        <v>0.55303725812158111</v>
      </c>
    </row>
    <row r="8" spans="1:12">
      <c r="A8" s="541" t="s">
        <v>1165</v>
      </c>
      <c r="B8" s="543">
        <v>529.76599999999996</v>
      </c>
      <c r="C8">
        <f t="shared" si="0"/>
        <v>0.24029810126008111</v>
      </c>
    </row>
    <row r="9" spans="1:12">
      <c r="A9" s="541" t="s">
        <v>1230</v>
      </c>
      <c r="B9" s="543">
        <v>801.12099999999998</v>
      </c>
      <c r="C9">
        <f t="shared" si="0"/>
        <v>0.36338280519998917</v>
      </c>
    </row>
    <row r="10" spans="1:12">
      <c r="A10" s="541" t="s">
        <v>1167</v>
      </c>
      <c r="B10" s="543">
        <v>755.03</v>
      </c>
      <c r="C10">
        <f t="shared" si="0"/>
        <v>0.34247625441119106</v>
      </c>
    </row>
    <row r="11" spans="1:12">
      <c r="A11" s="541" t="s">
        <v>1169</v>
      </c>
      <c r="B11" s="543">
        <v>842.16899999999998</v>
      </c>
      <c r="C11">
        <f t="shared" si="0"/>
        <v>0.38200188694650328</v>
      </c>
    </row>
    <row r="12" spans="1:12">
      <c r="A12" s="541" t="s">
        <v>212</v>
      </c>
      <c r="B12" s="543">
        <v>723.51300000000003</v>
      </c>
      <c r="C12">
        <f t="shared" si="0"/>
        <v>0.32818036668450806</v>
      </c>
    </row>
    <row r="13" spans="1:12">
      <c r="A13" s="541" t="s">
        <v>1231</v>
      </c>
      <c r="B13" s="543">
        <v>1526.502</v>
      </c>
      <c r="C13">
        <f t="shared" si="0"/>
        <v>0.69241048343932288</v>
      </c>
    </row>
    <row r="14" spans="1:12">
      <c r="A14" s="541" t="s">
        <v>1174</v>
      </c>
      <c r="B14" s="543">
        <v>615.19799999999998</v>
      </c>
      <c r="C14">
        <f t="shared" si="0"/>
        <v>0.27904945069898668</v>
      </c>
    </row>
    <row r="15" spans="1:12">
      <c r="A15" s="541" t="s">
        <v>1170</v>
      </c>
      <c r="B15" s="543">
        <v>213.39599999999999</v>
      </c>
      <c r="C15">
        <f t="shared" si="0"/>
        <v>9.6794912501927774E-2</v>
      </c>
    </row>
    <row r="16" spans="1:12">
      <c r="A16" s="541" t="s">
        <v>1172</v>
      </c>
      <c r="B16" s="543">
        <v>556.44399999999996</v>
      </c>
      <c r="C16">
        <f t="shared" si="0"/>
        <v>0.25239905289800507</v>
      </c>
    </row>
    <row r="17" spans="1:3">
      <c r="A17" s="541" t="s">
        <v>1173</v>
      </c>
      <c r="B17" s="543">
        <v>1549.453</v>
      </c>
      <c r="C17">
        <f t="shared" si="0"/>
        <v>0.70282089430378025</v>
      </c>
    </row>
    <row r="18" spans="1:3">
      <c r="A18" s="541" t="s">
        <v>1181</v>
      </c>
      <c r="B18" s="543">
        <v>804.19299999999998</v>
      </c>
      <c r="C18">
        <f t="shared" si="0"/>
        <v>0.36477624261777541</v>
      </c>
    </row>
    <row r="19" spans="1:3">
      <c r="A19" s="541" t="s">
        <v>1185</v>
      </c>
      <c r="B19" s="543">
        <v>1684.874</v>
      </c>
      <c r="C19">
        <f t="shared" si="0"/>
        <v>0.76424689969246418</v>
      </c>
    </row>
    <row r="20" spans="1:3">
      <c r="A20" s="541" t="s">
        <v>1188</v>
      </c>
      <c r="B20" s="543">
        <v>761.73800000000006</v>
      </c>
      <c r="C20">
        <f t="shared" si="0"/>
        <v>0.34551895564768537</v>
      </c>
    </row>
    <row r="21" spans="1:3">
      <c r="A21" s="541" t="s">
        <v>1195</v>
      </c>
      <c r="B21" s="543">
        <v>879.90099999999995</v>
      </c>
      <c r="C21">
        <f t="shared" si="0"/>
        <v>0.39911685460532881</v>
      </c>
    </row>
    <row r="22" spans="1:3">
      <c r="A22" s="541" t="s">
        <v>1192</v>
      </c>
      <c r="B22" s="543">
        <v>645.32500000000005</v>
      </c>
      <c r="C22">
        <f t="shared" si="0"/>
        <v>0.29271484428155425</v>
      </c>
    </row>
    <row r="23" spans="1:3">
      <c r="A23" s="541" t="s">
        <v>1190</v>
      </c>
      <c r="B23" s="543">
        <v>228.179</v>
      </c>
      <c r="C23">
        <f t="shared" si="0"/>
        <v>0.10350037648211484</v>
      </c>
    </row>
    <row r="24" spans="1:3">
      <c r="A24" s="541" t="s">
        <v>1197</v>
      </c>
      <c r="B24" s="543">
        <v>938.03099999999995</v>
      </c>
      <c r="C24">
        <f t="shared" si="0"/>
        <v>0.42548421043082252</v>
      </c>
    </row>
    <row r="25" spans="1:3">
      <c r="A25" s="541" t="s">
        <v>1199</v>
      </c>
      <c r="B25" s="543">
        <v>770.36599999999999</v>
      </c>
      <c r="C25">
        <f t="shared" si="0"/>
        <v>0.34943255527029604</v>
      </c>
    </row>
    <row r="26" spans="1:3">
      <c r="A26" s="541" t="s">
        <v>1203</v>
      </c>
      <c r="B26" s="543">
        <v>1618.421</v>
      </c>
      <c r="C26">
        <f t="shared" si="0"/>
        <v>0.7341042900817375</v>
      </c>
    </row>
    <row r="27" spans="1:3">
      <c r="A27" s="541" t="s">
        <v>1201</v>
      </c>
      <c r="B27" s="543">
        <v>894.13400000000001</v>
      </c>
      <c r="C27">
        <f t="shared" si="0"/>
        <v>0.40557284248532632</v>
      </c>
    </row>
    <row r="28" spans="1:3">
      <c r="A28" s="541" t="s">
        <v>1204</v>
      </c>
      <c r="B28" s="543">
        <v>912.63699999999994</v>
      </c>
      <c r="C28">
        <f t="shared" si="0"/>
        <v>0.4139656720886139</v>
      </c>
    </row>
    <row r="29" spans="1:3">
      <c r="A29" s="541" t="s">
        <v>1211</v>
      </c>
      <c r="B29" s="543">
        <v>648.44500000000005</v>
      </c>
      <c r="C29">
        <f t="shared" si="0"/>
        <v>0.29413005415899346</v>
      </c>
    </row>
    <row r="30" spans="1:3">
      <c r="A30" s="541" t="s">
        <v>1212</v>
      </c>
      <c r="B30" s="543">
        <v>1388.144</v>
      </c>
      <c r="C30">
        <f t="shared" si="0"/>
        <v>0.62965227567562665</v>
      </c>
    </row>
    <row r="31" spans="1:3">
      <c r="A31" s="541" t="s">
        <v>1205</v>
      </c>
      <c r="B31" s="543">
        <v>1200.6679999999999</v>
      </c>
      <c r="C31">
        <f t="shared" si="0"/>
        <v>0.5446144913862706</v>
      </c>
    </row>
    <row r="32" spans="1:3">
      <c r="A32" s="541" t="s">
        <v>1207</v>
      </c>
      <c r="B32" s="543">
        <v>247.89500000000001</v>
      </c>
      <c r="C32">
        <f t="shared" si="0"/>
        <v>0.11244341428454792</v>
      </c>
    </row>
    <row r="33" spans="1:3">
      <c r="A33" s="541" t="s">
        <v>1208</v>
      </c>
      <c r="B33" s="543">
        <v>492.29300000000001</v>
      </c>
      <c r="C33">
        <f t="shared" si="0"/>
        <v>0.2233006141647994</v>
      </c>
    </row>
    <row r="34" spans="1:3">
      <c r="A34" s="541" t="s">
        <v>1209</v>
      </c>
      <c r="B34" s="543">
        <v>1259.873</v>
      </c>
      <c r="C34">
        <f t="shared" ref="C34:C53" si="1">B34/$K$2/1000</f>
        <v>0.57146945958940776</v>
      </c>
    </row>
    <row r="35" spans="1:3">
      <c r="A35" s="541" t="s">
        <v>1206</v>
      </c>
      <c r="B35" s="543">
        <v>716.62300000000005</v>
      </c>
      <c r="C35">
        <f t="shared" si="1"/>
        <v>0.32505511153849648</v>
      </c>
    </row>
    <row r="36" spans="1:3">
      <c r="A36" s="541" t="s">
        <v>1210</v>
      </c>
      <c r="B36" s="543">
        <v>416.69499999999999</v>
      </c>
      <c r="C36">
        <f t="shared" si="1"/>
        <v>0.18900989739728391</v>
      </c>
    </row>
    <row r="37" spans="1:3">
      <c r="A37" s="541" t="s">
        <v>1213</v>
      </c>
      <c r="B37" s="543">
        <v>1253.278</v>
      </c>
      <c r="C37">
        <f t="shared" si="1"/>
        <v>0.56847801435167966</v>
      </c>
    </row>
    <row r="38" spans="1:3">
      <c r="A38" s="541" t="s">
        <v>1214</v>
      </c>
      <c r="B38" s="543">
        <v>708.65200000000004</v>
      </c>
      <c r="C38">
        <f t="shared" si="1"/>
        <v>0.321439522457385</v>
      </c>
    </row>
    <row r="39" spans="1:3">
      <c r="A39" s="541" t="s">
        <v>1215</v>
      </c>
      <c r="B39" s="543">
        <v>341.61099999999999</v>
      </c>
      <c r="C39">
        <f t="shared" si="1"/>
        <v>0.15495232738521833</v>
      </c>
    </row>
    <row r="40" spans="1:3">
      <c r="A40" s="541" t="s">
        <v>1216</v>
      </c>
      <c r="B40" s="543">
        <v>697.52700000000004</v>
      </c>
      <c r="C40">
        <f t="shared" si="1"/>
        <v>0.3163933013399135</v>
      </c>
    </row>
    <row r="41" spans="1:3">
      <c r="A41" s="541" t="s">
        <v>1217</v>
      </c>
      <c r="B41" s="543">
        <v>827.55899999999997</v>
      </c>
      <c r="C41">
        <f t="shared" si="1"/>
        <v>0.37537489453964856</v>
      </c>
    </row>
    <row r="42" spans="1:3">
      <c r="A42" s="541" t="s">
        <v>1218</v>
      </c>
      <c r="B42" s="543">
        <v>513.86099999999999</v>
      </c>
      <c r="C42">
        <f t="shared" si="1"/>
        <v>0.23308370603550727</v>
      </c>
    </row>
    <row r="43" spans="1:3">
      <c r="A43" s="541" t="s">
        <v>1219</v>
      </c>
      <c r="B43" s="543">
        <v>340.58300000000003</v>
      </c>
      <c r="C43">
        <f t="shared" si="1"/>
        <v>0.1544860338743185</v>
      </c>
    </row>
    <row r="44" spans="1:3">
      <c r="A44" s="541" t="s">
        <v>1220</v>
      </c>
      <c r="B44" s="543">
        <v>571.40700000000004</v>
      </c>
      <c r="C44">
        <f t="shared" si="1"/>
        <v>0.25918616360189062</v>
      </c>
    </row>
    <row r="45" spans="1:3">
      <c r="A45" s="541" t="s">
        <v>1221</v>
      </c>
      <c r="B45" s="543">
        <v>857.51900000000001</v>
      </c>
      <c r="C45">
        <f t="shared" si="1"/>
        <v>0.38896453810634035</v>
      </c>
    </row>
    <row r="46" spans="1:3">
      <c r="A46" s="541" t="s">
        <v>1222</v>
      </c>
      <c r="B46" s="543">
        <v>1565.76</v>
      </c>
      <c r="C46">
        <f t="shared" si="1"/>
        <v>0.71021763387794723</v>
      </c>
    </row>
    <row r="47" spans="1:3">
      <c r="A47" s="541" t="s">
        <v>1224</v>
      </c>
      <c r="B47" s="543">
        <v>644.84500000000003</v>
      </c>
      <c r="C47">
        <f t="shared" si="1"/>
        <v>0.29249711968502512</v>
      </c>
    </row>
    <row r="48" spans="1:3">
      <c r="A48" s="541" t="s">
        <v>1223</v>
      </c>
      <c r="B48" s="543">
        <v>30.31</v>
      </c>
      <c r="C48">
        <f t="shared" si="1"/>
        <v>1.3748401084994241E-2</v>
      </c>
    </row>
    <row r="49" spans="1:3">
      <c r="A49" s="541" t="s">
        <v>1225</v>
      </c>
      <c r="B49" s="543">
        <v>213.274</v>
      </c>
      <c r="C49">
        <f t="shared" si="1"/>
        <v>9.6739574166976636E-2</v>
      </c>
    </row>
    <row r="50" spans="1:3">
      <c r="A50" s="541" t="s">
        <v>1227</v>
      </c>
      <c r="B50" s="543">
        <v>1192.0119999999999</v>
      </c>
      <c r="C50">
        <f t="shared" si="1"/>
        <v>0.54068819116219569</v>
      </c>
    </row>
    <row r="51" spans="1:3">
      <c r="A51" s="541" t="s">
        <v>1226</v>
      </c>
      <c r="B51" s="543">
        <v>1924.732</v>
      </c>
      <c r="C51">
        <f t="shared" si="1"/>
        <v>0.87304478776387773</v>
      </c>
    </row>
    <row r="52" spans="1:3">
      <c r="A52" s="541" t="s">
        <v>1228</v>
      </c>
      <c r="B52" s="544">
        <v>1990.105</v>
      </c>
      <c r="C52">
        <f t="shared" si="1"/>
        <v>0.90269751703241385</v>
      </c>
    </row>
    <row r="53" spans="1:3">
      <c r="A53" s="541" t="s">
        <v>1229</v>
      </c>
      <c r="B53">
        <v>822.62099999999998</v>
      </c>
      <c r="C53">
        <f t="shared" si="1"/>
        <v>0.37313505275285541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T369"/>
  <sheetViews>
    <sheetView topLeftCell="A13" zoomScale="80" zoomScaleNormal="80" workbookViewId="0">
      <selection activeCell="G18" sqref="G18"/>
    </sheetView>
  </sheetViews>
  <sheetFormatPr defaultColWidth="8.875" defaultRowHeight="14.25"/>
  <cols>
    <col min="1" max="1" width="23" customWidth="1"/>
    <col min="2" max="2" width="23.25" customWidth="1"/>
    <col min="3" max="3" width="15.75" customWidth="1"/>
    <col min="4" max="4" width="32.125" customWidth="1"/>
    <col min="5" max="5" width="8.5" bestFit="1" customWidth="1"/>
    <col min="6" max="6" width="18.125" bestFit="1" customWidth="1"/>
    <col min="7" max="7" width="28.25" bestFit="1" customWidth="1"/>
    <col min="8" max="8" width="16.875" customWidth="1"/>
    <col min="9" max="9" width="21.625" customWidth="1"/>
    <col min="10" max="10" width="3.375" customWidth="1"/>
    <col min="11" max="11" width="24.625" customWidth="1"/>
    <col min="12" max="12" width="25.125" customWidth="1"/>
    <col min="13" max="13" width="17.875" customWidth="1"/>
    <col min="14" max="14" width="17.125" customWidth="1"/>
    <col min="15" max="15" width="14.5" customWidth="1"/>
    <col min="16" max="16" width="11.5" customWidth="1"/>
  </cols>
  <sheetData>
    <row r="1" spans="1:19">
      <c r="D1" s="112"/>
    </row>
    <row r="2" spans="1:19" s="98" customFormat="1" ht="42.75" customHeight="1">
      <c r="A2" s="1236" t="s">
        <v>4342</v>
      </c>
      <c r="B2" s="1236"/>
      <c r="C2" s="1236"/>
      <c r="D2" s="97"/>
      <c r="F2" s="554" t="s">
        <v>1144</v>
      </c>
      <c r="G2" s="554"/>
      <c r="H2" s="554"/>
    </row>
    <row r="3" spans="1:19" ht="15" customHeight="1">
      <c r="A3" s="9" t="s">
        <v>211</v>
      </c>
      <c r="B3" s="150" t="s">
        <v>1242</v>
      </c>
      <c r="F3" s="9" t="s">
        <v>211</v>
      </c>
      <c r="G3" s="99" t="s">
        <v>1145</v>
      </c>
      <c r="H3" s="99"/>
    </row>
    <row r="4" spans="1:19">
      <c r="L4" s="92"/>
      <c r="M4" s="92"/>
    </row>
    <row r="5" spans="1:19" ht="57.75" customHeight="1">
      <c r="A5" s="449" t="s">
        <v>1146</v>
      </c>
      <c r="B5" s="562" t="s">
        <v>1147</v>
      </c>
      <c r="C5" s="563" t="s">
        <v>1148</v>
      </c>
      <c r="D5" s="564" t="s">
        <v>4350</v>
      </c>
      <c r="F5" s="555" t="s">
        <v>1149</v>
      </c>
      <c r="G5" s="556" t="s">
        <v>1150</v>
      </c>
      <c r="H5" s="557" t="s">
        <v>4348</v>
      </c>
      <c r="I5" s="558" t="s">
        <v>4349</v>
      </c>
      <c r="J5" s="100"/>
      <c r="K5" s="101" t="s">
        <v>1151</v>
      </c>
      <c r="L5" s="102" t="s">
        <v>1152</v>
      </c>
      <c r="M5" s="103" t="s">
        <v>1153</v>
      </c>
      <c r="N5" s="103"/>
      <c r="O5" s="103"/>
      <c r="P5" s="103"/>
      <c r="Q5" s="103"/>
      <c r="R5" s="103"/>
      <c r="S5" s="103"/>
    </row>
    <row r="6" spans="1:19" ht="14.25" customHeight="1">
      <c r="A6" s="552" t="s">
        <v>1229</v>
      </c>
      <c r="B6" s="565" t="s">
        <v>1158</v>
      </c>
      <c r="C6" s="566">
        <v>0.67816270499999998</v>
      </c>
      <c r="D6" s="567">
        <f>C6*VLOOKUP($B6,$K$6:$L$12,2,FALSE)</f>
        <v>0.26813603927912999</v>
      </c>
      <c r="F6" s="559" t="s">
        <v>1154</v>
      </c>
      <c r="G6" s="559">
        <v>7.8</v>
      </c>
      <c r="H6" s="559">
        <f>$G6*2</f>
        <v>15.6</v>
      </c>
      <c r="I6" s="560">
        <f>(H6*SUMIFS($D$6:$D$369,$A$6:$A$369,F6,$B$6:$B$369,"&lt;&gt;worked at home"))+SUMIFS($D$6:$D$369,$A$6:$A$369,F6,$B$6:$B$369,"worked at home")</f>
        <v>5.2913120289238709</v>
      </c>
      <c r="J6" s="100"/>
      <c r="K6" s="551" t="s">
        <v>1158</v>
      </c>
      <c r="L6" s="104">
        <f>AVERAGE($O$20:$O$21)</f>
        <v>0.39538600000000002</v>
      </c>
      <c r="M6" s="550" t="s">
        <v>4344</v>
      </c>
    </row>
    <row r="7" spans="1:19" ht="15">
      <c r="A7" s="552" t="s">
        <v>1229</v>
      </c>
      <c r="B7" s="565" t="s">
        <v>1156</v>
      </c>
      <c r="C7" s="566">
        <v>7.7882370000000006E-2</v>
      </c>
      <c r="D7" s="567">
        <f>C7*VLOOKUP($B7,$K$6:$L$12,2,FALSE)</f>
        <v>1.5396799372410001E-2</v>
      </c>
      <c r="F7" s="559" t="s">
        <v>1168</v>
      </c>
      <c r="G7" s="969" t="s">
        <v>5730</v>
      </c>
      <c r="H7" s="970">
        <f>H56</f>
        <v>14.408333333333337</v>
      </c>
      <c r="I7" s="560">
        <f t="shared" ref="I7" si="0">(H7*SUMIFS($D$6:$D$369,$A$6:$A$369,F7,$B$6:$B$369,"&lt;&gt;worked at home"))+SUMIFS($D$6:$D$369,$A$6:$A$369,F7,$B$6:$B$369,"worked at home")</f>
        <v>4.3372512261782612</v>
      </c>
      <c r="K7" s="551" t="s">
        <v>1156</v>
      </c>
      <c r="L7" s="104">
        <f>L6/2</f>
        <v>0.19769300000000001</v>
      </c>
      <c r="M7" s="550" t="s">
        <v>4346</v>
      </c>
    </row>
    <row r="8" spans="1:19" ht="15">
      <c r="A8" s="552" t="s">
        <v>1229</v>
      </c>
      <c r="B8" s="565" t="s">
        <v>1166</v>
      </c>
      <c r="C8" s="566">
        <v>0.178649157</v>
      </c>
      <c r="D8" s="567">
        <f>C8*8*0.15*VLOOKUP(A8,'State eGrid factors'!$A$2:$C$53,3,FALSE)+N("pct WFH x 8 hours/day x 150 Watts converted to kW x eGRID state-based EFs kg CO2e/kWh")</f>
        <v>7.9992315145737777E-2</v>
      </c>
      <c r="F8" s="559" t="s">
        <v>1157</v>
      </c>
      <c r="G8" s="559">
        <v>7.6</v>
      </c>
      <c r="H8" s="559">
        <f t="shared" ref="H8:H56" si="1">$G8*2</f>
        <v>15.2</v>
      </c>
      <c r="I8" s="560">
        <f>(H8*SUMIFS($D$6:$D$369,$A$6:$A$369,F8,$B$6:$B$369,"&lt;&gt;worked at home"))+SUMIFS($D$6:$D$369,$A$6:$A$369,F8,$B$6:$B$369,"worked at home")</f>
        <v>4.4014982478812597</v>
      </c>
      <c r="K8" s="551" t="s">
        <v>1166</v>
      </c>
      <c r="L8" s="553" t="s">
        <v>4351</v>
      </c>
      <c r="M8" s="550" t="s">
        <v>4352</v>
      </c>
    </row>
    <row r="9" spans="1:19" ht="15">
      <c r="A9" s="552" t="s">
        <v>1229</v>
      </c>
      <c r="B9" s="565" t="s">
        <v>1160</v>
      </c>
      <c r="C9" s="566">
        <v>2.4581855999999999E-2</v>
      </c>
      <c r="D9" s="567">
        <f t="shared" ref="D9:D14" si="2">C9*VLOOKUP($B9,$K$6:$L$12,2,FALSE)</f>
        <v>2.4289766193056001E-3</v>
      </c>
      <c r="F9" s="559" t="s">
        <v>1159</v>
      </c>
      <c r="G9" s="559">
        <v>7</v>
      </c>
      <c r="H9" s="559">
        <f t="shared" si="1"/>
        <v>14</v>
      </c>
      <c r="I9" s="560">
        <f t="shared" ref="I9:I56" si="3">(H9*SUMIFS($D$6:$D$369,$A$6:$A$369,F9,$B$6:$B$369,"&lt;&gt;worked at home"))+SUMIFS($D$6:$D$369,$A$6:$A$369,F9,$B$6:$B$369,"worked at home")</f>
        <v>4.7064196026196319</v>
      </c>
      <c r="K9" s="551" t="s">
        <v>1160</v>
      </c>
      <c r="L9" s="104">
        <f>AVERAGE($O$26:$O$28)</f>
        <v>9.8811766666666676E-2</v>
      </c>
      <c r="M9" s="9" t="s">
        <v>4347</v>
      </c>
    </row>
    <row r="10" spans="1:19" ht="15">
      <c r="A10" s="552" t="s">
        <v>1229</v>
      </c>
      <c r="B10" s="565" t="s">
        <v>1162</v>
      </c>
      <c r="C10" s="566">
        <v>1.4701947999999999E-2</v>
      </c>
      <c r="D10" s="567">
        <f t="shared" si="2"/>
        <v>4.7908110798253328E-3</v>
      </c>
      <c r="F10" s="559" t="s">
        <v>1161</v>
      </c>
      <c r="G10" s="559">
        <v>6.6</v>
      </c>
      <c r="H10" s="559">
        <f t="shared" si="1"/>
        <v>13.2</v>
      </c>
      <c r="I10" s="560">
        <f t="shared" si="3"/>
        <v>3.6967329259052408</v>
      </c>
      <c r="K10" s="551" t="s">
        <v>1162</v>
      </c>
      <c r="L10" s="104">
        <f>AVERAGE($O$20:$O$22)</f>
        <v>0.32586233333333331</v>
      </c>
      <c r="M10" s="550" t="s">
        <v>4343</v>
      </c>
    </row>
    <row r="11" spans="1:19" ht="15">
      <c r="A11" s="552" t="s">
        <v>1229</v>
      </c>
      <c r="B11" s="565" t="s">
        <v>1164</v>
      </c>
      <c r="C11" s="566">
        <v>2.2029116000000001E-2</v>
      </c>
      <c r="D11" s="567">
        <f t="shared" si="2"/>
        <v>0</v>
      </c>
      <c r="F11" s="559" t="s">
        <v>1163</v>
      </c>
      <c r="G11" s="559">
        <v>6.9</v>
      </c>
      <c r="H11" s="559">
        <f t="shared" si="1"/>
        <v>13.8</v>
      </c>
      <c r="I11" s="560">
        <f t="shared" si="3"/>
        <v>3.894638248061757</v>
      </c>
      <c r="K11" s="551" t="s">
        <v>1164</v>
      </c>
      <c r="L11" s="104">
        <v>0</v>
      </c>
    </row>
    <row r="12" spans="1:19" ht="15">
      <c r="A12" s="552" t="s">
        <v>1229</v>
      </c>
      <c r="B12" s="565" t="s">
        <v>1155</v>
      </c>
      <c r="C12" s="566">
        <v>3.9928480000000002E-3</v>
      </c>
      <c r="D12" s="567">
        <f t="shared" si="2"/>
        <v>0</v>
      </c>
      <c r="F12" s="559" t="s">
        <v>1165</v>
      </c>
      <c r="G12" s="559">
        <v>6.5</v>
      </c>
      <c r="H12" s="559">
        <f t="shared" si="1"/>
        <v>13</v>
      </c>
      <c r="I12" s="560">
        <f t="shared" si="3"/>
        <v>3.7584502502463724</v>
      </c>
      <c r="K12" s="551" t="s">
        <v>1155</v>
      </c>
      <c r="L12" s="104">
        <v>0</v>
      </c>
    </row>
    <row r="13" spans="1:19" ht="15">
      <c r="A13" s="552" t="s">
        <v>1154</v>
      </c>
      <c r="B13" s="565" t="s">
        <v>1158</v>
      </c>
      <c r="C13" s="566">
        <v>0.80501692800000002</v>
      </c>
      <c r="D13" s="567">
        <f t="shared" si="2"/>
        <v>0.31829242309420802</v>
      </c>
      <c r="F13" s="559" t="s">
        <v>1167</v>
      </c>
      <c r="G13" s="559">
        <v>8</v>
      </c>
      <c r="H13" s="559">
        <f t="shared" si="1"/>
        <v>16</v>
      </c>
      <c r="I13" s="560">
        <f t="shared" si="3"/>
        <v>4.8324529109886187</v>
      </c>
      <c r="M13" s="9"/>
    </row>
    <row r="14" spans="1:19" ht="15">
      <c r="A14" s="552" t="str">
        <f t="shared" ref="A14:A19" si="4">A13</f>
        <v>Alabama</v>
      </c>
      <c r="B14" s="565" t="s">
        <v>1156</v>
      </c>
      <c r="C14" s="566">
        <v>7.6352934999999997E-2</v>
      </c>
      <c r="D14" s="567">
        <f t="shared" si="2"/>
        <v>1.5094440778955E-2</v>
      </c>
      <c r="F14" s="559" t="s">
        <v>1169</v>
      </c>
      <c r="G14" s="559">
        <v>6</v>
      </c>
      <c r="H14" s="559">
        <f t="shared" si="1"/>
        <v>12</v>
      </c>
      <c r="I14" s="560">
        <f t="shared" si="3"/>
        <v>3.6993828699777267</v>
      </c>
    </row>
    <row r="15" spans="1:19" ht="15">
      <c r="A15" s="552" t="str">
        <f t="shared" si="4"/>
        <v>Alabama</v>
      </c>
      <c r="B15" s="565" t="s">
        <v>1166</v>
      </c>
      <c r="C15" s="566">
        <v>9.6401993000000005E-2</v>
      </c>
      <c r="D15" s="567">
        <f>C15*8*0.15*VLOOKUP(A15,'State eGrid factors'!$A$2:$C$53,3,FALSE)+N("pct WFH x 8 hours/day x 150 Watts converted to kW x eGRID state-based EFs kg CO2e/kWh")</f>
        <v>3.7835869184853994E-2</v>
      </c>
      <c r="F15" s="559" t="s">
        <v>212</v>
      </c>
      <c r="G15" s="559">
        <v>7.4</v>
      </c>
      <c r="H15" s="559">
        <f t="shared" si="1"/>
        <v>14.8</v>
      </c>
      <c r="I15" s="560">
        <f t="shared" si="3"/>
        <v>4.4928803162780815</v>
      </c>
      <c r="K15" s="1237" t="s">
        <v>1171</v>
      </c>
      <c r="L15" s="1237"/>
      <c r="M15" s="1237"/>
      <c r="N15" s="1237"/>
      <c r="O15" s="1237"/>
      <c r="P15" s="1237"/>
    </row>
    <row r="16" spans="1:19" ht="15">
      <c r="A16" s="552" t="str">
        <f t="shared" si="4"/>
        <v>Alabama</v>
      </c>
      <c r="B16" s="565" t="s">
        <v>1160</v>
      </c>
      <c r="C16" s="566">
        <v>2.2986830000000001E-3</v>
      </c>
      <c r="D16" s="567">
        <f t="shared" ref="D16:D21" si="5">C16*VLOOKUP($B16,$K$6:$L$12,2,FALSE)</f>
        <v>2.2713692823663338E-4</v>
      </c>
      <c r="F16" s="559" t="s">
        <v>1231</v>
      </c>
      <c r="G16" s="969" t="s">
        <v>5730</v>
      </c>
      <c r="H16" s="970">
        <f>H56</f>
        <v>14.408333333333337</v>
      </c>
      <c r="I16" s="560">
        <f t="shared" si="3"/>
        <v>4.3479296318796763</v>
      </c>
      <c r="K16" s="172" t="s">
        <v>4345</v>
      </c>
    </row>
    <row r="17" spans="1:20" ht="15">
      <c r="A17" s="552" t="str">
        <f t="shared" si="4"/>
        <v>Alabama</v>
      </c>
      <c r="B17" s="565" t="s">
        <v>1162</v>
      </c>
      <c r="C17" s="566">
        <v>9.6583469999999994E-3</v>
      </c>
      <c r="D17" s="567">
        <f t="shared" si="5"/>
        <v>3.1472914895629995E-3</v>
      </c>
      <c r="F17" s="559" t="s">
        <v>1170</v>
      </c>
      <c r="G17" s="559">
        <v>6.2</v>
      </c>
      <c r="H17" s="559">
        <f t="shared" si="1"/>
        <v>12.4</v>
      </c>
      <c r="I17" s="560">
        <f t="shared" si="3"/>
        <v>3.9112107618810401</v>
      </c>
    </row>
    <row r="18" spans="1:20" ht="15">
      <c r="A18" s="552" t="str">
        <f t="shared" si="4"/>
        <v>Alabama</v>
      </c>
      <c r="B18" s="565" t="s">
        <v>1164</v>
      </c>
      <c r="C18" s="566">
        <v>9.2644579999999997E-3</v>
      </c>
      <c r="D18" s="567">
        <f t="shared" si="5"/>
        <v>0</v>
      </c>
      <c r="F18" s="559" t="s">
        <v>1172</v>
      </c>
      <c r="G18" s="559">
        <v>6.5</v>
      </c>
      <c r="H18" s="559">
        <f t="shared" si="1"/>
        <v>13</v>
      </c>
      <c r="I18" s="560">
        <f t="shared" si="3"/>
        <v>3.697370933152325</v>
      </c>
      <c r="K18" s="106" t="s">
        <v>1175</v>
      </c>
      <c r="L18" s="106" t="s">
        <v>1176</v>
      </c>
      <c r="M18" s="106" t="s">
        <v>1177</v>
      </c>
      <c r="N18" s="106" t="s">
        <v>1178</v>
      </c>
      <c r="O18" s="107" t="s">
        <v>1179</v>
      </c>
      <c r="P18" s="106" t="s">
        <v>1180</v>
      </c>
    </row>
    <row r="19" spans="1:20" ht="15">
      <c r="A19" s="552" t="str">
        <f t="shared" si="4"/>
        <v>Alabama</v>
      </c>
      <c r="B19" s="565" t="s">
        <v>1155</v>
      </c>
      <c r="C19" s="566">
        <v>1.006655E-3</v>
      </c>
      <c r="D19" s="567">
        <f t="shared" si="5"/>
        <v>0</v>
      </c>
      <c r="F19" s="559" t="s">
        <v>1173</v>
      </c>
      <c r="G19" s="559">
        <v>6.9</v>
      </c>
      <c r="H19" s="559">
        <f t="shared" si="1"/>
        <v>13.8</v>
      </c>
      <c r="I19" s="560">
        <f t="shared" si="3"/>
        <v>4.5357477510494828</v>
      </c>
      <c r="L19" s="106" t="s">
        <v>1182</v>
      </c>
      <c r="M19" s="106" t="s">
        <v>1183</v>
      </c>
      <c r="N19" s="106" t="s">
        <v>1183</v>
      </c>
      <c r="O19" s="107" t="s">
        <v>1184</v>
      </c>
    </row>
    <row r="20" spans="1:20" ht="15">
      <c r="A20" s="552" t="s">
        <v>1168</v>
      </c>
      <c r="B20" s="565" t="s">
        <v>1158</v>
      </c>
      <c r="C20" s="566">
        <v>0.66199841199999998</v>
      </c>
      <c r="D20" s="567">
        <f t="shared" si="5"/>
        <v>0.261744904127032</v>
      </c>
      <c r="F20" s="559" t="s">
        <v>1174</v>
      </c>
      <c r="G20" s="559">
        <v>7</v>
      </c>
      <c r="H20" s="559">
        <f t="shared" si="1"/>
        <v>14</v>
      </c>
      <c r="I20" s="560">
        <f t="shared" si="3"/>
        <v>4.4263550106552545</v>
      </c>
      <c r="K20" s="108" t="s">
        <v>1186</v>
      </c>
      <c r="L20" s="109">
        <v>0.33200000000000002</v>
      </c>
      <c r="M20" s="109">
        <v>7.0000000000000001E-3</v>
      </c>
      <c r="N20" s="109">
        <v>7.0000000000000001E-3</v>
      </c>
      <c r="O20" s="110">
        <f>L20+(M20*GWPs!$C$4/1000)+('Commute Calcs'!N20*GWPs!$C$5/1000)</f>
        <v>0.33405099999999999</v>
      </c>
      <c r="P20" s="108" t="s">
        <v>1187</v>
      </c>
    </row>
    <row r="21" spans="1:20" ht="15">
      <c r="A21" s="552" t="str">
        <f t="shared" ref="A21:A26" si="6">A20</f>
        <v>Alaska</v>
      </c>
      <c r="B21" s="565" t="s">
        <v>1156</v>
      </c>
      <c r="C21" s="566">
        <v>0.11078186499999999</v>
      </c>
      <c r="D21" s="567">
        <f t="shared" si="5"/>
        <v>2.1900799237445E-2</v>
      </c>
      <c r="F21" s="559" t="s">
        <v>1181</v>
      </c>
      <c r="G21" s="559">
        <v>6.4</v>
      </c>
      <c r="H21" s="559">
        <f t="shared" si="1"/>
        <v>12.8</v>
      </c>
      <c r="I21" s="560">
        <f t="shared" si="3"/>
        <v>4.0761511182995553</v>
      </c>
      <c r="K21" s="108" t="s">
        <v>1189</v>
      </c>
      <c r="L21" s="109">
        <v>0.45400000000000001</v>
      </c>
      <c r="M21" s="109">
        <v>1.2E-2</v>
      </c>
      <c r="N21" s="109">
        <v>8.9999999999999993E-3</v>
      </c>
      <c r="O21" s="110">
        <f>L21+(M21*GWPs!$C$4/1000)+('Commute Calcs'!N21*GWPs!$C$5/1000)</f>
        <v>0.45672100000000004</v>
      </c>
      <c r="P21" s="108" t="s">
        <v>1187</v>
      </c>
    </row>
    <row r="22" spans="1:20" ht="15">
      <c r="A22" s="552" t="str">
        <f t="shared" si="6"/>
        <v>Alaska</v>
      </c>
      <c r="B22" s="565" t="s">
        <v>1166</v>
      </c>
      <c r="C22" s="566">
        <v>0.103122283</v>
      </c>
      <c r="D22" s="567">
        <f>C22*8*0.15*VLOOKUP(A22,'State eGrid factors'!$A$2:$C$53,3,FALSE)+N("pct WFH x 8 hours/day x 150 Watts converted to kW x eGRID state-based EFs kg CO2e/kWh")</f>
        <v>5.422938648668197E-2</v>
      </c>
      <c r="F22" s="559" t="s">
        <v>1185</v>
      </c>
      <c r="G22" s="559">
        <v>7</v>
      </c>
      <c r="H22" s="559">
        <f t="shared" si="1"/>
        <v>14</v>
      </c>
      <c r="I22" s="560">
        <f t="shared" si="3"/>
        <v>4.6216395037073861</v>
      </c>
      <c r="K22" s="108" t="s">
        <v>1191</v>
      </c>
      <c r="L22" s="109">
        <v>0.183</v>
      </c>
      <c r="M22" s="109">
        <v>7.0000000000000007E-2</v>
      </c>
      <c r="N22" s="109">
        <v>7.0000000000000001E-3</v>
      </c>
      <c r="O22" s="110">
        <f>L22+(M22*GWPs!$C$4/1000)+('Commute Calcs'!N22*GWPs!$C$5/1000)</f>
        <v>0.18681499999999998</v>
      </c>
      <c r="P22" s="108" t="s">
        <v>1187</v>
      </c>
    </row>
    <row r="23" spans="1:20" ht="15">
      <c r="A23" s="552" t="str">
        <f t="shared" si="6"/>
        <v>Alaska</v>
      </c>
      <c r="B23" s="565" t="s">
        <v>1160</v>
      </c>
      <c r="C23" s="566">
        <v>8.6715539999999997E-3</v>
      </c>
      <c r="D23" s="567">
        <f t="shared" ref="D23:D28" si="7">C23*VLOOKUP($B23,$K$6:$L$12,2,FALSE)</f>
        <v>8.5685157048540008E-4</v>
      </c>
      <c r="F23" s="559" t="s">
        <v>1188</v>
      </c>
      <c r="G23" s="559">
        <v>7.2</v>
      </c>
      <c r="H23" s="559">
        <f t="shared" si="1"/>
        <v>14.4</v>
      </c>
      <c r="I23" s="560">
        <f t="shared" si="3"/>
        <v>4.8656346964054213</v>
      </c>
      <c r="K23" s="108" t="s">
        <v>1193</v>
      </c>
      <c r="L23" s="109">
        <v>5.8000000000000003E-2</v>
      </c>
      <c r="M23" s="108">
        <v>5.4999999999999997E-3</v>
      </c>
      <c r="N23" s="108">
        <v>6.9999999999999999E-4</v>
      </c>
      <c r="O23" s="110">
        <f>L23+(M23*GWPs!$C$4/1000)+('Commute Calcs'!N23*GWPs!$C$5/1000)</f>
        <v>5.8339500000000002E-2</v>
      </c>
      <c r="P23" s="108" t="s">
        <v>1194</v>
      </c>
    </row>
    <row r="24" spans="1:20" ht="15">
      <c r="A24" s="552" t="str">
        <f t="shared" si="6"/>
        <v>Alaska</v>
      </c>
      <c r="B24" s="565" t="s">
        <v>1162</v>
      </c>
      <c r="C24" s="566">
        <v>3.9149943E-2</v>
      </c>
      <c r="D24" s="567">
        <f t="shared" si="7"/>
        <v>1.2757491775846999E-2</v>
      </c>
      <c r="F24" s="559" t="s">
        <v>1190</v>
      </c>
      <c r="G24" s="559">
        <v>9.8000000000000007</v>
      </c>
      <c r="H24" s="559">
        <f t="shared" si="1"/>
        <v>19.600000000000001</v>
      </c>
      <c r="I24" s="560">
        <f t="shared" si="3"/>
        <v>5.7562319652150409</v>
      </c>
      <c r="J24" s="111"/>
      <c r="K24" s="108" t="s">
        <v>1196</v>
      </c>
      <c r="L24" s="109">
        <v>0.15</v>
      </c>
      <c r="M24" s="108">
        <v>1.17E-2</v>
      </c>
      <c r="N24" s="108">
        <v>3.8E-3</v>
      </c>
      <c r="O24" s="110">
        <f>L24+(M24*GWPs!$C$4/1000)+('Commute Calcs'!N24*GWPs!$C$5/1000)</f>
        <v>0.15133460000000001</v>
      </c>
      <c r="P24" s="108" t="s">
        <v>1194</v>
      </c>
    </row>
    <row r="25" spans="1:20" ht="15">
      <c r="A25" s="552" t="str">
        <f t="shared" si="6"/>
        <v>Alaska</v>
      </c>
      <c r="B25" s="565" t="s">
        <v>1164</v>
      </c>
      <c r="C25" s="566">
        <v>6.7749787000000006E-2</v>
      </c>
      <c r="D25" s="567">
        <f t="shared" si="7"/>
        <v>0</v>
      </c>
      <c r="F25" s="559" t="s">
        <v>1192</v>
      </c>
      <c r="G25" s="559">
        <v>7.9</v>
      </c>
      <c r="H25" s="559">
        <f t="shared" si="1"/>
        <v>15.8</v>
      </c>
      <c r="I25" s="560">
        <f t="shared" si="3"/>
        <v>4.3288752896784599</v>
      </c>
      <c r="K25" s="108" t="s">
        <v>1198</v>
      </c>
      <c r="L25" s="109">
        <v>0.113</v>
      </c>
      <c r="M25" s="108">
        <v>9.1999999999999998E-3</v>
      </c>
      <c r="N25" s="108">
        <v>2.5999999999999999E-3</v>
      </c>
      <c r="O25" s="110">
        <f>L25+(M25*GWPs!$C$4/1000)+('Commute Calcs'!N25*GWPs!$C$5/1000)</f>
        <v>0.1139466</v>
      </c>
      <c r="P25" s="108" t="s">
        <v>1194</v>
      </c>
    </row>
    <row r="26" spans="1:20" ht="15">
      <c r="A26" s="552" t="str">
        <f t="shared" si="6"/>
        <v>Alaska</v>
      </c>
      <c r="B26" s="565" t="s">
        <v>1155</v>
      </c>
      <c r="C26" s="566">
        <v>8.526156E-3</v>
      </c>
      <c r="D26" s="567">
        <f t="shared" si="7"/>
        <v>0</v>
      </c>
      <c r="F26" s="559" t="s">
        <v>1195</v>
      </c>
      <c r="G26" s="559">
        <v>6.4</v>
      </c>
      <c r="H26" s="559">
        <f t="shared" si="1"/>
        <v>12.8</v>
      </c>
      <c r="I26" s="560">
        <f t="shared" si="3"/>
        <v>3.4099040614067415</v>
      </c>
      <c r="K26" s="108" t="s">
        <v>1200</v>
      </c>
      <c r="L26" s="109">
        <v>0.13900000000000001</v>
      </c>
      <c r="M26" s="108">
        <v>1.12E-2</v>
      </c>
      <c r="N26" s="108">
        <v>2.8E-3</v>
      </c>
      <c r="O26" s="110">
        <f>L26+(M26*GWPs!$C$4/1000)+('Commute Calcs'!N26*GWPs!$C$5/1000)</f>
        <v>0.1400556</v>
      </c>
      <c r="P26" s="108" t="s">
        <v>1194</v>
      </c>
    </row>
    <row r="27" spans="1:20" ht="15">
      <c r="A27" s="552" t="s">
        <v>1157</v>
      </c>
      <c r="B27" s="565" t="s">
        <v>1158</v>
      </c>
      <c r="C27" s="566">
        <v>0.65844537999999997</v>
      </c>
      <c r="D27" s="567">
        <f t="shared" si="7"/>
        <v>0.26034008501667999</v>
      </c>
      <c r="F27" s="559" t="s">
        <v>1197</v>
      </c>
      <c r="G27" s="559">
        <v>8</v>
      </c>
      <c r="H27" s="559">
        <f t="shared" si="1"/>
        <v>16</v>
      </c>
      <c r="I27" s="560">
        <f t="shared" si="3"/>
        <v>4.9605967368829322</v>
      </c>
      <c r="K27" s="108" t="s">
        <v>1202</v>
      </c>
      <c r="L27" s="109">
        <v>9.9000000000000005E-2</v>
      </c>
      <c r="M27" s="108">
        <v>8.3999999999999995E-3</v>
      </c>
      <c r="N27" s="108">
        <v>1.1999999999999999E-3</v>
      </c>
      <c r="O27" s="110">
        <f>L27+(M27*GWPs!$C$4/1000)+('Commute Calcs'!N27*GWPs!$C$5/1000)</f>
        <v>9.9553200000000008E-2</v>
      </c>
      <c r="P27" s="108" t="s">
        <v>1194</v>
      </c>
    </row>
    <row r="28" spans="1:20" ht="15">
      <c r="A28" s="552" t="str">
        <f t="shared" ref="A28:A33" si="8">A27</f>
        <v>Arizona</v>
      </c>
      <c r="B28" s="565" t="s">
        <v>1156</v>
      </c>
      <c r="C28" s="566">
        <v>8.8864222000000007E-2</v>
      </c>
      <c r="D28" s="567">
        <f t="shared" si="7"/>
        <v>1.7567834639846003E-2</v>
      </c>
      <c r="F28" s="559" t="s">
        <v>1199</v>
      </c>
      <c r="G28" s="559">
        <v>8.6999999999999993</v>
      </c>
      <c r="H28" s="559">
        <f t="shared" si="1"/>
        <v>17.399999999999999</v>
      </c>
      <c r="I28" s="560">
        <f t="shared" si="3"/>
        <v>4.9948253555396382</v>
      </c>
      <c r="K28" s="108" t="s">
        <v>238</v>
      </c>
      <c r="L28" s="109">
        <v>5.6000000000000001E-2</v>
      </c>
      <c r="M28" s="108">
        <v>2.1000000000000001E-2</v>
      </c>
      <c r="N28" s="108">
        <v>8.9999999999999998E-4</v>
      </c>
      <c r="O28" s="110">
        <f>L28+(M28*GWPs!$C$4/1000)+('Commute Calcs'!N28*GWPs!$C$5/1000)</f>
        <v>5.6826500000000002E-2</v>
      </c>
      <c r="P28" s="108" t="s">
        <v>1194</v>
      </c>
    </row>
    <row r="29" spans="1:20" ht="15">
      <c r="A29" s="552" t="str">
        <f t="shared" si="8"/>
        <v>Arizona</v>
      </c>
      <c r="B29" s="565" t="s">
        <v>1166</v>
      </c>
      <c r="C29" s="566">
        <v>0.20744537499999999</v>
      </c>
      <c r="D29" s="567">
        <f>C29*8*0.15*VLOOKUP(A29,'State eGrid factors'!$A$2:$C$53,3,FALSE)+N("pct WFH x 8 hours/day x 150 Watts converted to kW x eGRID state-based EFs kg CO2e/kWh")</f>
        <v>8.3215911144120081E-2</v>
      </c>
      <c r="F29" s="559" t="s">
        <v>1201</v>
      </c>
      <c r="G29" s="559">
        <v>8.5</v>
      </c>
      <c r="H29" s="559">
        <f t="shared" si="1"/>
        <v>17</v>
      </c>
      <c r="I29" s="560">
        <f t="shared" si="3"/>
        <v>5.9670893767617166</v>
      </c>
    </row>
    <row r="30" spans="1:20" ht="15">
      <c r="A30" s="552" t="str">
        <f t="shared" si="8"/>
        <v>Arizona</v>
      </c>
      <c r="B30" s="565" t="s">
        <v>1160</v>
      </c>
      <c r="C30" s="566">
        <v>9.3827049999999999E-3</v>
      </c>
      <c r="D30" s="567">
        <f t="shared" ref="D30:D35" si="9">C30*VLOOKUP($B30,$K$6:$L$12,2,FALSE)</f>
        <v>9.2712165716216674E-4</v>
      </c>
      <c r="F30" s="559" t="s">
        <v>1203</v>
      </c>
      <c r="G30" s="559">
        <v>7.9</v>
      </c>
      <c r="H30" s="559">
        <f t="shared" si="1"/>
        <v>15.8</v>
      </c>
      <c r="I30" s="560">
        <f t="shared" si="3"/>
        <v>5.0500121223730723</v>
      </c>
    </row>
    <row r="31" spans="1:20" ht="15">
      <c r="A31" s="552" t="str">
        <f t="shared" si="8"/>
        <v>Arizona</v>
      </c>
      <c r="B31" s="565" t="s">
        <v>1162</v>
      </c>
      <c r="C31" s="566">
        <v>1.6149398999999998E-2</v>
      </c>
      <c r="D31" s="567">
        <f t="shared" si="9"/>
        <v>5.2624808400709988E-3</v>
      </c>
      <c r="F31" s="559" t="s">
        <v>1204</v>
      </c>
      <c r="G31" s="559">
        <v>6.5</v>
      </c>
      <c r="H31" s="559">
        <f t="shared" si="1"/>
        <v>13</v>
      </c>
      <c r="I31" s="560">
        <f t="shared" si="3"/>
        <v>3.9954794052638993</v>
      </c>
      <c r="K31" s="1238" t="s">
        <v>1241</v>
      </c>
      <c r="L31" s="1238"/>
      <c r="M31" s="1238"/>
      <c r="N31" s="1238"/>
      <c r="O31" s="1238"/>
      <c r="P31" s="1238"/>
      <c r="Q31" s="1238"/>
      <c r="R31" s="1238"/>
      <c r="S31" s="1238"/>
      <c r="T31" s="1238"/>
    </row>
    <row r="32" spans="1:20" ht="15">
      <c r="A32" s="552" t="str">
        <f t="shared" si="8"/>
        <v>Arizona</v>
      </c>
      <c r="B32" s="565" t="s">
        <v>1164</v>
      </c>
      <c r="C32" s="566">
        <v>1.5651866E-2</v>
      </c>
      <c r="D32" s="567">
        <f t="shared" si="9"/>
        <v>0</v>
      </c>
      <c r="F32" s="559" t="s">
        <v>1205</v>
      </c>
      <c r="G32" s="559">
        <v>6.2</v>
      </c>
      <c r="H32" s="559">
        <f t="shared" si="1"/>
        <v>12.4</v>
      </c>
      <c r="I32" s="560">
        <f t="shared" si="3"/>
        <v>4.004232770317258</v>
      </c>
      <c r="K32" s="1238"/>
      <c r="L32" s="1238"/>
      <c r="M32" s="1238"/>
      <c r="N32" s="1238"/>
      <c r="O32" s="1238"/>
      <c r="P32" s="1238"/>
      <c r="Q32" s="1238"/>
      <c r="R32" s="1238"/>
      <c r="S32" s="1238"/>
      <c r="T32" s="1238"/>
    </row>
    <row r="33" spans="1:20" ht="15" customHeight="1">
      <c r="A33" s="552" t="str">
        <f t="shared" si="8"/>
        <v>Arizona</v>
      </c>
      <c r="B33" s="565" t="s">
        <v>1155</v>
      </c>
      <c r="C33" s="566">
        <v>4.0610530000000002E-3</v>
      </c>
      <c r="D33" s="567">
        <f t="shared" si="9"/>
        <v>0</v>
      </c>
      <c r="F33" s="559" t="s">
        <v>1206</v>
      </c>
      <c r="G33" s="559">
        <v>5.9</v>
      </c>
      <c r="H33" s="559">
        <f t="shared" si="1"/>
        <v>11.8</v>
      </c>
      <c r="I33" s="560">
        <f t="shared" si="3"/>
        <v>3.7083487673981232</v>
      </c>
      <c r="K33" s="1238"/>
      <c r="L33" s="1238"/>
      <c r="M33" s="1238"/>
      <c r="N33" s="1238"/>
      <c r="O33" s="1238"/>
      <c r="P33" s="1238"/>
      <c r="Q33" s="1238"/>
      <c r="R33" s="1238"/>
      <c r="S33" s="1238"/>
      <c r="T33" s="1238"/>
    </row>
    <row r="34" spans="1:20" ht="15">
      <c r="A34" s="552" t="s">
        <v>1159</v>
      </c>
      <c r="B34" s="565" t="s">
        <v>1158</v>
      </c>
      <c r="C34" s="566">
        <v>0.78915634599999995</v>
      </c>
      <c r="D34" s="567">
        <f t="shared" si="9"/>
        <v>0.31202137101955602</v>
      </c>
      <c r="F34" s="559" t="s">
        <v>1207</v>
      </c>
      <c r="G34" s="559">
        <v>9.6</v>
      </c>
      <c r="H34" s="559">
        <f t="shared" si="1"/>
        <v>19.2</v>
      </c>
      <c r="I34" s="560">
        <f t="shared" si="3"/>
        <v>5.680159716330337</v>
      </c>
      <c r="K34" s="1238"/>
      <c r="L34" s="1238"/>
      <c r="M34" s="1238"/>
      <c r="N34" s="1238"/>
      <c r="O34" s="1238"/>
      <c r="P34" s="1238"/>
      <c r="Q34" s="1238"/>
      <c r="R34" s="1238"/>
      <c r="S34" s="1238"/>
      <c r="T34" s="1238"/>
    </row>
    <row r="35" spans="1:20" ht="15">
      <c r="A35" s="552" t="str">
        <f t="shared" ref="A35:A40" si="10">A34</f>
        <v>Arkansas</v>
      </c>
      <c r="B35" s="565" t="s">
        <v>1156</v>
      </c>
      <c r="C35" s="566">
        <v>8.8090452E-2</v>
      </c>
      <c r="D35" s="567">
        <f t="shared" si="9"/>
        <v>1.7414865727236002E-2</v>
      </c>
      <c r="F35" s="559" t="s">
        <v>1208</v>
      </c>
      <c r="G35" s="559">
        <v>7</v>
      </c>
      <c r="H35" s="559">
        <f t="shared" si="1"/>
        <v>14</v>
      </c>
      <c r="I35" s="560">
        <f t="shared" si="3"/>
        <v>3.7579859093229082</v>
      </c>
      <c r="K35" s="1238"/>
      <c r="L35" s="1238"/>
      <c r="M35" s="1238"/>
      <c r="N35" s="1238"/>
      <c r="O35" s="1238"/>
      <c r="P35" s="1238"/>
      <c r="Q35" s="1238"/>
      <c r="R35" s="1238"/>
      <c r="S35" s="1238"/>
      <c r="T35" s="1238"/>
    </row>
    <row r="36" spans="1:20" ht="15">
      <c r="A36" s="552" t="str">
        <f t="shared" si="10"/>
        <v>Arkansas</v>
      </c>
      <c r="B36" s="565" t="s">
        <v>1166</v>
      </c>
      <c r="C36" s="566">
        <v>9.7395324000000005E-2</v>
      </c>
      <c r="D36" s="567">
        <f>C36*8*0.15*VLOOKUP(A36,'State eGrid factors'!$A$2:$C$53,3,FALSE)+N("pct WFH x 8 hours/day x 150 Watts converted to kW x eGRID state-based EFs kg CO2e/kWh")</f>
        <v>5.043095258973683E-2</v>
      </c>
      <c r="F36" s="559" t="s">
        <v>1209</v>
      </c>
      <c r="G36" s="559">
        <v>7.3</v>
      </c>
      <c r="H36" s="559">
        <f t="shared" si="1"/>
        <v>14.6</v>
      </c>
      <c r="I36" s="560">
        <f t="shared" si="3"/>
        <v>4.5934576250923467</v>
      </c>
      <c r="K36" s="1238"/>
      <c r="L36" s="1238"/>
      <c r="M36" s="1238"/>
      <c r="N36" s="1238"/>
      <c r="O36" s="1238"/>
      <c r="P36" s="1238"/>
      <c r="Q36" s="1238"/>
      <c r="R36" s="1238"/>
      <c r="S36" s="1238"/>
      <c r="T36" s="1238"/>
    </row>
    <row r="37" spans="1:20" ht="15">
      <c r="A37" s="552" t="str">
        <f t="shared" si="10"/>
        <v>Arkansas</v>
      </c>
      <c r="B37" s="565" t="s">
        <v>1160</v>
      </c>
      <c r="C37" s="566">
        <v>1.8923220000000001E-3</v>
      </c>
      <c r="D37" s="567">
        <f t="shared" ref="D37:D42" si="11">C37*VLOOKUP($B37,$K$6:$L$12,2,FALSE)</f>
        <v>1.8698367992220003E-4</v>
      </c>
      <c r="F37" s="559" t="s">
        <v>1210</v>
      </c>
      <c r="G37" s="559">
        <v>6</v>
      </c>
      <c r="H37" s="559">
        <f t="shared" si="1"/>
        <v>12</v>
      </c>
      <c r="I37" s="560">
        <f t="shared" si="3"/>
        <v>2.7994251412171902</v>
      </c>
      <c r="K37" s="120"/>
      <c r="L37" s="120"/>
      <c r="M37" s="120"/>
      <c r="N37" s="120"/>
      <c r="O37" s="120"/>
      <c r="P37" s="120"/>
      <c r="Q37" s="120"/>
      <c r="R37" s="120"/>
      <c r="S37" s="120"/>
      <c r="T37" s="120"/>
    </row>
    <row r="38" spans="1:20" ht="15">
      <c r="A38" s="552" t="str">
        <f t="shared" si="10"/>
        <v>Arkansas</v>
      </c>
      <c r="B38" s="565" t="s">
        <v>1162</v>
      </c>
      <c r="C38" s="566">
        <v>9.0449160000000001E-3</v>
      </c>
      <c r="D38" s="567">
        <f t="shared" si="11"/>
        <v>2.9473974325639998E-3</v>
      </c>
      <c r="F38" s="559" t="s">
        <v>1211</v>
      </c>
      <c r="G38" s="559">
        <v>7.5</v>
      </c>
      <c r="H38" s="559">
        <f t="shared" si="1"/>
        <v>15</v>
      </c>
      <c r="I38" s="560">
        <f t="shared" si="3"/>
        <v>4.534343948829207</v>
      </c>
      <c r="Q38" s="17"/>
      <c r="R38" s="17"/>
    </row>
    <row r="39" spans="1:20" ht="15">
      <c r="A39" s="552" t="str">
        <f t="shared" si="10"/>
        <v>Arkansas</v>
      </c>
      <c r="B39" s="565" t="s">
        <v>1164</v>
      </c>
      <c r="C39" s="566">
        <v>1.3482506999999999E-2</v>
      </c>
      <c r="D39" s="567">
        <f t="shared" si="11"/>
        <v>0</v>
      </c>
      <c r="F39" s="559" t="s">
        <v>1212</v>
      </c>
      <c r="G39" s="559">
        <v>6.8</v>
      </c>
      <c r="H39" s="559">
        <f t="shared" si="1"/>
        <v>13.6</v>
      </c>
      <c r="I39" s="560">
        <f t="shared" si="3"/>
        <v>4.558488487351017</v>
      </c>
      <c r="Q39" s="17"/>
      <c r="R39" s="17"/>
    </row>
    <row r="40" spans="1:20" ht="15">
      <c r="A40" s="552" t="str">
        <f t="shared" si="10"/>
        <v>Arkansas</v>
      </c>
      <c r="B40" s="565" t="s">
        <v>1155</v>
      </c>
      <c r="C40" s="566">
        <v>9.3813299999999996E-4</v>
      </c>
      <c r="D40" s="567">
        <f t="shared" si="11"/>
        <v>0</v>
      </c>
      <c r="F40" s="559" t="s">
        <v>1213</v>
      </c>
      <c r="G40" s="559">
        <v>6.7</v>
      </c>
      <c r="H40" s="559">
        <f t="shared" si="1"/>
        <v>13.4</v>
      </c>
      <c r="I40" s="560">
        <f t="shared" si="3"/>
        <v>4.2675075284415724</v>
      </c>
      <c r="Q40" s="17"/>
      <c r="R40" s="17"/>
    </row>
    <row r="41" spans="1:20" ht="15">
      <c r="A41" s="552" t="s">
        <v>1161</v>
      </c>
      <c r="B41" s="565" t="s">
        <v>1158</v>
      </c>
      <c r="C41" s="566">
        <v>0.636838236</v>
      </c>
      <c r="D41" s="567">
        <f t="shared" si="11"/>
        <v>0.25179692277909599</v>
      </c>
      <c r="F41" s="559" t="s">
        <v>1214</v>
      </c>
      <c r="G41" s="559">
        <v>7.3</v>
      </c>
      <c r="H41" s="559">
        <f t="shared" si="1"/>
        <v>14.6</v>
      </c>
      <c r="I41" s="560">
        <f t="shared" si="3"/>
        <v>4.8245094818291134</v>
      </c>
      <c r="Q41" s="17"/>
      <c r="R41" s="17"/>
    </row>
    <row r="42" spans="1:20" ht="15">
      <c r="A42" s="552" t="str">
        <f t="shared" ref="A42:A47" si="12">A41</f>
        <v>California</v>
      </c>
      <c r="B42" s="565" t="s">
        <v>1156</v>
      </c>
      <c r="C42" s="566">
        <v>8.4022431999999994E-2</v>
      </c>
      <c r="D42" s="567">
        <f t="shared" si="11"/>
        <v>1.6610646649376001E-2</v>
      </c>
      <c r="F42" s="559" t="s">
        <v>1215</v>
      </c>
      <c r="G42" s="559">
        <v>6.3</v>
      </c>
      <c r="H42" s="559">
        <f t="shared" si="1"/>
        <v>12.6</v>
      </c>
      <c r="I42" s="560">
        <f t="shared" si="3"/>
        <v>3.4248216903666395</v>
      </c>
    </row>
    <row r="43" spans="1:20" ht="15">
      <c r="A43" s="552" t="str">
        <f t="shared" si="12"/>
        <v>California</v>
      </c>
      <c r="B43" s="565" t="s">
        <v>1166</v>
      </c>
      <c r="C43" s="566">
        <v>0.21402676000000001</v>
      </c>
      <c r="D43" s="567">
        <f>C43*8*0.15*VLOOKUP(A43,'State eGrid factors'!$A$2:$C$53,3,FALSE)+N("pct WFH x 8 hours/day x 150 Watts converted to kW x eGRID state-based EFs kg CO2e/kWh")</f>
        <v>5.2786989560657173E-2</v>
      </c>
      <c r="F43" s="559" t="s">
        <v>1216</v>
      </c>
      <c r="G43" s="559">
        <v>6.7</v>
      </c>
      <c r="H43" s="559">
        <f t="shared" si="1"/>
        <v>13.4</v>
      </c>
      <c r="I43" s="560">
        <f t="shared" si="3"/>
        <v>3.8940906478775381</v>
      </c>
    </row>
    <row r="44" spans="1:20" ht="15">
      <c r="A44" s="552" t="str">
        <f t="shared" si="12"/>
        <v>California</v>
      </c>
      <c r="B44" s="565" t="s">
        <v>1160</v>
      </c>
      <c r="C44" s="566">
        <v>2.0679928E-2</v>
      </c>
      <c r="D44" s="567">
        <f t="shared" ref="D44:D49" si="13">C44*VLOOKUP($B44,$K$6:$L$12,2,FALSE)</f>
        <v>2.043420220219467E-3</v>
      </c>
      <c r="F44" s="559" t="s">
        <v>1217</v>
      </c>
      <c r="G44" s="559">
        <v>5.9</v>
      </c>
      <c r="H44" s="559">
        <f t="shared" si="1"/>
        <v>11.8</v>
      </c>
      <c r="I44" s="560">
        <f t="shared" si="3"/>
        <v>3.5630245997885437</v>
      </c>
    </row>
    <row r="45" spans="1:20" ht="15">
      <c r="A45" s="552" t="str">
        <f t="shared" si="12"/>
        <v>California</v>
      </c>
      <c r="B45" s="565" t="s">
        <v>1162</v>
      </c>
      <c r="C45" s="566">
        <v>1.7202113000000002E-2</v>
      </c>
      <c r="D45" s="567">
        <f t="shared" si="13"/>
        <v>5.6055206804436668E-3</v>
      </c>
      <c r="F45" s="559" t="s">
        <v>1218</v>
      </c>
      <c r="G45" s="559">
        <v>7.6</v>
      </c>
      <c r="H45" s="559">
        <f t="shared" si="1"/>
        <v>15.2</v>
      </c>
      <c r="I45" s="560">
        <f t="shared" si="3"/>
        <v>4.9548654578326659</v>
      </c>
    </row>
    <row r="46" spans="1:20" ht="15">
      <c r="A46" s="552" t="str">
        <f t="shared" si="12"/>
        <v>California</v>
      </c>
      <c r="B46" s="565" t="s">
        <v>1164</v>
      </c>
      <c r="C46" s="566">
        <v>2.1266862000000001E-2</v>
      </c>
      <c r="D46" s="567">
        <f t="shared" si="13"/>
        <v>0</v>
      </c>
      <c r="F46" s="559" t="s">
        <v>1219</v>
      </c>
      <c r="G46" s="559">
        <v>7.3</v>
      </c>
      <c r="H46" s="559">
        <f t="shared" si="1"/>
        <v>14.6</v>
      </c>
      <c r="I46" s="560">
        <f t="shared" si="3"/>
        <v>4.696144118826445</v>
      </c>
    </row>
    <row r="47" spans="1:20" ht="15">
      <c r="A47" s="552" t="str">
        <f t="shared" si="12"/>
        <v>California</v>
      </c>
      <c r="B47" s="565" t="s">
        <v>1155</v>
      </c>
      <c r="C47" s="566">
        <v>5.9636689999999996E-3</v>
      </c>
      <c r="D47" s="567">
        <f t="shared" si="13"/>
        <v>0</v>
      </c>
      <c r="F47" s="559" t="s">
        <v>1220</v>
      </c>
      <c r="G47" s="559">
        <v>7.4</v>
      </c>
      <c r="H47" s="559">
        <f t="shared" si="1"/>
        <v>14.8</v>
      </c>
      <c r="I47" s="560">
        <f t="shared" si="3"/>
        <v>4.7579531586913726</v>
      </c>
    </row>
    <row r="48" spans="1:20" ht="15">
      <c r="A48" s="552" t="s">
        <v>1163</v>
      </c>
      <c r="B48" s="565" t="s">
        <v>1158</v>
      </c>
      <c r="C48" s="566">
        <v>0.63672574400000004</v>
      </c>
      <c r="D48" s="567">
        <f t="shared" si="13"/>
        <v>0.25175244501718402</v>
      </c>
      <c r="F48" s="559" t="s">
        <v>1221</v>
      </c>
      <c r="G48" s="559">
        <v>7.3</v>
      </c>
      <c r="H48" s="559">
        <f t="shared" si="1"/>
        <v>14.6</v>
      </c>
      <c r="I48" s="560">
        <f t="shared" si="3"/>
        <v>4.5085296825342143</v>
      </c>
    </row>
    <row r="49" spans="1:9" ht="15">
      <c r="A49" s="552" t="str">
        <f t="shared" ref="A49:A54" si="14">A48</f>
        <v>Colorado</v>
      </c>
      <c r="B49" s="565" t="s">
        <v>1156</v>
      </c>
      <c r="C49" s="566">
        <v>7.0631982999999995E-2</v>
      </c>
      <c r="D49" s="567">
        <f t="shared" si="13"/>
        <v>1.3963448615218999E-2</v>
      </c>
      <c r="F49" s="559" t="s">
        <v>1222</v>
      </c>
      <c r="G49" s="559">
        <v>6.7</v>
      </c>
      <c r="H49" s="559">
        <f t="shared" si="1"/>
        <v>13.4</v>
      </c>
      <c r="I49" s="560">
        <f t="shared" si="3"/>
        <v>3.9815435577231013</v>
      </c>
    </row>
    <row r="50" spans="1:9" ht="15">
      <c r="A50" s="552" t="str">
        <f t="shared" si="14"/>
        <v>Colorado</v>
      </c>
      <c r="B50" s="565" t="s">
        <v>1166</v>
      </c>
      <c r="C50" s="566">
        <v>0.23747386000000001</v>
      </c>
      <c r="D50" s="567">
        <f>C50*8*0.15*VLOOKUP(A50,'State eGrid factors'!$A$2:$C$53,3,FALSE)+N("pct WFH x 8 hours/day x 150 Watts converted to kW x eGRID state-based EFs kg CO2e/kWh")</f>
        <v>0.15759827089193787</v>
      </c>
      <c r="F50" s="559" t="s">
        <v>1223</v>
      </c>
      <c r="G50" s="559">
        <v>9.5</v>
      </c>
      <c r="H50" s="559">
        <f t="shared" si="1"/>
        <v>19</v>
      </c>
      <c r="I50" s="560">
        <f t="shared" si="3"/>
        <v>5.3909376859027134</v>
      </c>
    </row>
    <row r="51" spans="1:9" ht="15">
      <c r="A51" s="552" t="str">
        <f t="shared" si="14"/>
        <v>Colorado</v>
      </c>
      <c r="B51" s="565" t="s">
        <v>1160</v>
      </c>
      <c r="C51" s="566">
        <v>1.3222027000000001E-2</v>
      </c>
      <c r="D51" s="567">
        <f t="shared" ref="D51:D56" si="15">C51*VLOOKUP($B51,$K$6:$L$12,2,FALSE)</f>
        <v>1.3064918467843669E-3</v>
      </c>
      <c r="F51" s="559" t="s">
        <v>1224</v>
      </c>
      <c r="G51" s="559">
        <v>7.5</v>
      </c>
      <c r="H51" s="559">
        <f t="shared" si="1"/>
        <v>15</v>
      </c>
      <c r="I51" s="560">
        <f t="shared" si="3"/>
        <v>4.2637695090758507</v>
      </c>
    </row>
    <row r="52" spans="1:9" ht="15">
      <c r="A52" s="552" t="str">
        <f t="shared" si="14"/>
        <v>Colorado</v>
      </c>
      <c r="B52" s="565" t="s">
        <v>1162</v>
      </c>
      <c r="C52" s="566">
        <v>1.1592665E-2</v>
      </c>
      <c r="D52" s="567">
        <f t="shared" si="15"/>
        <v>3.7776128664516666E-3</v>
      </c>
      <c r="F52" s="559" t="s">
        <v>1225</v>
      </c>
      <c r="G52" s="559">
        <v>7</v>
      </c>
      <c r="H52" s="559">
        <f t="shared" si="1"/>
        <v>14</v>
      </c>
      <c r="I52" s="560">
        <f t="shared" si="3"/>
        <v>3.7423156399873454</v>
      </c>
    </row>
    <row r="53" spans="1:9" ht="15">
      <c r="A53" s="552" t="str">
        <f t="shared" si="14"/>
        <v>Colorado</v>
      </c>
      <c r="B53" s="565" t="s">
        <v>1164</v>
      </c>
      <c r="C53" s="566">
        <v>2.2602555E-2</v>
      </c>
      <c r="D53" s="567">
        <f t="shared" si="15"/>
        <v>0</v>
      </c>
      <c r="F53" s="559" t="s">
        <v>1226</v>
      </c>
      <c r="G53" s="559">
        <v>7.8</v>
      </c>
      <c r="H53" s="559">
        <f t="shared" si="1"/>
        <v>15.6</v>
      </c>
      <c r="I53" s="560">
        <f t="shared" si="3"/>
        <v>5.200060620330528</v>
      </c>
    </row>
    <row r="54" spans="1:9" ht="15">
      <c r="A54" s="552" t="str">
        <f t="shared" si="14"/>
        <v>Colorado</v>
      </c>
      <c r="B54" s="565" t="s">
        <v>1155</v>
      </c>
      <c r="C54" s="566">
        <v>7.7511660000000003E-3</v>
      </c>
      <c r="D54" s="567">
        <f t="shared" si="15"/>
        <v>0</v>
      </c>
      <c r="F54" s="559" t="s">
        <v>1227</v>
      </c>
      <c r="G54" s="559">
        <v>8.1</v>
      </c>
      <c r="H54" s="559">
        <f t="shared" si="1"/>
        <v>16.2</v>
      </c>
      <c r="I54" s="560">
        <f t="shared" si="3"/>
        <v>5.083133241306153</v>
      </c>
    </row>
    <row r="55" spans="1:9" ht="15">
      <c r="A55" s="552" t="s">
        <v>1165</v>
      </c>
      <c r="B55" s="565" t="s">
        <v>1158</v>
      </c>
      <c r="C55" s="566">
        <v>0.66604712399999999</v>
      </c>
      <c r="D55" s="567">
        <f t="shared" si="15"/>
        <v>0.26334570816986402</v>
      </c>
      <c r="F55" s="559" t="s">
        <v>1228</v>
      </c>
      <c r="G55" s="559">
        <v>5.7</v>
      </c>
      <c r="H55" s="559">
        <f t="shared" si="1"/>
        <v>11.4</v>
      </c>
      <c r="I55" s="560">
        <f t="shared" si="3"/>
        <v>3.7729027539188826</v>
      </c>
    </row>
    <row r="56" spans="1:9" ht="15">
      <c r="A56" s="552" t="str">
        <f t="shared" ref="A56:A61" si="16">A55</f>
        <v>Connecticut</v>
      </c>
      <c r="B56" s="565" t="s">
        <v>1156</v>
      </c>
      <c r="C56" s="566">
        <v>7.3956699000000001E-2</v>
      </c>
      <c r="D56" s="567">
        <f t="shared" si="15"/>
        <v>1.4620721695407001E-2</v>
      </c>
      <c r="F56" s="559" t="s">
        <v>1229</v>
      </c>
      <c r="G56" s="561">
        <f>AVERAGE(G6:G55)</f>
        <v>7.2041666666666684</v>
      </c>
      <c r="H56" s="561">
        <f t="shared" si="1"/>
        <v>14.408333333333337</v>
      </c>
      <c r="I56" s="560">
        <f t="shared" si="3"/>
        <v>4.269253073148322</v>
      </c>
    </row>
    <row r="57" spans="1:9" ht="15">
      <c r="A57" s="552" t="str">
        <f t="shared" si="16"/>
        <v>Connecticut</v>
      </c>
      <c r="B57" s="565" t="s">
        <v>1166</v>
      </c>
      <c r="C57" s="566">
        <v>0.19472038999999999</v>
      </c>
      <c r="D57" s="567">
        <f>C57*8*0.15*VLOOKUP(A57,'State eGrid factors'!$A$2:$C$53,3,FALSE)+N("pct WFH x 8 hours/day x 150 Watts converted to kW x eGRID state-based EFs kg CO2e/kWh")</f>
        <v>5.6149127992346975E-2</v>
      </c>
    </row>
    <row r="58" spans="1:9" ht="15">
      <c r="A58" s="552" t="str">
        <f t="shared" si="16"/>
        <v>Connecticut</v>
      </c>
      <c r="B58" s="565" t="s">
        <v>1160</v>
      </c>
      <c r="C58" s="566">
        <v>2.4589454E-2</v>
      </c>
      <c r="D58" s="567">
        <f t="shared" ref="D58:D63" si="17">C58*VLOOKUP($B58,$K$6:$L$12,2,FALSE)</f>
        <v>2.4297273911087335E-3</v>
      </c>
    </row>
    <row r="59" spans="1:9" ht="15">
      <c r="A59" s="552" t="str">
        <f t="shared" si="16"/>
        <v>Connecticut</v>
      </c>
      <c r="B59" s="565" t="s">
        <v>1162</v>
      </c>
      <c r="C59" s="566">
        <v>1.3491085999999999E-2</v>
      </c>
      <c r="D59" s="567">
        <f t="shared" si="17"/>
        <v>4.3962367631606662E-3</v>
      </c>
    </row>
    <row r="60" spans="1:9" ht="15">
      <c r="A60" s="552" t="str">
        <f t="shared" si="16"/>
        <v>Connecticut</v>
      </c>
      <c r="B60" s="565" t="s">
        <v>1164</v>
      </c>
      <c r="C60" s="566">
        <v>2.5325935000000001E-2</v>
      </c>
      <c r="D60" s="567">
        <f t="shared" si="17"/>
        <v>0</v>
      </c>
    </row>
    <row r="61" spans="1:9" ht="15">
      <c r="A61" s="552" t="str">
        <f t="shared" si="16"/>
        <v>Connecticut</v>
      </c>
      <c r="B61" s="565" t="s">
        <v>1155</v>
      </c>
      <c r="C61" s="566">
        <v>1.869311E-3</v>
      </c>
      <c r="D61" s="567">
        <f t="shared" si="17"/>
        <v>0</v>
      </c>
    </row>
    <row r="62" spans="1:9" ht="15">
      <c r="A62" s="552" t="s">
        <v>1167</v>
      </c>
      <c r="B62" s="565" t="s">
        <v>1158</v>
      </c>
      <c r="C62" s="566">
        <v>0.70476959100000003</v>
      </c>
      <c r="D62" s="567">
        <f t="shared" si="17"/>
        <v>0.27865602950712604</v>
      </c>
    </row>
    <row r="63" spans="1:9" ht="15">
      <c r="A63" s="552" t="str">
        <f t="shared" ref="A63:A68" si="18">A62</f>
        <v>Delaware</v>
      </c>
      <c r="B63" s="565" t="s">
        <v>1156</v>
      </c>
      <c r="C63" s="566">
        <v>6.2715875000000004E-2</v>
      </c>
      <c r="D63" s="567">
        <f t="shared" si="17"/>
        <v>1.2398489476375001E-2</v>
      </c>
    </row>
    <row r="64" spans="1:9" ht="15">
      <c r="A64" s="552" t="str">
        <f t="shared" si="18"/>
        <v>Delaware</v>
      </c>
      <c r="B64" s="565" t="s">
        <v>1166</v>
      </c>
      <c r="C64" s="566">
        <v>0.185588375</v>
      </c>
      <c r="D64" s="567">
        <f>C64*8*0.15*VLOOKUP(A64,'State eGrid factors'!$A$2:$C$53,3,FALSE)+N("pct WFH x 8 hours/day x 150 Watts converted to kW x eGRID state-based EFs kg CO2e/kWh")</f>
        <v>7.6271533838711436E-2</v>
      </c>
    </row>
    <row r="65" spans="1:4" ht="15">
      <c r="A65" s="552" t="str">
        <f t="shared" si="18"/>
        <v>Delaware</v>
      </c>
      <c r="B65" s="565" t="s">
        <v>1160</v>
      </c>
      <c r="C65" s="566">
        <v>1.6261214999999999E-2</v>
      </c>
      <c r="D65" s="567">
        <f t="shared" ref="D65:D70" si="19">C65*VLOOKUP($B65,$K$6:$L$12,2,FALSE)</f>
        <v>1.6067993822965001E-3</v>
      </c>
    </row>
    <row r="66" spans="1:4" ht="15">
      <c r="A66" s="552" t="str">
        <f t="shared" si="18"/>
        <v>Delaware</v>
      </c>
      <c r="B66" s="565" t="s">
        <v>1162</v>
      </c>
      <c r="C66" s="566">
        <v>1.4116445E-2</v>
      </c>
      <c r="D66" s="567">
        <f t="shared" si="19"/>
        <v>4.6000177060716661E-3</v>
      </c>
    </row>
    <row r="67" spans="1:4" ht="15">
      <c r="A67" s="552" t="str">
        <f t="shared" si="18"/>
        <v>Delaware</v>
      </c>
      <c r="B67" s="565" t="s">
        <v>1164</v>
      </c>
      <c r="C67" s="566">
        <v>1.3006779E-2</v>
      </c>
      <c r="D67" s="567">
        <f t="shared" si="19"/>
        <v>0</v>
      </c>
    </row>
    <row r="68" spans="1:4" ht="15">
      <c r="A68" s="552" t="str">
        <f t="shared" si="18"/>
        <v>Delaware</v>
      </c>
      <c r="B68" s="565" t="s">
        <v>1155</v>
      </c>
      <c r="C68" s="566">
        <v>3.5417209999999998E-3</v>
      </c>
      <c r="D68" s="567">
        <f t="shared" si="19"/>
        <v>0</v>
      </c>
    </row>
    <row r="69" spans="1:4" ht="15">
      <c r="A69" s="552" t="s">
        <v>1230</v>
      </c>
      <c r="B69" s="565" t="s">
        <v>1158</v>
      </c>
      <c r="C69" s="566">
        <v>0.25614561400000002</v>
      </c>
      <c r="D69" s="567">
        <f t="shared" si="19"/>
        <v>0.10127638973700401</v>
      </c>
    </row>
    <row r="70" spans="1:4" ht="15">
      <c r="A70" s="552" t="str">
        <f t="shared" ref="A70:A75" si="20">A69</f>
        <v>District of Columbia</v>
      </c>
      <c r="B70" s="565" t="s">
        <v>1156</v>
      </c>
      <c r="C70" s="566">
        <v>3.0483033999999999E-2</v>
      </c>
      <c r="D70" s="567">
        <f t="shared" si="19"/>
        <v>6.0262824405620001E-3</v>
      </c>
    </row>
    <row r="71" spans="1:4" ht="15">
      <c r="A71" s="552" t="str">
        <f t="shared" si="20"/>
        <v>District of Columbia</v>
      </c>
      <c r="B71" s="565" t="s">
        <v>1166</v>
      </c>
      <c r="C71" s="566">
        <v>0.48292390800000001</v>
      </c>
      <c r="D71" s="567">
        <f>C71*8*0.15*VLOOKUP(A71,'State eGrid factors'!$A$2:$C$53,3,FALSE)+N("pct WFH x 8 hours/day x 150 Watts converted to kW x eGRID state-based EFs kg CO2e/kWh")</f>
        <v>0.21058349326461778</v>
      </c>
    </row>
    <row r="72" spans="1:4" ht="15">
      <c r="A72" s="552" t="str">
        <f t="shared" si="20"/>
        <v>District of Columbia</v>
      </c>
      <c r="B72" s="565" t="s">
        <v>1160</v>
      </c>
      <c r="C72" s="566">
        <v>0.11618408500000001</v>
      </c>
      <c r="D72" s="567">
        <f t="shared" ref="D72:D77" si="21">C72*VLOOKUP($B72,$K$6:$L$12,2,FALSE)</f>
        <v>1.1480354697400169E-2</v>
      </c>
    </row>
    <row r="73" spans="1:4" ht="15">
      <c r="A73" s="552" t="str">
        <f t="shared" si="20"/>
        <v>District of Columbia</v>
      </c>
      <c r="B73" s="565" t="s">
        <v>1162</v>
      </c>
      <c r="C73" s="566">
        <v>2.5669923000000001E-2</v>
      </c>
      <c r="D73" s="567">
        <f t="shared" si="21"/>
        <v>8.3648610052669999E-3</v>
      </c>
    </row>
    <row r="74" spans="1:4" ht="15">
      <c r="A74" s="552" t="str">
        <f t="shared" si="20"/>
        <v>District of Columbia</v>
      </c>
      <c r="B74" s="565" t="s">
        <v>1164</v>
      </c>
      <c r="C74" s="566">
        <v>6.7397672000000006E-2</v>
      </c>
      <c r="D74" s="567">
        <f t="shared" si="21"/>
        <v>0</v>
      </c>
    </row>
    <row r="75" spans="1:4" ht="15">
      <c r="A75" s="552" t="str">
        <f t="shared" si="20"/>
        <v>District of Columbia</v>
      </c>
      <c r="B75" s="565" t="s">
        <v>1155</v>
      </c>
      <c r="C75" s="566">
        <v>2.1195763999999999E-2</v>
      </c>
      <c r="D75" s="567">
        <f t="shared" si="21"/>
        <v>0</v>
      </c>
    </row>
    <row r="76" spans="1:4" ht="15">
      <c r="A76" s="552" t="s">
        <v>1169</v>
      </c>
      <c r="B76" s="565" t="s">
        <v>1158</v>
      </c>
      <c r="C76" s="566">
        <v>0.70487815899999995</v>
      </c>
      <c r="D76" s="567">
        <f t="shared" si="21"/>
        <v>0.27869895577437398</v>
      </c>
    </row>
    <row r="77" spans="1:4" ht="15">
      <c r="A77" s="552" t="str">
        <f t="shared" ref="A77:A82" si="22">A76</f>
        <v>Florida</v>
      </c>
      <c r="B77" s="565" t="s">
        <v>1156</v>
      </c>
      <c r="C77" s="566">
        <v>8.4707817000000005E-2</v>
      </c>
      <c r="D77" s="567">
        <f t="shared" si="21"/>
        <v>1.6746142466181002E-2</v>
      </c>
    </row>
    <row r="78" spans="1:4" ht="15">
      <c r="A78" s="552" t="str">
        <f t="shared" si="22"/>
        <v>Florida</v>
      </c>
      <c r="B78" s="565" t="s">
        <v>1166</v>
      </c>
      <c r="C78" s="566">
        <v>0.16636351399999999</v>
      </c>
      <c r="D78" s="567">
        <f>C78*8*0.15*VLOOKUP(A78,'State eGrid factors'!$A$2:$C$53,3,FALSE)+N("pct WFH x 8 hours/day x 150 Watts converted to kW x eGRID state-based EFs kg CO2e/kWh")</f>
        <v>7.6261411520461217E-2</v>
      </c>
    </row>
    <row r="79" spans="1:4" ht="15">
      <c r="A79" s="552" t="str">
        <f t="shared" si="22"/>
        <v>Florida</v>
      </c>
      <c r="B79" s="565" t="s">
        <v>1160</v>
      </c>
      <c r="C79" s="566">
        <v>9.7489740000000005E-3</v>
      </c>
      <c r="D79" s="567">
        <f t="shared" ref="D79:D84" si="23">C79*VLOOKUP($B79,$K$6:$L$12,2,FALSE)</f>
        <v>9.6331334412740012E-4</v>
      </c>
    </row>
    <row r="80" spans="1:4" ht="15">
      <c r="A80" s="552" t="str">
        <f t="shared" si="22"/>
        <v>Florida</v>
      </c>
      <c r="B80" s="565" t="s">
        <v>1162</v>
      </c>
      <c r="C80" s="566">
        <v>1.6934687E-2</v>
      </c>
      <c r="D80" s="567">
        <f t="shared" si="23"/>
        <v>5.5183766200896664E-3</v>
      </c>
    </row>
    <row r="81" spans="1:4" ht="15">
      <c r="A81" s="552" t="str">
        <f t="shared" si="22"/>
        <v>Florida</v>
      </c>
      <c r="B81" s="565" t="s">
        <v>1164</v>
      </c>
      <c r="C81" s="566">
        <v>1.2974629E-2</v>
      </c>
      <c r="D81" s="567">
        <f t="shared" si="23"/>
        <v>0</v>
      </c>
    </row>
    <row r="82" spans="1:4" ht="15">
      <c r="A82" s="552" t="str">
        <f t="shared" si="22"/>
        <v>Florida</v>
      </c>
      <c r="B82" s="565" t="s">
        <v>1155</v>
      </c>
      <c r="C82" s="566">
        <v>4.392221E-3</v>
      </c>
      <c r="D82" s="567">
        <f t="shared" si="23"/>
        <v>0</v>
      </c>
    </row>
    <row r="83" spans="1:4" ht="15">
      <c r="A83" s="552" t="s">
        <v>212</v>
      </c>
      <c r="B83" s="565" t="s">
        <v>1158</v>
      </c>
      <c r="C83" s="566">
        <v>0.70015272799999995</v>
      </c>
      <c r="D83" s="567">
        <f t="shared" si="23"/>
        <v>0.27683058651300801</v>
      </c>
    </row>
    <row r="84" spans="1:4" ht="15">
      <c r="A84" s="552" t="str">
        <f t="shared" ref="A84:A89" si="24">A83</f>
        <v>Georgia</v>
      </c>
      <c r="B84" s="565" t="s">
        <v>1156</v>
      </c>
      <c r="C84" s="566">
        <v>8.2649130000000001E-2</v>
      </c>
      <c r="D84" s="567">
        <f t="shared" si="23"/>
        <v>1.6339154457089999E-2</v>
      </c>
    </row>
    <row r="85" spans="1:4" ht="15">
      <c r="A85" s="552" t="str">
        <f t="shared" si="24"/>
        <v>Georgia</v>
      </c>
      <c r="B85" s="565" t="s">
        <v>1166</v>
      </c>
      <c r="C85" s="566">
        <v>0.18182913000000001</v>
      </c>
      <c r="D85" s="567">
        <f>C85*8*0.15*VLOOKUP(A85,'State eGrid factors'!$A$2:$C$53,3,FALSE)+N("pct WFH x 8 hours/day x 150 Watts converted to kW x eGRID state-based EFs kg CO2e/kWh")</f>
        <v>7.1607300668790105E-2</v>
      </c>
    </row>
    <row r="86" spans="1:4" ht="15">
      <c r="A86" s="552" t="str">
        <f t="shared" si="24"/>
        <v>Georgia</v>
      </c>
      <c r="B86" s="565" t="s">
        <v>1160</v>
      </c>
      <c r="C86" s="566">
        <v>7.0916260000000002E-3</v>
      </c>
      <c r="D86" s="567">
        <f t="shared" ref="D86:D91" si="25">C86*VLOOKUP($B86,$K$6:$L$12,2,FALSE)</f>
        <v>7.0073609359926677E-4</v>
      </c>
    </row>
    <row r="87" spans="1:4" ht="15">
      <c r="A87" s="552" t="str">
        <f t="shared" si="24"/>
        <v>Georgia</v>
      </c>
      <c r="B87" s="565" t="s">
        <v>1162</v>
      </c>
      <c r="C87" s="566">
        <v>1.492712E-2</v>
      </c>
      <c r="D87" s="567">
        <f t="shared" si="25"/>
        <v>4.8641861531466667E-3</v>
      </c>
    </row>
    <row r="88" spans="1:4" ht="15">
      <c r="A88" s="552" t="str">
        <f t="shared" si="24"/>
        <v>Georgia</v>
      </c>
      <c r="B88" s="565" t="s">
        <v>1164</v>
      </c>
      <c r="C88" s="566">
        <v>1.1896253000000001E-2</v>
      </c>
      <c r="D88" s="567">
        <f t="shared" si="25"/>
        <v>0</v>
      </c>
    </row>
    <row r="89" spans="1:4" ht="15">
      <c r="A89" s="552" t="str">
        <f t="shared" si="24"/>
        <v>Georgia</v>
      </c>
      <c r="B89" s="565" t="s">
        <v>1155</v>
      </c>
      <c r="C89" s="566">
        <v>1.4540130000000001E-3</v>
      </c>
      <c r="D89" s="567">
        <f t="shared" si="25"/>
        <v>0</v>
      </c>
    </row>
    <row r="90" spans="1:4" ht="15">
      <c r="A90" s="552" t="s">
        <v>1231</v>
      </c>
      <c r="B90" s="565" t="s">
        <v>1158</v>
      </c>
      <c r="C90" s="566">
        <v>0.65345143800000005</v>
      </c>
      <c r="D90" s="567">
        <f t="shared" si="25"/>
        <v>0.25836555026506802</v>
      </c>
    </row>
    <row r="91" spans="1:4" ht="15">
      <c r="A91" s="552" t="str">
        <f t="shared" ref="A91:A96" si="26">A90</f>
        <v>Hawaii</v>
      </c>
      <c r="B91" s="565" t="s">
        <v>1156</v>
      </c>
      <c r="C91" s="566">
        <v>0.13914961000000001</v>
      </c>
      <c r="D91" s="567">
        <f t="shared" si="25"/>
        <v>2.7508903849730003E-2</v>
      </c>
    </row>
    <row r="92" spans="1:4" ht="15">
      <c r="A92" s="552" t="str">
        <f t="shared" si="26"/>
        <v>Hawaii</v>
      </c>
      <c r="B92" s="565" t="s">
        <v>1166</v>
      </c>
      <c r="C92" s="566">
        <v>0.107263713</v>
      </c>
      <c r="D92" s="567">
        <f>C92*8*0.15*VLOOKUP(A92,'State eGrid factors'!$A$2:$C$53,3,FALSE)+N("pct WFH x 8 hours/day x 150 Watts converted to kW x eGRID state-based EFs kg CO2e/kWh")</f>
        <v>8.9124623248592133E-2</v>
      </c>
    </row>
    <row r="93" spans="1:4" ht="15">
      <c r="A93" s="552" t="str">
        <f t="shared" si="26"/>
        <v>Hawaii</v>
      </c>
      <c r="B93" s="565" t="s">
        <v>1160</v>
      </c>
      <c r="C93" s="566">
        <v>3.2949557999999997E-2</v>
      </c>
      <c r="D93" s="567">
        <f t="shared" ref="D93:D98" si="27">C93*VLOOKUP($B93,$K$6:$L$12,2,FALSE)</f>
        <v>3.2558040368658001E-3</v>
      </c>
    </row>
    <row r="94" spans="1:4" ht="15">
      <c r="A94" s="552" t="str">
        <f t="shared" si="26"/>
        <v>Hawaii</v>
      </c>
      <c r="B94" s="565" t="s">
        <v>1162</v>
      </c>
      <c r="C94" s="566">
        <v>1.9790678999999999E-2</v>
      </c>
      <c r="D94" s="567">
        <f t="shared" si="27"/>
        <v>6.4490368371909988E-3</v>
      </c>
    </row>
    <row r="95" spans="1:4" ht="15">
      <c r="A95" s="552" t="str">
        <f t="shared" si="26"/>
        <v>Hawaii</v>
      </c>
      <c r="B95" s="565" t="s">
        <v>1164</v>
      </c>
      <c r="C95" s="566">
        <v>4.0143855999999999E-2</v>
      </c>
      <c r="D95" s="567">
        <f t="shared" si="27"/>
        <v>0</v>
      </c>
    </row>
    <row r="96" spans="1:4" ht="15">
      <c r="A96" s="552" t="str">
        <f t="shared" si="26"/>
        <v>Hawaii</v>
      </c>
      <c r="B96" s="565" t="s">
        <v>1155</v>
      </c>
      <c r="C96" s="566">
        <v>7.2511470000000003E-3</v>
      </c>
      <c r="D96" s="567">
        <f t="shared" si="27"/>
        <v>0</v>
      </c>
    </row>
    <row r="97" spans="1:4" ht="15">
      <c r="A97" s="552" t="s">
        <v>1170</v>
      </c>
      <c r="B97" s="565" t="s">
        <v>1158</v>
      </c>
      <c r="C97" s="566">
        <v>0.743577551</v>
      </c>
      <c r="D97" s="567">
        <f t="shared" si="27"/>
        <v>0.29400015357968601</v>
      </c>
    </row>
    <row r="98" spans="1:4" ht="15">
      <c r="A98" s="552" t="str">
        <f t="shared" ref="A98:A103" si="28">A97</f>
        <v>Idaho</v>
      </c>
      <c r="B98" s="565" t="s">
        <v>1156</v>
      </c>
      <c r="C98" s="566">
        <v>8.1979818999999995E-2</v>
      </c>
      <c r="D98" s="567">
        <f t="shared" si="27"/>
        <v>1.6206836357566999E-2</v>
      </c>
    </row>
    <row r="99" spans="1:4" ht="15">
      <c r="A99" s="552" t="str">
        <f t="shared" si="28"/>
        <v>Idaho</v>
      </c>
      <c r="B99" s="565" t="s">
        <v>1166</v>
      </c>
      <c r="C99" s="566">
        <v>0.13254887900000001</v>
      </c>
      <c r="D99" s="567">
        <f>C99*8*0.15*VLOOKUP(A99,'State eGrid factors'!$A$2:$C$53,3,FALSE)+N("pct WFH x 8 hours/day x 150 Watts converted to kW x eGRID state-based EFs kg CO2e/kWh")</f>
        <v>1.5396068574040335E-2</v>
      </c>
    </row>
    <row r="100" spans="1:4" ht="15">
      <c r="A100" s="552" t="str">
        <f t="shared" si="28"/>
        <v>Idaho</v>
      </c>
      <c r="B100" s="565" t="s">
        <v>1160</v>
      </c>
      <c r="C100" s="566">
        <v>4.792386E-3</v>
      </c>
      <c r="D100" s="567">
        <f t="shared" ref="D100:D105" si="29">C100*VLOOKUP($B100,$K$6:$L$12,2,FALSE)</f>
        <v>4.7354412720860005E-4</v>
      </c>
    </row>
    <row r="101" spans="1:4" ht="15">
      <c r="A101" s="552" t="str">
        <f t="shared" si="28"/>
        <v>Idaho</v>
      </c>
      <c r="B101" s="565" t="s">
        <v>1162</v>
      </c>
      <c r="C101" s="566">
        <v>1.0734809999999999E-2</v>
      </c>
      <c r="D101" s="567">
        <f t="shared" si="29"/>
        <v>3.4980702344899993E-3</v>
      </c>
    </row>
    <row r="102" spans="1:4" ht="15">
      <c r="A102" s="552" t="str">
        <f t="shared" si="28"/>
        <v>Idaho</v>
      </c>
      <c r="B102" s="565" t="s">
        <v>1164</v>
      </c>
      <c r="C102" s="566">
        <v>1.8825544999999999E-2</v>
      </c>
      <c r="D102" s="567">
        <f t="shared" si="29"/>
        <v>0</v>
      </c>
    </row>
    <row r="103" spans="1:4" ht="15">
      <c r="A103" s="552" t="str">
        <f t="shared" si="28"/>
        <v>Idaho</v>
      </c>
      <c r="B103" s="565" t="s">
        <v>1155</v>
      </c>
      <c r="C103" s="566">
        <v>7.5410099999999999E-3</v>
      </c>
      <c r="D103" s="567">
        <f t="shared" si="29"/>
        <v>0</v>
      </c>
    </row>
    <row r="104" spans="1:4" ht="15">
      <c r="A104" s="552" t="s">
        <v>1172</v>
      </c>
      <c r="B104" s="565" t="s">
        <v>1158</v>
      </c>
      <c r="C104" s="566">
        <v>0.649458914</v>
      </c>
      <c r="D104" s="567">
        <f t="shared" si="29"/>
        <v>0.25678696217080399</v>
      </c>
    </row>
    <row r="105" spans="1:4" ht="15">
      <c r="A105" s="552" t="str">
        <f t="shared" ref="A105:A110" si="30">A104</f>
        <v>Illinois</v>
      </c>
      <c r="B105" s="565" t="s">
        <v>1156</v>
      </c>
      <c r="C105" s="566">
        <v>7.3638055999999993E-2</v>
      </c>
      <c r="D105" s="567">
        <f t="shared" si="29"/>
        <v>1.4557728204807999E-2</v>
      </c>
    </row>
    <row r="106" spans="1:4" ht="15">
      <c r="A106" s="552" t="str">
        <f t="shared" si="30"/>
        <v>Illinois</v>
      </c>
      <c r="B106" s="565" t="s">
        <v>1166</v>
      </c>
      <c r="C106" s="566">
        <v>0.19255807</v>
      </c>
      <c r="D106" s="567">
        <f>C106*8*0.15*VLOOKUP(A106,'State eGrid factors'!$A$2:$C$53,3,FALSE)+N("pct WFH x 8 hours/day x 150 Watts converted to kW x eGRID state-based EFs kg CO2e/kWh")</f>
        <v>5.8321769395041315E-2</v>
      </c>
    </row>
    <row r="107" spans="1:4" ht="15">
      <c r="A107" s="552" t="str">
        <f t="shared" si="30"/>
        <v>Illinois</v>
      </c>
      <c r="B107" s="565" t="s">
        <v>1160</v>
      </c>
      <c r="C107" s="566">
        <v>3.8303182999999998E-2</v>
      </c>
      <c r="D107" s="567">
        <f t="shared" ref="D107:D112" si="31">C107*VLOOKUP($B107,$K$6:$L$12,2,FALSE)</f>
        <v>3.7848051811866334E-3</v>
      </c>
    </row>
    <row r="108" spans="1:4" ht="15">
      <c r="A108" s="552" t="str">
        <f t="shared" si="30"/>
        <v>Illinois</v>
      </c>
      <c r="B108" s="565" t="s">
        <v>1162</v>
      </c>
      <c r="C108" s="566">
        <v>1.4722055E-2</v>
      </c>
      <c r="D108" s="567">
        <f t="shared" si="31"/>
        <v>4.7973631937616662E-3</v>
      </c>
    </row>
    <row r="109" spans="1:4" ht="15">
      <c r="A109" s="552" t="str">
        <f t="shared" si="30"/>
        <v>Illinois</v>
      </c>
      <c r="B109" s="565" t="s">
        <v>1164</v>
      </c>
      <c r="C109" s="566">
        <v>2.6092376E-2</v>
      </c>
      <c r="D109" s="567">
        <f t="shared" si="31"/>
        <v>0</v>
      </c>
    </row>
    <row r="110" spans="1:4" ht="15">
      <c r="A110" s="552" t="str">
        <f t="shared" si="30"/>
        <v>Illinois</v>
      </c>
      <c r="B110" s="565" t="s">
        <v>1155</v>
      </c>
      <c r="C110" s="566">
        <v>5.2273450000000004E-3</v>
      </c>
      <c r="D110" s="567">
        <f t="shared" si="31"/>
        <v>0</v>
      </c>
    </row>
    <row r="111" spans="1:4" ht="15">
      <c r="A111" s="552" t="s">
        <v>1173</v>
      </c>
      <c r="B111" s="565" t="s">
        <v>1158</v>
      </c>
      <c r="C111" s="566">
        <v>0.76584038700000001</v>
      </c>
      <c r="D111" s="567">
        <f t="shared" si="31"/>
        <v>0.30280256725438204</v>
      </c>
    </row>
    <row r="112" spans="1:4" ht="15">
      <c r="A112" s="552" t="str">
        <f t="shared" ref="A112:A117" si="32">A111</f>
        <v>Indiana</v>
      </c>
      <c r="B112" s="565" t="s">
        <v>1156</v>
      </c>
      <c r="C112" s="566">
        <v>7.7680243999999996E-2</v>
      </c>
      <c r="D112" s="567">
        <f t="shared" si="31"/>
        <v>1.5356840477092E-2</v>
      </c>
    </row>
    <row r="113" spans="1:4" ht="15">
      <c r="A113" s="552" t="str">
        <f t="shared" si="32"/>
        <v>Indiana</v>
      </c>
      <c r="B113" s="565" t="s">
        <v>1166</v>
      </c>
      <c r="C113" s="566">
        <v>0.11863004000000001</v>
      </c>
      <c r="D113" s="567">
        <f>C113*8*0.15*VLOOKUP(A113,'State eGrid factors'!$A$2:$C$53,3,FALSE)+N("pct WFH x 8 hours/day x 150 Watts converted to kW x eGRID state-based EFs kg CO2e/kWh")</f>
        <v>0.10005080496491188</v>
      </c>
    </row>
    <row r="114" spans="1:4" ht="15">
      <c r="A114" s="552" t="str">
        <f t="shared" si="32"/>
        <v>Indiana</v>
      </c>
      <c r="B114" s="565" t="s">
        <v>1160</v>
      </c>
      <c r="C114" s="566">
        <v>5.5822149999999997E-3</v>
      </c>
      <c r="D114" s="567">
        <f t="shared" ref="D114:D119" si="33">C114*VLOOKUP($B114,$K$6:$L$12,2,FALSE)</f>
        <v>5.5158852606316665E-4</v>
      </c>
    </row>
    <row r="115" spans="1:4" ht="15">
      <c r="A115" s="552" t="str">
        <f t="shared" si="32"/>
        <v>Indiana</v>
      </c>
      <c r="B115" s="565" t="s">
        <v>1162</v>
      </c>
      <c r="C115" s="566">
        <v>8.3357859999999995E-3</v>
      </c>
      <c r="D115" s="567">
        <f t="shared" si="33"/>
        <v>2.7163186761273331E-3</v>
      </c>
    </row>
    <row r="116" spans="1:4" ht="15">
      <c r="A116" s="552" t="str">
        <f t="shared" si="32"/>
        <v>Indiana</v>
      </c>
      <c r="B116" s="565" t="s">
        <v>1164</v>
      </c>
      <c r="C116" s="566">
        <v>2.0114865999999999E-2</v>
      </c>
      <c r="D116" s="567">
        <f t="shared" si="33"/>
        <v>0</v>
      </c>
    </row>
    <row r="117" spans="1:4" ht="15">
      <c r="A117" s="552" t="str">
        <f t="shared" si="32"/>
        <v>Indiana</v>
      </c>
      <c r="B117" s="565" t="s">
        <v>1155</v>
      </c>
      <c r="C117" s="566">
        <v>3.816463E-3</v>
      </c>
      <c r="D117" s="567">
        <f t="shared" si="33"/>
        <v>0</v>
      </c>
    </row>
    <row r="118" spans="1:4" ht="15">
      <c r="A118" s="552" t="s">
        <v>1174</v>
      </c>
      <c r="B118" s="565" t="s">
        <v>1158</v>
      </c>
      <c r="C118" s="566">
        <v>0.74419534499999995</v>
      </c>
      <c r="D118" s="567">
        <f t="shared" si="33"/>
        <v>0.29424442067816997</v>
      </c>
    </row>
    <row r="119" spans="1:4" ht="15">
      <c r="A119" s="552" t="str">
        <f t="shared" ref="A119:A124" si="34">A118</f>
        <v>Iowa</v>
      </c>
      <c r="B119" s="565" t="s">
        <v>1156</v>
      </c>
      <c r="C119" s="566">
        <v>7.4608878000000003E-2</v>
      </c>
      <c r="D119" s="567">
        <f t="shared" si="33"/>
        <v>1.4749652918454001E-2</v>
      </c>
    </row>
    <row r="120" spans="1:4" ht="15">
      <c r="A120" s="552" t="str">
        <f t="shared" si="34"/>
        <v>Iowa</v>
      </c>
      <c r="B120" s="565" t="s">
        <v>1166</v>
      </c>
      <c r="C120" s="566">
        <v>0.13431335899999999</v>
      </c>
      <c r="D120" s="567">
        <f>C120*8*0.15*VLOOKUP(A120,'State eGrid factors'!$A$2:$C$53,3,FALSE)+N("pct WFH x 8 hours/day x 150 Watts converted to kW x eGRID state-based EFs kg CO2e/kWh")</f>
        <v>4.4976082860582953E-2</v>
      </c>
    </row>
    <row r="121" spans="1:4" ht="15">
      <c r="A121" s="552" t="str">
        <f t="shared" si="34"/>
        <v>Iowa</v>
      </c>
      <c r="B121" s="565" t="s">
        <v>1160</v>
      </c>
      <c r="C121" s="566">
        <v>4.8654950000000001E-3</v>
      </c>
      <c r="D121" s="567">
        <f t="shared" ref="D121:D126" si="35">C121*VLOOKUP($B121,$K$6:$L$12,2,FALSE)</f>
        <v>4.8076815665783337E-4</v>
      </c>
    </row>
    <row r="122" spans="1:4" ht="15">
      <c r="A122" s="552" t="str">
        <f t="shared" si="34"/>
        <v>Iowa</v>
      </c>
      <c r="B122" s="565" t="s">
        <v>1162</v>
      </c>
      <c r="C122" s="566">
        <v>1.0681799000000001E-2</v>
      </c>
      <c r="D122" s="567">
        <f t="shared" si="35"/>
        <v>3.4807959463376667E-3</v>
      </c>
    </row>
    <row r="123" spans="1:4" ht="15">
      <c r="A123" s="552" t="str">
        <f t="shared" si="34"/>
        <v>Iowa</v>
      </c>
      <c r="B123" s="565" t="s">
        <v>1164</v>
      </c>
      <c r="C123" s="566">
        <v>2.8279314E-2</v>
      </c>
      <c r="D123" s="567">
        <f t="shared" si="35"/>
        <v>0</v>
      </c>
    </row>
    <row r="124" spans="1:4" ht="15">
      <c r="A124" s="552" t="str">
        <f t="shared" si="34"/>
        <v>Iowa</v>
      </c>
      <c r="B124" s="565" t="s">
        <v>1155</v>
      </c>
      <c r="C124" s="566">
        <v>3.0558109999999999E-3</v>
      </c>
      <c r="D124" s="567">
        <f t="shared" si="35"/>
        <v>0</v>
      </c>
    </row>
    <row r="125" spans="1:4" ht="15">
      <c r="A125" s="552" t="s">
        <v>1181</v>
      </c>
      <c r="B125" s="565" t="s">
        <v>1158</v>
      </c>
      <c r="C125" s="566">
        <v>0.74426181999999996</v>
      </c>
      <c r="D125" s="567">
        <f t="shared" si="35"/>
        <v>0.29427070396251997</v>
      </c>
    </row>
    <row r="126" spans="1:4" ht="15">
      <c r="A126" s="552" t="str">
        <f t="shared" ref="A126:A131" si="36">A125</f>
        <v>Kansas</v>
      </c>
      <c r="B126" s="565" t="s">
        <v>1156</v>
      </c>
      <c r="C126" s="566">
        <v>7.8754693000000001E-2</v>
      </c>
      <c r="D126" s="567">
        <f t="shared" si="35"/>
        <v>1.5569251523249001E-2</v>
      </c>
    </row>
    <row r="127" spans="1:4" ht="15">
      <c r="A127" s="552" t="str">
        <f t="shared" si="36"/>
        <v>Kansas</v>
      </c>
      <c r="B127" s="565" t="s">
        <v>1166</v>
      </c>
      <c r="C127" s="566">
        <v>0.13823254300000001</v>
      </c>
      <c r="D127" s="567">
        <f>C127*8*0.15*VLOOKUP(A127,'State eGrid factors'!$A$2:$C$53,3,FALSE)+N("pct WFH x 8 hours/day x 150 Watts converted to kW x eGRID state-based EFs kg CO2e/kWh")</f>
        <v>6.0508737171648092E-2</v>
      </c>
    </row>
    <row r="128" spans="1:4" ht="15">
      <c r="A128" s="552" t="str">
        <f t="shared" si="36"/>
        <v>Kansas</v>
      </c>
      <c r="B128" s="565" t="s">
        <v>1160</v>
      </c>
      <c r="C128" s="566">
        <v>2.6602010000000001E-3</v>
      </c>
      <c r="D128" s="567">
        <f t="shared" ref="D128:D133" si="37">C128*VLOOKUP($B128,$K$6:$L$12,2,FALSE)</f>
        <v>2.6285916049843339E-4</v>
      </c>
    </row>
    <row r="129" spans="1:4" ht="15">
      <c r="A129" s="552" t="str">
        <f t="shared" si="36"/>
        <v>Kansas</v>
      </c>
      <c r="B129" s="565" t="s">
        <v>1162</v>
      </c>
      <c r="C129" s="566">
        <v>1.1106672999999999E-2</v>
      </c>
      <c r="D129" s="567">
        <f t="shared" si="37"/>
        <v>3.6192463793503328E-3</v>
      </c>
    </row>
    <row r="130" spans="1:4" ht="15">
      <c r="A130" s="552" t="str">
        <f t="shared" si="36"/>
        <v>Kansas</v>
      </c>
      <c r="B130" s="565" t="s">
        <v>1164</v>
      </c>
      <c r="C130" s="566">
        <v>2.2260912000000001E-2</v>
      </c>
      <c r="D130" s="567">
        <f t="shared" si="37"/>
        <v>0</v>
      </c>
    </row>
    <row r="131" spans="1:4" ht="15">
      <c r="A131" s="552" t="str">
        <f t="shared" si="36"/>
        <v>Kansas</v>
      </c>
      <c r="B131" s="565" t="s">
        <v>1155</v>
      </c>
      <c r="C131" s="566">
        <v>2.723156E-3</v>
      </c>
      <c r="D131" s="567">
        <f t="shared" si="37"/>
        <v>0</v>
      </c>
    </row>
    <row r="132" spans="1:4" ht="15">
      <c r="A132" s="552" t="s">
        <v>1185</v>
      </c>
      <c r="B132" s="565" t="s">
        <v>1158</v>
      </c>
      <c r="C132" s="566">
        <v>0.76421555299999999</v>
      </c>
      <c r="D132" s="567">
        <f t="shared" si="37"/>
        <v>0.30216013063845804</v>
      </c>
    </row>
    <row r="133" spans="1:4" ht="15">
      <c r="A133" s="552" t="str">
        <f t="shared" ref="A133:A138" si="38">A132</f>
        <v>Kentucky</v>
      </c>
      <c r="B133" s="565" t="s">
        <v>1156</v>
      </c>
      <c r="C133" s="566">
        <v>8.4245129000000002E-2</v>
      </c>
      <c r="D133" s="567">
        <f t="shared" si="37"/>
        <v>1.6654672287397001E-2</v>
      </c>
    </row>
    <row r="134" spans="1:4" ht="15">
      <c r="A134" s="552" t="str">
        <f t="shared" si="38"/>
        <v>Kentucky</v>
      </c>
      <c r="B134" s="565" t="s">
        <v>1166</v>
      </c>
      <c r="C134" s="566">
        <v>0.114505602</v>
      </c>
      <c r="D134" s="567">
        <f>C134*8*0.15*VLOOKUP(A134,'State eGrid factors'!$A$2:$C$53,3,FALSE)+N("pct WFH x 8 hours/day x 150 Watts converted to kW x eGRID state-based EFs kg CO2e/kWh")</f>
        <v>0.10501266159110306</v>
      </c>
    </row>
    <row r="135" spans="1:4" ht="15">
      <c r="A135" s="552" t="str">
        <f t="shared" si="38"/>
        <v>Kentucky</v>
      </c>
      <c r="B135" s="565" t="s">
        <v>1160</v>
      </c>
      <c r="C135" s="566">
        <v>5.348986E-3</v>
      </c>
      <c r="D135" s="567">
        <f t="shared" ref="D135:D140" si="39">C135*VLOOKUP($B135,$K$6:$L$12,2,FALSE)</f>
        <v>5.2854275653526673E-4</v>
      </c>
    </row>
    <row r="136" spans="1:4" ht="15">
      <c r="A136" s="552" t="str">
        <f t="shared" si="38"/>
        <v>Kentucky</v>
      </c>
      <c r="B136" s="565" t="s">
        <v>1162</v>
      </c>
      <c r="C136" s="566">
        <v>1.0043681E-2</v>
      </c>
      <c r="D136" s="567">
        <f t="shared" si="39"/>
        <v>3.2728573259156665E-3</v>
      </c>
    </row>
    <row r="137" spans="1:4" ht="15">
      <c r="A137" s="552" t="str">
        <f t="shared" si="38"/>
        <v>Kentucky</v>
      </c>
      <c r="B137" s="565" t="s">
        <v>1164</v>
      </c>
      <c r="C137" s="566">
        <v>2.0133732000000001E-2</v>
      </c>
      <c r="D137" s="567">
        <f t="shared" si="39"/>
        <v>0</v>
      </c>
    </row>
    <row r="138" spans="1:4" ht="15">
      <c r="A138" s="552" t="str">
        <f t="shared" si="38"/>
        <v>Kentucky</v>
      </c>
      <c r="B138" s="565" t="s">
        <v>1155</v>
      </c>
      <c r="C138" s="566">
        <v>1.5073160000000001E-3</v>
      </c>
      <c r="D138" s="567">
        <f t="shared" si="39"/>
        <v>0</v>
      </c>
    </row>
    <row r="139" spans="1:4" ht="15">
      <c r="A139" s="552" t="s">
        <v>1188</v>
      </c>
      <c r="B139" s="565" t="s">
        <v>1158</v>
      </c>
      <c r="C139" s="566">
        <v>0.79279587699999998</v>
      </c>
      <c r="D139" s="567">
        <f t="shared" si="39"/>
        <v>0.31346039062352199</v>
      </c>
    </row>
    <row r="140" spans="1:4" ht="15">
      <c r="A140" s="552" t="str">
        <f t="shared" ref="A140:A145" si="40">A139</f>
        <v>Louisiana</v>
      </c>
      <c r="B140" s="565" t="s">
        <v>1156</v>
      </c>
      <c r="C140" s="566">
        <v>8.2876905000000001E-2</v>
      </c>
      <c r="D140" s="567">
        <f t="shared" si="39"/>
        <v>1.6384183980165001E-2</v>
      </c>
    </row>
    <row r="141" spans="1:4" ht="15">
      <c r="A141" s="552" t="str">
        <f t="shared" si="40"/>
        <v>Louisiana</v>
      </c>
      <c r="B141" s="565" t="s">
        <v>1166</v>
      </c>
      <c r="C141" s="566">
        <v>8.4051534999999997E-2</v>
      </c>
      <c r="D141" s="567">
        <f>C141*8*0.15*VLOOKUP(A141,'State eGrid factors'!$A$2:$C$53,3,FALSE)+N("pct WFH x 8 hours/day x 150 Watts converted to kW x eGRID state-based EFs kg CO2e/kWh")</f>
        <v>3.4849678312541849E-2</v>
      </c>
    </row>
    <row r="142" spans="1:4" ht="15">
      <c r="A142" s="552" t="str">
        <f t="shared" si="40"/>
        <v>Louisiana</v>
      </c>
      <c r="B142" s="565" t="s">
        <v>1160</v>
      </c>
      <c r="C142" s="566">
        <v>7.4891690000000004E-3</v>
      </c>
      <c r="D142" s="567">
        <f t="shared" ref="D142:D147" si="41">C142*VLOOKUP($B142,$K$6:$L$12,2,FALSE)</f>
        <v>7.4001801975523342E-4</v>
      </c>
    </row>
    <row r="143" spans="1:4" ht="15">
      <c r="A143" s="552" t="str">
        <f t="shared" si="40"/>
        <v>Louisiana</v>
      </c>
      <c r="B143" s="565" t="s">
        <v>1162</v>
      </c>
      <c r="C143" s="566">
        <v>1.499587E-2</v>
      </c>
      <c r="D143" s="567">
        <f t="shared" si="41"/>
        <v>4.8865891885633327E-3</v>
      </c>
    </row>
    <row r="144" spans="1:4" ht="15">
      <c r="A144" s="552" t="str">
        <f t="shared" si="40"/>
        <v>Louisiana</v>
      </c>
      <c r="B144" s="565" t="s">
        <v>1164</v>
      </c>
      <c r="C144" s="566">
        <v>1.4286348000000001E-2</v>
      </c>
      <c r="D144" s="567">
        <f t="shared" si="41"/>
        <v>0</v>
      </c>
    </row>
    <row r="145" spans="1:4" ht="15">
      <c r="A145" s="552" t="str">
        <f t="shared" si="40"/>
        <v>Louisiana</v>
      </c>
      <c r="B145" s="565" t="s">
        <v>1155</v>
      </c>
      <c r="C145" s="566">
        <v>3.5042960000000001E-3</v>
      </c>
      <c r="D145" s="567">
        <f t="shared" si="41"/>
        <v>0</v>
      </c>
    </row>
    <row r="146" spans="1:4" ht="15">
      <c r="A146" s="552" t="s">
        <v>1190</v>
      </c>
      <c r="B146" s="565" t="s">
        <v>1158</v>
      </c>
      <c r="C146" s="566">
        <v>0.69247121300000003</v>
      </c>
      <c r="D146" s="567">
        <f t="shared" si="41"/>
        <v>0.27379342302321802</v>
      </c>
    </row>
    <row r="147" spans="1:4" ht="15">
      <c r="A147" s="552" t="str">
        <f t="shared" ref="A147:A152" si="42">A146</f>
        <v>Maine</v>
      </c>
      <c r="B147" s="565" t="s">
        <v>1156</v>
      </c>
      <c r="C147" s="566">
        <v>7.6895823000000002E-2</v>
      </c>
      <c r="D147" s="567">
        <f t="shared" si="41"/>
        <v>1.5201765936339E-2</v>
      </c>
    </row>
    <row r="148" spans="1:4" ht="15">
      <c r="A148" s="552" t="str">
        <f t="shared" si="42"/>
        <v>Maine</v>
      </c>
      <c r="B148" s="565" t="s">
        <v>1166</v>
      </c>
      <c r="C148" s="566">
        <v>0.17743862299999999</v>
      </c>
      <c r="D148" s="567">
        <f>C148*8*0.15*VLOOKUP(A148,'State eGrid factors'!$A$2:$C$53,3,FALSE)+N("pct WFH x 8 hours/day x 150 Watts converted to kW x eGRID state-based EFs kg CO2e/kWh")</f>
        <v>2.2037957139561647E-2</v>
      </c>
    </row>
    <row r="149" spans="1:4" ht="15">
      <c r="A149" s="552" t="str">
        <f t="shared" si="42"/>
        <v>Maine</v>
      </c>
      <c r="B149" s="565" t="s">
        <v>1160</v>
      </c>
      <c r="C149" s="566">
        <v>2.5769719999999999E-3</v>
      </c>
      <c r="D149" s="567">
        <f t="shared" ref="D149:D154" si="43">C149*VLOOKUP($B149,$K$6:$L$12,2,FALSE)</f>
        <v>2.5463515597053333E-4</v>
      </c>
    </row>
    <row r="150" spans="1:4" ht="15">
      <c r="A150" s="552" t="str">
        <f t="shared" si="42"/>
        <v>Maine</v>
      </c>
      <c r="B150" s="565" t="s">
        <v>1162</v>
      </c>
      <c r="C150" s="566">
        <v>1.0161023E-2</v>
      </c>
      <c r="D150" s="567">
        <f t="shared" si="43"/>
        <v>3.3110946638336665E-3</v>
      </c>
    </row>
    <row r="151" spans="1:4" ht="15">
      <c r="A151" s="552" t="str">
        <f t="shared" si="42"/>
        <v>Maine</v>
      </c>
      <c r="B151" s="565" t="s">
        <v>1164</v>
      </c>
      <c r="C151" s="566">
        <v>3.7578069999999998E-2</v>
      </c>
      <c r="D151" s="567">
        <f t="shared" si="43"/>
        <v>0</v>
      </c>
    </row>
    <row r="152" spans="1:4" ht="15">
      <c r="A152" s="552" t="str">
        <f t="shared" si="42"/>
        <v>Maine</v>
      </c>
      <c r="B152" s="565" t="s">
        <v>1155</v>
      </c>
      <c r="C152" s="566">
        <v>2.878275E-3</v>
      </c>
      <c r="D152" s="567">
        <f t="shared" si="43"/>
        <v>0</v>
      </c>
    </row>
    <row r="153" spans="1:4" ht="15">
      <c r="A153" s="552" t="s">
        <v>1192</v>
      </c>
      <c r="B153" s="565" t="s">
        <v>1158</v>
      </c>
      <c r="C153" s="566">
        <v>0.62202941599999995</v>
      </c>
      <c r="D153" s="567">
        <f t="shared" si="43"/>
        <v>0.24594172267457598</v>
      </c>
    </row>
    <row r="154" spans="1:4" ht="15">
      <c r="A154" s="552" t="str">
        <f t="shared" ref="A154:A159" si="44">A153</f>
        <v>Maryland</v>
      </c>
      <c r="B154" s="565" t="s">
        <v>1156</v>
      </c>
      <c r="C154" s="566">
        <v>6.9994358000000007E-2</v>
      </c>
      <c r="D154" s="567">
        <f t="shared" si="43"/>
        <v>1.3837394616094002E-2</v>
      </c>
    </row>
    <row r="155" spans="1:4" ht="15">
      <c r="A155" s="552" t="str">
        <f t="shared" si="44"/>
        <v>Maryland</v>
      </c>
      <c r="B155" s="565" t="s">
        <v>1166</v>
      </c>
      <c r="C155" s="566">
        <v>0.24020114400000001</v>
      </c>
      <c r="D155" s="567">
        <f>C155*8*0.15*VLOOKUP(A155,'State eGrid factors'!$A$2:$C$53,3,FALSE)+N("pct WFH x 8 hours/day x 150 Watts converted to kW x eGRID state-based EFs kg CO2e/kWh")</f>
        <v>8.4372528554653436E-2</v>
      </c>
    </row>
    <row r="156" spans="1:4" ht="15">
      <c r="A156" s="552" t="str">
        <f t="shared" si="44"/>
        <v>Maryland</v>
      </c>
      <c r="B156" s="565" t="s">
        <v>1160</v>
      </c>
      <c r="C156" s="566">
        <v>2.9869484000000002E-2</v>
      </c>
      <c r="D156" s="567">
        <f t="shared" ref="D156:D161" si="45">C156*VLOOKUP($B156,$K$6:$L$12,2,FALSE)</f>
        <v>2.9514564834617336E-3</v>
      </c>
    </row>
    <row r="157" spans="1:4" ht="15">
      <c r="A157" s="552" t="str">
        <f t="shared" si="44"/>
        <v>Maryland</v>
      </c>
      <c r="B157" s="565" t="s">
        <v>1162</v>
      </c>
      <c r="C157" s="566">
        <v>1.8132938000000001E-2</v>
      </c>
      <c r="D157" s="567">
        <f t="shared" si="45"/>
        <v>5.9088414868686667E-3</v>
      </c>
    </row>
    <row r="158" spans="1:4" ht="15">
      <c r="A158" s="552" t="str">
        <f t="shared" si="44"/>
        <v>Maryland</v>
      </c>
      <c r="B158" s="565" t="s">
        <v>1164</v>
      </c>
      <c r="C158" s="566">
        <v>1.7547813999999998E-2</v>
      </c>
      <c r="D158" s="567">
        <f t="shared" si="45"/>
        <v>0</v>
      </c>
    </row>
    <row r="159" spans="1:4" ht="15">
      <c r="A159" s="552" t="str">
        <f t="shared" si="44"/>
        <v>Maryland</v>
      </c>
      <c r="B159" s="565" t="s">
        <v>1155</v>
      </c>
      <c r="C159" s="566">
        <v>2.2248459999999999E-3</v>
      </c>
      <c r="D159" s="567">
        <f t="shared" si="45"/>
        <v>0</v>
      </c>
    </row>
    <row r="160" spans="1:4" ht="15">
      <c r="A160" s="552" t="s">
        <v>1195</v>
      </c>
      <c r="B160" s="565" t="s">
        <v>1158</v>
      </c>
      <c r="C160" s="566">
        <v>0.594840021</v>
      </c>
      <c r="D160" s="567">
        <f t="shared" si="45"/>
        <v>0.23519141654310602</v>
      </c>
    </row>
    <row r="161" spans="1:4" ht="15">
      <c r="A161" s="552" t="str">
        <f t="shared" ref="A161:A166" si="46">A160</f>
        <v>Massachusetts</v>
      </c>
      <c r="B161" s="565" t="s">
        <v>1156</v>
      </c>
      <c r="C161" s="566">
        <v>6.2941552999999997E-2</v>
      </c>
      <c r="D161" s="567">
        <f t="shared" si="45"/>
        <v>1.2443104437229E-2</v>
      </c>
    </row>
    <row r="162" spans="1:4" ht="15">
      <c r="A162" s="552" t="str">
        <f t="shared" si="46"/>
        <v>Massachusetts</v>
      </c>
      <c r="B162" s="565" t="s">
        <v>1166</v>
      </c>
      <c r="C162" s="566">
        <v>0.23710189700000001</v>
      </c>
      <c r="D162" s="567">
        <f>C162*8*0.15*VLOOKUP(A162,'State eGrid factors'!$A$2:$C$53,3,FALSE)+N("pct WFH x 8 hours/day x 150 Watts converted to kW x eGRID state-based EFs kg CO2e/kWh")</f>
        <v>0.11355763602191597</v>
      </c>
    </row>
    <row r="163" spans="1:4" ht="15">
      <c r="A163" s="552" t="str">
        <f t="shared" si="46"/>
        <v>Massachusetts</v>
      </c>
      <c r="B163" s="565" t="s">
        <v>1160</v>
      </c>
      <c r="C163" s="566">
        <v>4.5049697999999999E-2</v>
      </c>
      <c r="D163" s="567">
        <f t="shared" ref="D163:D168" si="47">C163*VLOOKUP($B163,$K$6:$L$12,2,FALSE)</f>
        <v>4.4514402471798001E-3</v>
      </c>
    </row>
    <row r="164" spans="1:4" ht="15">
      <c r="A164" s="552" t="str">
        <f t="shared" si="46"/>
        <v>Massachusetts</v>
      </c>
      <c r="B164" s="565" t="s">
        <v>1162</v>
      </c>
      <c r="C164" s="566">
        <v>1.6697552000000001E-2</v>
      </c>
      <c r="D164" s="567">
        <f t="shared" si="47"/>
        <v>5.4411032556746664E-3</v>
      </c>
    </row>
    <row r="165" spans="1:4" ht="15">
      <c r="A165" s="552" t="str">
        <f t="shared" si="46"/>
        <v>Massachusetts</v>
      </c>
      <c r="B165" s="565" t="s">
        <v>1164</v>
      </c>
      <c r="C165" s="566">
        <v>3.7016584999999998E-2</v>
      </c>
      <c r="D165" s="567">
        <f t="shared" si="47"/>
        <v>0</v>
      </c>
    </row>
    <row r="166" spans="1:4" ht="15">
      <c r="A166" s="552" t="str">
        <f t="shared" si="46"/>
        <v>Massachusetts</v>
      </c>
      <c r="B166" s="565" t="s">
        <v>1155</v>
      </c>
      <c r="C166" s="566">
        <v>6.3526930000000004E-3</v>
      </c>
      <c r="D166" s="567">
        <f t="shared" si="47"/>
        <v>0</v>
      </c>
    </row>
    <row r="167" spans="1:4" ht="15">
      <c r="A167" s="552" t="s">
        <v>1197</v>
      </c>
      <c r="B167" s="565" t="s">
        <v>1158</v>
      </c>
      <c r="C167" s="566">
        <v>0.72468714199999995</v>
      </c>
      <c r="D167" s="567">
        <f t="shared" si="47"/>
        <v>0.28653115032681198</v>
      </c>
    </row>
    <row r="168" spans="1:4" ht="15">
      <c r="A168" s="552" t="str">
        <f t="shared" ref="A168:A173" si="48">A167</f>
        <v>Michigan</v>
      </c>
      <c r="B168" s="565" t="s">
        <v>1156</v>
      </c>
      <c r="C168" s="566">
        <v>7.2222966E-2</v>
      </c>
      <c r="D168" s="567">
        <f t="shared" si="47"/>
        <v>1.4277974817438E-2</v>
      </c>
    </row>
    <row r="169" spans="1:4" ht="15">
      <c r="A169" s="552" t="str">
        <f t="shared" si="48"/>
        <v>Michigan</v>
      </c>
      <c r="B169" s="565" t="s">
        <v>1166</v>
      </c>
      <c r="C169" s="566">
        <v>0.16387976800000001</v>
      </c>
      <c r="D169" s="567">
        <f>C169*8*0.15*VLOOKUP(A169,'State eGrid factors'!$A$2:$C$53,3,FALSE)+N("pct WFH x 8 hours/day x 150 Watts converted to kW x eGRID state-based EFs kg CO2e/kWh")</f>
        <v>8.3673904431679644E-2</v>
      </c>
    </row>
    <row r="170" spans="1:4" ht="15">
      <c r="A170" s="552" t="str">
        <f t="shared" si="48"/>
        <v>Michigan</v>
      </c>
      <c r="B170" s="565" t="s">
        <v>1160</v>
      </c>
      <c r="C170" s="566">
        <v>8.4141630000000005E-3</v>
      </c>
      <c r="D170" s="567">
        <f t="shared" ref="D170:D175" si="49">C170*VLOOKUP($B170,$K$6:$L$12,2,FALSE)</f>
        <v>8.3141831105130017E-4</v>
      </c>
    </row>
    <row r="171" spans="1:4" ht="15">
      <c r="A171" s="552" t="str">
        <f t="shared" si="48"/>
        <v>Michigan</v>
      </c>
      <c r="B171" s="565" t="s">
        <v>1162</v>
      </c>
      <c r="C171" s="566">
        <v>9.7192379999999998E-3</v>
      </c>
      <c r="D171" s="567">
        <f t="shared" si="49"/>
        <v>3.1671335729019996E-3</v>
      </c>
    </row>
    <row r="172" spans="1:4" ht="15">
      <c r="A172" s="552" t="str">
        <f t="shared" si="48"/>
        <v>Michigan</v>
      </c>
      <c r="B172" s="565" t="s">
        <v>1164</v>
      </c>
      <c r="C172" s="566">
        <v>1.7994652E-2</v>
      </c>
      <c r="D172" s="567">
        <f t="shared" si="49"/>
        <v>0</v>
      </c>
    </row>
    <row r="173" spans="1:4" ht="15">
      <c r="A173" s="552" t="str">
        <f t="shared" si="48"/>
        <v>Michigan</v>
      </c>
      <c r="B173" s="565" t="s">
        <v>1155</v>
      </c>
      <c r="C173" s="566">
        <v>3.082071E-3</v>
      </c>
      <c r="D173" s="567">
        <f t="shared" si="49"/>
        <v>0</v>
      </c>
    </row>
    <row r="174" spans="1:4" ht="15">
      <c r="A174" s="552" t="s">
        <v>1199</v>
      </c>
      <c r="B174" s="565" t="s">
        <v>1158</v>
      </c>
      <c r="C174" s="566">
        <v>0.66451947700000003</v>
      </c>
      <c r="D174" s="567">
        <f t="shared" si="49"/>
        <v>0.26274169793312202</v>
      </c>
    </row>
    <row r="175" spans="1:4" ht="15">
      <c r="A175" s="552" t="str">
        <f t="shared" ref="A175:A180" si="50">A174</f>
        <v>Minnesota</v>
      </c>
      <c r="B175" s="565" t="s">
        <v>1156</v>
      </c>
      <c r="C175" s="566">
        <v>7.1349679999999999E-2</v>
      </c>
      <c r="D175" s="567">
        <f t="shared" si="49"/>
        <v>1.410533228824E-2</v>
      </c>
    </row>
    <row r="176" spans="1:4" ht="15">
      <c r="A176" s="552" t="str">
        <f t="shared" si="50"/>
        <v>Minnesota</v>
      </c>
      <c r="B176" s="565" t="s">
        <v>1166</v>
      </c>
      <c r="C176" s="566">
        <v>0.209042062</v>
      </c>
      <c r="D176" s="567">
        <f>C176*8*0.15*VLOOKUP(A176,'State eGrid factors'!$A$2:$C$53,3,FALSE)+N("pct WFH x 8 hours/day x 150 Watts converted to kW x eGRID state-based EFs kg CO2e/kWh")</f>
        <v>8.7655322260357965E-2</v>
      </c>
    </row>
    <row r="177" spans="1:4" ht="15">
      <c r="A177" s="552" t="str">
        <f t="shared" si="50"/>
        <v>Minnesota</v>
      </c>
      <c r="B177" s="565" t="s">
        <v>1160</v>
      </c>
      <c r="C177" s="566">
        <v>1.3972151E-2</v>
      </c>
      <c r="D177" s="567">
        <f t="shared" ref="D177:D182" si="51">C177*VLOOKUP($B177,$K$6:$L$12,2,FALSE)</f>
        <v>1.3806129244434335E-3</v>
      </c>
    </row>
    <row r="178" spans="1:4" ht="15">
      <c r="A178" s="552" t="str">
        <f t="shared" si="50"/>
        <v>Minnesota</v>
      </c>
      <c r="B178" s="565" t="s">
        <v>1162</v>
      </c>
      <c r="C178" s="566">
        <v>1.1641797000000001E-2</v>
      </c>
      <c r="D178" s="567">
        <f t="shared" si="51"/>
        <v>3.7936231346129999E-3</v>
      </c>
    </row>
    <row r="179" spans="1:4" ht="15">
      <c r="A179" s="552" t="str">
        <f t="shared" si="50"/>
        <v>Minnesota</v>
      </c>
      <c r="B179" s="565" t="s">
        <v>1164</v>
      </c>
      <c r="C179" s="566">
        <v>2.5136668000000001E-2</v>
      </c>
      <c r="D179" s="567">
        <f t="shared" si="51"/>
        <v>0</v>
      </c>
    </row>
    <row r="180" spans="1:4" ht="15">
      <c r="A180" s="552" t="str">
        <f t="shared" si="50"/>
        <v>Minnesota</v>
      </c>
      <c r="B180" s="565" t="s">
        <v>1155</v>
      </c>
      <c r="C180" s="566">
        <v>4.3381649999999997E-3</v>
      </c>
      <c r="D180" s="567">
        <f t="shared" si="51"/>
        <v>0</v>
      </c>
    </row>
    <row r="181" spans="1:4" ht="15">
      <c r="A181" s="552" t="s">
        <v>1201</v>
      </c>
      <c r="B181" s="565" t="s">
        <v>1158</v>
      </c>
      <c r="C181" s="566">
        <v>0.83043417399999997</v>
      </c>
      <c r="D181" s="567">
        <f t="shared" si="51"/>
        <v>0.32834204632116398</v>
      </c>
    </row>
    <row r="182" spans="1:4" ht="15">
      <c r="A182" s="552" t="str">
        <f t="shared" ref="A182:A187" si="52">A181</f>
        <v>Mississippi</v>
      </c>
      <c r="B182" s="565" t="s">
        <v>1156</v>
      </c>
      <c r="C182" s="566">
        <v>7.7986799999999995E-2</v>
      </c>
      <c r="D182" s="567">
        <f t="shared" si="51"/>
        <v>1.54174444524E-2</v>
      </c>
    </row>
    <row r="183" spans="1:4" ht="15">
      <c r="A183" s="552" t="str">
        <f t="shared" si="52"/>
        <v>Mississippi</v>
      </c>
      <c r="B183" s="565" t="s">
        <v>1166</v>
      </c>
      <c r="C183" s="566">
        <v>6.251255E-2</v>
      </c>
      <c r="D183" s="567">
        <f>C183*8*0.15*VLOOKUP(A183,'State eGrid factors'!$A$2:$C$53,3,FALSE)+N("pct WFH x 8 hours/day x 150 Watts converted to kW x eGRID state-based EFs kg CO2e/kWh")</f>
        <v>3.0424071113407301E-2</v>
      </c>
    </row>
    <row r="184" spans="1:4" ht="15">
      <c r="A184" s="552" t="str">
        <f t="shared" si="52"/>
        <v>Mississippi</v>
      </c>
      <c r="B184" s="565" t="s">
        <v>1160</v>
      </c>
      <c r="C184" s="566">
        <v>2.346154E-3</v>
      </c>
      <c r="D184" s="567">
        <f t="shared" ref="D184:D189" si="53">C184*VLOOKUP($B184,$K$6:$L$12,2,FALSE)</f>
        <v>2.3182762161206669E-4</v>
      </c>
    </row>
    <row r="185" spans="1:4" ht="15">
      <c r="A185" s="552" t="str">
        <f t="shared" si="52"/>
        <v>Mississippi</v>
      </c>
      <c r="B185" s="565" t="s">
        <v>1162</v>
      </c>
      <c r="C185" s="566">
        <v>1.6032193E-2</v>
      </c>
      <c r="D185" s="567">
        <f t="shared" si="53"/>
        <v>5.2242878194303328E-3</v>
      </c>
    </row>
    <row r="186" spans="1:4" ht="15">
      <c r="A186" s="552" t="str">
        <f t="shared" si="52"/>
        <v>Mississippi</v>
      </c>
      <c r="B186" s="565" t="s">
        <v>1164</v>
      </c>
      <c r="C186" s="566">
        <v>1.0194374000000001E-2</v>
      </c>
      <c r="D186" s="567">
        <f t="shared" si="53"/>
        <v>0</v>
      </c>
    </row>
    <row r="187" spans="1:4" ht="15">
      <c r="A187" s="552" t="str">
        <f t="shared" si="52"/>
        <v>Mississippi</v>
      </c>
      <c r="B187" s="565" t="s">
        <v>1155</v>
      </c>
      <c r="C187" s="566">
        <v>4.93754E-4</v>
      </c>
      <c r="D187" s="567">
        <f t="shared" si="53"/>
        <v>0</v>
      </c>
    </row>
    <row r="188" spans="1:4" ht="15">
      <c r="A188" s="552" t="s">
        <v>1203</v>
      </c>
      <c r="B188" s="565" t="s">
        <v>1158</v>
      </c>
      <c r="C188" s="566">
        <v>0.73929620500000004</v>
      </c>
      <c r="D188" s="567">
        <f t="shared" si="53"/>
        <v>0.29230736931013002</v>
      </c>
    </row>
    <row r="189" spans="1:4" ht="15">
      <c r="A189" s="552" t="str">
        <f t="shared" ref="A189:A194" si="54">A188</f>
        <v>Missouri</v>
      </c>
      <c r="B189" s="565" t="s">
        <v>1156</v>
      </c>
      <c r="C189" s="566">
        <v>7.5810757000000006E-2</v>
      </c>
      <c r="D189" s="567">
        <f t="shared" si="53"/>
        <v>1.4987255983601002E-2</v>
      </c>
    </row>
    <row r="190" spans="1:4" ht="15">
      <c r="A190" s="552" t="str">
        <f t="shared" si="54"/>
        <v>Missouri</v>
      </c>
      <c r="B190" s="565" t="s">
        <v>1166</v>
      </c>
      <c r="C190" s="566">
        <v>0.14706686899999999</v>
      </c>
      <c r="D190" s="567">
        <f>C190*8*0.15*VLOOKUP(A190,'State eGrid factors'!$A$2:$C$53,3,FALSE)+N("pct WFH x 8 hours/day x 150 Watts converted to kW x eGRID state-based EFs kg CO2e/kWh")</f>
        <v>0.12955490335414666</v>
      </c>
    </row>
    <row r="191" spans="1:4" ht="15">
      <c r="A191" s="552" t="str">
        <f t="shared" si="54"/>
        <v>Missouri</v>
      </c>
      <c r="B191" s="565" t="s">
        <v>1160</v>
      </c>
      <c r="C191" s="566">
        <v>7.6735500000000003E-3</v>
      </c>
      <c r="D191" s="567">
        <f t="shared" ref="D191:D196" si="55">C191*VLOOKUP($B191,$K$6:$L$12,2,FALSE)</f>
        <v>7.5823703210500012E-4</v>
      </c>
    </row>
    <row r="192" spans="1:4" ht="15">
      <c r="A192" s="552" t="str">
        <f t="shared" si="54"/>
        <v>Missouri</v>
      </c>
      <c r="B192" s="565" t="s">
        <v>1162</v>
      </c>
      <c r="C192" s="566">
        <v>1.0337127999999999E-2</v>
      </c>
      <c r="D192" s="567">
        <f t="shared" si="55"/>
        <v>3.3684806500453328E-3</v>
      </c>
    </row>
    <row r="193" spans="1:4" ht="15">
      <c r="A193" s="552" t="str">
        <f t="shared" si="54"/>
        <v>Missouri</v>
      </c>
      <c r="B193" s="565" t="s">
        <v>1164</v>
      </c>
      <c r="C193" s="566">
        <v>1.8434389999999998E-2</v>
      </c>
      <c r="D193" s="567">
        <f t="shared" si="55"/>
        <v>0</v>
      </c>
    </row>
    <row r="194" spans="1:4" ht="15">
      <c r="A194" s="552" t="str">
        <f t="shared" si="54"/>
        <v>Missouri</v>
      </c>
      <c r="B194" s="565" t="s">
        <v>1155</v>
      </c>
      <c r="C194" s="566">
        <v>1.3811019999999999E-3</v>
      </c>
      <c r="D194" s="567">
        <f t="shared" si="55"/>
        <v>0</v>
      </c>
    </row>
    <row r="195" spans="1:4" ht="15">
      <c r="A195" s="552" t="s">
        <v>1204</v>
      </c>
      <c r="B195" s="565" t="s">
        <v>1158</v>
      </c>
      <c r="C195" s="566">
        <v>0.71250958799999997</v>
      </c>
      <c r="D195" s="567">
        <f t="shared" si="55"/>
        <v>0.28171631596096802</v>
      </c>
    </row>
    <row r="196" spans="1:4" ht="15">
      <c r="A196" s="552" t="str">
        <f t="shared" ref="A196:A201" si="56">A195</f>
        <v>Montana</v>
      </c>
      <c r="B196" s="565" t="s">
        <v>1156</v>
      </c>
      <c r="C196" s="566">
        <v>8.6840842000000001E-2</v>
      </c>
      <c r="D196" s="567">
        <f t="shared" si="55"/>
        <v>1.7167826577506002E-2</v>
      </c>
    </row>
    <row r="197" spans="1:4" ht="15">
      <c r="A197" s="552" t="str">
        <f t="shared" si="56"/>
        <v>Montana</v>
      </c>
      <c r="B197" s="565" t="s">
        <v>1166</v>
      </c>
      <c r="C197" s="566">
        <v>0.140438058</v>
      </c>
      <c r="D197" s="567">
        <f>C197*8*0.15*VLOOKUP(A197,'State eGrid factors'!$A$2:$C$53,3,FALSE)+N("pct WFH x 8 hours/day x 150 Watts converted to kW x eGRID state-based EFs kg CO2e/kWh")</f>
        <v>6.9763842080147687E-2</v>
      </c>
    </row>
    <row r="198" spans="1:4" ht="15">
      <c r="A198" s="552" t="str">
        <f t="shared" si="56"/>
        <v>Montana</v>
      </c>
      <c r="B198" s="565" t="s">
        <v>1160</v>
      </c>
      <c r="C198" s="566">
        <v>4.093289E-3</v>
      </c>
      <c r="D198" s="567">
        <f t="shared" ref="D198:D203" si="57">C198*VLOOKUP($B198,$K$6:$L$12,2,FALSE)</f>
        <v>4.0446511756723336E-4</v>
      </c>
    </row>
    <row r="199" spans="1:4" ht="15">
      <c r="A199" s="552" t="str">
        <f t="shared" si="56"/>
        <v>Montana</v>
      </c>
      <c r="B199" s="565" t="s">
        <v>1162</v>
      </c>
      <c r="C199" s="566">
        <v>8.2535239999999999E-3</v>
      </c>
      <c r="D199" s="567">
        <f t="shared" si="57"/>
        <v>2.6895125888626663E-3</v>
      </c>
    </row>
    <row r="200" spans="1:4" ht="15">
      <c r="A200" s="552" t="str">
        <f t="shared" si="56"/>
        <v>Montana</v>
      </c>
      <c r="B200" s="565" t="s">
        <v>1164</v>
      </c>
      <c r="C200" s="566">
        <v>3.5632652000000001E-2</v>
      </c>
      <c r="D200" s="567">
        <f t="shared" si="57"/>
        <v>0</v>
      </c>
    </row>
    <row r="201" spans="1:4" ht="15">
      <c r="A201" s="552" t="str">
        <f t="shared" si="56"/>
        <v>Montana</v>
      </c>
      <c r="B201" s="565" t="s">
        <v>1155</v>
      </c>
      <c r="C201" s="566">
        <v>1.2232046999999999E-2</v>
      </c>
      <c r="D201" s="567">
        <f t="shared" si="57"/>
        <v>0</v>
      </c>
    </row>
    <row r="202" spans="1:4" ht="15">
      <c r="A202" s="552" t="s">
        <v>1205</v>
      </c>
      <c r="B202" s="565" t="s">
        <v>1158</v>
      </c>
      <c r="C202" s="566">
        <v>0.74970492499999997</v>
      </c>
      <c r="D202" s="567">
        <f t="shared" si="57"/>
        <v>0.29642283147604997</v>
      </c>
    </row>
    <row r="203" spans="1:4" ht="15">
      <c r="A203" s="552" t="str">
        <f t="shared" ref="A203:A208" si="58">A202</f>
        <v>Nebraska</v>
      </c>
      <c r="B203" s="565" t="s">
        <v>1156</v>
      </c>
      <c r="C203" s="566">
        <v>8.0103018999999998E-2</v>
      </c>
      <c r="D203" s="567">
        <f t="shared" si="57"/>
        <v>1.5835806135167E-2</v>
      </c>
    </row>
    <row r="204" spans="1:4" ht="15">
      <c r="A204" s="552" t="str">
        <f t="shared" si="58"/>
        <v>Nebraska</v>
      </c>
      <c r="B204" s="565" t="s">
        <v>1166</v>
      </c>
      <c r="C204" s="566">
        <v>0.12822602399999999</v>
      </c>
      <c r="D204" s="567">
        <f>C204*8*0.15*VLOOKUP(A204,'State eGrid factors'!$A$2:$C$53,3,FALSE)+N("pct WFH x 8 hours/day x 150 Watts converted to kW x eGRID state-based EFs kg CO2e/kWh")</f>
        <v>8.3800501011892459E-2</v>
      </c>
    </row>
    <row r="205" spans="1:4" ht="15">
      <c r="A205" s="552" t="str">
        <f t="shared" si="58"/>
        <v>Nebraska</v>
      </c>
      <c r="B205" s="565" t="s">
        <v>1160</v>
      </c>
      <c r="C205" s="566">
        <v>4.2162090000000003E-3</v>
      </c>
      <c r="D205" s="567">
        <f t="shared" ref="D205:D210" si="59">C205*VLOOKUP($B205,$K$6:$L$12,2,FALSE)</f>
        <v>4.1661105992590007E-4</v>
      </c>
    </row>
    <row r="206" spans="1:4" ht="15">
      <c r="A206" s="552" t="str">
        <f t="shared" si="58"/>
        <v>Nebraska</v>
      </c>
      <c r="B206" s="565" t="s">
        <v>1162</v>
      </c>
      <c r="C206" s="566">
        <v>1.0705882999999999E-2</v>
      </c>
      <c r="D206" s="567">
        <f t="shared" si="59"/>
        <v>3.4886440147736662E-3</v>
      </c>
    </row>
    <row r="207" spans="1:4" ht="15">
      <c r="A207" s="552" t="str">
        <f t="shared" si="58"/>
        <v>Nebraska</v>
      </c>
      <c r="B207" s="565" t="s">
        <v>1164</v>
      </c>
      <c r="C207" s="566">
        <v>2.3993179999999999E-2</v>
      </c>
      <c r="D207" s="567">
        <f t="shared" si="59"/>
        <v>0</v>
      </c>
    </row>
    <row r="208" spans="1:4" ht="15">
      <c r="A208" s="552" t="str">
        <f t="shared" si="58"/>
        <v>Nebraska</v>
      </c>
      <c r="B208" s="565" t="s">
        <v>1155</v>
      </c>
      <c r="C208" s="566">
        <v>3.0507609999999999E-3</v>
      </c>
      <c r="D208" s="567">
        <f t="shared" si="59"/>
        <v>0</v>
      </c>
    </row>
    <row r="209" spans="1:4" ht="15">
      <c r="A209" s="552" t="s">
        <v>1206</v>
      </c>
      <c r="B209" s="565" t="s">
        <v>1158</v>
      </c>
      <c r="C209" s="566">
        <v>0.70408930700000005</v>
      </c>
      <c r="D209" s="567">
        <f t="shared" si="59"/>
        <v>0.27838705473750203</v>
      </c>
    </row>
    <row r="210" spans="1:4" ht="15">
      <c r="A210" s="552" t="str">
        <f t="shared" ref="A210:A215" si="60">A209</f>
        <v>Nevada</v>
      </c>
      <c r="B210" s="565" t="s">
        <v>1156</v>
      </c>
      <c r="C210" s="566">
        <v>0.102511959</v>
      </c>
      <c r="D210" s="567">
        <f t="shared" si="59"/>
        <v>2.0265896710587001E-2</v>
      </c>
    </row>
    <row r="211" spans="1:4" ht="15">
      <c r="A211" s="552" t="str">
        <f t="shared" si="60"/>
        <v>Nevada</v>
      </c>
      <c r="B211" s="565" t="s">
        <v>1166</v>
      </c>
      <c r="C211" s="566">
        <v>0.12973842999999999</v>
      </c>
      <c r="D211" s="567">
        <f>C211*8*0.15*VLOOKUP(A211,'State eGrid factors'!$A$2:$C$53,3,FALSE)+N("pct WFH x 8 hours/day x 150 Watts converted to kW x eGRID state-based EFs kg CO2e/kWh")</f>
        <v>5.0606567801375298E-2</v>
      </c>
    </row>
    <row r="212" spans="1:4" ht="15">
      <c r="A212" s="552" t="str">
        <f t="shared" si="60"/>
        <v>Nevada</v>
      </c>
      <c r="B212" s="565" t="s">
        <v>1160</v>
      </c>
      <c r="C212" s="566">
        <v>1.9849196E-2</v>
      </c>
      <c r="D212" s="567">
        <f t="shared" ref="D212:D217" si="61">C212*VLOOKUP($B212,$K$6:$L$12,2,FALSE)</f>
        <v>1.9613341236729333E-3</v>
      </c>
    </row>
    <row r="213" spans="1:4" ht="15">
      <c r="A213" s="552" t="str">
        <f t="shared" si="60"/>
        <v>Nevada</v>
      </c>
      <c r="B213" s="565" t="s">
        <v>1162</v>
      </c>
      <c r="C213" s="566">
        <v>2.8735653E-2</v>
      </c>
      <c r="D213" s="567">
        <f t="shared" si="61"/>
        <v>9.3638669364369993E-3</v>
      </c>
    </row>
    <row r="214" spans="1:4" ht="15">
      <c r="A214" s="552" t="str">
        <f t="shared" si="60"/>
        <v>Nevada</v>
      </c>
      <c r="B214" s="565" t="s">
        <v>1164</v>
      </c>
      <c r="C214" s="566">
        <v>1.3115867E-2</v>
      </c>
      <c r="D214" s="567">
        <f t="shared" si="61"/>
        <v>0</v>
      </c>
    </row>
    <row r="215" spans="1:4" ht="15">
      <c r="A215" s="552" t="str">
        <f t="shared" si="60"/>
        <v>Nevada</v>
      </c>
      <c r="B215" s="565" t="s">
        <v>1155</v>
      </c>
      <c r="C215" s="566">
        <v>1.9595889999999999E-3</v>
      </c>
      <c r="D215" s="567">
        <f t="shared" si="61"/>
        <v>0</v>
      </c>
    </row>
    <row r="216" spans="1:4" ht="15">
      <c r="A216" s="552" t="s">
        <v>1207</v>
      </c>
      <c r="B216" s="565" t="s">
        <v>1158</v>
      </c>
      <c r="C216" s="566">
        <v>0.69956037800000004</v>
      </c>
      <c r="D216" s="567">
        <f t="shared" si="61"/>
        <v>0.27659637961590805</v>
      </c>
    </row>
    <row r="217" spans="1:4" ht="15">
      <c r="A217" s="552" t="str">
        <f t="shared" ref="A217:A222" si="62">A216</f>
        <v>New Hampshire</v>
      </c>
      <c r="B217" s="565" t="s">
        <v>1156</v>
      </c>
      <c r="C217" s="566">
        <v>6.9619397999999999E-2</v>
      </c>
      <c r="D217" s="567">
        <f t="shared" si="61"/>
        <v>1.3763267648814E-2</v>
      </c>
    </row>
    <row r="218" spans="1:4" ht="15">
      <c r="A218" s="552" t="str">
        <f t="shared" si="62"/>
        <v>New Hampshire</v>
      </c>
      <c r="B218" s="565" t="s">
        <v>1166</v>
      </c>
      <c r="C218" s="566">
        <v>0.19342844200000001</v>
      </c>
      <c r="D218" s="567">
        <f>C218*8*0.15*VLOOKUP(A218,'State eGrid factors'!$A$2:$C$53,3,FALSE)+N("pct WFH x 8 hours/day x 150 Watts converted to kW x eGRID state-based EFs kg CO2e/kWh")</f>
        <v>2.609970532586478E-2</v>
      </c>
    </row>
    <row r="219" spans="1:4" ht="15">
      <c r="A219" s="552" t="str">
        <f t="shared" si="62"/>
        <v>New Hampshire</v>
      </c>
      <c r="B219" s="565" t="s">
        <v>1160</v>
      </c>
      <c r="C219" s="566">
        <v>3.4509620000000001E-3</v>
      </c>
      <c r="D219" s="567">
        <f t="shared" ref="D219:D224" si="63">C219*VLOOKUP($B219,$K$6:$L$12,2,FALSE)</f>
        <v>3.4099565191953335E-4</v>
      </c>
    </row>
    <row r="220" spans="1:4" ht="15">
      <c r="A220" s="552" t="str">
        <f t="shared" si="62"/>
        <v>New Hampshire</v>
      </c>
      <c r="B220" s="565" t="s">
        <v>1162</v>
      </c>
      <c r="C220" s="566">
        <v>1.1605051999999999E-2</v>
      </c>
      <c r="D220" s="567">
        <f t="shared" si="63"/>
        <v>3.7816493231746661E-3</v>
      </c>
    </row>
    <row r="221" spans="1:4" ht="15">
      <c r="A221" s="552" t="str">
        <f t="shared" si="62"/>
        <v>New Hampshire</v>
      </c>
      <c r="B221" s="565" t="s">
        <v>1164</v>
      </c>
      <c r="C221" s="566">
        <v>2.1581467999999999E-2</v>
      </c>
      <c r="D221" s="567">
        <f t="shared" si="63"/>
        <v>0</v>
      </c>
    </row>
    <row r="222" spans="1:4" ht="15">
      <c r="A222" s="552" t="str">
        <f t="shared" si="62"/>
        <v>New Hampshire</v>
      </c>
      <c r="B222" s="565" t="s">
        <v>1155</v>
      </c>
      <c r="C222" s="566">
        <v>7.5430099999999997E-4</v>
      </c>
      <c r="D222" s="567">
        <f t="shared" si="63"/>
        <v>0</v>
      </c>
    </row>
    <row r="223" spans="1:4" ht="15">
      <c r="A223" s="552" t="s">
        <v>1208</v>
      </c>
      <c r="B223" s="565" t="s">
        <v>1158</v>
      </c>
      <c r="C223" s="566">
        <v>0.59858101100000005</v>
      </c>
      <c r="D223" s="567">
        <f t="shared" si="63"/>
        <v>0.23667055161524603</v>
      </c>
    </row>
    <row r="224" spans="1:4" ht="15">
      <c r="A224" s="552" t="str">
        <f t="shared" ref="A224:A229" si="64">A223</f>
        <v>New Jersey</v>
      </c>
      <c r="B224" s="565" t="s">
        <v>1156</v>
      </c>
      <c r="C224" s="566">
        <v>7.1465915000000005E-2</v>
      </c>
      <c r="D224" s="567">
        <f t="shared" si="63"/>
        <v>1.4128311134095002E-2</v>
      </c>
    </row>
    <row r="225" spans="1:4" ht="15">
      <c r="A225" s="552" t="str">
        <f t="shared" si="64"/>
        <v>New Jersey</v>
      </c>
      <c r="B225" s="565" t="s">
        <v>1166</v>
      </c>
      <c r="C225" s="566">
        <v>0.22142994399999999</v>
      </c>
      <c r="D225" s="567">
        <f>C225*8*0.15*VLOOKUP(A225,'State eGrid factors'!$A$2:$C$53,3,FALSE)+N("pct WFH x 8 hours/day x 150 Watts converted to kW x eGRID state-based EFs kg CO2e/kWh")</f>
        <v>5.9334530987612565E-2</v>
      </c>
    </row>
    <row r="226" spans="1:4" ht="15">
      <c r="A226" s="552" t="str">
        <f t="shared" si="64"/>
        <v>New Jersey</v>
      </c>
      <c r="B226" s="565" t="s">
        <v>1160</v>
      </c>
      <c r="C226" s="566">
        <v>5.8704937999999998E-2</v>
      </c>
      <c r="D226" s="567">
        <f t="shared" ref="D226:D231" si="65">C226*VLOOKUP($B226,$K$6:$L$12,2,FALSE)</f>
        <v>5.8007386358371335E-3</v>
      </c>
    </row>
    <row r="227" spans="1:4" ht="15">
      <c r="A227" s="552" t="str">
        <f t="shared" si="64"/>
        <v>New Jersey</v>
      </c>
      <c r="B227" s="565" t="s">
        <v>1162</v>
      </c>
      <c r="C227" s="566">
        <v>2.3291378000000001E-2</v>
      </c>
      <c r="D227" s="567">
        <f t="shared" si="65"/>
        <v>7.589782781628667E-3</v>
      </c>
    </row>
    <row r="228" spans="1:4" ht="15">
      <c r="A228" s="552" t="str">
        <f t="shared" si="64"/>
        <v>New Jersey</v>
      </c>
      <c r="B228" s="565" t="s">
        <v>1164</v>
      </c>
      <c r="C228" s="566">
        <v>2.3794487E-2</v>
      </c>
      <c r="D228" s="567">
        <f t="shared" si="65"/>
        <v>0</v>
      </c>
    </row>
    <row r="229" spans="1:4" ht="15">
      <c r="A229" s="552" t="str">
        <f t="shared" si="64"/>
        <v>New Jersey</v>
      </c>
      <c r="B229" s="565" t="s">
        <v>1155</v>
      </c>
      <c r="C229" s="566">
        <v>2.7323270000000001E-3</v>
      </c>
      <c r="D229" s="567">
        <f t="shared" si="65"/>
        <v>0</v>
      </c>
    </row>
    <row r="230" spans="1:4" ht="15">
      <c r="A230" s="552" t="s">
        <v>1209</v>
      </c>
      <c r="B230" s="565" t="s">
        <v>1158</v>
      </c>
      <c r="C230" s="566">
        <v>0.72205233899999999</v>
      </c>
      <c r="D230" s="567">
        <f t="shared" si="65"/>
        <v>0.28548938610785402</v>
      </c>
    </row>
    <row r="231" spans="1:4" ht="15">
      <c r="A231" s="552" t="str">
        <f t="shared" ref="A231:A236" si="66">A230</f>
        <v>New Mexico</v>
      </c>
      <c r="B231" s="565" t="s">
        <v>1156</v>
      </c>
      <c r="C231" s="566">
        <v>8.5174475999999999E-2</v>
      </c>
      <c r="D231" s="567">
        <f t="shared" si="65"/>
        <v>1.6838397683868002E-2</v>
      </c>
    </row>
    <row r="232" spans="1:4" ht="15">
      <c r="A232" s="552" t="str">
        <f t="shared" si="66"/>
        <v>New Mexico</v>
      </c>
      <c r="B232" s="565" t="s">
        <v>1166</v>
      </c>
      <c r="C232" s="566">
        <v>0.152329784</v>
      </c>
      <c r="D232" s="567">
        <f>C232*8*0.15*VLOOKUP(A232,'State eGrid factors'!$A$2:$C$53,3,FALSE)+N("pct WFH x 8 hours/day x 150 Watts converted to kW x eGRID state-based EFs kg CO2e/kWh")</f>
        <v>0.10446218321022145</v>
      </c>
    </row>
    <row r="233" spans="1:4" ht="15">
      <c r="A233" s="552" t="str">
        <f t="shared" si="66"/>
        <v>New Mexico</v>
      </c>
      <c r="B233" s="565" t="s">
        <v>1160</v>
      </c>
      <c r="C233" s="566">
        <v>3.658541E-3</v>
      </c>
      <c r="D233" s="567">
        <f t="shared" ref="D233:D238" si="67">C233*VLOOKUP($B233,$K$6:$L$12,2,FALSE)</f>
        <v>3.6150689963243337E-4</v>
      </c>
    </row>
    <row r="234" spans="1:4" ht="15">
      <c r="A234" s="552" t="str">
        <f t="shared" si="66"/>
        <v>New Mexico</v>
      </c>
      <c r="B234" s="565" t="s">
        <v>1162</v>
      </c>
      <c r="C234" s="566">
        <v>1.4656957999999999E-2</v>
      </c>
      <c r="D234" s="567">
        <f t="shared" si="67"/>
        <v>4.7761505334486662E-3</v>
      </c>
    </row>
    <row r="235" spans="1:4" ht="15">
      <c r="A235" s="552" t="str">
        <f t="shared" si="66"/>
        <v>New Mexico</v>
      </c>
      <c r="B235" s="565" t="s">
        <v>1164</v>
      </c>
      <c r="C235" s="566">
        <v>1.6270818999999999E-2</v>
      </c>
      <c r="D235" s="567">
        <f t="shared" si="67"/>
        <v>0</v>
      </c>
    </row>
    <row r="236" spans="1:4" ht="15">
      <c r="A236" s="552" t="str">
        <f t="shared" si="66"/>
        <v>New Mexico</v>
      </c>
      <c r="B236" s="565" t="s">
        <v>1155</v>
      </c>
      <c r="C236" s="566">
        <v>5.8570840000000002E-3</v>
      </c>
      <c r="D236" s="567">
        <f t="shared" si="67"/>
        <v>0</v>
      </c>
    </row>
    <row r="237" spans="1:4" ht="15">
      <c r="A237" s="552" t="s">
        <v>1210</v>
      </c>
      <c r="B237" s="565" t="s">
        <v>1158</v>
      </c>
      <c r="C237" s="566">
        <v>0.492346067</v>
      </c>
      <c r="D237" s="567">
        <f t="shared" si="67"/>
        <v>0.19466674204686202</v>
      </c>
    </row>
    <row r="238" spans="1:4" ht="15">
      <c r="A238" s="552" t="str">
        <f t="shared" ref="A238:A243" si="68">A237</f>
        <v>New York</v>
      </c>
      <c r="B238" s="565" t="s">
        <v>1156</v>
      </c>
      <c r="C238" s="566">
        <v>5.9260036000000002E-2</v>
      </c>
      <c r="D238" s="567">
        <f t="shared" si="67"/>
        <v>1.1715294296948E-2</v>
      </c>
    </row>
    <row r="239" spans="1:4" ht="15">
      <c r="A239" s="552" t="str">
        <f t="shared" si="68"/>
        <v>New York</v>
      </c>
      <c r="B239" s="565" t="s">
        <v>1166</v>
      </c>
      <c r="C239" s="566">
        <v>0.19641903499999999</v>
      </c>
      <c r="D239" s="567">
        <f>C239*8*0.15*VLOOKUP(A239,'State eGrid factors'!$A$2:$C$53,3,FALSE)+N("pct WFH x 8 hours/day x 150 Watts converted to kW x eGRID state-based EFs kg CO2e/kWh")</f>
        <v>4.4550169982668211E-2</v>
      </c>
    </row>
    <row r="240" spans="1:4" ht="15">
      <c r="A240" s="552" t="str">
        <f t="shared" si="68"/>
        <v>New York</v>
      </c>
      <c r="B240" s="565" t="s">
        <v>1160</v>
      </c>
      <c r="C240" s="566">
        <v>0.17258884799999999</v>
      </c>
      <c r="D240" s="567">
        <f t="shared" ref="D240:D245" si="69">C240*VLOOKUP($B240,$K$6:$L$12,2,FALSE)</f>
        <v>1.7053808977844802E-2</v>
      </c>
    </row>
    <row r="241" spans="1:4" ht="15">
      <c r="A241" s="552" t="str">
        <f t="shared" si="68"/>
        <v>New York</v>
      </c>
      <c r="B241" s="565" t="s">
        <v>1162</v>
      </c>
      <c r="C241" s="566">
        <v>1.8833318000000002E-2</v>
      </c>
      <c r="D241" s="567">
        <f t="shared" si="69"/>
        <v>6.1370689478886667E-3</v>
      </c>
    </row>
    <row r="242" spans="1:4" ht="15">
      <c r="A242" s="552" t="str">
        <f t="shared" si="68"/>
        <v>New York</v>
      </c>
      <c r="B242" s="565" t="s">
        <v>1164</v>
      </c>
      <c r="C242" s="566">
        <v>5.2928703000000001E-2</v>
      </c>
      <c r="D242" s="567">
        <f t="shared" si="69"/>
        <v>0</v>
      </c>
    </row>
    <row r="243" spans="1:4" ht="15">
      <c r="A243" s="552" t="str">
        <f t="shared" si="68"/>
        <v>New York</v>
      </c>
      <c r="B243" s="565" t="s">
        <v>1155</v>
      </c>
      <c r="C243" s="566">
        <v>7.6239919999999996E-3</v>
      </c>
      <c r="D243" s="567">
        <f t="shared" si="69"/>
        <v>0</v>
      </c>
    </row>
    <row r="244" spans="1:4" ht="15">
      <c r="A244" s="552" t="s">
        <v>1211</v>
      </c>
      <c r="B244" s="565" t="s">
        <v>1158</v>
      </c>
      <c r="C244" s="566">
        <v>0.70400078399999999</v>
      </c>
      <c r="D244" s="567">
        <f t="shared" si="69"/>
        <v>0.27835205398262403</v>
      </c>
    </row>
    <row r="245" spans="1:4" ht="15">
      <c r="A245" s="552" t="str">
        <f t="shared" ref="A245:A250" si="70">A244</f>
        <v>North Carolina</v>
      </c>
      <c r="B245" s="565" t="s">
        <v>1156</v>
      </c>
      <c r="C245" s="566">
        <v>7.4954599999999996E-2</v>
      </c>
      <c r="D245" s="567">
        <f t="shared" si="69"/>
        <v>1.48179997378E-2</v>
      </c>
    </row>
    <row r="246" spans="1:4" ht="15">
      <c r="A246" s="552" t="str">
        <f t="shared" si="70"/>
        <v>North Carolina</v>
      </c>
      <c r="B246" s="565" t="s">
        <v>1166</v>
      </c>
      <c r="C246" s="566">
        <v>0.18774096200000001</v>
      </c>
      <c r="D246" s="567">
        <f>C246*8*0.15*VLOOKUP(A246,'State eGrid factors'!$A$2:$C$53,3,FALSE)+N("pct WFH x 8 hours/day x 150 Watts converted to kW x eGRID state-based EFs kg CO2e/kWh")</f>
        <v>6.626431118510584E-2</v>
      </c>
    </row>
    <row r="247" spans="1:4" ht="15">
      <c r="A247" s="552" t="str">
        <f t="shared" si="70"/>
        <v>North Carolina</v>
      </c>
      <c r="B247" s="565" t="s">
        <v>1160</v>
      </c>
      <c r="C247" s="566">
        <v>5.1361669999999996E-3</v>
      </c>
      <c r="D247" s="567">
        <f t="shared" ref="D247:D252" si="71">C247*VLOOKUP($B247,$K$6:$L$12,2,FALSE)</f>
        <v>5.0751373516503336E-4</v>
      </c>
    </row>
    <row r="248" spans="1:4" ht="15">
      <c r="A248" s="552" t="str">
        <f t="shared" si="70"/>
        <v>North Carolina</v>
      </c>
      <c r="B248" s="565" t="s">
        <v>1162</v>
      </c>
      <c r="C248" s="566">
        <v>1.2871719E-2</v>
      </c>
      <c r="D248" s="567">
        <f t="shared" si="71"/>
        <v>4.1944083873509995E-3</v>
      </c>
    </row>
    <row r="249" spans="1:4" ht="15">
      <c r="A249" s="552" t="str">
        <f t="shared" si="70"/>
        <v>North Carolina</v>
      </c>
      <c r="B249" s="565" t="s">
        <v>1164</v>
      </c>
      <c r="C249" s="566">
        <v>1.3866257999999999E-2</v>
      </c>
      <c r="D249" s="567">
        <f t="shared" si="71"/>
        <v>0</v>
      </c>
    </row>
    <row r="250" spans="1:4" ht="15">
      <c r="A250" s="552" t="str">
        <f t="shared" si="70"/>
        <v>North Carolina</v>
      </c>
      <c r="B250" s="565" t="s">
        <v>1155</v>
      </c>
      <c r="C250" s="566">
        <v>1.429509E-3</v>
      </c>
      <c r="D250" s="567">
        <f t="shared" si="71"/>
        <v>0</v>
      </c>
    </row>
    <row r="251" spans="1:4" ht="15">
      <c r="A251" s="552" t="s">
        <v>1212</v>
      </c>
      <c r="B251" s="565" t="s">
        <v>1158</v>
      </c>
      <c r="C251" s="566">
        <v>0.78548198999999996</v>
      </c>
      <c r="D251" s="567">
        <f t="shared" si="71"/>
        <v>0.31056858209813998</v>
      </c>
    </row>
    <row r="252" spans="1:4" ht="15">
      <c r="A252" s="552" t="str">
        <f t="shared" ref="A252:A257" si="72">A251</f>
        <v>North Dakota</v>
      </c>
      <c r="B252" s="565" t="s">
        <v>1156</v>
      </c>
      <c r="C252" s="566">
        <v>7.7199341000000005E-2</v>
      </c>
      <c r="D252" s="567">
        <f t="shared" si="71"/>
        <v>1.5261769320313001E-2</v>
      </c>
    </row>
    <row r="253" spans="1:4" ht="15">
      <c r="A253" s="552" t="str">
        <f t="shared" si="72"/>
        <v>North Dakota</v>
      </c>
      <c r="B253" s="565" t="s">
        <v>1166</v>
      </c>
      <c r="C253" s="566">
        <v>8.9220190000000005E-2</v>
      </c>
      <c r="D253" s="567">
        <f>C253*8*0.15*VLOOKUP(A253,'State eGrid factors'!$A$2:$C$53,3,FALSE)+N("pct WFH x 8 hours/day x 150 Watts converted to kW x eGRID state-based EFs kg CO2e/kWh")</f>
        <v>6.7413234803654146E-2</v>
      </c>
    </row>
    <row r="254" spans="1:4" ht="15">
      <c r="A254" s="552" t="str">
        <f t="shared" si="72"/>
        <v>North Dakota</v>
      </c>
      <c r="B254" s="565" t="s">
        <v>1160</v>
      </c>
      <c r="C254" s="566">
        <v>2.664039E-3</v>
      </c>
      <c r="D254" s="567">
        <f t="shared" ref="D254:D259" si="73">C254*VLOOKUP($B254,$K$6:$L$12,2,FALSE)</f>
        <v>2.6323840005890002E-4</v>
      </c>
    </row>
    <row r="255" spans="1:4" ht="15">
      <c r="A255" s="552" t="str">
        <f t="shared" si="72"/>
        <v>North Dakota</v>
      </c>
      <c r="B255" s="565" t="s">
        <v>1162</v>
      </c>
      <c r="C255" s="566">
        <v>1.2681833E-2</v>
      </c>
      <c r="D255" s="567">
        <f t="shared" si="73"/>
        <v>4.1325316923236663E-3</v>
      </c>
    </row>
    <row r="256" spans="1:4" ht="15">
      <c r="A256" s="552" t="str">
        <f t="shared" si="72"/>
        <v>North Dakota</v>
      </c>
      <c r="B256" s="565" t="s">
        <v>1164</v>
      </c>
      <c r="C256" s="566">
        <v>3.0412775E-2</v>
      </c>
      <c r="D256" s="567">
        <f t="shared" si="73"/>
        <v>0</v>
      </c>
    </row>
    <row r="257" spans="1:4" ht="15">
      <c r="A257" s="552" t="str">
        <f t="shared" si="72"/>
        <v>North Dakota</v>
      </c>
      <c r="B257" s="565" t="s">
        <v>1155</v>
      </c>
      <c r="C257" s="566">
        <v>2.3398310000000001E-3</v>
      </c>
      <c r="D257" s="567">
        <f t="shared" si="73"/>
        <v>0</v>
      </c>
    </row>
    <row r="258" spans="1:4" ht="15">
      <c r="A258" s="552" t="s">
        <v>1213</v>
      </c>
      <c r="B258" s="565" t="s">
        <v>1158</v>
      </c>
      <c r="C258" s="566">
        <v>0.73868487800000004</v>
      </c>
      <c r="D258" s="567">
        <f t="shared" si="73"/>
        <v>0.29206565917290805</v>
      </c>
    </row>
    <row r="259" spans="1:4" ht="15">
      <c r="A259" s="552" t="str">
        <f t="shared" ref="A259:A264" si="74">A258</f>
        <v>Ohio</v>
      </c>
      <c r="B259" s="565" t="s">
        <v>1156</v>
      </c>
      <c r="C259" s="566">
        <v>7.2404178999999999E-2</v>
      </c>
      <c r="D259" s="567">
        <f t="shared" si="73"/>
        <v>1.4313799359047001E-2</v>
      </c>
    </row>
    <row r="260" spans="1:4" ht="15">
      <c r="A260" s="552" t="str">
        <f t="shared" si="74"/>
        <v>Ohio</v>
      </c>
      <c r="B260" s="565" t="s">
        <v>1166</v>
      </c>
      <c r="C260" s="566">
        <v>0.14847887000000001</v>
      </c>
      <c r="D260" s="567">
        <f>C260*8*0.15*VLOOKUP(A260,'State eGrid factors'!$A$2:$C$53,3,FALSE)+N("pct WFH x 8 hours/day x 150 Watts converted to kW x eGRID state-based EFs kg CO2e/kWh")</f>
        <v>0.10128836782893742</v>
      </c>
    </row>
    <row r="261" spans="1:4" ht="15">
      <c r="A261" s="552" t="str">
        <f t="shared" si="74"/>
        <v>Ohio</v>
      </c>
      <c r="B261" s="565" t="s">
        <v>1160</v>
      </c>
      <c r="C261" s="566">
        <v>8.11132E-3</v>
      </c>
      <c r="D261" s="567">
        <f t="shared" ref="D261:D266" si="75">C261*VLOOKUP($B261,$K$6:$L$12,2,FALSE)</f>
        <v>8.0149385919866677E-4</v>
      </c>
    </row>
    <row r="262" spans="1:4" ht="15">
      <c r="A262" s="552" t="str">
        <f t="shared" si="74"/>
        <v>Ohio</v>
      </c>
      <c r="B262" s="565" t="s">
        <v>1162</v>
      </c>
      <c r="C262" s="566">
        <v>1.1449391E-2</v>
      </c>
      <c r="D262" s="567">
        <f t="shared" si="75"/>
        <v>3.7309252665056664E-3</v>
      </c>
    </row>
    <row r="263" spans="1:4" ht="15">
      <c r="A263" s="552" t="str">
        <f t="shared" si="74"/>
        <v>Ohio</v>
      </c>
      <c r="B263" s="565" t="s">
        <v>1164</v>
      </c>
      <c r="C263" s="566">
        <v>1.8360753E-2</v>
      </c>
      <c r="D263" s="567">
        <f t="shared" si="75"/>
        <v>0</v>
      </c>
    </row>
    <row r="264" spans="1:4" ht="15">
      <c r="A264" s="552" t="str">
        <f t="shared" si="74"/>
        <v>Ohio</v>
      </c>
      <c r="B264" s="565" t="s">
        <v>1155</v>
      </c>
      <c r="C264" s="566">
        <v>2.5106080000000001E-3</v>
      </c>
      <c r="D264" s="567">
        <f t="shared" si="75"/>
        <v>0</v>
      </c>
    </row>
    <row r="265" spans="1:4" ht="15">
      <c r="A265" s="552" t="s">
        <v>1214</v>
      </c>
      <c r="B265" s="565" t="s">
        <v>1158</v>
      </c>
      <c r="C265" s="566">
        <v>0.77173218799999999</v>
      </c>
      <c r="D265" s="567">
        <f t="shared" si="75"/>
        <v>0.30513210288456799</v>
      </c>
    </row>
    <row r="266" spans="1:4" ht="15">
      <c r="A266" s="552" t="str">
        <f t="shared" ref="A266:A271" si="76">A265</f>
        <v>Oklahoma</v>
      </c>
      <c r="B266" s="565" t="s">
        <v>1156</v>
      </c>
      <c r="C266" s="566">
        <v>8.6814881999999996E-2</v>
      </c>
      <c r="D266" s="567">
        <f t="shared" si="75"/>
        <v>1.7162694467226E-2</v>
      </c>
    </row>
    <row r="267" spans="1:4" ht="15">
      <c r="A267" s="552" t="str">
        <f t="shared" si="76"/>
        <v>Oklahoma</v>
      </c>
      <c r="B267" s="565" t="s">
        <v>1166</v>
      </c>
      <c r="C267" s="566">
        <v>0.104031293</v>
      </c>
      <c r="D267" s="567">
        <f>C267*8*0.15*VLOOKUP(A267,'State eGrid factors'!$A$2:$C$53,3,FALSE)+N("pct WFH x 8 hours/day x 150 Watts converted to kW x eGRID state-based EFs kg CO2e/kWh")</f>
        <v>4.0127722971053152E-2</v>
      </c>
    </row>
    <row r="268" spans="1:4" ht="15">
      <c r="A268" s="552" t="str">
        <f t="shared" si="76"/>
        <v>Oklahoma</v>
      </c>
      <c r="B268" s="565" t="s">
        <v>1160</v>
      </c>
      <c r="C268" s="566">
        <v>1.7751380000000001E-3</v>
      </c>
      <c r="D268" s="567">
        <f t="shared" ref="D268:D273" si="77">C268*VLOOKUP($B268,$K$6:$L$12,2,FALSE)</f>
        <v>1.7540452185713337E-4</v>
      </c>
    </row>
    <row r="269" spans="1:4" ht="15">
      <c r="A269" s="552" t="str">
        <f t="shared" si="76"/>
        <v>Oklahoma</v>
      </c>
      <c r="B269" s="565" t="s">
        <v>1162</v>
      </c>
      <c r="C269" s="566">
        <v>1.6041065E-2</v>
      </c>
      <c r="D269" s="567">
        <f t="shared" si="77"/>
        <v>5.227178870051666E-3</v>
      </c>
    </row>
    <row r="270" spans="1:4" ht="15">
      <c r="A270" s="552" t="str">
        <f t="shared" si="76"/>
        <v>Oklahoma</v>
      </c>
      <c r="B270" s="565" t="s">
        <v>1164</v>
      </c>
      <c r="C270" s="566">
        <v>1.7594663E-2</v>
      </c>
      <c r="D270" s="567">
        <f t="shared" si="77"/>
        <v>0</v>
      </c>
    </row>
    <row r="271" spans="1:4" ht="15">
      <c r="A271" s="552" t="str">
        <f t="shared" si="76"/>
        <v>Oklahoma</v>
      </c>
      <c r="B271" s="565" t="s">
        <v>1155</v>
      </c>
      <c r="C271" s="566">
        <v>2.0107699999999998E-3</v>
      </c>
      <c r="D271" s="567">
        <f t="shared" si="77"/>
        <v>0</v>
      </c>
    </row>
    <row r="272" spans="1:4" ht="15">
      <c r="A272" s="552" t="s">
        <v>1215</v>
      </c>
      <c r="B272" s="565" t="s">
        <v>1158</v>
      </c>
      <c r="C272" s="566">
        <v>0.62598815299999999</v>
      </c>
      <c r="D272" s="567">
        <f t="shared" si="77"/>
        <v>0.24750695186205801</v>
      </c>
    </row>
    <row r="273" spans="1:4" ht="15">
      <c r="A273" s="552" t="str">
        <f t="shared" ref="A273:A278" si="78">A272</f>
        <v>Oregon</v>
      </c>
      <c r="B273" s="565" t="s">
        <v>1156</v>
      </c>
      <c r="C273" s="566">
        <v>7.8190335999999999E-2</v>
      </c>
      <c r="D273" s="567">
        <f t="shared" si="77"/>
        <v>1.5457682094848E-2</v>
      </c>
    </row>
    <row r="274" spans="1:4" ht="15">
      <c r="A274" s="552" t="str">
        <f t="shared" si="78"/>
        <v>Oregon</v>
      </c>
      <c r="B274" s="565" t="s">
        <v>1166</v>
      </c>
      <c r="C274" s="566">
        <v>0.22654904100000001</v>
      </c>
      <c r="D274" s="567">
        <f>C274*8*0.15*VLOOKUP(A274,'State eGrid factors'!$A$2:$C$53,3,FALSE)+N("pct WFH x 8 hours/day x 150 Watts converted to kW x eGRID state-based EFs kg CO2e/kWh")</f>
        <v>4.2125161403807093E-2</v>
      </c>
    </row>
    <row r="275" spans="1:4" ht="15">
      <c r="A275" s="552" t="str">
        <f t="shared" si="78"/>
        <v>Oregon</v>
      </c>
      <c r="B275" s="565" t="s">
        <v>1160</v>
      </c>
      <c r="C275" s="566">
        <v>1.6520057000000001E-2</v>
      </c>
      <c r="D275" s="567">
        <f t="shared" ref="D275:D280" si="79">C275*VLOOKUP($B275,$K$6:$L$12,2,FALSE)</f>
        <v>1.6323760176040335E-3</v>
      </c>
    </row>
    <row r="276" spans="1:4" ht="15">
      <c r="A276" s="552" t="str">
        <f t="shared" si="78"/>
        <v>Oregon</v>
      </c>
      <c r="B276" s="565" t="s">
        <v>1162</v>
      </c>
      <c r="C276" s="566">
        <v>1.1879153E-2</v>
      </c>
      <c r="D276" s="567">
        <f t="shared" si="79"/>
        <v>3.8709685146036663E-3</v>
      </c>
    </row>
    <row r="277" spans="1:4" ht="15">
      <c r="A277" s="552" t="str">
        <f t="shared" si="78"/>
        <v>Oregon</v>
      </c>
      <c r="B277" s="565" t="s">
        <v>1164</v>
      </c>
      <c r="C277" s="566">
        <v>3.0189483999999999E-2</v>
      </c>
      <c r="D277" s="567">
        <f t="shared" si="79"/>
        <v>0</v>
      </c>
    </row>
    <row r="278" spans="1:4" ht="15">
      <c r="A278" s="552" t="str">
        <f t="shared" si="78"/>
        <v>Oregon</v>
      </c>
      <c r="B278" s="565" t="s">
        <v>1155</v>
      </c>
      <c r="C278" s="566">
        <v>1.0683776000000001E-2</v>
      </c>
      <c r="D278" s="567">
        <f t="shared" si="79"/>
        <v>0</v>
      </c>
    </row>
    <row r="279" spans="1:4" ht="15">
      <c r="A279" s="552" t="s">
        <v>1216</v>
      </c>
      <c r="B279" s="565" t="s">
        <v>1158</v>
      </c>
      <c r="C279" s="566">
        <v>0.66849202600000002</v>
      </c>
      <c r="D279" s="567">
        <f t="shared" si="79"/>
        <v>0.26431238819203601</v>
      </c>
    </row>
    <row r="280" spans="1:4" ht="15">
      <c r="A280" s="552" t="str">
        <f t="shared" ref="A280:A285" si="80">A279</f>
        <v>Pennsylvania</v>
      </c>
      <c r="B280" s="565" t="s">
        <v>1156</v>
      </c>
      <c r="C280" s="566">
        <v>7.0424775999999994E-2</v>
      </c>
      <c r="D280" s="567">
        <f t="shared" si="79"/>
        <v>1.3922485241768E-2</v>
      </c>
    </row>
    <row r="281" spans="1:4" ht="15">
      <c r="A281" s="552" t="str">
        <f t="shared" si="80"/>
        <v>Pennsylvania</v>
      </c>
      <c r="B281" s="565" t="s">
        <v>1166</v>
      </c>
      <c r="C281" s="566">
        <v>0.18683386199999999</v>
      </c>
      <c r="D281" s="567">
        <f>C281*8*0.15*VLOOKUP(A281,'State eGrid factors'!$A$2:$C$53,3,FALSE)+N("pct WFH x 8 hours/day x 150 Watts converted to kW x eGRID state-based EFs kg CO2e/kWh")</f>
        <v>7.093557888031897E-2</v>
      </c>
    </row>
    <row r="282" spans="1:4" ht="15">
      <c r="A282" s="552" t="str">
        <f t="shared" si="80"/>
        <v>Pennsylvania</v>
      </c>
      <c r="B282" s="565" t="s">
        <v>1160</v>
      </c>
      <c r="C282" s="566">
        <v>2.7903566000000001E-2</v>
      </c>
      <c r="D282" s="567">
        <f t="shared" ref="D282:D287" si="81">C282*VLOOKUP($B282,$K$6:$L$12,2,FALSE)</f>
        <v>2.7572006527599338E-3</v>
      </c>
    </row>
    <row r="283" spans="1:4" ht="15">
      <c r="A283" s="552" t="str">
        <f t="shared" si="80"/>
        <v>Pennsylvania</v>
      </c>
      <c r="B283" s="565" t="s">
        <v>1162</v>
      </c>
      <c r="C283" s="566">
        <v>1.3251012E-2</v>
      </c>
      <c r="D283" s="567">
        <f t="shared" si="81"/>
        <v>4.3180056893479994E-3</v>
      </c>
    </row>
    <row r="284" spans="1:4" ht="15">
      <c r="A284" s="552" t="str">
        <f t="shared" si="80"/>
        <v>Pennsylvania</v>
      </c>
      <c r="B284" s="565" t="s">
        <v>1164</v>
      </c>
      <c r="C284" s="566">
        <v>2.9349406000000001E-2</v>
      </c>
      <c r="D284" s="567">
        <f t="shared" si="81"/>
        <v>0</v>
      </c>
    </row>
    <row r="285" spans="1:4" ht="15">
      <c r="A285" s="552" t="str">
        <f t="shared" si="80"/>
        <v>Pennsylvania</v>
      </c>
      <c r="B285" s="565" t="s">
        <v>1155</v>
      </c>
      <c r="C285" s="566">
        <v>3.745352E-3</v>
      </c>
      <c r="D285" s="567">
        <f t="shared" si="81"/>
        <v>0</v>
      </c>
    </row>
    <row r="286" spans="1:4" ht="15">
      <c r="A286" s="552" t="s">
        <v>1217</v>
      </c>
      <c r="B286" s="565" t="s">
        <v>1158</v>
      </c>
      <c r="C286" s="566">
        <v>0.69329078899999996</v>
      </c>
      <c r="D286" s="567">
        <f t="shared" si="81"/>
        <v>0.27411747189955399</v>
      </c>
    </row>
    <row r="287" spans="1:4" ht="15">
      <c r="A287" s="552" t="str">
        <f t="shared" ref="A287:A292" si="82">A286</f>
        <v>Rhode Island</v>
      </c>
      <c r="B287" s="565" t="s">
        <v>1156</v>
      </c>
      <c r="C287" s="566">
        <v>7.5664806000000001E-2</v>
      </c>
      <c r="D287" s="567">
        <f t="shared" si="81"/>
        <v>1.4958402492558E-2</v>
      </c>
    </row>
    <row r="288" spans="1:4" ht="15">
      <c r="A288" s="552" t="str">
        <f t="shared" si="82"/>
        <v>Rhode Island</v>
      </c>
      <c r="B288" s="565" t="s">
        <v>1166</v>
      </c>
      <c r="C288" s="566">
        <v>0.175250615</v>
      </c>
      <c r="D288" s="567">
        <f>C288*8*0.15*VLOOKUP(A288,'State eGrid factors'!$A$2:$C$53,3,FALSE)+N("pct WFH x 8 hours/day x 150 Watts converted to kW x eGRID state-based EFs kg CO2e/kWh")</f>
        <v>7.8941617348360263E-2</v>
      </c>
    </row>
    <row r="289" spans="1:4" ht="15">
      <c r="A289" s="552" t="str">
        <f t="shared" si="82"/>
        <v>Rhode Island</v>
      </c>
      <c r="B289" s="565" t="s">
        <v>1160</v>
      </c>
      <c r="C289" s="566">
        <v>1.1536556999999999E-2</v>
      </c>
      <c r="D289" s="567">
        <f t="shared" ref="D289:D294" si="83">C289*VLOOKUP($B289,$K$6:$L$12,2,FALSE)</f>
        <v>1.1399475784207001E-3</v>
      </c>
    </row>
    <row r="290" spans="1:4" ht="15">
      <c r="A290" s="552" t="str">
        <f t="shared" si="82"/>
        <v>Rhode Island</v>
      </c>
      <c r="B290" s="565" t="s">
        <v>1162</v>
      </c>
      <c r="C290" s="566">
        <v>1.5483372E-2</v>
      </c>
      <c r="D290" s="567">
        <f t="shared" si="83"/>
        <v>5.0454477277879998E-3</v>
      </c>
    </row>
    <row r="291" spans="1:4" ht="15">
      <c r="A291" s="552" t="str">
        <f t="shared" si="82"/>
        <v>Rhode Island</v>
      </c>
      <c r="B291" s="565" t="s">
        <v>1164</v>
      </c>
      <c r="C291" s="566">
        <v>2.6350246000000001E-2</v>
      </c>
      <c r="D291" s="567">
        <f t="shared" si="83"/>
        <v>0</v>
      </c>
    </row>
    <row r="292" spans="1:4" ht="15">
      <c r="A292" s="552" t="str">
        <f t="shared" si="82"/>
        <v>Rhode Island</v>
      </c>
      <c r="B292" s="565" t="s">
        <v>1155</v>
      </c>
      <c r="C292" s="566">
        <v>2.4236150000000001E-3</v>
      </c>
      <c r="D292" s="567">
        <f t="shared" si="83"/>
        <v>0</v>
      </c>
    </row>
    <row r="293" spans="1:4" ht="15">
      <c r="A293" s="552" t="s">
        <v>1218</v>
      </c>
      <c r="B293" s="565" t="s">
        <v>1158</v>
      </c>
      <c r="C293" s="566">
        <v>0.76594969099999999</v>
      </c>
      <c r="D293" s="567">
        <f t="shared" si="83"/>
        <v>0.30284578452572603</v>
      </c>
    </row>
    <row r="294" spans="1:4" ht="15">
      <c r="A294" s="552" t="str">
        <f t="shared" ref="A294:A299" si="84">A293</f>
        <v>South Carolina</v>
      </c>
      <c r="B294" s="565" t="s">
        <v>1156</v>
      </c>
      <c r="C294" s="566">
        <v>8.1109669999999995E-2</v>
      </c>
      <c r="D294" s="567">
        <f t="shared" si="83"/>
        <v>1.6034813991310001E-2</v>
      </c>
    </row>
    <row r="295" spans="1:4" ht="15">
      <c r="A295" s="552" t="str">
        <f t="shared" si="84"/>
        <v>South Carolina</v>
      </c>
      <c r="B295" s="565" t="s">
        <v>1166</v>
      </c>
      <c r="C295" s="566">
        <v>0.117003827</v>
      </c>
      <c r="D295" s="567">
        <f>C295*8*0.15*VLOOKUP(A295,'State eGrid factors'!$A$2:$C$53,3,FALSE)+N("pct WFH x 8 hours/day x 150 Watts converted to kW x eGRID state-based EFs kg CO2e/kWh")</f>
        <v>3.272602274099682E-2</v>
      </c>
    </row>
    <row r="296" spans="1:4" ht="15">
      <c r="A296" s="552" t="str">
        <f t="shared" si="84"/>
        <v>South Carolina</v>
      </c>
      <c r="B296" s="565" t="s">
        <v>1160</v>
      </c>
      <c r="C296" s="566">
        <v>3.1750519999999998E-3</v>
      </c>
      <c r="D296" s="567">
        <f t="shared" ref="D296:D301" si="85">C296*VLOOKUP($B296,$K$6:$L$12,2,FALSE)</f>
        <v>3.1373249737853332E-4</v>
      </c>
    </row>
    <row r="297" spans="1:4" ht="15">
      <c r="A297" s="552" t="str">
        <f t="shared" si="84"/>
        <v>South Carolina</v>
      </c>
      <c r="B297" s="565" t="s">
        <v>1162</v>
      </c>
      <c r="C297" s="566">
        <v>1.4210393E-2</v>
      </c>
      <c r="D297" s="567">
        <f t="shared" si="85"/>
        <v>4.6306318205636661E-3</v>
      </c>
    </row>
    <row r="298" spans="1:4" ht="15">
      <c r="A298" s="552" t="str">
        <f t="shared" si="84"/>
        <v>South Carolina</v>
      </c>
      <c r="B298" s="565" t="s">
        <v>1164</v>
      </c>
      <c r="C298" s="566">
        <v>1.6210042000000001E-2</v>
      </c>
      <c r="D298" s="567">
        <f t="shared" si="85"/>
        <v>0</v>
      </c>
    </row>
    <row r="299" spans="1:4" ht="15">
      <c r="A299" s="552" t="str">
        <f t="shared" si="84"/>
        <v>South Carolina</v>
      </c>
      <c r="B299" s="565" t="s">
        <v>1155</v>
      </c>
      <c r="C299" s="566">
        <v>2.3413259999999999E-3</v>
      </c>
      <c r="D299" s="567">
        <f t="shared" si="85"/>
        <v>0</v>
      </c>
    </row>
    <row r="300" spans="1:4" ht="15">
      <c r="A300" s="552" t="s">
        <v>1219</v>
      </c>
      <c r="B300" s="565" t="s">
        <v>1158</v>
      </c>
      <c r="C300" s="566">
        <v>0.76090537400000002</v>
      </c>
      <c r="D300" s="567">
        <f t="shared" si="85"/>
        <v>0.300851332204364</v>
      </c>
    </row>
    <row r="301" spans="1:4" ht="15">
      <c r="A301" s="552" t="str">
        <f t="shared" ref="A301:A306" si="86">A300</f>
        <v>South Dakota</v>
      </c>
      <c r="B301" s="565" t="s">
        <v>1156</v>
      </c>
      <c r="C301" s="566">
        <v>7.7831088000000007E-2</v>
      </c>
      <c r="D301" s="567">
        <f t="shared" si="85"/>
        <v>1.5386661279984002E-2</v>
      </c>
    </row>
    <row r="302" spans="1:4" ht="15">
      <c r="A302" s="552" t="str">
        <f t="shared" si="86"/>
        <v>South Dakota</v>
      </c>
      <c r="B302" s="565" t="s">
        <v>1166</v>
      </c>
      <c r="C302" s="566">
        <v>0.11084680199999999</v>
      </c>
      <c r="D302" s="567">
        <f>C302*8*0.15*VLOOKUP(A302,'State eGrid factors'!$A$2:$C$53,3,FALSE)+N("pct WFH x 8 hours/day x 150 Watts converted to kW x eGRID state-based EFs kg CO2e/kWh")</f>
        <v>2.0549139370358252E-2</v>
      </c>
    </row>
    <row r="303" spans="1:4" ht="15">
      <c r="A303" s="552" t="str">
        <f t="shared" si="86"/>
        <v>South Dakota</v>
      </c>
      <c r="B303" s="565" t="s">
        <v>1160</v>
      </c>
      <c r="C303" s="566">
        <v>4.1897999999999996E-3</v>
      </c>
      <c r="D303" s="567">
        <f t="shared" ref="D303:D308" si="87">C303*VLOOKUP($B303,$K$6:$L$12,2,FALSE)</f>
        <v>4.1400153998E-4</v>
      </c>
    </row>
    <row r="304" spans="1:4" ht="15">
      <c r="A304" s="552" t="str">
        <f t="shared" si="86"/>
        <v>South Dakota</v>
      </c>
      <c r="B304" s="565" t="s">
        <v>1162</v>
      </c>
      <c r="C304" s="566">
        <v>1.1029923000000001E-2</v>
      </c>
      <c r="D304" s="567">
        <f t="shared" si="87"/>
        <v>3.5942364452669997E-3</v>
      </c>
    </row>
    <row r="305" spans="1:4" ht="15">
      <c r="A305" s="552" t="str">
        <f t="shared" si="86"/>
        <v>South Dakota</v>
      </c>
      <c r="B305" s="565" t="s">
        <v>1164</v>
      </c>
      <c r="C305" s="566">
        <v>3.2162942E-2</v>
      </c>
      <c r="D305" s="567">
        <f t="shared" si="87"/>
        <v>0</v>
      </c>
    </row>
    <row r="306" spans="1:4" ht="15">
      <c r="A306" s="552" t="str">
        <f t="shared" si="86"/>
        <v>South Dakota</v>
      </c>
      <c r="B306" s="565" t="s">
        <v>1155</v>
      </c>
      <c r="C306" s="566">
        <v>3.0340699999999998E-3</v>
      </c>
      <c r="D306" s="567">
        <f t="shared" si="87"/>
        <v>0</v>
      </c>
    </row>
    <row r="307" spans="1:4" ht="15">
      <c r="A307" s="552" t="s">
        <v>1220</v>
      </c>
      <c r="B307" s="565" t="s">
        <v>1158</v>
      </c>
      <c r="C307" s="566">
        <v>0.75807359299999999</v>
      </c>
      <c r="D307" s="567">
        <f t="shared" si="87"/>
        <v>0.299731685641898</v>
      </c>
    </row>
    <row r="308" spans="1:4" ht="15">
      <c r="A308" s="552" t="str">
        <f t="shared" ref="A308:A313" si="88">A307</f>
        <v>Tennessee</v>
      </c>
      <c r="B308" s="565" t="s">
        <v>1156</v>
      </c>
      <c r="C308" s="566">
        <v>7.500975E-2</v>
      </c>
      <c r="D308" s="567">
        <f t="shared" si="87"/>
        <v>1.4828902506750001E-2</v>
      </c>
    </row>
    <row r="309" spans="1:4" ht="15">
      <c r="A309" s="552" t="str">
        <f t="shared" si="88"/>
        <v>Tennessee</v>
      </c>
      <c r="B309" s="565" t="s">
        <v>1166</v>
      </c>
      <c r="C309" s="566">
        <v>0.139805709</v>
      </c>
      <c r="D309" s="567">
        <f>C309*8*0.15*VLOOKUP(A309,'State eGrid factors'!$A$2:$C$53,3,FALSE)+N("pct WFH x 8 hours/day x 150 Watts converted to kW x eGRID state-based EFs kg CO2e/kWh")</f>
        <v>4.3482846438422776E-2</v>
      </c>
    </row>
    <row r="310" spans="1:4" ht="15">
      <c r="A310" s="552" t="str">
        <f t="shared" si="88"/>
        <v>Tennessee</v>
      </c>
      <c r="B310" s="565" t="s">
        <v>1160</v>
      </c>
      <c r="C310" s="566">
        <v>3.560789E-3</v>
      </c>
      <c r="D310" s="567">
        <f t="shared" ref="D310:D315" si="89">C310*VLOOKUP($B310,$K$6:$L$12,2,FALSE)</f>
        <v>3.5184785181723336E-4</v>
      </c>
    </row>
    <row r="311" spans="1:4" ht="15">
      <c r="A311" s="552" t="str">
        <f t="shared" si="88"/>
        <v>Tennessee</v>
      </c>
      <c r="B311" s="565" t="s">
        <v>1162</v>
      </c>
      <c r="C311" s="566">
        <v>1.1148435999999999E-2</v>
      </c>
      <c r="D311" s="567">
        <f t="shared" si="89"/>
        <v>3.632855367977333E-3</v>
      </c>
    </row>
    <row r="312" spans="1:4" ht="15">
      <c r="A312" s="552" t="str">
        <f t="shared" si="88"/>
        <v>Tennessee</v>
      </c>
      <c r="B312" s="565" t="s">
        <v>1164</v>
      </c>
      <c r="C312" s="566">
        <v>1.1406042E-2</v>
      </c>
      <c r="D312" s="567">
        <f t="shared" si="89"/>
        <v>0</v>
      </c>
    </row>
    <row r="313" spans="1:4" ht="15">
      <c r="A313" s="552" t="str">
        <f t="shared" si="88"/>
        <v>Tennessee</v>
      </c>
      <c r="B313" s="565" t="s">
        <v>1155</v>
      </c>
      <c r="C313" s="566">
        <v>9.95681E-4</v>
      </c>
      <c r="D313" s="567">
        <f t="shared" si="89"/>
        <v>0</v>
      </c>
    </row>
    <row r="314" spans="1:4" ht="15">
      <c r="A314" s="552" t="s">
        <v>1221</v>
      </c>
      <c r="B314" s="565" t="s">
        <v>1158</v>
      </c>
      <c r="C314" s="566">
        <v>0.70723315899999994</v>
      </c>
      <c r="D314" s="567">
        <f t="shared" si="89"/>
        <v>0.27963008980437398</v>
      </c>
    </row>
    <row r="315" spans="1:4" ht="15">
      <c r="A315" s="552" t="str">
        <f t="shared" ref="A315:A320" si="90">A314</f>
        <v>Texas</v>
      </c>
      <c r="B315" s="565" t="s">
        <v>1156</v>
      </c>
      <c r="C315" s="566">
        <v>9.1291952999999995E-2</v>
      </c>
      <c r="D315" s="567">
        <f t="shared" si="89"/>
        <v>1.8047780064429E-2</v>
      </c>
    </row>
    <row r="316" spans="1:4" ht="15">
      <c r="A316" s="552" t="str">
        <f t="shared" si="90"/>
        <v>Texas</v>
      </c>
      <c r="B316" s="565" t="s">
        <v>1166</v>
      </c>
      <c r="C316" s="566">
        <v>0.162686935</v>
      </c>
      <c r="D316" s="567">
        <f>C316*8*0.15*VLOOKUP(A316,'State eGrid factors'!$A$2:$C$53,3,FALSE)+N("pct WFH x 8 hours/day x 150 Watts converted to kW x eGRID state-based EFs kg CO2e/kWh")</f>
        <v>7.5935338233853455E-2</v>
      </c>
    </row>
    <row r="317" spans="1:4" ht="15">
      <c r="A317" s="552" t="str">
        <f t="shared" si="90"/>
        <v>Texas</v>
      </c>
      <c r="B317" s="565" t="s">
        <v>1160</v>
      </c>
      <c r="C317" s="566">
        <v>7.5365909999999996E-3</v>
      </c>
      <c r="D317" s="567">
        <f t="shared" ref="D317:D322" si="91">C317*VLOOKUP($B317,$K$6:$L$12,2,FALSE)</f>
        <v>7.4470387135410008E-4</v>
      </c>
    </row>
    <row r="318" spans="1:4" ht="15">
      <c r="A318" s="552" t="str">
        <f t="shared" si="90"/>
        <v>Texas</v>
      </c>
      <c r="B318" s="565" t="s">
        <v>1162</v>
      </c>
      <c r="C318" s="566">
        <v>1.5895604000000001E-2</v>
      </c>
      <c r="D318" s="567">
        <f t="shared" si="91"/>
        <v>5.1797786091826665E-3</v>
      </c>
    </row>
    <row r="319" spans="1:4" ht="15">
      <c r="A319" s="552" t="str">
        <f t="shared" si="90"/>
        <v>Texas</v>
      </c>
      <c r="B319" s="565" t="s">
        <v>1164</v>
      </c>
      <c r="C319" s="566">
        <v>1.3203849E-2</v>
      </c>
      <c r="D319" s="567">
        <f t="shared" si="91"/>
        <v>0</v>
      </c>
    </row>
    <row r="320" spans="1:4" ht="15">
      <c r="A320" s="552" t="str">
        <f t="shared" si="90"/>
        <v>Texas</v>
      </c>
      <c r="B320" s="565" t="s">
        <v>1155</v>
      </c>
      <c r="C320" s="566">
        <v>2.1519080000000001E-3</v>
      </c>
      <c r="D320" s="567">
        <f t="shared" si="91"/>
        <v>0</v>
      </c>
    </row>
    <row r="321" spans="1:4" ht="15">
      <c r="A321" s="552" t="s">
        <v>1222</v>
      </c>
      <c r="B321" s="565" t="s">
        <v>1158</v>
      </c>
      <c r="C321" s="566">
        <v>0.66341497199999999</v>
      </c>
      <c r="D321" s="567">
        <f t="shared" si="91"/>
        <v>0.262304992119192</v>
      </c>
    </row>
    <row r="322" spans="1:4" ht="15">
      <c r="A322" s="552" t="str">
        <f t="shared" ref="A322:A327" si="92">A321</f>
        <v>Utah</v>
      </c>
      <c r="B322" s="565" t="s">
        <v>1156</v>
      </c>
      <c r="C322" s="566">
        <v>8.8333195000000003E-2</v>
      </c>
      <c r="D322" s="567">
        <f t="shared" si="91"/>
        <v>1.7462854319135003E-2</v>
      </c>
    </row>
    <row r="323" spans="1:4" ht="15">
      <c r="A323" s="552" t="str">
        <f t="shared" si="92"/>
        <v>Utah</v>
      </c>
      <c r="B323" s="565" t="s">
        <v>1166</v>
      </c>
      <c r="C323" s="566">
        <v>0.20036212</v>
      </c>
      <c r="D323" s="567">
        <f>C323*8*0.15*VLOOKUP(A323,'State eGrid factors'!$A$2:$C$53,3,FALSE)+N("pct WFH x 8 hours/day x 150 Watts converted to kW x eGRID state-based EFs kg CO2e/kWh")</f>
        <v>0.1707608529422032</v>
      </c>
    </row>
    <row r="324" spans="1:4" ht="15">
      <c r="A324" s="552" t="str">
        <f t="shared" si="92"/>
        <v>Utah</v>
      </c>
      <c r="B324" s="565" t="s">
        <v>1160</v>
      </c>
      <c r="C324" s="566">
        <v>1.3312628E-2</v>
      </c>
      <c r="D324" s="567">
        <f t="shared" ref="D324:D329" si="93">C324*VLOOKUP($B324,$K$6:$L$12,2,FALSE)</f>
        <v>1.3154442916561335E-3</v>
      </c>
    </row>
    <row r="325" spans="1:4" ht="15">
      <c r="A325" s="552" t="str">
        <f t="shared" si="92"/>
        <v>Utah</v>
      </c>
      <c r="B325" s="565" t="s">
        <v>1162</v>
      </c>
      <c r="C325" s="566">
        <v>1.013765E-2</v>
      </c>
      <c r="D325" s="567">
        <f t="shared" si="93"/>
        <v>3.3034782835166662E-3</v>
      </c>
    </row>
    <row r="326" spans="1:4" ht="15">
      <c r="A326" s="552" t="str">
        <f t="shared" si="92"/>
        <v>Utah</v>
      </c>
      <c r="B326" s="565" t="s">
        <v>1164</v>
      </c>
      <c r="C326" s="566">
        <v>1.8705867000000001E-2</v>
      </c>
      <c r="D326" s="567">
        <f t="shared" si="93"/>
        <v>0</v>
      </c>
    </row>
    <row r="327" spans="1:4" ht="15">
      <c r="A327" s="552" t="str">
        <f t="shared" si="92"/>
        <v>Utah</v>
      </c>
      <c r="B327" s="565" t="s">
        <v>1155</v>
      </c>
      <c r="C327" s="566">
        <v>5.733569E-3</v>
      </c>
      <c r="D327" s="567">
        <f t="shared" si="93"/>
        <v>0</v>
      </c>
    </row>
    <row r="328" spans="1:4" ht="15">
      <c r="A328" s="552" t="s">
        <v>1223</v>
      </c>
      <c r="B328" s="565" t="s">
        <v>1158</v>
      </c>
      <c r="C328" s="566">
        <v>0.67170565100000001</v>
      </c>
      <c r="D328" s="567">
        <f t="shared" si="93"/>
        <v>0.26558301052628602</v>
      </c>
    </row>
    <row r="329" spans="1:4" ht="15">
      <c r="A329" s="552" t="str">
        <f t="shared" ref="A329:A334" si="94">A328</f>
        <v>Vermont</v>
      </c>
      <c r="B329" s="565" t="s">
        <v>1156</v>
      </c>
      <c r="C329" s="566">
        <v>7.3520172999999994E-2</v>
      </c>
      <c r="D329" s="567">
        <f t="shared" si="93"/>
        <v>1.4534423560889E-2</v>
      </c>
    </row>
    <row r="330" spans="1:4" ht="15">
      <c r="A330" s="552" t="str">
        <f t="shared" si="94"/>
        <v>Vermont</v>
      </c>
      <c r="B330" s="565" t="s">
        <v>1166</v>
      </c>
      <c r="C330" s="566">
        <v>0.195867769</v>
      </c>
      <c r="D330" s="567">
        <f>C330*8*0.15*VLOOKUP(A330,'State eGrid factors'!$A$2:$C$53,3,FALSE)+N("pct WFH x 8 hours/day x 150 Watts converted to kW x eGRID state-based EFs kg CO2e/kWh")</f>
        <v>3.2314423774020013E-3</v>
      </c>
    </row>
    <row r="331" spans="1:4" ht="15">
      <c r="A331" s="552" t="str">
        <f t="shared" si="94"/>
        <v>Vermont</v>
      </c>
      <c r="B331" s="565" t="s">
        <v>1160</v>
      </c>
      <c r="C331" s="566">
        <v>5.1965479999999996E-3</v>
      </c>
      <c r="D331" s="567">
        <f t="shared" ref="D331:D336" si="95">C331*VLOOKUP($B331,$K$6:$L$12,2,FALSE)</f>
        <v>5.1348008844813334E-4</v>
      </c>
    </row>
    <row r="332" spans="1:4" ht="15">
      <c r="A332" s="552" t="str">
        <f t="shared" si="94"/>
        <v>Vermont</v>
      </c>
      <c r="B332" s="565" t="s">
        <v>1162</v>
      </c>
      <c r="C332" s="566">
        <v>8.9994210000000005E-3</v>
      </c>
      <c r="D332" s="567">
        <f t="shared" si="95"/>
        <v>2.9325723257089997E-3</v>
      </c>
    </row>
    <row r="333" spans="1:4" ht="15">
      <c r="A333" s="552" t="str">
        <f t="shared" si="94"/>
        <v>Vermont</v>
      </c>
      <c r="B333" s="565" t="s">
        <v>1164</v>
      </c>
      <c r="C333" s="566">
        <v>3.9282119999999997E-2</v>
      </c>
      <c r="D333" s="567">
        <f t="shared" si="95"/>
        <v>0</v>
      </c>
    </row>
    <row r="334" spans="1:4" ht="15">
      <c r="A334" s="552" t="str">
        <f t="shared" si="94"/>
        <v>Vermont</v>
      </c>
      <c r="B334" s="565" t="s">
        <v>1155</v>
      </c>
      <c r="C334" s="566">
        <v>5.428319E-3</v>
      </c>
      <c r="D334" s="567">
        <f t="shared" si="95"/>
        <v>0</v>
      </c>
    </row>
    <row r="335" spans="1:4" ht="15">
      <c r="A335" s="552" t="s">
        <v>1224</v>
      </c>
      <c r="B335" s="565" t="s">
        <v>1158</v>
      </c>
      <c r="C335" s="566">
        <v>0.65599676500000004</v>
      </c>
      <c r="D335" s="567">
        <f t="shared" si="95"/>
        <v>0.25937193692629001</v>
      </c>
    </row>
    <row r="336" spans="1:4" ht="15">
      <c r="A336" s="552" t="str">
        <f t="shared" ref="A336:A341" si="96">A335</f>
        <v>Virginia</v>
      </c>
      <c r="B336" s="565" t="s">
        <v>1156</v>
      </c>
      <c r="C336" s="566">
        <v>7.0492104999999999E-2</v>
      </c>
      <c r="D336" s="567">
        <f t="shared" si="95"/>
        <v>1.3935795713765001E-2</v>
      </c>
    </row>
    <row r="337" spans="1:4" ht="15">
      <c r="A337" s="552" t="str">
        <f t="shared" si="96"/>
        <v>Virginia</v>
      </c>
      <c r="B337" s="565" t="s">
        <v>1166</v>
      </c>
      <c r="C337" s="566">
        <v>0.222895014</v>
      </c>
      <c r="D337" s="567">
        <f>C337*8*0.15*VLOOKUP(A337,'State eGrid factors'!$A$2:$C$53,3,FALSE)+N("pct WFH x 8 hours/day x 150 Watts converted to kW x eGRID state-based EFs kg CO2e/kWh")</f>
        <v>7.8235379504584021E-2</v>
      </c>
    </row>
    <row r="338" spans="1:4" ht="15">
      <c r="A338" s="552" t="str">
        <f t="shared" si="96"/>
        <v>Virginia</v>
      </c>
      <c r="B338" s="565" t="s">
        <v>1160</v>
      </c>
      <c r="C338" s="566">
        <v>1.4760140999999999E-2</v>
      </c>
      <c r="D338" s="567">
        <f t="shared" ref="D338:D343" si="97">C338*VLOOKUP($B338,$K$6:$L$12,2,FALSE)</f>
        <v>1.4584756084591E-3</v>
      </c>
    </row>
    <row r="339" spans="1:4" ht="15">
      <c r="A339" s="552" t="str">
        <f t="shared" si="96"/>
        <v>Virginia</v>
      </c>
      <c r="B339" s="565" t="s">
        <v>1162</v>
      </c>
      <c r="C339" s="566">
        <v>1.3101853E-2</v>
      </c>
      <c r="D339" s="567">
        <f t="shared" si="97"/>
        <v>4.269400389570333E-3</v>
      </c>
    </row>
    <row r="340" spans="1:4" ht="15">
      <c r="A340" s="552" t="str">
        <f t="shared" si="96"/>
        <v>Virginia</v>
      </c>
      <c r="B340" s="565" t="s">
        <v>1164</v>
      </c>
      <c r="C340" s="566">
        <v>2.0264697000000002E-2</v>
      </c>
      <c r="D340" s="567">
        <f t="shared" si="97"/>
        <v>0</v>
      </c>
    </row>
    <row r="341" spans="1:4" ht="15">
      <c r="A341" s="552" t="str">
        <f t="shared" si="96"/>
        <v>Virginia</v>
      </c>
      <c r="B341" s="565" t="s">
        <v>1155</v>
      </c>
      <c r="C341" s="566">
        <v>2.489425E-3</v>
      </c>
      <c r="D341" s="567">
        <f t="shared" si="97"/>
        <v>0</v>
      </c>
    </row>
    <row r="342" spans="1:4" ht="15">
      <c r="A342" s="552" t="s">
        <v>1225</v>
      </c>
      <c r="B342" s="565" t="s">
        <v>1158</v>
      </c>
      <c r="C342" s="566">
        <v>0.61977063700000001</v>
      </c>
      <c r="D342" s="567">
        <f t="shared" si="97"/>
        <v>0.24504863308088201</v>
      </c>
    </row>
    <row r="343" spans="1:4" ht="15">
      <c r="A343" s="552" t="str">
        <f t="shared" ref="A343:A348" si="98">A342</f>
        <v>Washington</v>
      </c>
      <c r="B343" s="565" t="s">
        <v>1156</v>
      </c>
      <c r="C343" s="566">
        <v>7.0669003999999994E-2</v>
      </c>
      <c r="D343" s="567">
        <f t="shared" si="97"/>
        <v>1.3970767407771999E-2</v>
      </c>
    </row>
    <row r="344" spans="1:4" ht="15">
      <c r="A344" s="552" t="str">
        <f t="shared" si="98"/>
        <v>Washington</v>
      </c>
      <c r="B344" s="565" t="s">
        <v>1166</v>
      </c>
      <c r="C344" s="566">
        <v>0.24195910900000001</v>
      </c>
      <c r="D344" s="567">
        <f>C344*8*0.15*VLOOKUP(A344,'State eGrid factors'!$A$2:$C$53,3,FALSE)+N("pct WFH x 8 hours/day x 150 Watts converted to kW x eGRID state-based EFs kg CO2e/kWh")</f>
        <v>2.8088425404577302E-2</v>
      </c>
    </row>
    <row r="345" spans="1:4" ht="15">
      <c r="A345" s="552" t="str">
        <f t="shared" si="98"/>
        <v>Washington</v>
      </c>
      <c r="B345" s="565" t="s">
        <v>1160</v>
      </c>
      <c r="C345" s="566">
        <v>2.1236278000000001E-2</v>
      </c>
      <c r="D345" s="567">
        <f t="shared" ref="D345:D350" si="99">C345*VLOOKUP($B345,$K$6:$L$12,2,FALSE)</f>
        <v>2.0983941466044668E-3</v>
      </c>
    </row>
    <row r="346" spans="1:4" ht="15">
      <c r="A346" s="552" t="str">
        <f t="shared" si="98"/>
        <v>Washington</v>
      </c>
      <c r="B346" s="565" t="s">
        <v>1162</v>
      </c>
      <c r="C346" s="566">
        <v>1.2840236E-2</v>
      </c>
      <c r="D346" s="567">
        <f t="shared" si="99"/>
        <v>4.1841492635106663E-3</v>
      </c>
    </row>
    <row r="347" spans="1:4" ht="15">
      <c r="A347" s="552" t="str">
        <f t="shared" si="98"/>
        <v>Washington</v>
      </c>
      <c r="B347" s="565" t="s">
        <v>1164</v>
      </c>
      <c r="C347" s="566">
        <v>2.7890028000000001E-2</v>
      </c>
      <c r="D347" s="567">
        <f t="shared" si="99"/>
        <v>0</v>
      </c>
    </row>
    <row r="348" spans="1:4" ht="15">
      <c r="A348" s="552" t="str">
        <f t="shared" si="98"/>
        <v>Washington</v>
      </c>
      <c r="B348" s="565" t="s">
        <v>1155</v>
      </c>
      <c r="C348" s="566">
        <v>5.6347100000000002E-3</v>
      </c>
      <c r="D348" s="567">
        <f t="shared" si="99"/>
        <v>0</v>
      </c>
    </row>
    <row r="349" spans="1:4" ht="15">
      <c r="A349" s="552" t="s">
        <v>1226</v>
      </c>
      <c r="B349" s="565" t="s">
        <v>1158</v>
      </c>
      <c r="C349" s="566">
        <v>0.77125656899999995</v>
      </c>
      <c r="D349" s="567">
        <f t="shared" si="99"/>
        <v>0.304944049790634</v>
      </c>
    </row>
    <row r="350" spans="1:4" ht="15">
      <c r="A350" s="552" t="str">
        <f t="shared" ref="A350:A355" si="100">A349</f>
        <v>West Virginia</v>
      </c>
      <c r="B350" s="565" t="s">
        <v>1156</v>
      </c>
      <c r="C350" s="566">
        <v>8.8454811999999994E-2</v>
      </c>
      <c r="D350" s="567">
        <f t="shared" si="99"/>
        <v>1.7486897148715999E-2</v>
      </c>
    </row>
    <row r="351" spans="1:4" ht="15">
      <c r="A351" s="552" t="str">
        <f t="shared" si="100"/>
        <v>West Virginia</v>
      </c>
      <c r="B351" s="565" t="s">
        <v>1166</v>
      </c>
      <c r="C351" s="566">
        <v>0.102176025</v>
      </c>
      <c r="D351" s="567">
        <f>C351*8*0.15*VLOOKUP(A351,'State eGrid factors'!$A$2:$C$53,3,FALSE)+N("pct WFH x 8 hours/day x 150 Watts converted to kW x eGRID state-based EFs kg CO2e/kWh")</f>
        <v>0.107045095272818</v>
      </c>
    </row>
    <row r="352" spans="1:4" ht="15">
      <c r="A352" s="552" t="str">
        <f t="shared" si="100"/>
        <v>West Virginia</v>
      </c>
      <c r="B352" s="565" t="s">
        <v>1160</v>
      </c>
      <c r="C352" s="566">
        <v>3.5741599999999998E-3</v>
      </c>
      <c r="D352" s="567">
        <f t="shared" ref="D352:D357" si="101">C352*VLOOKUP($B352,$K$6:$L$12,2,FALSE)</f>
        <v>3.5316906394933337E-4</v>
      </c>
    </row>
    <row r="353" spans="1:4" ht="15">
      <c r="A353" s="552" t="str">
        <f t="shared" si="100"/>
        <v>West Virginia</v>
      </c>
      <c r="B353" s="565" t="s">
        <v>1162</v>
      </c>
      <c r="C353" s="566">
        <v>1.13276E-2</v>
      </c>
      <c r="D353" s="567">
        <f t="shared" si="101"/>
        <v>3.6912381670666664E-3</v>
      </c>
    </row>
    <row r="354" spans="1:4" ht="15">
      <c r="A354" s="552" t="str">
        <f t="shared" si="100"/>
        <v>West Virginia</v>
      </c>
      <c r="B354" s="565" t="s">
        <v>1164</v>
      </c>
      <c r="C354" s="566">
        <v>2.1348821E-2</v>
      </c>
      <c r="D354" s="567">
        <f t="shared" si="101"/>
        <v>0</v>
      </c>
    </row>
    <row r="355" spans="1:4" ht="15">
      <c r="A355" s="552" t="str">
        <f t="shared" si="100"/>
        <v>West Virginia</v>
      </c>
      <c r="B355" s="565" t="s">
        <v>1155</v>
      </c>
      <c r="C355" s="566">
        <v>1.862013E-3</v>
      </c>
      <c r="D355" s="567">
        <f t="shared" si="101"/>
        <v>0</v>
      </c>
    </row>
    <row r="356" spans="1:4" ht="15">
      <c r="A356" s="552" t="s">
        <v>1227</v>
      </c>
      <c r="B356" s="565" t="s">
        <v>1158</v>
      </c>
      <c r="C356" s="566">
        <v>0.73353973800000005</v>
      </c>
      <c r="D356" s="567">
        <f t="shared" si="101"/>
        <v>0.29003134284886806</v>
      </c>
    </row>
    <row r="357" spans="1:4" ht="15">
      <c r="A357" s="552" t="str">
        <f t="shared" ref="A357:A362" si="102">A356</f>
        <v>Wisconsin</v>
      </c>
      <c r="B357" s="565" t="s">
        <v>1156</v>
      </c>
      <c r="C357" s="566">
        <v>6.5796232999999996E-2</v>
      </c>
      <c r="D357" s="567">
        <f t="shared" si="101"/>
        <v>1.3007454690469E-2</v>
      </c>
    </row>
    <row r="358" spans="1:4" ht="15">
      <c r="A358" s="552" t="str">
        <f t="shared" si="102"/>
        <v>Wisconsin</v>
      </c>
      <c r="B358" s="565" t="s">
        <v>1166</v>
      </c>
      <c r="C358" s="566">
        <v>0.14846957099999999</v>
      </c>
      <c r="D358" s="567">
        <f>C358*8*0.15*VLOOKUP(A358,'State eGrid factors'!$A$2:$C$53,3,FALSE)+N("pct WFH x 8 hours/day x 150 Watts converted to kW x eGRID state-based EFs kg CO2e/kWh")</f>
        <v>9.6330892543940616E-2</v>
      </c>
    </row>
    <row r="359" spans="1:4" ht="15">
      <c r="A359" s="552" t="str">
        <f t="shared" si="102"/>
        <v>Wisconsin</v>
      </c>
      <c r="B359" s="565" t="s">
        <v>1160</v>
      </c>
      <c r="C359" s="566">
        <v>8.5918450000000007E-3</v>
      </c>
      <c r="D359" s="567">
        <f t="shared" ref="D359:D364" si="103">C359*VLOOKUP($B359,$K$6:$L$12,2,FALSE)</f>
        <v>8.4897538337616683E-4</v>
      </c>
    </row>
    <row r="360" spans="1:4" ht="15">
      <c r="A360" s="552" t="str">
        <f t="shared" si="102"/>
        <v>Wisconsin</v>
      </c>
      <c r="B360" s="565" t="s">
        <v>1162</v>
      </c>
      <c r="C360" s="566">
        <v>1.2089561E-2</v>
      </c>
      <c r="D360" s="567">
        <f t="shared" si="103"/>
        <v>3.9395325564356666E-3</v>
      </c>
    </row>
    <row r="361" spans="1:4" ht="15">
      <c r="A361" s="552" t="str">
        <f t="shared" si="102"/>
        <v>Wisconsin</v>
      </c>
      <c r="B361" s="565" t="s">
        <v>1164</v>
      </c>
      <c r="C361" s="566">
        <v>2.6746896999999999E-2</v>
      </c>
      <c r="D361" s="567">
        <f t="shared" si="103"/>
        <v>0</v>
      </c>
    </row>
    <row r="362" spans="1:4" ht="15">
      <c r="A362" s="552" t="str">
        <f t="shared" si="102"/>
        <v>Wisconsin</v>
      </c>
      <c r="B362" s="565" t="s">
        <v>1155</v>
      </c>
      <c r="C362" s="566">
        <v>4.7661550000000002E-3</v>
      </c>
      <c r="D362" s="567">
        <f t="shared" si="103"/>
        <v>0</v>
      </c>
    </row>
    <row r="363" spans="1:4" ht="15">
      <c r="A363" s="552" t="s">
        <v>1228</v>
      </c>
      <c r="B363" s="565" t="s">
        <v>1158</v>
      </c>
      <c r="C363" s="566">
        <v>0.75894128900000002</v>
      </c>
      <c r="D363" s="567">
        <f t="shared" si="103"/>
        <v>0.30007476049255399</v>
      </c>
    </row>
    <row r="364" spans="1:4" ht="15">
      <c r="A364" s="552" t="str">
        <f t="shared" ref="A364:A369" si="104">A363</f>
        <v>Wyoming</v>
      </c>
      <c r="B364" s="565" t="s">
        <v>1156</v>
      </c>
      <c r="C364" s="566">
        <v>9.2258169000000001E-2</v>
      </c>
      <c r="D364" s="567">
        <f t="shared" si="103"/>
        <v>1.8238794204117E-2</v>
      </c>
    </row>
    <row r="365" spans="1:4" ht="15">
      <c r="A365" s="552" t="str">
        <f t="shared" si="104"/>
        <v>Wyoming</v>
      </c>
      <c r="B365" s="565" t="s">
        <v>1166</v>
      </c>
      <c r="C365" s="566">
        <v>8.9490458999999994E-2</v>
      </c>
      <c r="D365" s="567">
        <f>C365*8*0.15*VLOOKUP(A365,'State eGrid factors'!$A$2:$C$53,3,FALSE)+N("pct WFH x 8 hours/day x 150 Watts converted to kW x eGRID state-based EFs kg CO2e/kWh")</f>
        <v>9.6939378164869236E-2</v>
      </c>
    </row>
    <row r="366" spans="1:4" ht="15">
      <c r="A366" s="552" t="str">
        <f t="shared" si="104"/>
        <v>Wyoming</v>
      </c>
      <c r="B366" s="565" t="s">
        <v>1160</v>
      </c>
      <c r="C366" s="566">
        <v>7.9399780000000003E-3</v>
      </c>
      <c r="D366" s="567">
        <f>C366*VLOOKUP($B366,$K$6:$L$12,2,FALSE)</f>
        <v>7.8456325347446673E-4</v>
      </c>
    </row>
    <row r="367" spans="1:4" ht="15">
      <c r="A367" s="552" t="str">
        <f t="shared" si="104"/>
        <v>Wyoming</v>
      </c>
      <c r="B367" s="565" t="s">
        <v>1162</v>
      </c>
      <c r="C367" s="566">
        <v>1.0295175E-2</v>
      </c>
      <c r="D367" s="567">
        <f>C367*VLOOKUP($B367,$K$6:$L$12,2,FALSE)</f>
        <v>3.354809747575E-3</v>
      </c>
    </row>
    <row r="368" spans="1:4" ht="15">
      <c r="A368" s="552" t="str">
        <f t="shared" si="104"/>
        <v>Wyoming</v>
      </c>
      <c r="B368" s="565" t="s">
        <v>1164</v>
      </c>
      <c r="C368" s="566">
        <v>3.3565091999999998E-2</v>
      </c>
      <c r="D368" s="567">
        <f>C368*VLOOKUP($B368,$K$6:$L$12,2,FALSE)</f>
        <v>0</v>
      </c>
    </row>
    <row r="369" spans="1:4" ht="15">
      <c r="A369" s="552" t="str">
        <f t="shared" si="104"/>
        <v>Wyoming</v>
      </c>
      <c r="B369" s="565" t="s">
        <v>1155</v>
      </c>
      <c r="C369" s="566">
        <v>7.5098370000000001E-3</v>
      </c>
      <c r="D369" s="567">
        <f>C369*VLOOKUP($B369,$K$6:$L$12,2,FALSE)</f>
        <v>0</v>
      </c>
    </row>
  </sheetData>
  <autoFilter ref="A5:D369" xr:uid="{00000000-0009-0000-0000-000021000000}"/>
  <mergeCells count="3">
    <mergeCell ref="A2:C2"/>
    <mergeCell ref="K15:P15"/>
    <mergeCell ref="K31:T36"/>
  </mergeCells>
  <hyperlinks>
    <hyperlink ref="G3" r:id="rId1" xr:uid="{00000000-0004-0000-2100-000000000000}"/>
    <hyperlink ref="B3" r:id="rId2" xr:uid="{00000000-0004-0000-2100-000001000000}"/>
  </hyperlinks>
  <pageMargins left="0.7" right="0.7" top="0.75" bottom="0.75" header="0.3" footer="0.3"/>
  <pageSetup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theme="3" tint="0.59999389629810485"/>
  </sheetPr>
  <dimension ref="A1:O122"/>
  <sheetViews>
    <sheetView showGridLines="0" zoomScale="70" zoomScaleNormal="70" workbookViewId="0">
      <selection activeCell="D51" sqref="D51"/>
    </sheetView>
  </sheetViews>
  <sheetFormatPr defaultColWidth="8.875" defaultRowHeight="14.25"/>
  <cols>
    <col min="1" max="1" width="7.875" customWidth="1"/>
    <col min="2" max="2" width="29.875" customWidth="1"/>
    <col min="3" max="3" width="30.125" customWidth="1"/>
    <col min="4" max="4" width="33.625" customWidth="1"/>
    <col min="5" max="5" width="28.5" customWidth="1"/>
    <col min="6" max="6" width="25.375" customWidth="1"/>
    <col min="7" max="7" width="21.75" bestFit="1" customWidth="1"/>
    <col min="8" max="8" width="7.375" style="522" customWidth="1"/>
    <col min="10" max="10" width="28.5" customWidth="1"/>
    <col min="11" max="12" width="34.5" bestFit="1" customWidth="1"/>
    <col min="13" max="13" width="29" bestFit="1" customWidth="1"/>
    <col min="14" max="14" width="29" customWidth="1"/>
    <col min="15" max="15" width="21.75" customWidth="1"/>
  </cols>
  <sheetData>
    <row r="1" spans="1:6" ht="23.45" customHeight="1">
      <c r="A1" s="198" t="s">
        <v>306</v>
      </c>
      <c r="B1" s="199"/>
      <c r="C1" s="199"/>
      <c r="D1" s="199"/>
      <c r="E1" s="199"/>
      <c r="F1" s="199"/>
    </row>
    <row r="2" spans="1:6">
      <c r="A2" s="208" t="s">
        <v>1263</v>
      </c>
      <c r="B2" s="201"/>
      <c r="C2" s="201"/>
      <c r="D2" s="201"/>
      <c r="E2" s="201"/>
      <c r="F2" s="201"/>
    </row>
    <row r="3" spans="1:6">
      <c r="A3" s="202" t="s">
        <v>1381</v>
      </c>
      <c r="B3" s="201"/>
      <c r="C3" s="201"/>
      <c r="D3" s="201"/>
      <c r="E3" s="201"/>
      <c r="F3" s="201"/>
    </row>
    <row r="4" spans="1:6">
      <c r="A4" s="202" t="s">
        <v>3626</v>
      </c>
      <c r="B4" s="201"/>
      <c r="C4" s="201"/>
      <c r="D4" s="201"/>
      <c r="E4" s="201"/>
      <c r="F4" s="201"/>
    </row>
    <row r="5" spans="1:6">
      <c r="A5" s="202" t="s">
        <v>3587</v>
      </c>
      <c r="B5" s="201"/>
      <c r="C5" s="201"/>
      <c r="D5" s="201"/>
      <c r="E5" s="201"/>
      <c r="F5" s="201"/>
    </row>
    <row r="6" spans="1:6">
      <c r="A6" s="213" t="s">
        <v>1518</v>
      </c>
      <c r="B6" s="201"/>
      <c r="C6" s="201"/>
      <c r="D6" s="201"/>
      <c r="E6" s="201"/>
      <c r="F6" s="201"/>
    </row>
    <row r="7" spans="1:6">
      <c r="A7" s="266" t="s">
        <v>3624</v>
      </c>
      <c r="B7" s="201"/>
      <c r="C7" s="201"/>
      <c r="D7" s="201"/>
      <c r="E7" s="201"/>
      <c r="F7" s="201"/>
    </row>
    <row r="8" spans="1:6">
      <c r="A8" s="266" t="s">
        <v>3625</v>
      </c>
      <c r="B8" s="201"/>
      <c r="C8" s="201"/>
      <c r="D8" s="201"/>
      <c r="E8" s="201"/>
      <c r="F8" s="201"/>
    </row>
    <row r="19" spans="1:14" ht="27.95" customHeight="1">
      <c r="I19" s="262" t="s">
        <v>4320</v>
      </c>
    </row>
    <row r="20" spans="1:14" ht="18.75">
      <c r="A20" s="16" t="s">
        <v>3583</v>
      </c>
      <c r="I20" s="16" t="s">
        <v>3583</v>
      </c>
    </row>
    <row r="21" spans="1:14">
      <c r="A21" s="267" t="s">
        <v>1371</v>
      </c>
      <c r="H21" s="523"/>
      <c r="I21" s="267" t="s">
        <v>1371</v>
      </c>
    </row>
    <row r="22" spans="1:14">
      <c r="B22" s="9" t="s">
        <v>188</v>
      </c>
      <c r="C22" s="9" t="s">
        <v>188</v>
      </c>
      <c r="D22" s="9"/>
      <c r="E22" s="9"/>
      <c r="J22" s="9" t="s">
        <v>188</v>
      </c>
      <c r="K22" s="9" t="s">
        <v>188</v>
      </c>
      <c r="L22" s="9" t="s">
        <v>188</v>
      </c>
      <c r="M22" s="9" t="s">
        <v>188</v>
      </c>
      <c r="N22" s="9"/>
    </row>
    <row r="23" spans="1:14" ht="15">
      <c r="A23" s="203" t="s">
        <v>155</v>
      </c>
      <c r="B23" s="204" t="s">
        <v>1134</v>
      </c>
      <c r="C23" s="203" t="s">
        <v>1349</v>
      </c>
      <c r="D23" s="203" t="s">
        <v>1347</v>
      </c>
      <c r="E23" s="203" t="s">
        <v>1348</v>
      </c>
      <c r="F23" s="203" t="s">
        <v>160</v>
      </c>
      <c r="I23" s="203" t="s">
        <v>155</v>
      </c>
      <c r="J23" s="204" t="s">
        <v>1134</v>
      </c>
      <c r="K23" s="203" t="s">
        <v>1349</v>
      </c>
      <c r="L23" s="203" t="s">
        <v>1347</v>
      </c>
      <c r="M23" s="203" t="s">
        <v>1348</v>
      </c>
      <c r="N23" s="203" t="s">
        <v>160</v>
      </c>
    </row>
    <row r="24" spans="1:14" ht="15">
      <c r="A24" s="186">
        <v>1</v>
      </c>
      <c r="B24" s="221" t="s">
        <v>1350</v>
      </c>
      <c r="C24" s="222">
        <v>3000</v>
      </c>
      <c r="D24" s="280">
        <f>IF(C24="","",C24*'CBECS IFs and eGRID'!$C$8)</f>
        <v>86400</v>
      </c>
      <c r="E24" s="280">
        <f>IF(C24="","",C24*'CBECS IFs and eGRID'!$D$18)</f>
        <v>2416.7528438469494</v>
      </c>
      <c r="F24" s="271">
        <f>IF(C24="","",(D24/1000*'CBECS IFs and eGRID'!$Q$32/2204.62)+(E24*'CBECS IFs and eGRID'!$G$31/1000))</f>
        <v>45.070784360722058</v>
      </c>
      <c r="I24" s="186">
        <v>1</v>
      </c>
      <c r="J24" s="221" t="s">
        <v>1350</v>
      </c>
      <c r="K24" s="222">
        <v>3000</v>
      </c>
      <c r="L24" s="222">
        <f>IF(K24="","",K24*'CBECS IFs and eGRID'!$C$8)</f>
        <v>86400</v>
      </c>
      <c r="M24" s="222">
        <f>IF(K24="","",K24*'CBECS IFs and eGRID'!$D$18)</f>
        <v>2416.7528438469494</v>
      </c>
      <c r="N24" s="271">
        <f>(L24/1000*'CBECS IFs and eGRID'!$Q$32/2204.62)+(M24*'CBECS IFs and eGRID'!$G$27/1000)</f>
        <v>32.234322468271181</v>
      </c>
    </row>
    <row r="25" spans="1:14" ht="15">
      <c r="A25" s="186">
        <v>2</v>
      </c>
      <c r="B25" s="256"/>
      <c r="C25" s="259"/>
      <c r="D25" s="281" t="str">
        <f>IF(C25="","",C25*'CBECS IFs and eGRID'!$C$8)</f>
        <v/>
      </c>
      <c r="E25" s="281" t="str">
        <f>IF(C25="","",C25*'CBECS IFs and eGRID'!$D$18)</f>
        <v/>
      </c>
      <c r="F25" s="272" t="str">
        <f>IF(C25="","",(D25/1000*'CBECS IFs and eGRID'!$Q$32/2204.62)+(E25*'CBECS IFs and eGRID'!$G$31/1000))</f>
        <v/>
      </c>
      <c r="I25" s="186">
        <v>2</v>
      </c>
      <c r="J25" s="256"/>
      <c r="K25" s="259"/>
      <c r="L25" s="259"/>
      <c r="M25" s="259"/>
      <c r="N25" s="382" t="str">
        <f>IF(AND(ISBLANK(L25),ISBLANK(M25)),"",(L25/1000*'CBECS IFs and eGRID'!$Q$32/2204.62)+(M25*'CBECS IFs and eGRID'!$G$31/1000))</f>
        <v/>
      </c>
    </row>
    <row r="26" spans="1:14" ht="15">
      <c r="A26" s="186">
        <v>3</v>
      </c>
      <c r="B26" s="256"/>
      <c r="C26" s="259"/>
      <c r="D26" s="281" t="str">
        <f>IF(C26="","",C26*'CBECS IFs and eGRID'!$C$8)</f>
        <v/>
      </c>
      <c r="E26" s="281" t="str">
        <f>IF(C26="","",C26*'CBECS IFs and eGRID'!$D$18)</f>
        <v/>
      </c>
      <c r="F26" s="272" t="str">
        <f>IF(C26="","",(D26/1000*'CBECS IFs and eGRID'!$Q$32/2204.62)+(E26*'CBECS IFs and eGRID'!$G$31/1000))</f>
        <v/>
      </c>
      <c r="I26" s="186">
        <v>3</v>
      </c>
      <c r="J26" s="256"/>
      <c r="K26" s="259"/>
      <c r="L26" s="259"/>
      <c r="M26" s="259"/>
      <c r="N26" s="382" t="str">
        <f>IF(AND(ISBLANK(L26),ISBLANK(M26)),"",(L26/1000*'CBECS IFs and eGRID'!$Q$32/2204.62)+(M26*'CBECS IFs and eGRID'!$G$31/1000))</f>
        <v/>
      </c>
    </row>
    <row r="27" spans="1:14" ht="15">
      <c r="A27" s="186">
        <v>4</v>
      </c>
      <c r="B27" s="256"/>
      <c r="C27" s="259"/>
      <c r="D27" s="281" t="str">
        <f>IF(C27="","",C27*'CBECS IFs and eGRID'!$C$8)</f>
        <v/>
      </c>
      <c r="E27" s="281" t="str">
        <f>IF(C27="","",C27*'CBECS IFs and eGRID'!$D$18)</f>
        <v/>
      </c>
      <c r="F27" s="272" t="str">
        <f>IF(C27="","",(D27/1000*'CBECS IFs and eGRID'!$Q$32/2204.62)+(E27*'CBECS IFs and eGRID'!$G$31/1000))</f>
        <v/>
      </c>
      <c r="I27" s="186">
        <v>4</v>
      </c>
      <c r="J27" s="256"/>
      <c r="K27" s="259"/>
      <c r="L27" s="259"/>
      <c r="M27" s="259"/>
      <c r="N27" s="382" t="str">
        <f>IF(AND(ISBLANK(L27),ISBLANK(M27)),"",(L27/1000*'CBECS IFs and eGRID'!$Q$32/2204.62)+(M27*'CBECS IFs and eGRID'!$G$31/1000))</f>
        <v/>
      </c>
    </row>
    <row r="28" spans="1:14" ht="15">
      <c r="A28" s="186">
        <v>5</v>
      </c>
      <c r="B28" s="256"/>
      <c r="C28" s="259"/>
      <c r="D28" s="281" t="str">
        <f>IF(C28="","",C28*'CBECS IFs and eGRID'!$C$8)</f>
        <v/>
      </c>
      <c r="E28" s="281" t="str">
        <f>IF(C28="","",C28*'CBECS IFs and eGRID'!$D$18)</f>
        <v/>
      </c>
      <c r="F28" s="272" t="str">
        <f>IF(C28="","",(D28/1000*'CBECS IFs and eGRID'!$Q$32/2204.62)+(E28*'CBECS IFs and eGRID'!$G$31/1000))</f>
        <v/>
      </c>
      <c r="I28" s="186">
        <v>5</v>
      </c>
      <c r="J28" s="256"/>
      <c r="K28" s="259"/>
      <c r="L28" s="259"/>
      <c r="M28" s="259"/>
      <c r="N28" s="382" t="str">
        <f>IF(AND(ISBLANK(L28),ISBLANK(M28)),"",(L28/1000*'CBECS IFs and eGRID'!$Q$32/2204.62)+(M28*'CBECS IFs and eGRID'!$G$31/1000))</f>
        <v/>
      </c>
    </row>
    <row r="29" spans="1:14" ht="15">
      <c r="A29" s="186">
        <v>6</v>
      </c>
      <c r="B29" s="256"/>
      <c r="C29" s="259"/>
      <c r="D29" s="281" t="str">
        <f>IF(C29="","",C29*'CBECS IFs and eGRID'!$C$8)</f>
        <v/>
      </c>
      <c r="E29" s="281" t="str">
        <f>IF(C29="","",C29*'CBECS IFs and eGRID'!$D$18)</f>
        <v/>
      </c>
      <c r="F29" s="272" t="str">
        <f>IF(C29="","",(D29/1000*'CBECS IFs and eGRID'!$Q$32/2204.62)+(E29*'CBECS IFs and eGRID'!$G$31/1000))</f>
        <v/>
      </c>
      <c r="I29" s="186">
        <v>6</v>
      </c>
      <c r="J29" s="256"/>
      <c r="K29" s="259"/>
      <c r="L29" s="259"/>
      <c r="M29" s="259"/>
      <c r="N29" s="382" t="str">
        <f>IF(AND(ISBLANK(L29),ISBLANK(M29)),"",(L29/1000*'CBECS IFs and eGRID'!$Q$32/2204.62)+(M29*'CBECS IFs and eGRID'!$G$31/1000))</f>
        <v/>
      </c>
    </row>
    <row r="30" spans="1:14" ht="15">
      <c r="A30" s="186">
        <v>7</v>
      </c>
      <c r="B30" s="256"/>
      <c r="C30" s="259"/>
      <c r="D30" s="281" t="str">
        <f>IF(C30="","",C30*'CBECS IFs and eGRID'!$C$8)</f>
        <v/>
      </c>
      <c r="E30" s="281" t="str">
        <f>IF(C30="","",C30*'CBECS IFs and eGRID'!$D$18)</f>
        <v/>
      </c>
      <c r="F30" s="272" t="str">
        <f>IF(C30="","",(D30/1000*'CBECS IFs and eGRID'!$Q$32/2204.62)+(E30*'CBECS IFs and eGRID'!$G$31/1000))</f>
        <v/>
      </c>
      <c r="I30" s="186">
        <v>7</v>
      </c>
      <c r="J30" s="256"/>
      <c r="K30" s="259"/>
      <c r="L30" s="259"/>
      <c r="M30" s="259"/>
      <c r="N30" s="382" t="str">
        <f>IF(AND(ISBLANK(L30),ISBLANK(M30)),"",(L30/1000*'CBECS IFs and eGRID'!$Q$32/2204.62)+(M30*'CBECS IFs and eGRID'!$G$31/1000))</f>
        <v/>
      </c>
    </row>
    <row r="31" spans="1:14" ht="15">
      <c r="A31" s="186">
        <v>8</v>
      </c>
      <c r="B31" s="256"/>
      <c r="C31" s="259"/>
      <c r="D31" s="281" t="str">
        <f>IF(C31="","",C31*'CBECS IFs and eGRID'!$C$8)</f>
        <v/>
      </c>
      <c r="E31" s="281" t="str">
        <f>IF(C31="","",C31*'CBECS IFs and eGRID'!$D$18)</f>
        <v/>
      </c>
      <c r="F31" s="272" t="str">
        <f>IF(C31="","",(D31/1000*'CBECS IFs and eGRID'!$Q$32/2204.62)+(E31*'CBECS IFs and eGRID'!$G$31/1000))</f>
        <v/>
      </c>
      <c r="I31" s="186">
        <v>8</v>
      </c>
      <c r="J31" s="256"/>
      <c r="K31" s="259"/>
      <c r="L31" s="259"/>
      <c r="M31" s="259"/>
      <c r="N31" s="382" t="str">
        <f>IF(AND(ISBLANK(L31),ISBLANK(M31)),"",(L31/1000*'CBECS IFs and eGRID'!$Q$32/2204.62)+(M31*'CBECS IFs and eGRID'!$G$31/1000))</f>
        <v/>
      </c>
    </row>
    <row r="32" spans="1:14" ht="15">
      <c r="A32" s="186">
        <v>9</v>
      </c>
      <c r="B32" s="256"/>
      <c r="C32" s="259"/>
      <c r="D32" s="281" t="str">
        <f>IF(C32="","",C32*'CBECS IFs and eGRID'!$C$8)</f>
        <v/>
      </c>
      <c r="E32" s="281" t="str">
        <f>IF(C32="","",C32*'CBECS IFs and eGRID'!$D$18)</f>
        <v/>
      </c>
      <c r="F32" s="272" t="str">
        <f>IF(C32="","",(D32/1000*'CBECS IFs and eGRID'!$Q$32/2204.62)+(E32*'CBECS IFs and eGRID'!$G$31/1000))</f>
        <v/>
      </c>
      <c r="I32" s="186">
        <v>9</v>
      </c>
      <c r="J32" s="256"/>
      <c r="K32" s="259"/>
      <c r="L32" s="259"/>
      <c r="M32" s="259"/>
      <c r="N32" s="382" t="str">
        <f>IF(AND(ISBLANK(L32),ISBLANK(M32)),"",(L32/1000*'CBECS IFs and eGRID'!$Q$32/2204.62)+(M32*'CBECS IFs and eGRID'!$G$31/1000))</f>
        <v/>
      </c>
    </row>
    <row r="33" spans="1:14" ht="15">
      <c r="A33" s="186">
        <v>10</v>
      </c>
      <c r="B33" s="256"/>
      <c r="C33" s="259"/>
      <c r="D33" s="281" t="str">
        <f>IF(C33="","",C33*'CBECS IFs and eGRID'!$C$8)</f>
        <v/>
      </c>
      <c r="E33" s="281" t="str">
        <f>IF(C33="","",C33*'CBECS IFs and eGRID'!$D$18)</f>
        <v/>
      </c>
      <c r="F33" s="272" t="str">
        <f>IF(C33="","",(D33/1000*'CBECS IFs and eGRID'!$Q$32/2204.62)+(E33*'CBECS IFs and eGRID'!$G$31/1000))</f>
        <v/>
      </c>
      <c r="I33" s="186">
        <v>10</v>
      </c>
      <c r="J33" s="256"/>
      <c r="K33" s="259"/>
      <c r="L33" s="259"/>
      <c r="M33" s="259"/>
      <c r="N33" s="382" t="str">
        <f>IF(AND(ISBLANK(L33),ISBLANK(M33)),"",(L33/1000*'CBECS IFs and eGRID'!$Q$32/2204.62)+(M33*'CBECS IFs and eGRID'!$G$31/1000))</f>
        <v/>
      </c>
    </row>
    <row r="34" spans="1:14" ht="15">
      <c r="A34" s="186">
        <v>11</v>
      </c>
      <c r="B34" s="256"/>
      <c r="C34" s="259"/>
      <c r="D34" s="281" t="str">
        <f>IF(C34="","",C34*'CBECS IFs and eGRID'!$C$8)</f>
        <v/>
      </c>
      <c r="E34" s="281" t="str">
        <f>IF(C34="","",C34*'CBECS IFs and eGRID'!$D$18)</f>
        <v/>
      </c>
      <c r="F34" s="272" t="str">
        <f>IF(C34="","",(D34/1000*'CBECS IFs and eGRID'!$Q$32/2204.62)+(E34*'CBECS IFs and eGRID'!$G$31/1000))</f>
        <v/>
      </c>
      <c r="I34" s="186">
        <v>11</v>
      </c>
      <c r="J34" s="256"/>
      <c r="K34" s="259"/>
      <c r="L34" s="259"/>
      <c r="M34" s="259"/>
      <c r="N34" s="382" t="str">
        <f>IF(AND(ISBLANK(L34),ISBLANK(M34)),"",(L34/1000*'CBECS IFs and eGRID'!$Q$32/2204.62)+(M34*'CBECS IFs and eGRID'!$G$31/1000))</f>
        <v/>
      </c>
    </row>
    <row r="35" spans="1:14" ht="15">
      <c r="A35" s="186">
        <v>12</v>
      </c>
      <c r="B35" s="256"/>
      <c r="C35" s="259"/>
      <c r="D35" s="281" t="str">
        <f>IF(C35="","",C35*'CBECS IFs and eGRID'!$C$8)</f>
        <v/>
      </c>
      <c r="E35" s="281" t="str">
        <f>IF(C35="","",C35*'CBECS IFs and eGRID'!$D$18)</f>
        <v/>
      </c>
      <c r="F35" s="272" t="str">
        <f>IF(C35="","",(D35/1000*'CBECS IFs and eGRID'!$Q$32/2204.62)+(E35*'CBECS IFs and eGRID'!$G$31/1000))</f>
        <v/>
      </c>
      <c r="I35" s="186">
        <v>12</v>
      </c>
      <c r="J35" s="256"/>
      <c r="K35" s="259"/>
      <c r="L35" s="259"/>
      <c r="M35" s="259"/>
      <c r="N35" s="382" t="str">
        <f>IF(AND(ISBLANK(L35),ISBLANK(M35)),"",(L35/1000*'CBECS IFs and eGRID'!$Q$32/2204.62)+(M35*'CBECS IFs and eGRID'!$G$31/1000))</f>
        <v/>
      </c>
    </row>
    <row r="36" spans="1:14" ht="15">
      <c r="A36" s="186">
        <v>13</v>
      </c>
      <c r="B36" s="256"/>
      <c r="C36" s="259"/>
      <c r="D36" s="281" t="str">
        <f>IF(C36="","",C36*'CBECS IFs and eGRID'!$C$8)</f>
        <v/>
      </c>
      <c r="E36" s="281" t="str">
        <f>IF(C36="","",C36*'CBECS IFs and eGRID'!$D$18)</f>
        <v/>
      </c>
      <c r="F36" s="272" t="str">
        <f>IF(C36="","",(D36/1000*'CBECS IFs and eGRID'!$Q$32/2204.62)+(E36*'CBECS IFs and eGRID'!$G$31/1000))</f>
        <v/>
      </c>
      <c r="I36" s="186">
        <v>13</v>
      </c>
      <c r="J36" s="256"/>
      <c r="K36" s="259"/>
      <c r="L36" s="259"/>
      <c r="M36" s="259"/>
      <c r="N36" s="382" t="str">
        <f>IF(AND(ISBLANK(L36),ISBLANK(M36)),"",(L36/1000*'CBECS IFs and eGRID'!$Q$32/2204.62)+(M36*'CBECS IFs and eGRID'!$G$31/1000))</f>
        <v/>
      </c>
    </row>
    <row r="37" spans="1:14" ht="15">
      <c r="A37" s="186">
        <v>14</v>
      </c>
      <c r="B37" s="256"/>
      <c r="C37" s="259"/>
      <c r="D37" s="281" t="str">
        <f>IF(C37="","",C37*'CBECS IFs and eGRID'!$C$8)</f>
        <v/>
      </c>
      <c r="E37" s="281" t="str">
        <f>IF(C37="","",C37*'CBECS IFs and eGRID'!$D$18)</f>
        <v/>
      </c>
      <c r="F37" s="272" t="str">
        <f>IF(C37="","",(D37/1000*'CBECS IFs and eGRID'!$Q$32/2204.62)+(E37*'CBECS IFs and eGRID'!$G$31/1000))</f>
        <v/>
      </c>
      <c r="I37" s="186">
        <v>14</v>
      </c>
      <c r="J37" s="256"/>
      <c r="K37" s="259"/>
      <c r="L37" s="259"/>
      <c r="M37" s="259"/>
      <c r="N37" s="382" t="str">
        <f>IF(AND(ISBLANK(L37),ISBLANK(M37)),"",(L37/1000*'CBECS IFs and eGRID'!$Q$32/2204.62)+(M37*'CBECS IFs and eGRID'!$G$31/1000))</f>
        <v/>
      </c>
    </row>
    <row r="38" spans="1:14" ht="15">
      <c r="A38" s="186">
        <v>15</v>
      </c>
      <c r="B38" s="256"/>
      <c r="C38" s="259"/>
      <c r="D38" s="281" t="str">
        <f>IF(C38="","",C38*'CBECS IFs and eGRID'!$C$8)</f>
        <v/>
      </c>
      <c r="E38" s="281" t="str">
        <f>IF(C38="","",C38*'CBECS IFs and eGRID'!$D$18)</f>
        <v/>
      </c>
      <c r="F38" s="272" t="str">
        <f>IF(C38="","",(D38/1000*'CBECS IFs and eGRID'!$Q$32/2204.62)+(E38*'CBECS IFs and eGRID'!$G$31/1000))</f>
        <v/>
      </c>
      <c r="I38" s="186">
        <v>15</v>
      </c>
      <c r="J38" s="256"/>
      <c r="K38" s="259"/>
      <c r="L38" s="259"/>
      <c r="M38" s="259"/>
      <c r="N38" s="382" t="str">
        <f>IF(AND(ISBLANK(L38),ISBLANK(M38)),"",(L38/1000*'CBECS IFs and eGRID'!$Q$32/2204.62)+(M38*'CBECS IFs and eGRID'!$G$31/1000))</f>
        <v/>
      </c>
    </row>
    <row r="39" spans="1:14" ht="15">
      <c r="A39" s="186">
        <v>16</v>
      </c>
      <c r="B39" s="256"/>
      <c r="C39" s="259"/>
      <c r="D39" s="281" t="str">
        <f>IF(C39="","",C39*'CBECS IFs and eGRID'!$C$8)</f>
        <v/>
      </c>
      <c r="E39" s="281" t="str">
        <f>IF(C39="","",C39*'CBECS IFs and eGRID'!$D$18)</f>
        <v/>
      </c>
      <c r="F39" s="272" t="str">
        <f>IF(C39="","",(D39/1000*'CBECS IFs and eGRID'!$Q$32/2204.62)+(E39*'CBECS IFs and eGRID'!$G$31/1000))</f>
        <v/>
      </c>
      <c r="I39" s="186">
        <v>16</v>
      </c>
      <c r="J39" s="256"/>
      <c r="K39" s="259"/>
      <c r="L39" s="259"/>
      <c r="M39" s="259"/>
      <c r="N39" s="382" t="str">
        <f>IF(AND(ISBLANK(L39),ISBLANK(M39)),"",(L39/1000*'CBECS IFs and eGRID'!$Q$32/2204.62)+(M39*'CBECS IFs and eGRID'!$G$31/1000))</f>
        <v/>
      </c>
    </row>
    <row r="40" spans="1:14" ht="15">
      <c r="A40" s="186">
        <v>17</v>
      </c>
      <c r="B40" s="256"/>
      <c r="C40" s="259"/>
      <c r="D40" s="281" t="str">
        <f>IF(C40="","",C40*'CBECS IFs and eGRID'!$C$8)</f>
        <v/>
      </c>
      <c r="E40" s="281" t="str">
        <f>IF(C40="","",C40*'CBECS IFs and eGRID'!$D$18)</f>
        <v/>
      </c>
      <c r="F40" s="272" t="str">
        <f>IF(C40="","",(D40/1000*'CBECS IFs and eGRID'!$Q$32/2204.62)+(E40*'CBECS IFs and eGRID'!$G$31/1000))</f>
        <v/>
      </c>
      <c r="I40" s="186">
        <v>17</v>
      </c>
      <c r="J40" s="256"/>
      <c r="K40" s="259"/>
      <c r="L40" s="259"/>
      <c r="M40" s="259"/>
      <c r="N40" s="382" t="str">
        <f>IF(AND(ISBLANK(L40),ISBLANK(M40)),"",(L40/1000*'CBECS IFs and eGRID'!$Q$32/2204.62)+(M40*'CBECS IFs and eGRID'!$G$31/1000))</f>
        <v/>
      </c>
    </row>
    <row r="41" spans="1:14" ht="15">
      <c r="A41" s="186">
        <v>18</v>
      </c>
      <c r="B41" s="256"/>
      <c r="C41" s="259"/>
      <c r="D41" s="281" t="str">
        <f>IF(C41="","",C41*'CBECS IFs and eGRID'!$C$8)</f>
        <v/>
      </c>
      <c r="E41" s="281" t="str">
        <f>IF(C41="","",C41*'CBECS IFs and eGRID'!$D$18)</f>
        <v/>
      </c>
      <c r="F41" s="272" t="str">
        <f>IF(C41="","",(D41/1000*'CBECS IFs and eGRID'!$Q$32/2204.62)+(E41*'CBECS IFs and eGRID'!$G$31/1000))</f>
        <v/>
      </c>
      <c r="I41" s="186">
        <v>18</v>
      </c>
      <c r="J41" s="256"/>
      <c r="K41" s="259"/>
      <c r="L41" s="259"/>
      <c r="M41" s="259"/>
      <c r="N41" s="382" t="str">
        <f>IF(AND(ISBLANK(L41),ISBLANK(M41)),"",(L41/1000*'CBECS IFs and eGRID'!$Q$32/2204.62)+(M41*'CBECS IFs and eGRID'!$G$31/1000))</f>
        <v/>
      </c>
    </row>
    <row r="42" spans="1:14" ht="15">
      <c r="A42" s="186">
        <v>19</v>
      </c>
      <c r="B42" s="256"/>
      <c r="C42" s="259"/>
      <c r="D42" s="281" t="str">
        <f>IF(C42="","",C42*'CBECS IFs and eGRID'!$C$8)</f>
        <v/>
      </c>
      <c r="E42" s="281" t="str">
        <f>IF(C42="","",C42*'CBECS IFs and eGRID'!$D$18)</f>
        <v/>
      </c>
      <c r="F42" s="272" t="str">
        <f>IF(C42="","",(D42/1000*'CBECS IFs and eGRID'!$Q$32/2204.62)+(E42*'CBECS IFs and eGRID'!$G$31/1000))</f>
        <v/>
      </c>
      <c r="I42" s="186">
        <v>19</v>
      </c>
      <c r="J42" s="256"/>
      <c r="K42" s="259"/>
      <c r="L42" s="259"/>
      <c r="M42" s="259"/>
      <c r="N42" s="382" t="str">
        <f>IF(AND(ISBLANK(L42),ISBLANK(M42)),"",(L42/1000*'CBECS IFs and eGRID'!$Q$32/2204.62)+(M42*'CBECS IFs and eGRID'!$G$31/1000))</f>
        <v/>
      </c>
    </row>
    <row r="43" spans="1:14" ht="15.75" thickBot="1">
      <c r="A43" s="186">
        <v>20</v>
      </c>
      <c r="B43" s="256"/>
      <c r="C43" s="259"/>
      <c r="D43" s="281" t="str">
        <f>IF(C43="","",C43*'CBECS IFs and eGRID'!$C$8)</f>
        <v/>
      </c>
      <c r="E43" s="281" t="str">
        <f>IF(C43="","",C43*'CBECS IFs and eGRID'!$D$18)</f>
        <v/>
      </c>
      <c r="F43" s="272" t="str">
        <f>IF(C43="","",(D43/1000*'CBECS IFs and eGRID'!$Q$32/2204.62)+(E43*'CBECS IFs and eGRID'!$G$31/1000))</f>
        <v/>
      </c>
      <c r="I43" s="186">
        <v>20</v>
      </c>
      <c r="J43" s="256"/>
      <c r="K43" s="259"/>
      <c r="L43" s="259"/>
      <c r="M43" s="259"/>
      <c r="N43" s="382" t="str">
        <f>IF(AND(ISBLANK(L43),ISBLANK(M43)),"",(L43/1000*'CBECS IFs and eGRID'!$Q$32/2204.62)+(M43*'CBECS IFs and eGRID'!$G$31/1000))</f>
        <v/>
      </c>
    </row>
    <row r="44" spans="1:14" ht="15" thickBot="1">
      <c r="E44" s="183" t="s">
        <v>1129</v>
      </c>
      <c r="F44" s="122">
        <f>SUM(F25:F43)</f>
        <v>0</v>
      </c>
      <c r="M44" s="183" t="s">
        <v>1129</v>
      </c>
      <c r="N44" s="122">
        <f>SUM(N25:N43)</f>
        <v>0</v>
      </c>
    </row>
    <row r="45" spans="1:14">
      <c r="E45" s="370"/>
      <c r="F45" s="371"/>
      <c r="M45" s="370"/>
      <c r="N45" s="371"/>
    </row>
    <row r="46" spans="1:14" ht="18.75">
      <c r="A46" s="16" t="s">
        <v>3584</v>
      </c>
      <c r="I46" s="16" t="s">
        <v>3584</v>
      </c>
    </row>
    <row r="47" spans="1:14">
      <c r="A47" s="267" t="s">
        <v>1371</v>
      </c>
      <c r="I47" s="267" t="s">
        <v>1371</v>
      </c>
    </row>
    <row r="48" spans="1:14">
      <c r="B48" s="9" t="s">
        <v>188</v>
      </c>
      <c r="C48" s="9" t="s">
        <v>188</v>
      </c>
      <c r="D48" s="9"/>
      <c r="E48" s="9"/>
      <c r="J48" s="9" t="s">
        <v>188</v>
      </c>
      <c r="K48" s="9" t="s">
        <v>188</v>
      </c>
      <c r="L48" s="9" t="s">
        <v>188</v>
      </c>
      <c r="M48" s="9" t="s">
        <v>188</v>
      </c>
      <c r="N48" s="9" t="s">
        <v>188</v>
      </c>
    </row>
    <row r="49" spans="1:15" ht="15">
      <c r="A49" s="203" t="s">
        <v>155</v>
      </c>
      <c r="B49" s="204" t="s">
        <v>1134</v>
      </c>
      <c r="C49" s="204" t="s">
        <v>3623</v>
      </c>
      <c r="D49" s="203" t="s">
        <v>1349</v>
      </c>
      <c r="E49" s="203" t="s">
        <v>1347</v>
      </c>
      <c r="F49" s="203" t="s">
        <v>1348</v>
      </c>
      <c r="G49" s="203" t="s">
        <v>160</v>
      </c>
      <c r="I49" s="203" t="s">
        <v>155</v>
      </c>
      <c r="J49" s="204" t="s">
        <v>1134</v>
      </c>
      <c r="K49" s="204" t="s">
        <v>3623</v>
      </c>
      <c r="L49" s="203" t="s">
        <v>1349</v>
      </c>
      <c r="M49" s="203" t="s">
        <v>1347</v>
      </c>
      <c r="N49" s="203" t="s">
        <v>1348</v>
      </c>
      <c r="O49" s="203" t="s">
        <v>160</v>
      </c>
    </row>
    <row r="50" spans="1:15" ht="15">
      <c r="A50" s="186">
        <v>1</v>
      </c>
      <c r="B50" s="221" t="s">
        <v>1350</v>
      </c>
      <c r="C50" s="221" t="s">
        <v>3621</v>
      </c>
      <c r="D50" s="222">
        <v>3000</v>
      </c>
      <c r="E50" s="280">
        <f>IF(OR(C50="",D50=""),"",(D50*IF(C50='CBECS IFs and eGRID'!$B$10,'CBECS IFs and eGRID'!$C$10,'CBECS IFs and eGRID'!$C$11)))</f>
        <v>56699.999999999993</v>
      </c>
      <c r="F50" s="280">
        <f>IF(OR(C50="",D50=""),"",(D50*IF(C50='CBECS IFs and eGRID'!$B$20,'CBECS IFs and eGRID'!$D$20,'CBECS IFs and eGRID'!$D$21)))</f>
        <v>974.14684591520165</v>
      </c>
      <c r="G50" s="271">
        <f>IF(OR(C50="",D50=""),"",(E50/1000*'CBECS IFs and eGRID'!$Q$32/2204.62)+(F50*'CBECS IFs and eGRID'!$G$31/1000))</f>
        <v>26.327906384539258</v>
      </c>
      <c r="I50" s="186">
        <v>1</v>
      </c>
      <c r="J50" s="221" t="s">
        <v>1350</v>
      </c>
      <c r="K50" s="221" t="s">
        <v>3621</v>
      </c>
      <c r="L50" s="222">
        <v>3000</v>
      </c>
      <c r="M50" s="222">
        <f>IF(OR(K50="",L50=""),"",(L50*IF(K50='CBECS IFs and eGRID'!$B$10,'CBECS IFs and eGRID'!$C$10,'CBECS IFs and eGRID'!$C$11)))</f>
        <v>56699.999999999993</v>
      </c>
      <c r="N50" s="222">
        <f>IF(OR(K50="",L50=""),"",(L50*IF(K50='CBECS IFs and eGRID'!$B$20,'CBECS IFs and eGRID'!$D$20,'CBECS IFs and eGRID'!$D$21)))</f>
        <v>974.14684591520165</v>
      </c>
      <c r="O50" s="271">
        <f>IF(OR(K50="",L50=""),"",(M50/1000*'CBECS IFs and eGRID'!$Q$32/2204.62)+(N50*'CBECS IFs and eGRID'!$G$31/1000))</f>
        <v>26.327906384539258</v>
      </c>
    </row>
    <row r="51" spans="1:15" ht="15">
      <c r="A51" s="186">
        <v>2</v>
      </c>
      <c r="B51" s="256"/>
      <c r="C51" s="256"/>
      <c r="D51" s="259"/>
      <c r="E51" s="281" t="str">
        <f>IF(OR(C51="",D51=""),"",(D51*IF(C51='CBECS IFs and eGRID'!$B$10,'CBECS IFs and eGRID'!$C$10,'CBECS IFs and eGRID'!$C$11)))</f>
        <v/>
      </c>
      <c r="F51" s="281" t="str">
        <f>IF(OR(C51="",D51=""),"",(D51*IF(C51='CBECS IFs and eGRID'!$B$20,'CBECS IFs and eGRID'!$D$20,'CBECS IFs and eGRID'!$D$21)))</f>
        <v/>
      </c>
      <c r="G51" s="272" t="str">
        <f>IF(OR(C51="",D51=""),"",(E51/1000*'CBECS IFs and eGRID'!$Q$32/2204.62)+(F51*'CBECS IFs and eGRID'!$G$31/1000))</f>
        <v/>
      </c>
      <c r="I51" s="186">
        <v>2</v>
      </c>
      <c r="J51" s="256"/>
      <c r="K51" s="256"/>
      <c r="L51" s="259"/>
      <c r="M51" s="259"/>
      <c r="N51" s="259"/>
      <c r="O51" s="272" t="str">
        <f>IF(AND(ISBLANK(M51),ISBLANK(N51)),"",(M51/1000*'CBECS IFs and eGRID'!$Q$32/2204.62)+(N51*'CBECS IFs and eGRID'!$G$31/1000))</f>
        <v/>
      </c>
    </row>
    <row r="52" spans="1:15" ht="15">
      <c r="A52" s="186">
        <v>3</v>
      </c>
      <c r="B52" s="256"/>
      <c r="C52" s="256"/>
      <c r="D52" s="259"/>
      <c r="E52" s="281" t="str">
        <f>IF(OR(C52="",D52=""),"",(D52*IF(C52='CBECS IFs and eGRID'!$B$10,'CBECS IFs and eGRID'!$C$10,'CBECS IFs and eGRID'!$C$11)))</f>
        <v/>
      </c>
      <c r="F52" s="281" t="str">
        <f>IF(OR(C52="",D52=""),"",(D52*IF(C52='CBECS IFs and eGRID'!$B$20,'CBECS IFs and eGRID'!$D$20,'CBECS IFs and eGRID'!$D$21)))</f>
        <v/>
      </c>
      <c r="G52" s="272" t="str">
        <f>IF(OR(C52="",D52=""),"",(E52/1000*'CBECS IFs and eGRID'!$Q$32/2204.62)+(F52*'CBECS IFs and eGRID'!$G$31/1000))</f>
        <v/>
      </c>
      <c r="I52" s="186">
        <v>3</v>
      </c>
      <c r="J52" s="256"/>
      <c r="K52" s="256"/>
      <c r="L52" s="259"/>
      <c r="M52" s="259"/>
      <c r="N52" s="259"/>
      <c r="O52" s="272" t="str">
        <f>IF(AND(ISBLANK(M52),ISBLANK(N52)),"",(M52/1000*'CBECS IFs and eGRID'!$Q$32/2204.62)+(N52*'CBECS IFs and eGRID'!$G$31/1000))</f>
        <v/>
      </c>
    </row>
    <row r="53" spans="1:15" ht="15">
      <c r="A53" s="186">
        <v>4</v>
      </c>
      <c r="B53" s="256"/>
      <c r="C53" s="256"/>
      <c r="D53" s="259"/>
      <c r="E53" s="281" t="str">
        <f>IF(OR(C53="",D53=""),"",(D53*IF(C53='CBECS IFs and eGRID'!$B$10,'CBECS IFs and eGRID'!$C$10,'CBECS IFs and eGRID'!$C$11)))</f>
        <v/>
      </c>
      <c r="F53" s="281" t="str">
        <f>IF(OR(C53="",D53=""),"",(D53*IF(C53='CBECS IFs and eGRID'!$B$20,'CBECS IFs and eGRID'!$D$20,'CBECS IFs and eGRID'!$D$21)))</f>
        <v/>
      </c>
      <c r="G53" s="272" t="str">
        <f>IF(OR(C53="",D53=""),"",(E53/1000*'CBECS IFs and eGRID'!$Q$32/2204.62)+(F53*'CBECS IFs and eGRID'!$G$31/1000))</f>
        <v/>
      </c>
      <c r="I53" s="186">
        <v>4</v>
      </c>
      <c r="J53" s="256"/>
      <c r="K53" s="256"/>
      <c r="L53" s="259"/>
      <c r="M53" s="259"/>
      <c r="N53" s="259"/>
      <c r="O53" s="272" t="str">
        <f>IF(AND(ISBLANK(M53),ISBLANK(N53)),"",(M53/1000*'CBECS IFs and eGRID'!$Q$32/2204.62)+(N53*'CBECS IFs and eGRID'!$G$31/1000))</f>
        <v/>
      </c>
    </row>
    <row r="54" spans="1:15" ht="15">
      <c r="A54" s="186">
        <v>5</v>
      </c>
      <c r="B54" s="256"/>
      <c r="C54" s="256"/>
      <c r="D54" s="259"/>
      <c r="E54" s="281" t="str">
        <f>IF(OR(C54="",D54=""),"",(D54*IF(C54='CBECS IFs and eGRID'!$B$10,'CBECS IFs and eGRID'!$C$10,'CBECS IFs and eGRID'!$C$11)))</f>
        <v/>
      </c>
      <c r="F54" s="281" t="str">
        <f>IF(OR(C54="",D54=""),"",(D54*IF(C54='CBECS IFs and eGRID'!$B$20,'CBECS IFs and eGRID'!$D$20,'CBECS IFs and eGRID'!$D$21)))</f>
        <v/>
      </c>
      <c r="G54" s="272" t="str">
        <f>IF(OR(C54="",D54=""),"",(E54/1000*'CBECS IFs and eGRID'!$Q$32/2204.62)+(F54*'CBECS IFs and eGRID'!$G$31/1000))</f>
        <v/>
      </c>
      <c r="I54" s="186">
        <v>5</v>
      </c>
      <c r="J54" s="256"/>
      <c r="K54" s="256"/>
      <c r="L54" s="259"/>
      <c r="M54" s="259"/>
      <c r="N54" s="259"/>
      <c r="O54" s="272" t="str">
        <f>IF(AND(ISBLANK(M54),ISBLANK(N54)),"",(M54/1000*'CBECS IFs and eGRID'!$Q$32/2204.62)+(N54*'CBECS IFs and eGRID'!$G$31/1000))</f>
        <v/>
      </c>
    </row>
    <row r="55" spans="1:15" ht="15">
      <c r="A55" s="186">
        <v>6</v>
      </c>
      <c r="B55" s="256"/>
      <c r="C55" s="256"/>
      <c r="D55" s="259"/>
      <c r="E55" s="281" t="str">
        <f>IF(OR(C55="",D55=""),"",(D55*IF(C55='CBECS IFs and eGRID'!$B$10,'CBECS IFs and eGRID'!$C$10,'CBECS IFs and eGRID'!$C$11)))</f>
        <v/>
      </c>
      <c r="F55" s="281" t="str">
        <f>IF(OR(C55="",D55=""),"",(D55*IF(C55='CBECS IFs and eGRID'!$B$20,'CBECS IFs and eGRID'!$D$20,'CBECS IFs and eGRID'!$D$21)))</f>
        <v/>
      </c>
      <c r="G55" s="272" t="str">
        <f>IF(OR(C55="",D55=""),"",(E55/1000*'CBECS IFs and eGRID'!$Q$32/2204.62)+(F55*'CBECS IFs and eGRID'!$G$31/1000))</f>
        <v/>
      </c>
      <c r="I55" s="186">
        <v>6</v>
      </c>
      <c r="J55" s="256"/>
      <c r="K55" s="256"/>
      <c r="L55" s="259"/>
      <c r="M55" s="259"/>
      <c r="N55" s="259"/>
      <c r="O55" s="272" t="str">
        <f>IF(AND(ISBLANK(M55),ISBLANK(N55)),"",(M55/1000*'CBECS IFs and eGRID'!$Q$32/2204.62)+(N55*'CBECS IFs and eGRID'!$G$31/1000))</f>
        <v/>
      </c>
    </row>
    <row r="56" spans="1:15" ht="15">
      <c r="A56" s="186">
        <v>7</v>
      </c>
      <c r="B56" s="256"/>
      <c r="C56" s="256"/>
      <c r="D56" s="259"/>
      <c r="E56" s="281" t="str">
        <f>IF(OR(C56="",D56=""),"",(D56*IF(C56='CBECS IFs and eGRID'!$B$10,'CBECS IFs and eGRID'!$C$10,'CBECS IFs and eGRID'!$C$11)))</f>
        <v/>
      </c>
      <c r="F56" s="281" t="str">
        <f>IF(OR(C56="",D56=""),"",(D56*IF(C56='CBECS IFs and eGRID'!$B$20,'CBECS IFs and eGRID'!$D$20,'CBECS IFs and eGRID'!$D$21)))</f>
        <v/>
      </c>
      <c r="G56" s="272" t="str">
        <f>IF(OR(C56="",D56=""),"",(E56/1000*'CBECS IFs and eGRID'!$Q$32/2204.62)+(F56*'CBECS IFs and eGRID'!$G$31/1000))</f>
        <v/>
      </c>
      <c r="I56" s="186">
        <v>7</v>
      </c>
      <c r="J56" s="256"/>
      <c r="K56" s="256"/>
      <c r="L56" s="259"/>
      <c r="M56" s="259"/>
      <c r="N56" s="259"/>
      <c r="O56" s="272" t="str">
        <f>IF(AND(ISBLANK(M56),ISBLANK(N56)),"",(M56/1000*'CBECS IFs and eGRID'!$Q$32/2204.62)+(N56*'CBECS IFs and eGRID'!$G$31/1000))</f>
        <v/>
      </c>
    </row>
    <row r="57" spans="1:15" ht="15">
      <c r="A57" s="186">
        <v>8</v>
      </c>
      <c r="B57" s="256"/>
      <c r="C57" s="256"/>
      <c r="D57" s="259"/>
      <c r="E57" s="281" t="str">
        <f>IF(OR(C57="",D57=""),"",(D57*IF(C57='CBECS IFs and eGRID'!$B$10,'CBECS IFs and eGRID'!$C$10,'CBECS IFs and eGRID'!$C$11)))</f>
        <v/>
      </c>
      <c r="F57" s="281" t="str">
        <f>IF(OR(C57="",D57=""),"",(D57*IF(C57='CBECS IFs and eGRID'!$B$20,'CBECS IFs and eGRID'!$D$20,'CBECS IFs and eGRID'!$D$21)))</f>
        <v/>
      </c>
      <c r="G57" s="272" t="str">
        <f>IF(OR(C57="",D57=""),"",(E57/1000*'CBECS IFs and eGRID'!$Q$32/2204.62)+(F57*'CBECS IFs and eGRID'!$G$31/1000))</f>
        <v/>
      </c>
      <c r="I57" s="186">
        <v>8</v>
      </c>
      <c r="J57" s="256"/>
      <c r="K57" s="256"/>
      <c r="L57" s="259"/>
      <c r="M57" s="259"/>
      <c r="N57" s="259"/>
      <c r="O57" s="272" t="str">
        <f>IF(AND(ISBLANK(M57),ISBLANK(N57)),"",(M57/1000*'CBECS IFs and eGRID'!$Q$32/2204.62)+(N57*'CBECS IFs and eGRID'!$G$31/1000))</f>
        <v/>
      </c>
    </row>
    <row r="58" spans="1:15" ht="15">
      <c r="A58" s="186">
        <v>9</v>
      </c>
      <c r="B58" s="256"/>
      <c r="C58" s="256"/>
      <c r="D58" s="259"/>
      <c r="E58" s="281" t="str">
        <f>IF(OR(C58="",D58=""),"",(D58*IF(C58='CBECS IFs and eGRID'!$B$10,'CBECS IFs and eGRID'!$C$10,'CBECS IFs and eGRID'!$C$11)))</f>
        <v/>
      </c>
      <c r="F58" s="281" t="str">
        <f>IF(OR(C58="",D58=""),"",(D58*IF(C58='CBECS IFs and eGRID'!$B$20,'CBECS IFs and eGRID'!$D$20,'CBECS IFs and eGRID'!$D$21)))</f>
        <v/>
      </c>
      <c r="G58" s="272" t="str">
        <f>IF(OR(C58="",D58=""),"",(E58/1000*'CBECS IFs and eGRID'!$Q$32/2204.62)+(F58*'CBECS IFs and eGRID'!$G$31/1000))</f>
        <v/>
      </c>
      <c r="I58" s="186">
        <v>9</v>
      </c>
      <c r="J58" s="256"/>
      <c r="K58" s="256"/>
      <c r="L58" s="259"/>
      <c r="M58" s="259"/>
      <c r="N58" s="259"/>
      <c r="O58" s="272" t="str">
        <f>IF(AND(ISBLANK(M58),ISBLANK(N58)),"",(M58/1000*'CBECS IFs and eGRID'!$Q$32/2204.62)+(N58*'CBECS IFs and eGRID'!$G$31/1000))</f>
        <v/>
      </c>
    </row>
    <row r="59" spans="1:15" ht="15">
      <c r="A59" s="186">
        <v>10</v>
      </c>
      <c r="B59" s="256"/>
      <c r="C59" s="256"/>
      <c r="D59" s="259"/>
      <c r="E59" s="281" t="str">
        <f>IF(OR(C59="",D59=""),"",(D59*IF(C59='CBECS IFs and eGRID'!$B$10,'CBECS IFs and eGRID'!$C$10,'CBECS IFs and eGRID'!$C$11)))</f>
        <v/>
      </c>
      <c r="F59" s="281" t="str">
        <f>IF(OR(C59="",D59=""),"",(D59*IF(C59='CBECS IFs and eGRID'!$B$20,'CBECS IFs and eGRID'!$D$20,'CBECS IFs and eGRID'!$D$21)))</f>
        <v/>
      </c>
      <c r="G59" s="272" t="str">
        <f>IF(OR(C59="",D59=""),"",(E59/1000*'CBECS IFs and eGRID'!$Q$32/2204.62)+(F59*'CBECS IFs and eGRID'!$G$31/1000))</f>
        <v/>
      </c>
      <c r="I59" s="186">
        <v>10</v>
      </c>
      <c r="J59" s="256"/>
      <c r="K59" s="256"/>
      <c r="L59" s="259"/>
      <c r="M59" s="259"/>
      <c r="N59" s="259"/>
      <c r="O59" s="272" t="str">
        <f>IF(AND(ISBLANK(M59),ISBLANK(N59)),"",(M59/1000*'CBECS IFs and eGRID'!$Q$32/2204.62)+(N59*'CBECS IFs and eGRID'!$G$31/1000))</f>
        <v/>
      </c>
    </row>
    <row r="60" spans="1:15" ht="15">
      <c r="A60" s="186">
        <v>11</v>
      </c>
      <c r="B60" s="256"/>
      <c r="C60" s="256"/>
      <c r="D60" s="259"/>
      <c r="E60" s="281" t="str">
        <f>IF(OR(C60="",D60=""),"",(D60*IF(C60='CBECS IFs and eGRID'!$B$10,'CBECS IFs and eGRID'!$C$10,'CBECS IFs and eGRID'!$C$11)))</f>
        <v/>
      </c>
      <c r="F60" s="281" t="str">
        <f>IF(OR(C60="",D60=""),"",(D60*IF(C60='CBECS IFs and eGRID'!$B$20,'CBECS IFs and eGRID'!$D$20,'CBECS IFs and eGRID'!$D$21)))</f>
        <v/>
      </c>
      <c r="G60" s="272" t="str">
        <f>IF(OR(C60="",D60=""),"",(E60/1000*'CBECS IFs and eGRID'!$Q$32/2204.62)+(F60*'CBECS IFs and eGRID'!$G$31/1000))</f>
        <v/>
      </c>
      <c r="I60" s="186">
        <v>11</v>
      </c>
      <c r="J60" s="256"/>
      <c r="K60" s="256"/>
      <c r="L60" s="259"/>
      <c r="M60" s="259"/>
      <c r="N60" s="259"/>
      <c r="O60" s="272" t="str">
        <f>IF(AND(ISBLANK(M60),ISBLANK(N60)),"",(M60/1000*'CBECS IFs and eGRID'!$Q$32/2204.62)+(N60*'CBECS IFs and eGRID'!$G$31/1000))</f>
        <v/>
      </c>
    </row>
    <row r="61" spans="1:15" ht="15">
      <c r="A61" s="186">
        <v>12</v>
      </c>
      <c r="B61" s="256"/>
      <c r="C61" s="256"/>
      <c r="D61" s="259"/>
      <c r="E61" s="281" t="str">
        <f>IF(OR(C61="",D61=""),"",(D61*IF(C61='CBECS IFs and eGRID'!$B$10,'CBECS IFs and eGRID'!$C$10,'CBECS IFs and eGRID'!$C$11)))</f>
        <v/>
      </c>
      <c r="F61" s="281" t="str">
        <f>IF(OR(C61="",D61=""),"",(D61*IF(C61='CBECS IFs and eGRID'!$B$20,'CBECS IFs and eGRID'!$D$20,'CBECS IFs and eGRID'!$D$21)))</f>
        <v/>
      </c>
      <c r="G61" s="272" t="str">
        <f>IF(OR(C61="",D61=""),"",(E61/1000*'CBECS IFs and eGRID'!$Q$32/2204.62)+(F61*'CBECS IFs and eGRID'!$G$31/1000))</f>
        <v/>
      </c>
      <c r="I61" s="186">
        <v>12</v>
      </c>
      <c r="J61" s="256"/>
      <c r="K61" s="256"/>
      <c r="L61" s="259"/>
      <c r="M61" s="259"/>
      <c r="N61" s="259"/>
      <c r="O61" s="272" t="str">
        <f>IF(AND(ISBLANK(M61),ISBLANK(N61)),"",(M61/1000*'CBECS IFs and eGRID'!$Q$32/2204.62)+(N61*'CBECS IFs and eGRID'!$G$31/1000))</f>
        <v/>
      </c>
    </row>
    <row r="62" spans="1:15" ht="15">
      <c r="A62" s="186">
        <v>13</v>
      </c>
      <c r="B62" s="256"/>
      <c r="C62" s="256"/>
      <c r="D62" s="259"/>
      <c r="E62" s="281" t="str">
        <f>IF(OR(C62="",D62=""),"",(D62*IF(C62='CBECS IFs and eGRID'!$B$10,'CBECS IFs and eGRID'!$C$10,'CBECS IFs and eGRID'!$C$11)))</f>
        <v/>
      </c>
      <c r="F62" s="281" t="str">
        <f>IF(OR(C62="",D62=""),"",(D62*IF(C62='CBECS IFs and eGRID'!$B$20,'CBECS IFs and eGRID'!$D$20,'CBECS IFs and eGRID'!$D$21)))</f>
        <v/>
      </c>
      <c r="G62" s="272" t="str">
        <f>IF(OR(C62="",D62=""),"",(E62/1000*'CBECS IFs and eGRID'!$Q$32/2204.62)+(F62*'CBECS IFs and eGRID'!$G$31/1000))</f>
        <v/>
      </c>
      <c r="I62" s="186">
        <v>13</v>
      </c>
      <c r="J62" s="256"/>
      <c r="K62" s="256"/>
      <c r="L62" s="259"/>
      <c r="M62" s="259"/>
      <c r="N62" s="259"/>
      <c r="O62" s="272" t="str">
        <f>IF(AND(ISBLANK(M62),ISBLANK(N62)),"",(M62/1000*'CBECS IFs and eGRID'!$Q$32/2204.62)+(N62*'CBECS IFs and eGRID'!$G$31/1000))</f>
        <v/>
      </c>
    </row>
    <row r="63" spans="1:15" ht="15">
      <c r="A63" s="186">
        <v>14</v>
      </c>
      <c r="B63" s="256"/>
      <c r="C63" s="256"/>
      <c r="D63" s="259"/>
      <c r="E63" s="281" t="str">
        <f>IF(OR(C63="",D63=""),"",(D63*IF(C63='CBECS IFs and eGRID'!$B$10,'CBECS IFs and eGRID'!$C$10,'CBECS IFs and eGRID'!$C$11)))</f>
        <v/>
      </c>
      <c r="F63" s="281" t="str">
        <f>IF(OR(C63="",D63=""),"",(D63*IF(C63='CBECS IFs and eGRID'!$B$20,'CBECS IFs and eGRID'!$D$20,'CBECS IFs and eGRID'!$D$21)))</f>
        <v/>
      </c>
      <c r="G63" s="272" t="str">
        <f>IF(OR(C63="",D63=""),"",(E63/1000*'CBECS IFs and eGRID'!$Q$32/2204.62)+(F63*'CBECS IFs and eGRID'!$G$31/1000))</f>
        <v/>
      </c>
      <c r="I63" s="186">
        <v>14</v>
      </c>
      <c r="J63" s="256"/>
      <c r="K63" s="256"/>
      <c r="L63" s="259"/>
      <c r="M63" s="259"/>
      <c r="N63" s="259"/>
      <c r="O63" s="272" t="str">
        <f>IF(AND(ISBLANK(M63),ISBLANK(N63)),"",(M63/1000*'CBECS IFs and eGRID'!$Q$32/2204.62)+(N63*'CBECS IFs and eGRID'!$G$31/1000))</f>
        <v/>
      </c>
    </row>
    <row r="64" spans="1:15" ht="15">
      <c r="A64" s="186">
        <v>15</v>
      </c>
      <c r="B64" s="256"/>
      <c r="C64" s="256"/>
      <c r="D64" s="259"/>
      <c r="E64" s="281" t="str">
        <f>IF(OR(C64="",D64=""),"",(D64*IF(C64='CBECS IFs and eGRID'!$B$10,'CBECS IFs and eGRID'!$C$10,'CBECS IFs and eGRID'!$C$11)))</f>
        <v/>
      </c>
      <c r="F64" s="281" t="str">
        <f>IF(OR(C64="",D64=""),"",(D64*IF(C64='CBECS IFs and eGRID'!$B$20,'CBECS IFs and eGRID'!$D$20,'CBECS IFs and eGRID'!$D$21)))</f>
        <v/>
      </c>
      <c r="G64" s="272" t="str">
        <f>IF(OR(C64="",D64=""),"",(E64/1000*'CBECS IFs and eGRID'!$Q$32/2204.62)+(F64*'CBECS IFs and eGRID'!$G$31/1000))</f>
        <v/>
      </c>
      <c r="I64" s="186">
        <v>15</v>
      </c>
      <c r="J64" s="256"/>
      <c r="K64" s="256"/>
      <c r="L64" s="259"/>
      <c r="M64" s="259"/>
      <c r="N64" s="259"/>
      <c r="O64" s="272" t="str">
        <f>IF(AND(ISBLANK(M64),ISBLANK(N64)),"",(M64/1000*'CBECS IFs and eGRID'!$Q$32/2204.62)+(N64*'CBECS IFs and eGRID'!$G$31/1000))</f>
        <v/>
      </c>
    </row>
    <row r="65" spans="1:15" ht="15">
      <c r="A65" s="186">
        <v>16</v>
      </c>
      <c r="B65" s="256"/>
      <c r="C65" s="256"/>
      <c r="D65" s="259"/>
      <c r="E65" s="281" t="str">
        <f>IF(OR(C65="",D65=""),"",(D65*IF(C65='CBECS IFs and eGRID'!$B$10,'CBECS IFs and eGRID'!$C$10,'CBECS IFs and eGRID'!$C$11)))</f>
        <v/>
      </c>
      <c r="F65" s="281" t="str">
        <f>IF(OR(C65="",D65=""),"",(D65*IF(C65='CBECS IFs and eGRID'!$B$20,'CBECS IFs and eGRID'!$D$20,'CBECS IFs and eGRID'!$D$21)))</f>
        <v/>
      </c>
      <c r="G65" s="272" t="str">
        <f>IF(OR(C65="",D65=""),"",(E65/1000*'CBECS IFs and eGRID'!$Q$32/2204.62)+(F65*'CBECS IFs and eGRID'!$G$31/1000))</f>
        <v/>
      </c>
      <c r="I65" s="186">
        <v>16</v>
      </c>
      <c r="J65" s="256"/>
      <c r="K65" s="256"/>
      <c r="L65" s="259"/>
      <c r="M65" s="259"/>
      <c r="N65" s="259"/>
      <c r="O65" s="272" t="str">
        <f>IF(AND(ISBLANK(M65),ISBLANK(N65)),"",(M65/1000*'CBECS IFs and eGRID'!$Q$32/2204.62)+(N65*'CBECS IFs and eGRID'!$G$31/1000))</f>
        <v/>
      </c>
    </row>
    <row r="66" spans="1:15" ht="15">
      <c r="A66" s="186">
        <v>17</v>
      </c>
      <c r="B66" s="256"/>
      <c r="C66" s="256"/>
      <c r="D66" s="259"/>
      <c r="E66" s="281" t="str">
        <f>IF(OR(C66="",D66=""),"",(D66*IF(C66='CBECS IFs and eGRID'!$B$10,'CBECS IFs and eGRID'!$C$10,'CBECS IFs and eGRID'!$C$11)))</f>
        <v/>
      </c>
      <c r="F66" s="281" t="str">
        <f>IF(OR(C66="",D66=""),"",(D66*IF(C66='CBECS IFs and eGRID'!$B$20,'CBECS IFs and eGRID'!$D$20,'CBECS IFs and eGRID'!$D$21)))</f>
        <v/>
      </c>
      <c r="G66" s="272" t="str">
        <f>IF(OR(C66="",D66=""),"",(E66/1000*'CBECS IFs and eGRID'!$Q$32/2204.62)+(F66*'CBECS IFs and eGRID'!$G$31/1000))</f>
        <v/>
      </c>
      <c r="I66" s="186">
        <v>17</v>
      </c>
      <c r="J66" s="256"/>
      <c r="K66" s="256"/>
      <c r="L66" s="259"/>
      <c r="M66" s="259"/>
      <c r="N66" s="259"/>
      <c r="O66" s="272" t="str">
        <f>IF(AND(ISBLANK(M66),ISBLANK(N66)),"",(M66/1000*'CBECS IFs and eGRID'!$Q$32/2204.62)+(N66*'CBECS IFs and eGRID'!$G$31/1000))</f>
        <v/>
      </c>
    </row>
    <row r="67" spans="1:15" ht="15">
      <c r="A67" s="186">
        <v>18</v>
      </c>
      <c r="B67" s="256"/>
      <c r="C67" s="256"/>
      <c r="D67" s="259"/>
      <c r="E67" s="281" t="str">
        <f>IF(OR(C67="",D67=""),"",(D67*IF(C67='CBECS IFs and eGRID'!$B$10,'CBECS IFs and eGRID'!$C$10,'CBECS IFs and eGRID'!$C$11)))</f>
        <v/>
      </c>
      <c r="F67" s="281" t="str">
        <f>IF(OR(C67="",D67=""),"",(D67*IF(C67='CBECS IFs and eGRID'!$B$20,'CBECS IFs and eGRID'!$D$20,'CBECS IFs and eGRID'!$D$21)))</f>
        <v/>
      </c>
      <c r="G67" s="272" t="str">
        <f>IF(OR(C67="",D67=""),"",(E67/1000*'CBECS IFs and eGRID'!$Q$32/2204.62)+(F67*'CBECS IFs and eGRID'!$G$31/1000))</f>
        <v/>
      </c>
      <c r="I67" s="186">
        <v>18</v>
      </c>
      <c r="J67" s="256"/>
      <c r="K67" s="256"/>
      <c r="L67" s="259"/>
      <c r="M67" s="259"/>
      <c r="N67" s="259"/>
      <c r="O67" s="272" t="str">
        <f>IF(AND(ISBLANK(M67),ISBLANK(N67)),"",(M67/1000*'CBECS IFs and eGRID'!$Q$32/2204.62)+(N67*'CBECS IFs and eGRID'!$G$31/1000))</f>
        <v/>
      </c>
    </row>
    <row r="68" spans="1:15" ht="15">
      <c r="A68" s="186">
        <v>19</v>
      </c>
      <c r="B68" s="256"/>
      <c r="C68" s="256"/>
      <c r="D68" s="259"/>
      <c r="E68" s="281" t="str">
        <f>IF(OR(C68="",D68=""),"",(D68*IF(C68='CBECS IFs and eGRID'!$B$10,'CBECS IFs and eGRID'!$C$10,'CBECS IFs and eGRID'!$C$11)))</f>
        <v/>
      </c>
      <c r="F68" s="281" t="str">
        <f>IF(OR(C68="",D68=""),"",(D68*IF(C68='CBECS IFs and eGRID'!$B$20,'CBECS IFs and eGRID'!$D$20,'CBECS IFs and eGRID'!$D$21)))</f>
        <v/>
      </c>
      <c r="G68" s="272" t="str">
        <f>IF(OR(C68="",D68=""),"",(E68/1000*'CBECS IFs and eGRID'!$Q$32/2204.62)+(F68*'CBECS IFs and eGRID'!$G$31/1000))</f>
        <v/>
      </c>
      <c r="I68" s="186">
        <v>19</v>
      </c>
      <c r="J68" s="256"/>
      <c r="K68" s="256"/>
      <c r="L68" s="259"/>
      <c r="M68" s="259"/>
      <c r="N68" s="259"/>
      <c r="O68" s="272" t="str">
        <f>IF(AND(ISBLANK(M68),ISBLANK(N68)),"",(M68/1000*'CBECS IFs and eGRID'!$Q$32/2204.62)+(N68*'CBECS IFs and eGRID'!$G$31/1000))</f>
        <v/>
      </c>
    </row>
    <row r="69" spans="1:15" ht="15.75" thickBot="1">
      <c r="A69" s="186">
        <v>20</v>
      </c>
      <c r="B69" s="256"/>
      <c r="C69" s="256"/>
      <c r="D69" s="259"/>
      <c r="E69" s="281" t="str">
        <f>IF(OR(C69="",D69=""),"",(D69*IF(C69='CBECS IFs and eGRID'!$B$10,'CBECS IFs and eGRID'!$C$10,'CBECS IFs and eGRID'!$C$11)))</f>
        <v/>
      </c>
      <c r="F69" s="281" t="str">
        <f>IF(OR(C69="",D69=""),"",(D69*IF(C69='CBECS IFs and eGRID'!$B$20,'CBECS IFs and eGRID'!$D$20,'CBECS IFs and eGRID'!$D$21)))</f>
        <v/>
      </c>
      <c r="G69" s="272" t="str">
        <f>IF(OR(C69="",D69=""),"",(E69/1000*'CBECS IFs and eGRID'!$Q$32/2204.62)+(F69*'CBECS IFs and eGRID'!$G$31/1000))</f>
        <v/>
      </c>
      <c r="I69" s="186">
        <v>20</v>
      </c>
      <c r="J69" s="256"/>
      <c r="K69" s="256"/>
      <c r="L69" s="259"/>
      <c r="M69" s="259"/>
      <c r="N69" s="259"/>
      <c r="O69" s="272" t="str">
        <f>IF(AND(ISBLANK(M69),ISBLANK(N69)),"",(M69/1000*'CBECS IFs and eGRID'!$Q$32/2204.62)+(N69*'CBECS IFs and eGRID'!$G$31/1000))</f>
        <v/>
      </c>
    </row>
    <row r="70" spans="1:15" ht="15" thickBot="1">
      <c r="F70" s="183" t="s">
        <v>1129</v>
      </c>
      <c r="G70" s="122">
        <f>SUM(G51:G69)</f>
        <v>0</v>
      </c>
      <c r="N70" s="183" t="s">
        <v>1129</v>
      </c>
      <c r="O70" s="122">
        <f>SUM(O51:O69)</f>
        <v>0</v>
      </c>
    </row>
    <row r="72" spans="1:15" ht="18.75">
      <c r="A72" s="16" t="s">
        <v>3585</v>
      </c>
      <c r="I72" s="16" t="s">
        <v>3585</v>
      </c>
    </row>
    <row r="73" spans="1:15">
      <c r="A73" s="267" t="s">
        <v>1371</v>
      </c>
      <c r="I73" s="267" t="s">
        <v>1371</v>
      </c>
    </row>
    <row r="74" spans="1:15">
      <c r="B74" s="9" t="s">
        <v>188</v>
      </c>
      <c r="C74" s="9" t="s">
        <v>188</v>
      </c>
      <c r="E74" s="9"/>
      <c r="J74" s="9" t="s">
        <v>188</v>
      </c>
      <c r="K74" s="9" t="s">
        <v>188</v>
      </c>
      <c r="L74" s="9" t="s">
        <v>188</v>
      </c>
      <c r="M74" s="9" t="s">
        <v>188</v>
      </c>
    </row>
    <row r="75" spans="1:15" ht="15">
      <c r="A75" s="203" t="s">
        <v>155</v>
      </c>
      <c r="B75" s="204" t="s">
        <v>1134</v>
      </c>
      <c r="C75" s="203" t="s">
        <v>1349</v>
      </c>
      <c r="D75" s="203" t="s">
        <v>1347</v>
      </c>
      <c r="E75" s="203" t="s">
        <v>1348</v>
      </c>
      <c r="F75" s="203" t="s">
        <v>160</v>
      </c>
      <c r="I75" s="203" t="s">
        <v>155</v>
      </c>
      <c r="J75" s="204" t="s">
        <v>1134</v>
      </c>
      <c r="K75" s="203" t="s">
        <v>1349</v>
      </c>
      <c r="L75" s="203" t="s">
        <v>1347</v>
      </c>
      <c r="M75" s="203" t="s">
        <v>1348</v>
      </c>
      <c r="N75" s="203" t="s">
        <v>160</v>
      </c>
    </row>
    <row r="76" spans="1:15" ht="15">
      <c r="A76" s="186">
        <v>1</v>
      </c>
      <c r="B76" s="221" t="s">
        <v>1351</v>
      </c>
      <c r="C76" s="222">
        <v>5000</v>
      </c>
      <c r="D76" s="280">
        <f>IF(C76="","",C76*'CBECS IFs and eGRID'!$C$8)</f>
        <v>144000</v>
      </c>
      <c r="E76" s="280">
        <f>IF(C76="","",C76*'CBECS IFs and eGRID'!$D$18)</f>
        <v>4027.9214064115827</v>
      </c>
      <c r="F76" s="271">
        <f>IF(C76="","",(D76/1000*'CBECS IFs and eGRID'!$Q$32/2204.62)+(E76*'CBECS IFs and eGRID'!$G$31/1000))</f>
        <v>75.117973934536764</v>
      </c>
      <c r="I76" s="186">
        <v>1</v>
      </c>
      <c r="J76" s="221" t="s">
        <v>1351</v>
      </c>
      <c r="K76" s="222">
        <v>5000</v>
      </c>
      <c r="L76" s="222">
        <f>IF(K76="","",K76*'CBECS IFs and eGRID'!$C$8)</f>
        <v>144000</v>
      </c>
      <c r="M76" s="222">
        <f>IF(K76="","",K76*'CBECS IFs and eGRID'!$D$18)</f>
        <v>4027.9214064115827</v>
      </c>
      <c r="N76" s="271">
        <f>IF(K76="","",(L76/1000*'CBECS IFs and eGRID'!$Q$32/2204.62)+(M76*'CBECS IFs and eGRID'!$G$31/1000))</f>
        <v>75.117973934536764</v>
      </c>
    </row>
    <row r="77" spans="1:15" ht="15">
      <c r="A77" s="186">
        <v>2</v>
      </c>
      <c r="B77" s="256"/>
      <c r="C77" s="259"/>
      <c r="D77" s="281" t="str">
        <f>IF(C77="","",C77*'CBECS IFs and eGRID'!$C$8)</f>
        <v/>
      </c>
      <c r="E77" s="281" t="str">
        <f>IF(C77="","",C77*'CBECS IFs and eGRID'!$D$18)</f>
        <v/>
      </c>
      <c r="F77" s="272" t="str">
        <f>IF(C77="","",(D77/1000*'CBECS IFs and eGRID'!$Q$32/2204.62)+(E77*'CBECS IFs and eGRID'!$G$31/1000))</f>
        <v/>
      </c>
      <c r="I77" s="186">
        <v>2</v>
      </c>
      <c r="J77" s="256"/>
      <c r="K77" s="259"/>
      <c r="L77" s="259"/>
      <c r="M77" s="259"/>
      <c r="N77" s="272" t="str">
        <f>IF(AND(ISBLANK(L77),ISBLANK(M77)),"",(L77/1000*'CBECS IFs and eGRID'!$Q$32/2204.62)+(M77*'CBECS IFs and eGRID'!$G$31/1000))</f>
        <v/>
      </c>
    </row>
    <row r="78" spans="1:15" ht="15">
      <c r="A78" s="186">
        <v>3</v>
      </c>
      <c r="B78" s="256"/>
      <c r="C78" s="259"/>
      <c r="D78" s="281" t="str">
        <f>IF(C78="","",C78*'CBECS IFs and eGRID'!$C$8)</f>
        <v/>
      </c>
      <c r="E78" s="281" t="str">
        <f>IF(C78="","",C78*'CBECS IFs and eGRID'!$D$18)</f>
        <v/>
      </c>
      <c r="F78" s="272" t="str">
        <f>IF(C78="","",(D78/1000*'CBECS IFs and eGRID'!$Q$32/2204.62)+(E78*'CBECS IFs and eGRID'!$G$31/1000))</f>
        <v/>
      </c>
      <c r="I78" s="186">
        <v>3</v>
      </c>
      <c r="J78" s="256"/>
      <c r="K78" s="259"/>
      <c r="L78" s="259"/>
      <c r="M78" s="259"/>
      <c r="N78" s="272" t="str">
        <f>IF(AND(ISBLANK(L78),ISBLANK(M78)),"",(L78/1000*'CBECS IFs and eGRID'!$Q$32/2204.62)+(M78*'CBECS IFs and eGRID'!$G$31/1000))</f>
        <v/>
      </c>
    </row>
    <row r="79" spans="1:15" ht="15">
      <c r="A79" s="186">
        <v>4</v>
      </c>
      <c r="B79" s="256"/>
      <c r="C79" s="259"/>
      <c r="D79" s="281" t="str">
        <f>IF(C79="","",C79*'CBECS IFs and eGRID'!$C$8)</f>
        <v/>
      </c>
      <c r="E79" s="281" t="str">
        <f>IF(C79="","",C79*'CBECS IFs and eGRID'!$D$18)</f>
        <v/>
      </c>
      <c r="F79" s="272" t="str">
        <f>IF(C79="","",(D79/1000*'CBECS IFs and eGRID'!$Q$32/2204.62)+(E79*'CBECS IFs and eGRID'!$G$31/1000))</f>
        <v/>
      </c>
      <c r="I79" s="186">
        <v>4</v>
      </c>
      <c r="J79" s="256"/>
      <c r="K79" s="259"/>
      <c r="L79" s="259"/>
      <c r="M79" s="259"/>
      <c r="N79" s="272" t="str">
        <f>IF(AND(ISBLANK(L79),ISBLANK(M79)),"",(L79/1000*'CBECS IFs and eGRID'!$Q$32/2204.62)+(M79*'CBECS IFs and eGRID'!$G$31/1000))</f>
        <v/>
      </c>
    </row>
    <row r="80" spans="1:15" ht="15">
      <c r="A80" s="186">
        <v>5</v>
      </c>
      <c r="B80" s="256"/>
      <c r="C80" s="259"/>
      <c r="D80" s="281" t="str">
        <f>IF(C80="","",C80*'CBECS IFs and eGRID'!$C$8)</f>
        <v/>
      </c>
      <c r="E80" s="281" t="str">
        <f>IF(C80="","",C80*'CBECS IFs and eGRID'!$D$18)</f>
        <v/>
      </c>
      <c r="F80" s="272" t="str">
        <f>IF(C80="","",(D80/1000*'CBECS IFs and eGRID'!$Q$32/2204.62)+(E80*'CBECS IFs and eGRID'!$G$31/1000))</f>
        <v/>
      </c>
      <c r="I80" s="186">
        <v>5</v>
      </c>
      <c r="J80" s="256"/>
      <c r="K80" s="259"/>
      <c r="L80" s="259"/>
      <c r="M80" s="259"/>
      <c r="N80" s="272" t="str">
        <f>IF(AND(ISBLANK(L80),ISBLANK(M80)),"",(L80/1000*'CBECS IFs and eGRID'!$Q$32/2204.62)+(M80*'CBECS IFs and eGRID'!$G$31/1000))</f>
        <v/>
      </c>
    </row>
    <row r="81" spans="1:14" ht="15">
      <c r="A81" s="186">
        <v>6</v>
      </c>
      <c r="B81" s="256"/>
      <c r="C81" s="259"/>
      <c r="D81" s="281" t="str">
        <f>IF(C81="","",C81*'CBECS IFs and eGRID'!$C$8)</f>
        <v/>
      </c>
      <c r="E81" s="281" t="str">
        <f>IF(C81="","",C81*'CBECS IFs and eGRID'!$D$18)</f>
        <v/>
      </c>
      <c r="F81" s="272" t="str">
        <f>IF(C81="","",(D81/1000*'CBECS IFs and eGRID'!$Q$32/2204.62)+(E81*'CBECS IFs and eGRID'!$G$31/1000))</f>
        <v/>
      </c>
      <c r="I81" s="186">
        <v>6</v>
      </c>
      <c r="J81" s="256"/>
      <c r="K81" s="259"/>
      <c r="L81" s="259"/>
      <c r="M81" s="259"/>
      <c r="N81" s="272" t="str">
        <f>IF(AND(ISBLANK(L81),ISBLANK(M81)),"",(L81/1000*'CBECS IFs and eGRID'!$Q$32/2204.62)+(M81*'CBECS IFs and eGRID'!$G$31/1000))</f>
        <v/>
      </c>
    </row>
    <row r="82" spans="1:14" ht="15">
      <c r="A82" s="186">
        <v>7</v>
      </c>
      <c r="B82" s="256"/>
      <c r="C82" s="259"/>
      <c r="D82" s="281" t="str">
        <f>IF(C82="","",C82*'CBECS IFs and eGRID'!$C$8)</f>
        <v/>
      </c>
      <c r="E82" s="281" t="str">
        <f>IF(C82="","",C82*'CBECS IFs and eGRID'!$D$18)</f>
        <v/>
      </c>
      <c r="F82" s="272" t="str">
        <f>IF(C82="","",(D82/1000*'CBECS IFs and eGRID'!$Q$32/2204.62)+(E82*'CBECS IFs and eGRID'!$G$31/1000))</f>
        <v/>
      </c>
      <c r="I82" s="186">
        <v>7</v>
      </c>
      <c r="J82" s="256"/>
      <c r="K82" s="259"/>
      <c r="L82" s="259"/>
      <c r="M82" s="259"/>
      <c r="N82" s="272" t="str">
        <f>IF(AND(ISBLANK(L82),ISBLANK(M82)),"",(L82/1000*'CBECS IFs and eGRID'!$Q$32/2204.62)+(M82*'CBECS IFs and eGRID'!$G$31/1000))</f>
        <v/>
      </c>
    </row>
    <row r="83" spans="1:14" ht="15">
      <c r="A83" s="186">
        <v>8</v>
      </c>
      <c r="B83" s="256"/>
      <c r="C83" s="259"/>
      <c r="D83" s="281" t="str">
        <f>IF(C83="","",C83*'CBECS IFs and eGRID'!$C$8)</f>
        <v/>
      </c>
      <c r="E83" s="281" t="str">
        <f>IF(C83="","",C83*'CBECS IFs and eGRID'!$D$18)</f>
        <v/>
      </c>
      <c r="F83" s="272" t="str">
        <f>IF(C83="","",(D83/1000*'CBECS IFs and eGRID'!$Q$32/2204.62)+(E83*'CBECS IFs and eGRID'!$G$31/1000))</f>
        <v/>
      </c>
      <c r="I83" s="186">
        <v>8</v>
      </c>
      <c r="J83" s="256"/>
      <c r="K83" s="259"/>
      <c r="L83" s="259"/>
      <c r="M83" s="259"/>
      <c r="N83" s="272" t="str">
        <f>IF(AND(ISBLANK(L83),ISBLANK(M83)),"",(L83/1000*'CBECS IFs and eGRID'!$Q$32/2204.62)+(M83*'CBECS IFs and eGRID'!$G$31/1000))</f>
        <v/>
      </c>
    </row>
    <row r="84" spans="1:14" ht="15">
      <c r="A84" s="186">
        <v>9</v>
      </c>
      <c r="B84" s="256"/>
      <c r="C84" s="259"/>
      <c r="D84" s="281" t="str">
        <f>IF(C84="","",C84*'CBECS IFs and eGRID'!$C$8)</f>
        <v/>
      </c>
      <c r="E84" s="281" t="str">
        <f>IF(C84="","",C84*'CBECS IFs and eGRID'!$D$18)</f>
        <v/>
      </c>
      <c r="F84" s="272" t="str">
        <f>IF(C84="","",(D84/1000*'CBECS IFs and eGRID'!$Q$32/2204.62)+(E84*'CBECS IFs and eGRID'!$G$31/1000))</f>
        <v/>
      </c>
      <c r="I84" s="186">
        <v>9</v>
      </c>
      <c r="J84" s="256"/>
      <c r="K84" s="259"/>
      <c r="L84" s="259"/>
      <c r="M84" s="259"/>
      <c r="N84" s="272" t="str">
        <f>IF(AND(ISBLANK(L84),ISBLANK(M84)),"",(L84/1000*'CBECS IFs and eGRID'!$Q$32/2204.62)+(M84*'CBECS IFs and eGRID'!$G$31/1000))</f>
        <v/>
      </c>
    </row>
    <row r="85" spans="1:14" ht="15">
      <c r="A85" s="186">
        <v>10</v>
      </c>
      <c r="B85" s="256"/>
      <c r="C85" s="259"/>
      <c r="D85" s="281" t="str">
        <f>IF(C85="","",C85*'CBECS IFs and eGRID'!$C$8)</f>
        <v/>
      </c>
      <c r="E85" s="281" t="str">
        <f>IF(C85="","",C85*'CBECS IFs and eGRID'!$D$18)</f>
        <v/>
      </c>
      <c r="F85" s="272" t="str">
        <f>IF(C85="","",(D85/1000*'CBECS IFs and eGRID'!$Q$32/2204.62)+(E85*'CBECS IFs and eGRID'!$G$31/1000))</f>
        <v/>
      </c>
      <c r="I85" s="186">
        <v>10</v>
      </c>
      <c r="J85" s="256"/>
      <c r="K85" s="259"/>
      <c r="L85" s="259"/>
      <c r="M85" s="259"/>
      <c r="N85" s="272" t="str">
        <f>IF(AND(ISBLANK(L85),ISBLANK(M85)),"",(L85/1000*'CBECS IFs and eGRID'!$Q$32/2204.62)+(M85*'CBECS IFs and eGRID'!$G$31/1000))</f>
        <v/>
      </c>
    </row>
    <row r="86" spans="1:14" ht="15">
      <c r="A86" s="186">
        <v>11</v>
      </c>
      <c r="B86" s="256"/>
      <c r="C86" s="259"/>
      <c r="D86" s="281" t="str">
        <f>IF(C86="","",C86*'CBECS IFs and eGRID'!$C$8)</f>
        <v/>
      </c>
      <c r="E86" s="281" t="str">
        <f>IF(C86="","",C86*'CBECS IFs and eGRID'!$D$18)</f>
        <v/>
      </c>
      <c r="F86" s="272" t="str">
        <f>IF(C86="","",(D86/1000*'CBECS IFs and eGRID'!$Q$32/2204.62)+(E86*'CBECS IFs and eGRID'!$G$31/1000))</f>
        <v/>
      </c>
      <c r="I86" s="186">
        <v>11</v>
      </c>
      <c r="J86" s="256"/>
      <c r="K86" s="259"/>
      <c r="L86" s="259"/>
      <c r="M86" s="259"/>
      <c r="N86" s="272" t="str">
        <f>IF(AND(ISBLANK(L86),ISBLANK(M86)),"",(L86/1000*'CBECS IFs and eGRID'!$Q$32/2204.62)+(M86*'CBECS IFs and eGRID'!$G$31/1000))</f>
        <v/>
      </c>
    </row>
    <row r="87" spans="1:14" ht="15">
      <c r="A87" s="186">
        <v>12</v>
      </c>
      <c r="B87" s="256"/>
      <c r="C87" s="259"/>
      <c r="D87" s="281" t="str">
        <f>IF(C87="","",C87*'CBECS IFs and eGRID'!$C$8)</f>
        <v/>
      </c>
      <c r="E87" s="281" t="str">
        <f>IF(C87="","",C87*'CBECS IFs and eGRID'!$D$18)</f>
        <v/>
      </c>
      <c r="F87" s="272" t="str">
        <f>IF(C87="","",(D87/1000*'CBECS IFs and eGRID'!$Q$32/2204.62)+(E87*'CBECS IFs and eGRID'!$G$31/1000))</f>
        <v/>
      </c>
      <c r="I87" s="186">
        <v>12</v>
      </c>
      <c r="J87" s="256"/>
      <c r="K87" s="259"/>
      <c r="L87" s="259"/>
      <c r="M87" s="259"/>
      <c r="N87" s="272" t="str">
        <f>IF(AND(ISBLANK(L87),ISBLANK(M87)),"",(L87/1000*'CBECS IFs and eGRID'!$Q$32/2204.62)+(M87*'CBECS IFs and eGRID'!$G$31/1000))</f>
        <v/>
      </c>
    </row>
    <row r="88" spans="1:14" ht="15">
      <c r="A88" s="186">
        <v>13</v>
      </c>
      <c r="B88" s="256"/>
      <c r="C88" s="259"/>
      <c r="D88" s="281" t="str">
        <f>IF(C88="","",C88*'CBECS IFs and eGRID'!$C$8)</f>
        <v/>
      </c>
      <c r="E88" s="281" t="str">
        <f>IF(C88="","",C88*'CBECS IFs and eGRID'!$D$18)</f>
        <v/>
      </c>
      <c r="F88" s="272" t="str">
        <f>IF(C88="","",(D88/1000*'CBECS IFs and eGRID'!$Q$32/2204.62)+(E88*'CBECS IFs and eGRID'!$G$31/1000))</f>
        <v/>
      </c>
      <c r="I88" s="186">
        <v>13</v>
      </c>
      <c r="J88" s="256"/>
      <c r="K88" s="259"/>
      <c r="L88" s="259"/>
      <c r="M88" s="259"/>
      <c r="N88" s="272" t="str">
        <f>IF(AND(ISBLANK(L88),ISBLANK(M88)),"",(L88/1000*'CBECS IFs and eGRID'!$Q$32/2204.62)+(M88*'CBECS IFs and eGRID'!$G$31/1000))</f>
        <v/>
      </c>
    </row>
    <row r="89" spans="1:14" ht="15">
      <c r="A89" s="186">
        <v>14</v>
      </c>
      <c r="B89" s="256"/>
      <c r="C89" s="259"/>
      <c r="D89" s="281" t="str">
        <f>IF(C89="","",C89*'CBECS IFs and eGRID'!$C$8)</f>
        <v/>
      </c>
      <c r="E89" s="281" t="str">
        <f>IF(C89="","",C89*'CBECS IFs and eGRID'!$D$18)</f>
        <v/>
      </c>
      <c r="F89" s="272" t="str">
        <f>IF(C89="","",(D89/1000*'CBECS IFs and eGRID'!$Q$32/2204.62)+(E89*'CBECS IFs and eGRID'!$G$31/1000))</f>
        <v/>
      </c>
      <c r="I89" s="186">
        <v>14</v>
      </c>
      <c r="J89" s="256"/>
      <c r="K89" s="259"/>
      <c r="L89" s="259"/>
      <c r="M89" s="259"/>
      <c r="N89" s="272" t="str">
        <f>IF(AND(ISBLANK(L89),ISBLANK(M89)),"",(L89/1000*'CBECS IFs and eGRID'!$Q$32/2204.62)+(M89*'CBECS IFs and eGRID'!$G$31/1000))</f>
        <v/>
      </c>
    </row>
    <row r="90" spans="1:14" ht="15">
      <c r="A90" s="186">
        <v>15</v>
      </c>
      <c r="B90" s="256"/>
      <c r="C90" s="259"/>
      <c r="D90" s="281" t="str">
        <f>IF(C90="","",C90*'CBECS IFs and eGRID'!$C$8)</f>
        <v/>
      </c>
      <c r="E90" s="281" t="str">
        <f>IF(C90="","",C90*'CBECS IFs and eGRID'!$D$18)</f>
        <v/>
      </c>
      <c r="F90" s="272" t="str">
        <f>IF(C90="","",(D90/1000*'CBECS IFs and eGRID'!$Q$32/2204.62)+(E90*'CBECS IFs and eGRID'!$G$31/1000))</f>
        <v/>
      </c>
      <c r="I90" s="186">
        <v>15</v>
      </c>
      <c r="J90" s="256"/>
      <c r="K90" s="259"/>
      <c r="L90" s="259"/>
      <c r="M90" s="259"/>
      <c r="N90" s="272" t="str">
        <f>IF(AND(ISBLANK(L90),ISBLANK(M90)),"",(L90/1000*'CBECS IFs and eGRID'!$Q$32/2204.62)+(M90*'CBECS IFs and eGRID'!$G$31/1000))</f>
        <v/>
      </c>
    </row>
    <row r="91" spans="1:14" ht="15">
      <c r="A91" s="186">
        <v>16</v>
      </c>
      <c r="B91" s="256"/>
      <c r="C91" s="259"/>
      <c r="D91" s="281" t="str">
        <f>IF(C91="","",C91*'CBECS IFs and eGRID'!$C$8)</f>
        <v/>
      </c>
      <c r="E91" s="281" t="str">
        <f>IF(C91="","",C91*'CBECS IFs and eGRID'!$D$18)</f>
        <v/>
      </c>
      <c r="F91" s="272" t="str">
        <f>IF(C91="","",(D91/1000*'CBECS IFs and eGRID'!$Q$32/2204.62)+(E91*'CBECS IFs and eGRID'!$G$31/1000))</f>
        <v/>
      </c>
      <c r="I91" s="186">
        <v>16</v>
      </c>
      <c r="J91" s="256"/>
      <c r="K91" s="259"/>
      <c r="L91" s="259"/>
      <c r="M91" s="259"/>
      <c r="N91" s="272" t="str">
        <f>IF(AND(ISBLANK(L91),ISBLANK(M91)),"",(L91/1000*'CBECS IFs and eGRID'!$Q$32/2204.62)+(M91*'CBECS IFs and eGRID'!$G$31/1000))</f>
        <v/>
      </c>
    </row>
    <row r="92" spans="1:14" ht="15">
      <c r="A92" s="186">
        <v>17</v>
      </c>
      <c r="B92" s="256"/>
      <c r="C92" s="259"/>
      <c r="D92" s="281" t="str">
        <f>IF(C92="","",C92*'CBECS IFs and eGRID'!$C$8)</f>
        <v/>
      </c>
      <c r="E92" s="281" t="str">
        <f>IF(C92="","",C92*'CBECS IFs and eGRID'!$D$18)</f>
        <v/>
      </c>
      <c r="F92" s="272" t="str">
        <f>IF(C92="","",(D92/1000*'CBECS IFs and eGRID'!$Q$32/2204.62)+(E92*'CBECS IFs and eGRID'!$G$31/1000))</f>
        <v/>
      </c>
      <c r="I92" s="186">
        <v>17</v>
      </c>
      <c r="J92" s="256"/>
      <c r="K92" s="259"/>
      <c r="L92" s="259"/>
      <c r="M92" s="259"/>
      <c r="N92" s="272" t="str">
        <f>IF(AND(ISBLANK(L92),ISBLANK(M92)),"",(L92/1000*'CBECS IFs and eGRID'!$Q$32/2204.62)+(M92*'CBECS IFs and eGRID'!$G$31/1000))</f>
        <v/>
      </c>
    </row>
    <row r="93" spans="1:14" ht="15">
      <c r="A93" s="186">
        <v>18</v>
      </c>
      <c r="B93" s="256"/>
      <c r="C93" s="259"/>
      <c r="D93" s="281" t="str">
        <f>IF(C93="","",C93*'CBECS IFs and eGRID'!$C$8)</f>
        <v/>
      </c>
      <c r="E93" s="281" t="str">
        <f>IF(C93="","",C93*'CBECS IFs and eGRID'!$D$18)</f>
        <v/>
      </c>
      <c r="F93" s="272" t="str">
        <f>IF(C93="","",(D93/1000*'CBECS IFs and eGRID'!$Q$32/2204.62)+(E93*'CBECS IFs and eGRID'!$G$31/1000))</f>
        <v/>
      </c>
      <c r="I93" s="186">
        <v>18</v>
      </c>
      <c r="J93" s="256"/>
      <c r="K93" s="259"/>
      <c r="L93" s="259"/>
      <c r="M93" s="259"/>
      <c r="N93" s="272" t="str">
        <f>IF(AND(ISBLANK(L93),ISBLANK(M93)),"",(L93/1000*'CBECS IFs and eGRID'!$Q$32/2204.62)+(M93*'CBECS IFs and eGRID'!$G$31/1000))</f>
        <v/>
      </c>
    </row>
    <row r="94" spans="1:14" ht="15">
      <c r="A94" s="186">
        <v>19</v>
      </c>
      <c r="B94" s="256"/>
      <c r="C94" s="259"/>
      <c r="D94" s="281" t="str">
        <f>IF(C94="","",C94*'CBECS IFs and eGRID'!$C$8)</f>
        <v/>
      </c>
      <c r="E94" s="281" t="str">
        <f>IF(C94="","",C94*'CBECS IFs and eGRID'!$D$18)</f>
        <v/>
      </c>
      <c r="F94" s="272" t="str">
        <f>IF(C94="","",(D94/1000*'CBECS IFs and eGRID'!$Q$32/2204.62)+(E94*'CBECS IFs and eGRID'!$G$31/1000))</f>
        <v/>
      </c>
      <c r="I94" s="186">
        <v>19</v>
      </c>
      <c r="J94" s="256"/>
      <c r="K94" s="259"/>
      <c r="L94" s="259"/>
      <c r="M94" s="259"/>
      <c r="N94" s="272" t="str">
        <f>IF(AND(ISBLANK(L94),ISBLANK(M94)),"",(L94/1000*'CBECS IFs and eGRID'!$Q$32/2204.62)+(M94*'CBECS IFs and eGRID'!$G$31/1000))</f>
        <v/>
      </c>
    </row>
    <row r="95" spans="1:14" ht="15.75" thickBot="1">
      <c r="A95" s="186">
        <v>20</v>
      </c>
      <c r="B95" s="256"/>
      <c r="C95" s="259"/>
      <c r="D95" s="281" t="str">
        <f>IF(C95="","",C95*'CBECS IFs and eGRID'!$C$8)</f>
        <v/>
      </c>
      <c r="E95" s="281" t="str">
        <f>IF(C95="","",C95*'CBECS IFs and eGRID'!$D$18)</f>
        <v/>
      </c>
      <c r="F95" s="272" t="str">
        <f>IF(C95="","",(D95/1000*'CBECS IFs and eGRID'!$Q$32/2204.62)+(E95*'CBECS IFs and eGRID'!$G$31/1000))</f>
        <v/>
      </c>
      <c r="I95" s="186">
        <v>20</v>
      </c>
      <c r="J95" s="256"/>
      <c r="K95" s="259"/>
      <c r="L95" s="259"/>
      <c r="M95" s="259"/>
      <c r="N95" s="272" t="str">
        <f>IF(AND(ISBLANK(L95),ISBLANK(M95)),"",(L95/1000*'CBECS IFs and eGRID'!$Q$32/2204.62)+(M95*'CBECS IFs and eGRID'!$G$31/1000))</f>
        <v/>
      </c>
    </row>
    <row r="96" spans="1:14" ht="15" thickBot="1">
      <c r="E96" s="183" t="s">
        <v>1129</v>
      </c>
      <c r="F96" s="122">
        <f>SUM(F77:F95)</f>
        <v>0</v>
      </c>
      <c r="M96" s="183" t="s">
        <v>1129</v>
      </c>
      <c r="N96" s="122">
        <f>SUM(N77:N95)</f>
        <v>0</v>
      </c>
    </row>
    <row r="98" spans="1:15" ht="18.75">
      <c r="A98" s="16" t="s">
        <v>3586</v>
      </c>
      <c r="I98" s="16" t="s">
        <v>3586</v>
      </c>
    </row>
    <row r="99" spans="1:15">
      <c r="A99" s="267" t="s">
        <v>1371</v>
      </c>
      <c r="I99" s="267" t="s">
        <v>1371</v>
      </c>
    </row>
    <row r="100" spans="1:15">
      <c r="B100" s="9" t="s">
        <v>188</v>
      </c>
      <c r="C100" s="9" t="s">
        <v>188</v>
      </c>
      <c r="D100" s="9"/>
      <c r="E100" s="9"/>
      <c r="J100" s="9" t="s">
        <v>188</v>
      </c>
      <c r="K100" s="9" t="s">
        <v>188</v>
      </c>
      <c r="L100" s="9" t="s">
        <v>188</v>
      </c>
      <c r="M100" s="9" t="s">
        <v>188</v>
      </c>
      <c r="N100" s="9" t="s">
        <v>188</v>
      </c>
    </row>
    <row r="101" spans="1:15" ht="15">
      <c r="A101" s="203" t="s">
        <v>155</v>
      </c>
      <c r="B101" s="204" t="s">
        <v>1134</v>
      </c>
      <c r="C101" s="204" t="s">
        <v>3623</v>
      </c>
      <c r="D101" s="203" t="s">
        <v>1349</v>
      </c>
      <c r="E101" s="203" t="s">
        <v>1347</v>
      </c>
      <c r="F101" s="203" t="s">
        <v>1348</v>
      </c>
      <c r="G101" s="203" t="s">
        <v>160</v>
      </c>
      <c r="I101" s="203" t="s">
        <v>155</v>
      </c>
      <c r="J101" s="204" t="s">
        <v>1134</v>
      </c>
      <c r="K101" s="204" t="s">
        <v>3623</v>
      </c>
      <c r="L101" s="203" t="s">
        <v>1349</v>
      </c>
      <c r="M101" s="203" t="s">
        <v>1347</v>
      </c>
      <c r="N101" s="203" t="s">
        <v>1348</v>
      </c>
      <c r="O101" s="203" t="s">
        <v>160</v>
      </c>
    </row>
    <row r="102" spans="1:15" ht="15">
      <c r="A102" s="186">
        <v>1</v>
      </c>
      <c r="B102" s="221" t="s">
        <v>1350</v>
      </c>
      <c r="C102" s="221" t="s">
        <v>3620</v>
      </c>
      <c r="D102" s="222">
        <v>100</v>
      </c>
      <c r="E102" s="280">
        <f>IF(OR(C102="",D102=""),"",(D102*IF(C102='CBECS IFs and eGRID'!$B$10,'CBECS IFs and eGRID'!$C$10,'CBECS IFs and eGRID'!$C$11)))</f>
        <v>1490</v>
      </c>
      <c r="F102" s="280">
        <f>IF(OR(C102="",D102=""),"",(D102*IF(C102='CBECS IFs and eGRID'!$B$20,'CBECS IFs and eGRID'!$D$20,'CBECS IFs and eGRID'!$D$21)))</f>
        <v>19.855222337125127</v>
      </c>
      <c r="G102" s="271">
        <f>IF(OR(C102="",D102=""),"",(E102/1000*'CBECS IFs and eGRID'!$Q$32/2204.62)+(F102*'CBECS IFs and eGRID'!$G$31/1000))</f>
        <v>0.66135285028581092</v>
      </c>
      <c r="I102" s="186">
        <v>1</v>
      </c>
      <c r="J102" s="221" t="s">
        <v>1350</v>
      </c>
      <c r="K102" s="221" t="s">
        <v>3620</v>
      </c>
      <c r="L102" s="222">
        <v>100</v>
      </c>
      <c r="M102" s="222">
        <f>IF(OR(K102="",L102=""),"",(L102*IF(K102='CBECS IFs and eGRID'!$B$10,'CBECS IFs and eGRID'!$C$10,'CBECS IFs and eGRID'!$C$11)))</f>
        <v>1490</v>
      </c>
      <c r="N102" s="222">
        <f>IF(OR(K102="",L102=""),"",(L102*IF(K102='CBECS IFs and eGRID'!$B$20,'CBECS IFs and eGRID'!$D$20,'CBECS IFs and eGRID'!$D$21)))</f>
        <v>19.855222337125127</v>
      </c>
      <c r="O102" s="271">
        <f>IF(OR(K102="",L102=""),"",(M102/1000*'CBECS IFs and eGRID'!$Q$32/2204.62)+(N102*'CBECS IFs and eGRID'!$G$31/1000))</f>
        <v>0.66135285028581092</v>
      </c>
    </row>
    <row r="103" spans="1:15" ht="15">
      <c r="A103" s="186">
        <v>2</v>
      </c>
      <c r="B103" s="256"/>
      <c r="C103" s="256"/>
      <c r="D103" s="259"/>
      <c r="E103" s="281" t="str">
        <f>IF(OR(C103="",D103=""),"",(D103*IF(C103='CBECS IFs and eGRID'!$B$10,'CBECS IFs and eGRID'!$C$10,'CBECS IFs and eGRID'!$C$11)))</f>
        <v/>
      </c>
      <c r="F103" s="281" t="str">
        <f>IF(OR(C103="",D103=""),"",(D103*IF(C103='CBECS IFs and eGRID'!$B$20,'CBECS IFs and eGRID'!$D$20,'CBECS IFs and eGRID'!$D$21)))</f>
        <v/>
      </c>
      <c r="G103" s="272" t="str">
        <f>IF(OR(C103="",D103=""),"",(E103/1000*'CBECS IFs and eGRID'!$Q$32/2204.62)+(F103*'CBECS IFs and eGRID'!$G$31/1000))</f>
        <v/>
      </c>
      <c r="I103" s="186">
        <v>2</v>
      </c>
      <c r="J103" s="256"/>
      <c r="K103" s="256"/>
      <c r="L103" s="259"/>
      <c r="M103" s="259"/>
      <c r="N103" s="259"/>
      <c r="O103" s="272" t="str">
        <f>IF(AND(ISBLANK(M103),ISBLANK(N103)),"",(M103/1000*'CBECS IFs and eGRID'!$Q$32/2204.62)+(N103*'CBECS IFs and eGRID'!$G$31/1000))</f>
        <v/>
      </c>
    </row>
    <row r="104" spans="1:15" ht="15">
      <c r="A104" s="186">
        <v>3</v>
      </c>
      <c r="B104" s="256"/>
      <c r="C104" s="256"/>
      <c r="D104" s="259"/>
      <c r="E104" s="281" t="str">
        <f>IF(OR(C104="",D104=""),"",(D104*IF(C104='CBECS IFs and eGRID'!$B$10,'CBECS IFs and eGRID'!$C$10,'CBECS IFs and eGRID'!$C$11)))</f>
        <v/>
      </c>
      <c r="F104" s="281" t="str">
        <f>IF(OR(C104="",D104=""),"",(D104*IF(C104='CBECS IFs and eGRID'!$B$20,'CBECS IFs and eGRID'!$D$20,'CBECS IFs and eGRID'!$D$21)))</f>
        <v/>
      </c>
      <c r="G104" s="272" t="str">
        <f>IF(OR(C104="",D104=""),"",(E104/1000*'CBECS IFs and eGRID'!$Q$32/2204.62)+(F104*'CBECS IFs and eGRID'!$G$31/1000))</f>
        <v/>
      </c>
      <c r="I104" s="186">
        <v>3</v>
      </c>
      <c r="J104" s="256"/>
      <c r="K104" s="256"/>
      <c r="L104" s="259"/>
      <c r="M104" s="259"/>
      <c r="N104" s="259"/>
      <c r="O104" s="272" t="str">
        <f>IF(AND(ISBLANK(M104),ISBLANK(N104)),"",(M104/1000*'CBECS IFs and eGRID'!$Q$32/2204.62)+(N104*'CBECS IFs and eGRID'!$G$31/1000))</f>
        <v/>
      </c>
    </row>
    <row r="105" spans="1:15" ht="15">
      <c r="A105" s="186">
        <v>4</v>
      </c>
      <c r="B105" s="256"/>
      <c r="C105" s="256"/>
      <c r="D105" s="259"/>
      <c r="E105" s="281" t="str">
        <f>IF(OR(C105="",D105=""),"",(D105*IF(C105='CBECS IFs and eGRID'!$B$10,'CBECS IFs and eGRID'!$C$10,'CBECS IFs and eGRID'!$C$11)))</f>
        <v/>
      </c>
      <c r="F105" s="281" t="str">
        <f>IF(OR(C105="",D105=""),"",(D105*IF(C105='CBECS IFs and eGRID'!$B$20,'CBECS IFs and eGRID'!$D$20,'CBECS IFs and eGRID'!$D$21)))</f>
        <v/>
      </c>
      <c r="G105" s="272" t="str">
        <f>IF(OR(C105="",D105=""),"",(E105/1000*'CBECS IFs and eGRID'!$Q$32/2204.62)+(F105*'CBECS IFs and eGRID'!$G$31/1000))</f>
        <v/>
      </c>
      <c r="I105" s="186">
        <v>4</v>
      </c>
      <c r="J105" s="256"/>
      <c r="K105" s="256"/>
      <c r="L105" s="259"/>
      <c r="M105" s="259"/>
      <c r="N105" s="259"/>
      <c r="O105" s="272" t="str">
        <f>IF(AND(ISBLANK(M105),ISBLANK(N105)),"",(M105/1000*'CBECS IFs and eGRID'!$Q$32/2204.62)+(N105*'CBECS IFs and eGRID'!$G$31/1000))</f>
        <v/>
      </c>
    </row>
    <row r="106" spans="1:15" ht="15">
      <c r="A106" s="186">
        <v>5</v>
      </c>
      <c r="B106" s="256"/>
      <c r="C106" s="256"/>
      <c r="D106" s="259"/>
      <c r="E106" s="281" t="str">
        <f>IF(OR(C106="",D106=""),"",(D106*IF(C106='CBECS IFs and eGRID'!$B$10,'CBECS IFs and eGRID'!$C$10,'CBECS IFs and eGRID'!$C$11)))</f>
        <v/>
      </c>
      <c r="F106" s="281" t="str">
        <f>IF(OR(C106="",D106=""),"",(D106*IF(C106='CBECS IFs and eGRID'!$B$20,'CBECS IFs and eGRID'!$D$20,'CBECS IFs and eGRID'!$D$21)))</f>
        <v/>
      </c>
      <c r="G106" s="272" t="str">
        <f>IF(OR(C106="",D106=""),"",(E106/1000*'CBECS IFs and eGRID'!$Q$32/2204.62)+(F106*'CBECS IFs and eGRID'!$G$31/1000))</f>
        <v/>
      </c>
      <c r="I106" s="186">
        <v>5</v>
      </c>
      <c r="J106" s="256"/>
      <c r="K106" s="256"/>
      <c r="L106" s="259"/>
      <c r="M106" s="259"/>
      <c r="N106" s="259"/>
      <c r="O106" s="272" t="str">
        <f>IF(AND(ISBLANK(M106),ISBLANK(N106)),"",(M106/1000*'CBECS IFs and eGRID'!$Q$32/2204.62)+(N106*'CBECS IFs and eGRID'!$G$31/1000))</f>
        <v/>
      </c>
    </row>
    <row r="107" spans="1:15" ht="15">
      <c r="A107" s="186">
        <v>6</v>
      </c>
      <c r="B107" s="256"/>
      <c r="C107" s="256"/>
      <c r="D107" s="259"/>
      <c r="E107" s="281" t="str">
        <f>IF(OR(C107="",D107=""),"",(D107*IF(C107='CBECS IFs and eGRID'!$B$10,'CBECS IFs and eGRID'!$C$10,'CBECS IFs and eGRID'!$C$11)))</f>
        <v/>
      </c>
      <c r="F107" s="281" t="str">
        <f>IF(OR(C107="",D107=""),"",(D107*IF(C107='CBECS IFs and eGRID'!$B$20,'CBECS IFs and eGRID'!$D$20,'CBECS IFs and eGRID'!$D$21)))</f>
        <v/>
      </c>
      <c r="G107" s="272" t="str">
        <f>IF(OR(C107="",D107=""),"",(E107/1000*'CBECS IFs and eGRID'!$Q$32/2204.62)+(F107*'CBECS IFs and eGRID'!$G$31/1000))</f>
        <v/>
      </c>
      <c r="I107" s="186">
        <v>6</v>
      </c>
      <c r="J107" s="256"/>
      <c r="K107" s="256"/>
      <c r="L107" s="259"/>
      <c r="M107" s="259"/>
      <c r="N107" s="259"/>
      <c r="O107" s="272" t="str">
        <f>IF(AND(ISBLANK(M107),ISBLANK(N107)),"",(M107/1000*'CBECS IFs and eGRID'!$Q$32/2204.62)+(N107*'CBECS IFs and eGRID'!$G$31/1000))</f>
        <v/>
      </c>
    </row>
    <row r="108" spans="1:15" ht="15">
      <c r="A108" s="186">
        <v>7</v>
      </c>
      <c r="B108" s="256"/>
      <c r="C108" s="256"/>
      <c r="D108" s="259"/>
      <c r="E108" s="281" t="str">
        <f>IF(OR(C108="",D108=""),"",(D108*IF(C108='CBECS IFs and eGRID'!$B$10,'CBECS IFs and eGRID'!$C$10,'CBECS IFs and eGRID'!$C$11)))</f>
        <v/>
      </c>
      <c r="F108" s="281" t="str">
        <f>IF(OR(C108="",D108=""),"",(D108*IF(C108='CBECS IFs and eGRID'!$B$20,'CBECS IFs and eGRID'!$D$20,'CBECS IFs and eGRID'!$D$21)))</f>
        <v/>
      </c>
      <c r="G108" s="272" t="str">
        <f>IF(OR(C108="",D108=""),"",(E108/1000*'CBECS IFs and eGRID'!$Q$32/2204.62)+(F108*'CBECS IFs and eGRID'!$G$31/1000))</f>
        <v/>
      </c>
      <c r="I108" s="186">
        <v>7</v>
      </c>
      <c r="J108" s="256"/>
      <c r="K108" s="256"/>
      <c r="L108" s="259"/>
      <c r="M108" s="259"/>
      <c r="N108" s="259"/>
      <c r="O108" s="272" t="str">
        <f>IF(AND(ISBLANK(M108),ISBLANK(N108)),"",(M108/1000*'CBECS IFs and eGRID'!$Q$32/2204.62)+(N108*'CBECS IFs and eGRID'!$G$31/1000))</f>
        <v/>
      </c>
    </row>
    <row r="109" spans="1:15" ht="15">
      <c r="A109" s="186">
        <v>8</v>
      </c>
      <c r="B109" s="256"/>
      <c r="C109" s="256"/>
      <c r="D109" s="259"/>
      <c r="E109" s="281" t="str">
        <f>IF(OR(C109="",D109=""),"",(D109*IF(C109='CBECS IFs and eGRID'!$B$10,'CBECS IFs and eGRID'!$C$10,'CBECS IFs and eGRID'!$C$11)))</f>
        <v/>
      </c>
      <c r="F109" s="281" t="str">
        <f>IF(OR(C109="",D109=""),"",(D109*IF(C109='CBECS IFs and eGRID'!$B$20,'CBECS IFs and eGRID'!$D$20,'CBECS IFs and eGRID'!$D$21)))</f>
        <v/>
      </c>
      <c r="G109" s="272" t="str">
        <f>IF(OR(C109="",D109=""),"",(E109/1000*'CBECS IFs and eGRID'!$Q$32/2204.62)+(F109*'CBECS IFs and eGRID'!$G$31/1000))</f>
        <v/>
      </c>
      <c r="I109" s="186">
        <v>8</v>
      </c>
      <c r="J109" s="256"/>
      <c r="K109" s="256"/>
      <c r="L109" s="259"/>
      <c r="M109" s="259"/>
      <c r="N109" s="259"/>
      <c r="O109" s="272" t="str">
        <f>IF(AND(ISBLANK(M109),ISBLANK(N109)),"",(M109/1000*'CBECS IFs and eGRID'!$Q$32/2204.62)+(N109*'CBECS IFs and eGRID'!$G$31/1000))</f>
        <v/>
      </c>
    </row>
    <row r="110" spans="1:15" ht="15">
      <c r="A110" s="186">
        <v>9</v>
      </c>
      <c r="B110" s="256"/>
      <c r="C110" s="256"/>
      <c r="D110" s="259"/>
      <c r="E110" s="281" t="str">
        <f>IF(OR(C110="",D110=""),"",(D110*IF(C110='CBECS IFs and eGRID'!$B$10,'CBECS IFs and eGRID'!$C$10,'CBECS IFs and eGRID'!$C$11)))</f>
        <v/>
      </c>
      <c r="F110" s="281" t="str">
        <f>IF(OR(C110="",D110=""),"",(D110*IF(C110='CBECS IFs and eGRID'!$B$20,'CBECS IFs and eGRID'!$D$20,'CBECS IFs and eGRID'!$D$21)))</f>
        <v/>
      </c>
      <c r="G110" s="272" t="str">
        <f>IF(OR(C110="",D110=""),"",(E110/1000*'CBECS IFs and eGRID'!$Q$32/2204.62)+(F110*'CBECS IFs and eGRID'!$G$31/1000))</f>
        <v/>
      </c>
      <c r="I110" s="186">
        <v>9</v>
      </c>
      <c r="J110" s="256"/>
      <c r="K110" s="256"/>
      <c r="L110" s="259"/>
      <c r="M110" s="259"/>
      <c r="N110" s="259"/>
      <c r="O110" s="272" t="str">
        <f>IF(AND(ISBLANK(M110),ISBLANK(N110)),"",(M110/1000*'CBECS IFs and eGRID'!$Q$32/2204.62)+(N110*'CBECS IFs and eGRID'!$G$31/1000))</f>
        <v/>
      </c>
    </row>
    <row r="111" spans="1:15" ht="15">
      <c r="A111" s="186">
        <v>10</v>
      </c>
      <c r="B111" s="256"/>
      <c r="C111" s="256"/>
      <c r="D111" s="259"/>
      <c r="E111" s="281" t="str">
        <f>IF(OR(C111="",D111=""),"",(D111*IF(C111='CBECS IFs and eGRID'!$B$10,'CBECS IFs and eGRID'!$C$10,'CBECS IFs and eGRID'!$C$11)))</f>
        <v/>
      </c>
      <c r="F111" s="281" t="str">
        <f>IF(OR(C111="",D111=""),"",(D111*IF(C111='CBECS IFs and eGRID'!$B$20,'CBECS IFs and eGRID'!$D$20,'CBECS IFs and eGRID'!$D$21)))</f>
        <v/>
      </c>
      <c r="G111" s="272" t="str">
        <f>IF(OR(C111="",D111=""),"",(E111/1000*'CBECS IFs and eGRID'!$Q$32/2204.62)+(F111*'CBECS IFs and eGRID'!$G$31/1000))</f>
        <v/>
      </c>
      <c r="I111" s="186">
        <v>10</v>
      </c>
      <c r="J111" s="256"/>
      <c r="K111" s="256"/>
      <c r="L111" s="259"/>
      <c r="M111" s="259"/>
      <c r="N111" s="259"/>
      <c r="O111" s="272" t="str">
        <f>IF(AND(ISBLANK(M111),ISBLANK(N111)),"",(M111/1000*'CBECS IFs and eGRID'!$Q$32/2204.62)+(N111*'CBECS IFs and eGRID'!$G$31/1000))</f>
        <v/>
      </c>
    </row>
    <row r="112" spans="1:15" ht="15">
      <c r="A112" s="186">
        <v>11</v>
      </c>
      <c r="B112" s="256"/>
      <c r="C112" s="256"/>
      <c r="D112" s="259"/>
      <c r="E112" s="281" t="str">
        <f>IF(OR(C112="",D112=""),"",(D112*IF(C112='CBECS IFs and eGRID'!$B$10,'CBECS IFs and eGRID'!$C$10,'CBECS IFs and eGRID'!$C$11)))</f>
        <v/>
      </c>
      <c r="F112" s="281" t="str">
        <f>IF(OR(C112="",D112=""),"",(D112*IF(C112='CBECS IFs and eGRID'!$B$20,'CBECS IFs and eGRID'!$D$20,'CBECS IFs and eGRID'!$D$21)))</f>
        <v/>
      </c>
      <c r="G112" s="272" t="str">
        <f>IF(OR(C112="",D112=""),"",(E112/1000*'CBECS IFs and eGRID'!$Q$32/2204.62)+(F112*'CBECS IFs and eGRID'!$G$31/1000))</f>
        <v/>
      </c>
      <c r="I112" s="186">
        <v>11</v>
      </c>
      <c r="J112" s="256"/>
      <c r="K112" s="256"/>
      <c r="L112" s="259"/>
      <c r="M112" s="259"/>
      <c r="N112" s="259"/>
      <c r="O112" s="272" t="str">
        <f>IF(AND(ISBLANK(M112),ISBLANK(N112)),"",(M112/1000*'CBECS IFs and eGRID'!$Q$32/2204.62)+(N112*'CBECS IFs and eGRID'!$G$31/1000))</f>
        <v/>
      </c>
    </row>
    <row r="113" spans="1:15" ht="15">
      <c r="A113" s="186">
        <v>12</v>
      </c>
      <c r="B113" s="256"/>
      <c r="C113" s="256"/>
      <c r="D113" s="259"/>
      <c r="E113" s="281" t="str">
        <f>IF(OR(C113="",D113=""),"",(D113*IF(C113='CBECS IFs and eGRID'!$B$10,'CBECS IFs and eGRID'!$C$10,'CBECS IFs and eGRID'!$C$11)))</f>
        <v/>
      </c>
      <c r="F113" s="281" t="str">
        <f>IF(OR(C113="",D113=""),"",(D113*IF(C113='CBECS IFs and eGRID'!$B$20,'CBECS IFs and eGRID'!$D$20,'CBECS IFs and eGRID'!$D$21)))</f>
        <v/>
      </c>
      <c r="G113" s="272" t="str">
        <f>IF(OR(C113="",D113=""),"",(E113/1000*'CBECS IFs and eGRID'!$Q$32/2204.62)+(F113*'CBECS IFs and eGRID'!$G$31/1000))</f>
        <v/>
      </c>
      <c r="I113" s="186">
        <v>12</v>
      </c>
      <c r="J113" s="256"/>
      <c r="K113" s="256"/>
      <c r="L113" s="259"/>
      <c r="M113" s="259"/>
      <c r="N113" s="259"/>
      <c r="O113" s="272" t="str">
        <f>IF(AND(ISBLANK(M113),ISBLANK(N113)),"",(M113/1000*'CBECS IFs and eGRID'!$Q$32/2204.62)+(N113*'CBECS IFs and eGRID'!$G$31/1000))</f>
        <v/>
      </c>
    </row>
    <row r="114" spans="1:15" ht="15">
      <c r="A114" s="186">
        <v>13</v>
      </c>
      <c r="B114" s="256"/>
      <c r="C114" s="256"/>
      <c r="D114" s="259"/>
      <c r="E114" s="281" t="str">
        <f>IF(OR(C114="",D114=""),"",(D114*IF(C114='CBECS IFs and eGRID'!$B$10,'CBECS IFs and eGRID'!$C$10,'CBECS IFs and eGRID'!$C$11)))</f>
        <v/>
      </c>
      <c r="F114" s="281" t="str">
        <f>IF(OR(C114="",D114=""),"",(D114*IF(C114='CBECS IFs and eGRID'!$B$20,'CBECS IFs and eGRID'!$D$20,'CBECS IFs and eGRID'!$D$21)))</f>
        <v/>
      </c>
      <c r="G114" s="272" t="str">
        <f>IF(OR(C114="",D114=""),"",(E114/1000*'CBECS IFs and eGRID'!$Q$32/2204.62)+(F114*'CBECS IFs and eGRID'!$G$31/1000))</f>
        <v/>
      </c>
      <c r="I114" s="186">
        <v>13</v>
      </c>
      <c r="J114" s="256"/>
      <c r="K114" s="256"/>
      <c r="L114" s="259"/>
      <c r="M114" s="259"/>
      <c r="N114" s="259"/>
      <c r="O114" s="272" t="str">
        <f>IF(AND(ISBLANK(M114),ISBLANK(N114)),"",(M114/1000*'CBECS IFs and eGRID'!$Q$32/2204.62)+(N114*'CBECS IFs and eGRID'!$G$31/1000))</f>
        <v/>
      </c>
    </row>
    <row r="115" spans="1:15" ht="15">
      <c r="A115" s="186">
        <v>14</v>
      </c>
      <c r="B115" s="256"/>
      <c r="C115" s="256"/>
      <c r="D115" s="259"/>
      <c r="E115" s="281" t="str">
        <f>IF(OR(C115="",D115=""),"",(D115*IF(C115='CBECS IFs and eGRID'!$B$10,'CBECS IFs and eGRID'!$C$10,'CBECS IFs and eGRID'!$C$11)))</f>
        <v/>
      </c>
      <c r="F115" s="281" t="str">
        <f>IF(OR(C115="",D115=""),"",(D115*IF(C115='CBECS IFs and eGRID'!$B$20,'CBECS IFs and eGRID'!$D$20,'CBECS IFs and eGRID'!$D$21)))</f>
        <v/>
      </c>
      <c r="G115" s="272" t="str">
        <f>IF(OR(C115="",D115=""),"",(E115/1000*'CBECS IFs and eGRID'!$Q$32/2204.62)+(F115*'CBECS IFs and eGRID'!$G$31/1000))</f>
        <v/>
      </c>
      <c r="I115" s="186">
        <v>14</v>
      </c>
      <c r="J115" s="256"/>
      <c r="K115" s="256"/>
      <c r="L115" s="259"/>
      <c r="M115" s="259"/>
      <c r="N115" s="259"/>
      <c r="O115" s="272" t="str">
        <f>IF(AND(ISBLANK(M115),ISBLANK(N115)),"",(M115/1000*'CBECS IFs and eGRID'!$Q$32/2204.62)+(N115*'CBECS IFs and eGRID'!$G$31/1000))</f>
        <v/>
      </c>
    </row>
    <row r="116" spans="1:15" ht="15">
      <c r="A116" s="186">
        <v>15</v>
      </c>
      <c r="B116" s="256"/>
      <c r="C116" s="256"/>
      <c r="D116" s="259"/>
      <c r="E116" s="281" t="str">
        <f>IF(OR(C116="",D116=""),"",(D116*IF(C116='CBECS IFs and eGRID'!$B$10,'CBECS IFs and eGRID'!$C$10,'CBECS IFs and eGRID'!$C$11)))</f>
        <v/>
      </c>
      <c r="F116" s="281" t="str">
        <f>IF(OR(C116="",D116=""),"",(D116*IF(C116='CBECS IFs and eGRID'!$B$20,'CBECS IFs and eGRID'!$D$20,'CBECS IFs and eGRID'!$D$21)))</f>
        <v/>
      </c>
      <c r="G116" s="272" t="str">
        <f>IF(OR(C116="",D116=""),"",(E116/1000*'CBECS IFs and eGRID'!$Q$32/2204.62)+(F116*'CBECS IFs and eGRID'!$G$31/1000))</f>
        <v/>
      </c>
      <c r="I116" s="186">
        <v>15</v>
      </c>
      <c r="J116" s="256"/>
      <c r="K116" s="256"/>
      <c r="L116" s="259"/>
      <c r="M116" s="259"/>
      <c r="N116" s="259"/>
      <c r="O116" s="272" t="str">
        <f>IF(AND(ISBLANK(M116),ISBLANK(N116)),"",(M116/1000*'CBECS IFs and eGRID'!$Q$32/2204.62)+(N116*'CBECS IFs and eGRID'!$G$31/1000))</f>
        <v/>
      </c>
    </row>
    <row r="117" spans="1:15" ht="15">
      <c r="A117" s="186">
        <v>16</v>
      </c>
      <c r="B117" s="256"/>
      <c r="C117" s="256"/>
      <c r="D117" s="259"/>
      <c r="E117" s="281" t="str">
        <f>IF(OR(C117="",D117=""),"",(D117*IF(C117='CBECS IFs and eGRID'!$B$10,'CBECS IFs and eGRID'!$C$10,'CBECS IFs and eGRID'!$C$11)))</f>
        <v/>
      </c>
      <c r="F117" s="281" t="str">
        <f>IF(OR(C117="",D117=""),"",(D117*IF(C117='CBECS IFs and eGRID'!$B$20,'CBECS IFs and eGRID'!$D$20,'CBECS IFs and eGRID'!$D$21)))</f>
        <v/>
      </c>
      <c r="G117" s="272" t="str">
        <f>IF(OR(C117="",D117=""),"",(E117/1000*'CBECS IFs and eGRID'!$Q$32/2204.62)+(F117*'CBECS IFs and eGRID'!$G$31/1000))</f>
        <v/>
      </c>
      <c r="I117" s="186">
        <v>16</v>
      </c>
      <c r="J117" s="256"/>
      <c r="K117" s="256"/>
      <c r="L117" s="259"/>
      <c r="M117" s="259"/>
      <c r="N117" s="259"/>
      <c r="O117" s="272" t="str">
        <f>IF(AND(ISBLANK(M117),ISBLANK(N117)),"",(M117/1000*'CBECS IFs and eGRID'!$Q$32/2204.62)+(N117*'CBECS IFs and eGRID'!$G$31/1000))</f>
        <v/>
      </c>
    </row>
    <row r="118" spans="1:15" ht="15">
      <c r="A118" s="186">
        <v>17</v>
      </c>
      <c r="B118" s="256"/>
      <c r="C118" s="256"/>
      <c r="D118" s="259"/>
      <c r="E118" s="281" t="str">
        <f>IF(OR(C118="",D118=""),"",(D118*IF(C118='CBECS IFs and eGRID'!$B$10,'CBECS IFs and eGRID'!$C$10,'CBECS IFs and eGRID'!$C$11)))</f>
        <v/>
      </c>
      <c r="F118" s="281" t="str">
        <f>IF(OR(C118="",D118=""),"",(D118*IF(C118='CBECS IFs and eGRID'!$B$20,'CBECS IFs and eGRID'!$D$20,'CBECS IFs and eGRID'!$D$21)))</f>
        <v/>
      </c>
      <c r="G118" s="272" t="str">
        <f>IF(OR(C118="",D118=""),"",(E118/1000*'CBECS IFs and eGRID'!$Q$32/2204.62)+(F118*'CBECS IFs and eGRID'!$G$31/1000))</f>
        <v/>
      </c>
      <c r="I118" s="186">
        <v>17</v>
      </c>
      <c r="J118" s="256"/>
      <c r="K118" s="256"/>
      <c r="L118" s="259"/>
      <c r="M118" s="259"/>
      <c r="N118" s="259"/>
      <c r="O118" s="272" t="str">
        <f>IF(AND(ISBLANK(M118),ISBLANK(N118)),"",(M118/1000*'CBECS IFs and eGRID'!$Q$32/2204.62)+(N118*'CBECS IFs and eGRID'!$G$31/1000))</f>
        <v/>
      </c>
    </row>
    <row r="119" spans="1:15" ht="15">
      <c r="A119" s="186">
        <v>18</v>
      </c>
      <c r="B119" s="256"/>
      <c r="C119" s="256"/>
      <c r="D119" s="259"/>
      <c r="E119" s="281" t="str">
        <f>IF(OR(C119="",D119=""),"",(D119*IF(C119='CBECS IFs and eGRID'!$B$10,'CBECS IFs and eGRID'!$C$10,'CBECS IFs and eGRID'!$C$11)))</f>
        <v/>
      </c>
      <c r="F119" s="281" t="str">
        <f>IF(OR(C119="",D119=""),"",(D119*IF(C119='CBECS IFs and eGRID'!$B$20,'CBECS IFs and eGRID'!$D$20,'CBECS IFs and eGRID'!$D$21)))</f>
        <v/>
      </c>
      <c r="G119" s="272" t="str">
        <f>IF(OR(C119="",D119=""),"",(E119/1000*'CBECS IFs and eGRID'!$Q$32/2204.62)+(F119*'CBECS IFs and eGRID'!$G$31/1000))</f>
        <v/>
      </c>
      <c r="I119" s="186">
        <v>18</v>
      </c>
      <c r="J119" s="256"/>
      <c r="K119" s="256"/>
      <c r="L119" s="259"/>
      <c r="M119" s="259"/>
      <c r="N119" s="259"/>
      <c r="O119" s="272" t="str">
        <f>IF(AND(ISBLANK(M119),ISBLANK(N119)),"",(M119/1000*'CBECS IFs and eGRID'!$Q$32/2204.62)+(N119*'CBECS IFs and eGRID'!$G$31/1000))</f>
        <v/>
      </c>
    </row>
    <row r="120" spans="1:15" ht="15">
      <c r="A120" s="186">
        <v>19</v>
      </c>
      <c r="B120" s="256"/>
      <c r="C120" s="256"/>
      <c r="D120" s="259"/>
      <c r="E120" s="281" t="str">
        <f>IF(OR(C120="",D120=""),"",(D120*IF(C120='CBECS IFs and eGRID'!$B$10,'CBECS IFs and eGRID'!$C$10,'CBECS IFs and eGRID'!$C$11)))</f>
        <v/>
      </c>
      <c r="F120" s="281" t="str">
        <f>IF(OR(C120="",D120=""),"",(D120*IF(C120='CBECS IFs and eGRID'!$B$20,'CBECS IFs and eGRID'!$D$20,'CBECS IFs and eGRID'!$D$21)))</f>
        <v/>
      </c>
      <c r="G120" s="272" t="str">
        <f>IF(OR(C120="",D120=""),"",(E120/1000*'CBECS IFs and eGRID'!$Q$32/2204.62)+(F120*'CBECS IFs and eGRID'!$G$31/1000))</f>
        <v/>
      </c>
      <c r="I120" s="186">
        <v>19</v>
      </c>
      <c r="J120" s="256"/>
      <c r="K120" s="256"/>
      <c r="L120" s="259"/>
      <c r="M120" s="259"/>
      <c r="N120" s="259"/>
      <c r="O120" s="272" t="str">
        <f>IF(AND(ISBLANK(M120),ISBLANK(N120)),"",(M120/1000*'CBECS IFs and eGRID'!$Q$32/2204.62)+(N120*'CBECS IFs and eGRID'!$G$31/1000))</f>
        <v/>
      </c>
    </row>
    <row r="121" spans="1:15" ht="15.75" thickBot="1">
      <c r="A121" s="186">
        <v>20</v>
      </c>
      <c r="B121" s="256"/>
      <c r="C121" s="256"/>
      <c r="D121" s="259"/>
      <c r="E121" s="281" t="str">
        <f>IF(OR(C121="",D121=""),"",(D121*IF(C121='CBECS IFs and eGRID'!$B$10,'CBECS IFs and eGRID'!$C$10,'CBECS IFs and eGRID'!$C$11)))</f>
        <v/>
      </c>
      <c r="F121" s="281" t="str">
        <f>IF(OR(C121="",D121=""),"",(D121*IF(C121='CBECS IFs and eGRID'!$B$20,'CBECS IFs and eGRID'!$D$20,'CBECS IFs and eGRID'!$D$21)))</f>
        <v/>
      </c>
      <c r="G121" s="272" t="str">
        <f>IF(OR(C121="",D121=""),"",(E121/1000*'CBECS IFs and eGRID'!$Q$32/2204.62)+(F121*'CBECS IFs and eGRID'!$G$31/1000))</f>
        <v/>
      </c>
      <c r="I121" s="186">
        <v>20</v>
      </c>
      <c r="J121" s="256"/>
      <c r="K121" s="256"/>
      <c r="L121" s="259"/>
      <c r="M121" s="259"/>
      <c r="N121" s="259"/>
      <c r="O121" s="272" t="str">
        <f>IF(AND(ISBLANK(M121),ISBLANK(N121)),"",(M121/1000*'CBECS IFs and eGRID'!$Q$32/2204.62)+(N121*'CBECS IFs and eGRID'!$G$31/1000))</f>
        <v/>
      </c>
    </row>
    <row r="122" spans="1:15" ht="15" thickBot="1">
      <c r="F122" s="183" t="s">
        <v>1129</v>
      </c>
      <c r="G122" s="122">
        <f>SUM(G103:G121)</f>
        <v>0</v>
      </c>
      <c r="N122" s="183" t="s">
        <v>1129</v>
      </c>
      <c r="O122" s="122">
        <f>SUM(O103:O121)</f>
        <v>0</v>
      </c>
    </row>
  </sheetData>
  <sheetProtection algorithmName="SHA-512" hashValue="hjXVkom3mO6hZxFLO3qWyq2pQdcCLjrv1Q6txDknZNDY/zU3/q68v9ecXOx7bDANiHMUcsXDaj5x+HWYaJ786w==" saltValue="7XBJedX0yH4B4MG3hoaDyw=="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'CBECS IFs and eGRID'!$B$10:$B$11</xm:f>
          </x14:formula1>
          <xm:sqref>C50:C69 C102:C121 K50:K69 K102:K121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theme="3" tint="0.59999389629810485"/>
  </sheetPr>
  <dimension ref="A1:G83"/>
  <sheetViews>
    <sheetView showGridLines="0" zoomScaleNormal="100" workbookViewId="0">
      <selection activeCell="C20" sqref="C20:D20"/>
    </sheetView>
  </sheetViews>
  <sheetFormatPr defaultColWidth="8.875" defaultRowHeight="14.25"/>
  <cols>
    <col min="2" max="2" width="29.25" customWidth="1"/>
    <col min="3" max="3" width="29.125" customWidth="1"/>
    <col min="4" max="4" width="26.375" bestFit="1" customWidth="1"/>
    <col min="5" max="5" width="37.375" customWidth="1"/>
    <col min="6" max="6" width="22.875" customWidth="1"/>
  </cols>
  <sheetData>
    <row r="1" spans="1:6" ht="25.7" customHeight="1">
      <c r="A1" s="198" t="s">
        <v>1124</v>
      </c>
      <c r="B1" s="198"/>
      <c r="C1" s="198"/>
      <c r="D1" s="198"/>
      <c r="E1" s="198"/>
    </row>
    <row r="2" spans="1:6" ht="15.95" customHeight="1">
      <c r="A2" s="208" t="s">
        <v>1125</v>
      </c>
      <c r="B2" s="201"/>
      <c r="C2" s="201"/>
      <c r="D2" s="201"/>
      <c r="E2" s="201"/>
    </row>
    <row r="3" spans="1:6" ht="15.95" customHeight="1">
      <c r="A3" s="202" t="s">
        <v>1386</v>
      </c>
      <c r="B3" s="201"/>
      <c r="C3" s="201"/>
      <c r="D3" s="201"/>
      <c r="E3" s="201"/>
      <c r="F3" s="19"/>
    </row>
    <row r="4" spans="1:6" s="171" customFormat="1" ht="15.95" customHeight="1">
      <c r="A4" s="202" t="s">
        <v>4357</v>
      </c>
      <c r="B4" s="202"/>
      <c r="C4" s="202"/>
      <c r="D4" s="202"/>
      <c r="E4" s="202"/>
    </row>
    <row r="5" spans="1:6" ht="15.95" customHeight="1">
      <c r="A5" s="202" t="s">
        <v>1517</v>
      </c>
      <c r="B5" s="201"/>
      <c r="C5" s="201"/>
      <c r="D5" s="201"/>
      <c r="E5" s="201"/>
      <c r="F5" s="19"/>
    </row>
    <row r="6" spans="1:6" ht="15.95" customHeight="1">
      <c r="A6" s="215" t="s">
        <v>3596</v>
      </c>
      <c r="B6" s="201"/>
      <c r="C6" s="201"/>
      <c r="D6" s="201"/>
      <c r="E6" s="201"/>
    </row>
    <row r="7" spans="1:6" ht="15.95" customHeight="1">
      <c r="A7" s="265" t="s">
        <v>3597</v>
      </c>
      <c r="B7" s="201"/>
      <c r="C7" s="201"/>
      <c r="D7" s="201"/>
      <c r="E7" s="201"/>
    </row>
    <row r="8" spans="1:6" ht="15.95" customHeight="1"/>
    <row r="9" spans="1:6" ht="15.95" customHeight="1"/>
    <row r="14" spans="1:6" ht="21.95" customHeight="1"/>
    <row r="15" spans="1:6" ht="18.75">
      <c r="A15" s="16" t="s">
        <v>4317</v>
      </c>
    </row>
    <row r="16" spans="1:6">
      <c r="A16" s="267" t="s">
        <v>1371</v>
      </c>
    </row>
    <row r="17" spans="1:5">
      <c r="B17" s="9" t="s">
        <v>188</v>
      </c>
      <c r="C17" s="9" t="s">
        <v>188</v>
      </c>
      <c r="D17" s="9" t="s">
        <v>188</v>
      </c>
    </row>
    <row r="18" spans="1:5" ht="15">
      <c r="A18" s="203" t="s">
        <v>155</v>
      </c>
      <c r="B18" s="204" t="s">
        <v>1132</v>
      </c>
      <c r="C18" s="205" t="s">
        <v>1245</v>
      </c>
      <c r="D18" s="203" t="s">
        <v>1243</v>
      </c>
      <c r="E18" s="203" t="s">
        <v>160</v>
      </c>
    </row>
    <row r="19" spans="1:5" ht="15">
      <c r="A19" s="186">
        <v>1</v>
      </c>
      <c r="B19" s="216" t="s">
        <v>3595</v>
      </c>
      <c r="C19" s="216" t="s">
        <v>1213</v>
      </c>
      <c r="D19" s="219">
        <v>1000000</v>
      </c>
      <c r="E19" s="276">
        <f>IFERROR((D19*VLOOKUP(C19,'Commute Calcs'!$F$6:$I$56,3,FALSE)*AVERAGE('Commute Calcs'!$O$20:$O$21)/1000),"")</f>
        <v>5298.1724000000004</v>
      </c>
    </row>
    <row r="20" spans="1:5" ht="15">
      <c r="A20" s="186">
        <v>2</v>
      </c>
      <c r="B20" s="252"/>
      <c r="C20" s="252"/>
      <c r="D20" s="257"/>
      <c r="E20" s="277" t="str">
        <f>IFERROR((D20*VLOOKUP(C20,'Commute Calcs'!$F$6:$I$56,3,FALSE)*AVERAGE('Commute Calcs'!$O$20:$O$21)/1000),"")</f>
        <v/>
      </c>
    </row>
    <row r="21" spans="1:5" ht="15">
      <c r="A21" s="186">
        <v>3</v>
      </c>
      <c r="B21" s="252"/>
      <c r="C21" s="252"/>
      <c r="D21" s="257"/>
      <c r="E21" s="277" t="str">
        <f>IFERROR((D21*VLOOKUP(C21,'Commute Calcs'!$F$6:$I$56,3,FALSE)*AVERAGE('Commute Calcs'!$O$20:$O$21)/1000),"")</f>
        <v/>
      </c>
    </row>
    <row r="22" spans="1:5" ht="15">
      <c r="A22" s="186">
        <v>4</v>
      </c>
      <c r="B22" s="252"/>
      <c r="C22" s="252"/>
      <c r="D22" s="257"/>
      <c r="E22" s="277" t="str">
        <f>IFERROR((D22*VLOOKUP(C22,'Commute Calcs'!$F$6:$I$56,3,FALSE)*AVERAGE('Commute Calcs'!$O$20:$O$21)/1000),"")</f>
        <v/>
      </c>
    </row>
    <row r="23" spans="1:5" ht="15">
      <c r="A23" s="186">
        <v>5</v>
      </c>
      <c r="B23" s="252"/>
      <c r="C23" s="252"/>
      <c r="D23" s="257"/>
      <c r="E23" s="277" t="str">
        <f>IFERROR((D23*VLOOKUP(C23,'Commute Calcs'!$F$6:$I$56,3,FALSE)*AVERAGE('Commute Calcs'!$O$20:$O$21)/1000),"")</f>
        <v/>
      </c>
    </row>
    <row r="24" spans="1:5" ht="15">
      <c r="A24" s="186">
        <v>6</v>
      </c>
      <c r="B24" s="252"/>
      <c r="C24" s="252"/>
      <c r="D24" s="257"/>
      <c r="E24" s="277" t="str">
        <f>IFERROR((D24*VLOOKUP(C24,'Commute Calcs'!$F$6:$I$56,3,FALSE)*AVERAGE('Commute Calcs'!$O$20:$O$21)/1000),"")</f>
        <v/>
      </c>
    </row>
    <row r="25" spans="1:5" ht="15">
      <c r="A25" s="186">
        <v>7</v>
      </c>
      <c r="B25" s="252"/>
      <c r="C25" s="252"/>
      <c r="D25" s="257"/>
      <c r="E25" s="277" t="str">
        <f>IFERROR((D25*VLOOKUP(C25,'Commute Calcs'!$F$6:$I$56,3,FALSE)*AVERAGE('Commute Calcs'!$O$20:$O$21)/1000),"")</f>
        <v/>
      </c>
    </row>
    <row r="26" spans="1:5" ht="15">
      <c r="A26" s="186">
        <v>8</v>
      </c>
      <c r="B26" s="252"/>
      <c r="C26" s="252"/>
      <c r="D26" s="257"/>
      <c r="E26" s="277" t="str">
        <f>IFERROR((D26*VLOOKUP(C26,'Commute Calcs'!$F$6:$I$56,3,FALSE)*AVERAGE('Commute Calcs'!$O$20:$O$21)/1000),"")</f>
        <v/>
      </c>
    </row>
    <row r="27" spans="1:5" ht="15">
      <c r="A27" s="186">
        <v>9</v>
      </c>
      <c r="B27" s="252"/>
      <c r="C27" s="252"/>
      <c r="D27" s="257"/>
      <c r="E27" s="277" t="str">
        <f>IFERROR((D27*VLOOKUP(C27,'Commute Calcs'!$F$6:$I$56,3,FALSE)*AVERAGE('Commute Calcs'!$O$20:$O$21)/1000),"")</f>
        <v/>
      </c>
    </row>
    <row r="28" spans="1:5" ht="15">
      <c r="A28" s="186">
        <v>10</v>
      </c>
      <c r="B28" s="252"/>
      <c r="C28" s="252"/>
      <c r="D28" s="257"/>
      <c r="E28" s="277" t="str">
        <f>IFERROR((D28*VLOOKUP(C28,'Commute Calcs'!$F$6:$I$56,3,FALSE)*AVERAGE('Commute Calcs'!$O$20:$O$21)/1000),"")</f>
        <v/>
      </c>
    </row>
    <row r="29" spans="1:5" ht="15">
      <c r="A29" s="186">
        <v>11</v>
      </c>
      <c r="B29" s="252"/>
      <c r="C29" s="252"/>
      <c r="D29" s="257"/>
      <c r="E29" s="277" t="str">
        <f>IFERROR((D29*VLOOKUP(C29,'Commute Calcs'!$F$6:$I$56,3,FALSE)*AVERAGE('Commute Calcs'!$O$20:$O$21)/1000),"")</f>
        <v/>
      </c>
    </row>
    <row r="30" spans="1:5" ht="15">
      <c r="A30" s="186">
        <v>12</v>
      </c>
      <c r="B30" s="252"/>
      <c r="C30" s="252"/>
      <c r="D30" s="257"/>
      <c r="E30" s="277" t="str">
        <f>IFERROR((D30*VLOOKUP(C30,'Commute Calcs'!$F$6:$I$56,3,FALSE)*AVERAGE('Commute Calcs'!$O$20:$O$21)/1000),"")</f>
        <v/>
      </c>
    </row>
    <row r="31" spans="1:5" ht="15">
      <c r="A31" s="186">
        <v>13</v>
      </c>
      <c r="B31" s="252"/>
      <c r="C31" s="252"/>
      <c r="D31" s="257"/>
      <c r="E31" s="277" t="str">
        <f>IFERROR((D31*VLOOKUP(C31,'Commute Calcs'!$F$6:$I$56,3,FALSE)*AVERAGE('Commute Calcs'!$O$20:$O$21)/1000),"")</f>
        <v/>
      </c>
    </row>
    <row r="32" spans="1:5" ht="15">
      <c r="A32" s="186">
        <v>14</v>
      </c>
      <c r="B32" s="252"/>
      <c r="C32" s="252"/>
      <c r="D32" s="257"/>
      <c r="E32" s="277" t="str">
        <f>IFERROR((D32*VLOOKUP(C32,'Commute Calcs'!$F$6:$I$56,3,FALSE)*AVERAGE('Commute Calcs'!$O$20:$O$21)/1000),"")</f>
        <v/>
      </c>
    </row>
    <row r="33" spans="1:6" ht="15">
      <c r="A33" s="186">
        <v>15</v>
      </c>
      <c r="B33" s="252"/>
      <c r="C33" s="252"/>
      <c r="D33" s="257"/>
      <c r="E33" s="277" t="str">
        <f>IFERROR((D33*VLOOKUP(C33,'Commute Calcs'!$F$6:$I$56,3,FALSE)*AVERAGE('Commute Calcs'!$O$20:$O$21)/1000),"")</f>
        <v/>
      </c>
    </row>
    <row r="34" spans="1:6" ht="15">
      <c r="A34" s="186">
        <v>16</v>
      </c>
      <c r="B34" s="252"/>
      <c r="C34" s="252"/>
      <c r="D34" s="257"/>
      <c r="E34" s="277" t="str">
        <f>IFERROR((D34*VLOOKUP(C34,'Commute Calcs'!$F$6:$I$56,3,FALSE)*AVERAGE('Commute Calcs'!$O$20:$O$21)/1000),"")</f>
        <v/>
      </c>
    </row>
    <row r="35" spans="1:6" ht="15">
      <c r="A35" s="186">
        <v>17</v>
      </c>
      <c r="B35" s="252"/>
      <c r="C35" s="252"/>
      <c r="D35" s="257"/>
      <c r="E35" s="277" t="str">
        <f>IFERROR((D35*VLOOKUP(C35,'Commute Calcs'!$F$6:$I$56,3,FALSE)*AVERAGE('Commute Calcs'!$O$20:$O$21)/1000),"")</f>
        <v/>
      </c>
    </row>
    <row r="36" spans="1:6" ht="15">
      <c r="A36" s="186">
        <v>18</v>
      </c>
      <c r="B36" s="252"/>
      <c r="C36" s="252"/>
      <c r="D36" s="257"/>
      <c r="E36" s="277" t="str">
        <f>IFERROR((D36*VLOOKUP(C36,'Commute Calcs'!$F$6:$I$56,3,FALSE)*AVERAGE('Commute Calcs'!$O$20:$O$21)/1000),"")</f>
        <v/>
      </c>
    </row>
    <row r="37" spans="1:6" ht="15">
      <c r="A37" s="186">
        <v>19</v>
      </c>
      <c r="B37" s="252"/>
      <c r="C37" s="252"/>
      <c r="D37" s="257"/>
      <c r="E37" s="277" t="str">
        <f>IFERROR((D37*VLOOKUP(C37,'Commute Calcs'!$F$6:$I$56,3,FALSE)*AVERAGE('Commute Calcs'!$O$20:$O$21)/1000),"")</f>
        <v/>
      </c>
    </row>
    <row r="38" spans="1:6" ht="15.75" thickBot="1">
      <c r="A38" s="186">
        <v>20</v>
      </c>
      <c r="B38" s="252"/>
      <c r="C38" s="252"/>
      <c r="D38" s="257"/>
      <c r="E38" s="277" t="str">
        <f>IFERROR((D38*VLOOKUP(C38,'Commute Calcs'!$F$6:$I$56,3,FALSE)*AVERAGE('Commute Calcs'!$O$20:$O$21)/1000),"")</f>
        <v/>
      </c>
    </row>
    <row r="39" spans="1:6" ht="15" thickBot="1">
      <c r="D39" s="183" t="s">
        <v>1129</v>
      </c>
      <c r="E39" s="122">
        <f>SUM(E20:E38)</f>
        <v>0</v>
      </c>
    </row>
    <row r="40" spans="1:6" ht="15" thickBot="1">
      <c r="D40" s="304" t="s">
        <v>1129</v>
      </c>
      <c r="E40" s="319"/>
      <c r="F40" s="262" t="s">
        <v>3437</v>
      </c>
    </row>
    <row r="42" spans="1:6" ht="18.75">
      <c r="A42" s="16" t="s">
        <v>4318</v>
      </c>
    </row>
    <row r="43" spans="1:6">
      <c r="A43" s="267" t="s">
        <v>1371</v>
      </c>
    </row>
    <row r="44" spans="1:6">
      <c r="B44" s="9" t="s">
        <v>188</v>
      </c>
      <c r="C44" s="9" t="s">
        <v>188</v>
      </c>
      <c r="D44" s="9" t="s">
        <v>188</v>
      </c>
    </row>
    <row r="45" spans="1:6" ht="15">
      <c r="A45" s="203" t="s">
        <v>155</v>
      </c>
      <c r="B45" s="204" t="s">
        <v>1132</v>
      </c>
      <c r="C45" s="205" t="s">
        <v>1245</v>
      </c>
      <c r="D45" s="203" t="s">
        <v>1243</v>
      </c>
      <c r="E45" s="203" t="s">
        <v>160</v>
      </c>
    </row>
    <row r="46" spans="1:6" ht="15">
      <c r="A46" s="186">
        <v>1</v>
      </c>
      <c r="B46" s="216" t="s">
        <v>1244</v>
      </c>
      <c r="C46" s="216" t="s">
        <v>1213</v>
      </c>
      <c r="D46" s="219">
        <v>1000000</v>
      </c>
      <c r="E46" s="276">
        <f>IFERROR((D46*VLOOKUP(C46,'Commute Calcs'!$F$6:$I$56,3,FALSE)*AVERAGE('Commute Calcs'!$O$20:$O$21)/1000),"")</f>
        <v>5298.1724000000004</v>
      </c>
    </row>
    <row r="47" spans="1:6" ht="15">
      <c r="A47" s="186">
        <v>2</v>
      </c>
      <c r="B47" s="252"/>
      <c r="C47" s="252"/>
      <c r="D47" s="257"/>
      <c r="E47" s="277" t="str">
        <f>IFERROR((D47*VLOOKUP(C47,'Commute Calcs'!$F$6:$I$56,3,FALSE)*AVERAGE('Commute Calcs'!$O$20:$O$21)/1000),"")</f>
        <v/>
      </c>
    </row>
    <row r="48" spans="1:6" ht="15">
      <c r="A48" s="186">
        <v>3</v>
      </c>
      <c r="B48" s="252"/>
      <c r="C48" s="252"/>
      <c r="D48" s="257"/>
      <c r="E48" s="277" t="str">
        <f>IFERROR((D48*VLOOKUP(C48,'Commute Calcs'!$F$6:$I$56,3,FALSE)*AVERAGE('Commute Calcs'!$O$20:$O$21)/1000),"")</f>
        <v/>
      </c>
    </row>
    <row r="49" spans="1:5" ht="15">
      <c r="A49" s="186">
        <v>4</v>
      </c>
      <c r="B49" s="252"/>
      <c r="C49" s="252"/>
      <c r="D49" s="257"/>
      <c r="E49" s="277" t="str">
        <f>IFERROR((D49*VLOOKUP(C49,'Commute Calcs'!$F$6:$I$56,3,FALSE)*AVERAGE('Commute Calcs'!$O$20:$O$21)/1000),"")</f>
        <v/>
      </c>
    </row>
    <row r="50" spans="1:5" ht="15">
      <c r="A50" s="186">
        <v>5</v>
      </c>
      <c r="B50" s="252"/>
      <c r="C50" s="252"/>
      <c r="D50" s="257"/>
      <c r="E50" s="277" t="str">
        <f>IFERROR((D50*VLOOKUP(C50,'Commute Calcs'!$F$6:$I$56,3,FALSE)*AVERAGE('Commute Calcs'!$O$20:$O$21)/1000),"")</f>
        <v/>
      </c>
    </row>
    <row r="51" spans="1:5" ht="15">
      <c r="A51" s="186">
        <v>6</v>
      </c>
      <c r="B51" s="252"/>
      <c r="C51" s="252"/>
      <c r="D51" s="257"/>
      <c r="E51" s="277" t="str">
        <f>IFERROR((D51*VLOOKUP(C51,'Commute Calcs'!$F$6:$I$56,3,FALSE)*AVERAGE('Commute Calcs'!$O$20:$O$21)/1000),"")</f>
        <v/>
      </c>
    </row>
    <row r="52" spans="1:5" ht="15">
      <c r="A52" s="186">
        <v>7</v>
      </c>
      <c r="B52" s="252"/>
      <c r="C52" s="252"/>
      <c r="D52" s="257"/>
      <c r="E52" s="277" t="str">
        <f>IFERROR((D52*VLOOKUP(C52,'Commute Calcs'!$F$6:$I$56,3,FALSE)*AVERAGE('Commute Calcs'!$O$20:$O$21)/1000),"")</f>
        <v/>
      </c>
    </row>
    <row r="53" spans="1:5" ht="15">
      <c r="A53" s="186">
        <v>8</v>
      </c>
      <c r="B53" s="252"/>
      <c r="C53" s="252"/>
      <c r="D53" s="257"/>
      <c r="E53" s="277" t="str">
        <f>IFERROR((D53*VLOOKUP(C53,'Commute Calcs'!$F$6:$I$56,3,FALSE)*AVERAGE('Commute Calcs'!$O$20:$O$21)/1000),"")</f>
        <v/>
      </c>
    </row>
    <row r="54" spans="1:5" ht="15">
      <c r="A54" s="186">
        <v>9</v>
      </c>
      <c r="B54" s="252"/>
      <c r="C54" s="252"/>
      <c r="D54" s="257"/>
      <c r="E54" s="277" t="str">
        <f>IFERROR((D54*VLOOKUP(C54,'Commute Calcs'!$F$6:$I$56,3,FALSE)*AVERAGE('Commute Calcs'!$O$20:$O$21)/1000),"")</f>
        <v/>
      </c>
    </row>
    <row r="55" spans="1:5" ht="15">
      <c r="A55" s="186">
        <v>10</v>
      </c>
      <c r="B55" s="252"/>
      <c r="C55" s="252"/>
      <c r="D55" s="257"/>
      <c r="E55" s="277" t="str">
        <f>IFERROR((D55*VLOOKUP(C55,'Commute Calcs'!$F$6:$I$56,3,FALSE)*AVERAGE('Commute Calcs'!$O$20:$O$21)/1000),"")</f>
        <v/>
      </c>
    </row>
    <row r="56" spans="1:5" ht="15">
      <c r="A56" s="186">
        <v>11</v>
      </c>
      <c r="B56" s="252"/>
      <c r="C56" s="252"/>
      <c r="D56" s="257"/>
      <c r="E56" s="277" t="str">
        <f>IFERROR((D56*VLOOKUP(C56,'Commute Calcs'!$F$6:$I$56,3,FALSE)*AVERAGE('Commute Calcs'!$O$20:$O$21)/1000),"")</f>
        <v/>
      </c>
    </row>
    <row r="57" spans="1:5" ht="15">
      <c r="A57" s="186">
        <v>12</v>
      </c>
      <c r="B57" s="252"/>
      <c r="C57" s="252"/>
      <c r="D57" s="257"/>
      <c r="E57" s="277" t="str">
        <f>IFERROR((D57*VLOOKUP(C57,'Commute Calcs'!$F$6:$I$56,3,FALSE)*AVERAGE('Commute Calcs'!$O$20:$O$21)/1000),"")</f>
        <v/>
      </c>
    </row>
    <row r="58" spans="1:5" ht="15">
      <c r="A58" s="186">
        <v>13</v>
      </c>
      <c r="B58" s="252"/>
      <c r="C58" s="252"/>
      <c r="D58" s="257"/>
      <c r="E58" s="277" t="str">
        <f>IFERROR((D58*VLOOKUP(C58,'Commute Calcs'!$F$6:$I$56,3,FALSE)*AVERAGE('Commute Calcs'!$O$20:$O$21)/1000),"")</f>
        <v/>
      </c>
    </row>
    <row r="59" spans="1:5" ht="15">
      <c r="A59" s="186">
        <v>14</v>
      </c>
      <c r="B59" s="252"/>
      <c r="C59" s="252"/>
      <c r="D59" s="257"/>
      <c r="E59" s="277" t="str">
        <f>IFERROR((D59*VLOOKUP(C59,'Commute Calcs'!$F$6:$I$56,3,FALSE)*AVERAGE('Commute Calcs'!$O$20:$O$21)/1000),"")</f>
        <v/>
      </c>
    </row>
    <row r="60" spans="1:5" ht="15">
      <c r="A60" s="186">
        <v>15</v>
      </c>
      <c r="B60" s="252"/>
      <c r="C60" s="252"/>
      <c r="D60" s="257"/>
      <c r="E60" s="277" t="str">
        <f>IFERROR((D60*VLOOKUP(C60,'Commute Calcs'!$F$6:$I$56,3,FALSE)*AVERAGE('Commute Calcs'!$O$20:$O$21)/1000),"")</f>
        <v/>
      </c>
    </row>
    <row r="61" spans="1:5" ht="15">
      <c r="A61" s="186">
        <v>16</v>
      </c>
      <c r="B61" s="252"/>
      <c r="C61" s="252"/>
      <c r="D61" s="257"/>
      <c r="E61" s="277" t="str">
        <f>IFERROR((D61*VLOOKUP(C61,'Commute Calcs'!$F$6:$I$56,3,FALSE)*AVERAGE('Commute Calcs'!$O$20:$O$21)/1000),"")</f>
        <v/>
      </c>
    </row>
    <row r="62" spans="1:5" ht="15">
      <c r="A62" s="186">
        <v>17</v>
      </c>
      <c r="B62" s="252"/>
      <c r="C62" s="252"/>
      <c r="D62" s="257"/>
      <c r="E62" s="277" t="str">
        <f>IFERROR((D62*VLOOKUP(C62,'Commute Calcs'!$F$6:$I$56,3,FALSE)*AVERAGE('Commute Calcs'!$O$20:$O$21)/1000),"")</f>
        <v/>
      </c>
    </row>
    <row r="63" spans="1:5" ht="15">
      <c r="A63" s="186">
        <v>18</v>
      </c>
      <c r="B63" s="252"/>
      <c r="C63" s="252"/>
      <c r="D63" s="257"/>
      <c r="E63" s="277" t="str">
        <f>IFERROR((D63*VLOOKUP(C63,'Commute Calcs'!$F$6:$I$56,3,FALSE)*AVERAGE('Commute Calcs'!$O$20:$O$21)/1000),"")</f>
        <v/>
      </c>
    </row>
    <row r="64" spans="1:5" ht="15">
      <c r="A64" s="186">
        <v>19</v>
      </c>
      <c r="B64" s="252"/>
      <c r="C64" s="252"/>
      <c r="D64" s="257"/>
      <c r="E64" s="277" t="str">
        <f>IFERROR((D64*VLOOKUP(C64,'Commute Calcs'!$F$6:$I$56,3,FALSE)*AVERAGE('Commute Calcs'!$O$20:$O$21)/1000),"")</f>
        <v/>
      </c>
    </row>
    <row r="65" spans="1:6" ht="15.75" thickBot="1">
      <c r="A65" s="186">
        <v>20</v>
      </c>
      <c r="B65" s="252"/>
      <c r="C65" s="252"/>
      <c r="D65" s="257"/>
      <c r="E65" s="277" t="str">
        <f>IFERROR((D65*VLOOKUP(C65,'Commute Calcs'!$F$6:$I$56,3,FALSE)*AVERAGE('Commute Calcs'!$O$20:$O$21)/1000),"")</f>
        <v/>
      </c>
    </row>
    <row r="66" spans="1:6" ht="15" thickBot="1">
      <c r="D66" s="183" t="s">
        <v>1129</v>
      </c>
      <c r="E66" s="122">
        <f>SUM(E47:E65)</f>
        <v>0</v>
      </c>
    </row>
    <row r="67" spans="1:6" ht="15" thickBot="1">
      <c r="D67" s="304" t="s">
        <v>1129</v>
      </c>
      <c r="E67" s="319"/>
      <c r="F67" s="262" t="s">
        <v>3437</v>
      </c>
    </row>
    <row r="69" spans="1:6" ht="18.75">
      <c r="A69" s="16" t="s">
        <v>4319</v>
      </c>
    </row>
    <row r="70" spans="1:6">
      <c r="A70" s="267" t="s">
        <v>1371</v>
      </c>
    </row>
    <row r="71" spans="1:6">
      <c r="B71" s="9" t="s">
        <v>188</v>
      </c>
      <c r="C71" s="9"/>
      <c r="D71" s="9" t="s">
        <v>188</v>
      </c>
    </row>
    <row r="72" spans="1:6" ht="15">
      <c r="A72" s="203" t="s">
        <v>155</v>
      </c>
      <c r="B72" s="204" t="s">
        <v>1132</v>
      </c>
      <c r="C72" s="205" t="s">
        <v>1245</v>
      </c>
      <c r="D72" s="204" t="s">
        <v>4338</v>
      </c>
      <c r="E72" s="205" t="s">
        <v>4339</v>
      </c>
      <c r="F72" s="203" t="s">
        <v>160</v>
      </c>
    </row>
    <row r="73" spans="1:6" ht="15">
      <c r="A73" s="186">
        <v>1</v>
      </c>
      <c r="B73" s="216" t="s">
        <v>4356</v>
      </c>
      <c r="C73" s="216" t="s">
        <v>1213</v>
      </c>
      <c r="D73" s="216">
        <v>400</v>
      </c>
      <c r="E73" s="569">
        <v>50</v>
      </c>
      <c r="F73" s="568">
        <f>IFERROR(('State eGrid factors'!$E$3/1000)*D73*(E73/60)*VLOOKUP(C73,'State eGrid factors'!$A$2:$C$53,3,FALSE)/1000,"")</f>
        <v>2.8423900717583984E-2</v>
      </c>
    </row>
    <row r="74" spans="1:6" ht="15">
      <c r="A74" s="186">
        <v>2</v>
      </c>
      <c r="B74" s="252"/>
      <c r="C74" s="250"/>
      <c r="D74" s="252"/>
      <c r="E74" s="570"/>
      <c r="F74" s="378" t="str">
        <f>IFERROR(('State eGrid factors'!$E$3/1000)*D74*(E74/60)*VLOOKUP(C74,'State eGrid factors'!$A$2:$C$53,3,FALSE)/1000,"")</f>
        <v/>
      </c>
    </row>
    <row r="75" spans="1:6" ht="15">
      <c r="A75" s="186">
        <v>3</v>
      </c>
      <c r="B75" s="252"/>
      <c r="C75" s="250"/>
      <c r="D75" s="252"/>
      <c r="E75" s="570"/>
      <c r="F75" s="378" t="str">
        <f>IFERROR(('State eGrid factors'!$E$3/1000)*D75*(E75/60)*VLOOKUP(C75,'State eGrid factors'!$A$2:$C$53,3,FALSE)/1000,"")</f>
        <v/>
      </c>
    </row>
    <row r="76" spans="1:6" ht="15">
      <c r="A76" s="186">
        <v>4</v>
      </c>
      <c r="B76" s="252"/>
      <c r="C76" s="250"/>
      <c r="D76" s="252"/>
      <c r="E76" s="570"/>
      <c r="F76" s="378" t="str">
        <f>IFERROR(('State eGrid factors'!$E$3/1000)*D76*(E76/60)*VLOOKUP(C76,'State eGrid factors'!$A$2:$C$53,3,FALSE)/1000,"")</f>
        <v/>
      </c>
    </row>
    <row r="77" spans="1:6" ht="15">
      <c r="A77" s="186">
        <v>5</v>
      </c>
      <c r="B77" s="252"/>
      <c r="C77" s="250"/>
      <c r="D77" s="252"/>
      <c r="E77" s="570"/>
      <c r="F77" s="378" t="str">
        <f>IFERROR(('State eGrid factors'!$E$3/1000)*D77*(E77/60)*VLOOKUP(C77,'State eGrid factors'!$A$2:$C$53,3,FALSE)/1000,"")</f>
        <v/>
      </c>
    </row>
    <row r="78" spans="1:6" ht="15">
      <c r="A78" s="186">
        <v>6</v>
      </c>
      <c r="B78" s="252"/>
      <c r="C78" s="250"/>
      <c r="D78" s="252"/>
      <c r="E78" s="570"/>
      <c r="F78" s="378" t="str">
        <f>IFERROR(('State eGrid factors'!$E$3/1000)*D78*(E78/60)*VLOOKUP(C78,'State eGrid factors'!$A$2:$C$53,3,FALSE)/1000,"")</f>
        <v/>
      </c>
    </row>
    <row r="79" spans="1:6" ht="15">
      <c r="A79" s="186">
        <v>7</v>
      </c>
      <c r="B79" s="252"/>
      <c r="C79" s="250"/>
      <c r="D79" s="252"/>
      <c r="E79" s="570"/>
      <c r="F79" s="378" t="str">
        <f>IFERROR(('State eGrid factors'!$E$3/1000)*D79*(E79/60)*VLOOKUP(C79,'State eGrid factors'!$A$2:$C$53,3,FALSE)/1000,"")</f>
        <v/>
      </c>
    </row>
    <row r="80" spans="1:6" ht="15">
      <c r="A80" s="186">
        <v>8</v>
      </c>
      <c r="B80" s="252"/>
      <c r="C80" s="250"/>
      <c r="D80" s="252"/>
      <c r="E80" s="570"/>
      <c r="F80" s="378" t="str">
        <f>IFERROR(('State eGrid factors'!$E$3/1000)*D80*(E80/60)*VLOOKUP(C80,'State eGrid factors'!$A$2:$C$53,3,FALSE)/1000,"")</f>
        <v/>
      </c>
    </row>
    <row r="81" spans="1:7" ht="15.75" thickBot="1">
      <c r="A81" s="186">
        <v>9</v>
      </c>
      <c r="B81" s="252"/>
      <c r="C81" s="250"/>
      <c r="D81" s="252"/>
      <c r="E81" s="570"/>
      <c r="F81" s="378" t="str">
        <f>IFERROR(('State eGrid factors'!$E$3/1000)*D81*(E81/60)*VLOOKUP(C81,'State eGrid factors'!$A$2:$C$53,3,FALSE)/1000,"")</f>
        <v/>
      </c>
    </row>
    <row r="82" spans="1:7" ht="15" thickBot="1">
      <c r="D82" s="521"/>
      <c r="E82" s="183" t="s">
        <v>1129</v>
      </c>
      <c r="F82" s="122">
        <f>SUM(F74:F81)</f>
        <v>0</v>
      </c>
    </row>
    <row r="83" spans="1:7" ht="15" thickBot="1">
      <c r="E83" s="304" t="s">
        <v>1129</v>
      </c>
      <c r="F83" s="319"/>
      <c r="G83" s="262" t="s">
        <v>3437</v>
      </c>
    </row>
  </sheetData>
  <sheetProtection algorithmName="SHA-512" hashValue="6ZRg+MKSEbVE7a2mH0D95m3SY+pIIZA0SedIdbErSLsghdCvpIz8T/mct7xjmeFJ7GT7uTLnSWoKH9pjeReTEA==" saltValue="TImfrmBay+KE6wQBdEBRsg=="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'Commute Calcs'!$F$6:$F$56</xm:f>
          </x14:formula1>
          <xm:sqref>C19:C38 C46:C65 C73:C81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theme="3" tint="0.59999389629810485"/>
  </sheetPr>
  <dimension ref="A1:F66"/>
  <sheetViews>
    <sheetView showGridLines="0" zoomScale="85" zoomScaleNormal="85" workbookViewId="0">
      <selection activeCell="E22" sqref="D22:E22"/>
    </sheetView>
  </sheetViews>
  <sheetFormatPr defaultColWidth="8.875" defaultRowHeight="14.25"/>
  <cols>
    <col min="1" max="1" width="7.5" customWidth="1"/>
    <col min="2" max="2" width="43.5" customWidth="1"/>
    <col min="3" max="3" width="42.375" customWidth="1"/>
    <col min="4" max="4" width="23" customWidth="1"/>
    <col min="5" max="5" width="18.375" customWidth="1"/>
    <col min="6" max="6" width="30.5" customWidth="1"/>
  </cols>
  <sheetData>
    <row r="1" spans="1:6" ht="24.75" customHeight="1">
      <c r="A1" s="198" t="s">
        <v>307</v>
      </c>
      <c r="B1" s="199"/>
      <c r="C1" s="199"/>
      <c r="D1" s="199"/>
      <c r="E1" s="199"/>
      <c r="F1" s="199"/>
    </row>
    <row r="2" spans="1:6">
      <c r="A2" s="208" t="s">
        <v>1125</v>
      </c>
      <c r="B2" s="201"/>
      <c r="C2" s="201"/>
      <c r="D2" s="201"/>
      <c r="E2" s="201"/>
      <c r="F2" s="201"/>
    </row>
    <row r="3" spans="1:6">
      <c r="A3" s="202" t="s">
        <v>1381</v>
      </c>
      <c r="B3" s="201"/>
      <c r="C3" s="201"/>
      <c r="D3" s="201"/>
      <c r="E3" s="201"/>
      <c r="F3" s="201"/>
    </row>
    <row r="4" spans="1:6" ht="18.75" customHeight="1">
      <c r="A4" s="202" t="s">
        <v>1382</v>
      </c>
      <c r="B4" s="201"/>
      <c r="C4" s="201"/>
      <c r="D4" s="201"/>
      <c r="E4" s="201"/>
      <c r="F4" s="201"/>
    </row>
    <row r="5" spans="1:6">
      <c r="A5" s="213" t="s">
        <v>1273</v>
      </c>
      <c r="B5" s="201"/>
      <c r="C5" s="201"/>
      <c r="D5" s="201"/>
      <c r="E5" s="201"/>
      <c r="F5" s="201"/>
    </row>
    <row r="6" spans="1:6">
      <c r="A6" s="214" t="s">
        <v>1515</v>
      </c>
      <c r="B6" s="201"/>
      <c r="C6" s="201"/>
      <c r="D6" s="201"/>
      <c r="E6" s="201"/>
      <c r="F6" s="201"/>
    </row>
    <row r="7" spans="1:6">
      <c r="A7" s="213" t="s">
        <v>1274</v>
      </c>
      <c r="B7" s="201"/>
      <c r="C7" s="201"/>
      <c r="D7" s="201"/>
      <c r="E7" s="201"/>
      <c r="F7" s="201"/>
    </row>
    <row r="8" spans="1:6">
      <c r="A8" s="214" t="s">
        <v>1276</v>
      </c>
      <c r="B8" s="201"/>
      <c r="C8" s="201"/>
      <c r="D8" s="201"/>
      <c r="E8" s="201"/>
      <c r="F8" s="201"/>
    </row>
    <row r="17" spans="1:6" ht="18.75">
      <c r="A17" s="16" t="s">
        <v>1375</v>
      </c>
    </row>
    <row r="18" spans="1:6">
      <c r="A18" s="267" t="s">
        <v>1371</v>
      </c>
    </row>
    <row r="19" spans="1:6">
      <c r="B19" s="9" t="s">
        <v>188</v>
      </c>
      <c r="C19" s="9" t="s">
        <v>188</v>
      </c>
      <c r="D19" s="9" t="s">
        <v>188</v>
      </c>
      <c r="E19" s="9" t="s">
        <v>188</v>
      </c>
    </row>
    <row r="20" spans="1:6" ht="45">
      <c r="A20" s="203" t="s">
        <v>155</v>
      </c>
      <c r="B20" s="204" t="s">
        <v>1140</v>
      </c>
      <c r="C20" s="204" t="s">
        <v>1253</v>
      </c>
      <c r="D20" s="209" t="s">
        <v>1141</v>
      </c>
      <c r="E20" s="209" t="s">
        <v>1275</v>
      </c>
      <c r="F20" s="203" t="s">
        <v>160</v>
      </c>
    </row>
    <row r="21" spans="1:6" ht="15">
      <c r="A21" s="186">
        <v>1</v>
      </c>
      <c r="B21" s="216" t="s">
        <v>1142</v>
      </c>
      <c r="C21" s="216"/>
      <c r="D21" s="220">
        <v>500</v>
      </c>
      <c r="E21" s="220">
        <v>12</v>
      </c>
      <c r="F21" s="273">
        <f t="shared" ref="F21:F40" si="0">IF(OR(ISBLANK(D21),ISBLANK(E21)),"",(D21*E21*3350/1000000)+N("number of units x mass of GHG in each unit x GWP of HFC-227ea / 1,000,000 grams per MT"))</f>
        <v>20.100000000000001</v>
      </c>
    </row>
    <row r="22" spans="1:6" ht="15">
      <c r="A22" s="186">
        <v>2</v>
      </c>
      <c r="B22" s="252"/>
      <c r="C22" s="252"/>
      <c r="D22" s="258"/>
      <c r="E22" s="258"/>
      <c r="F22" s="274" t="str">
        <f t="shared" si="0"/>
        <v/>
      </c>
    </row>
    <row r="23" spans="1:6" ht="15">
      <c r="A23" s="186">
        <v>3</v>
      </c>
      <c r="B23" s="252"/>
      <c r="C23" s="252"/>
      <c r="D23" s="258"/>
      <c r="E23" s="258"/>
      <c r="F23" s="274" t="str">
        <f t="shared" si="0"/>
        <v/>
      </c>
    </row>
    <row r="24" spans="1:6" ht="15">
      <c r="A24" s="186">
        <v>4</v>
      </c>
      <c r="B24" s="252"/>
      <c r="C24" s="252"/>
      <c r="D24" s="258"/>
      <c r="E24" s="258"/>
      <c r="F24" s="274" t="str">
        <f t="shared" si="0"/>
        <v/>
      </c>
    </row>
    <row r="25" spans="1:6" ht="15">
      <c r="A25" s="186">
        <v>5</v>
      </c>
      <c r="B25" s="252"/>
      <c r="C25" s="252"/>
      <c r="D25" s="258"/>
      <c r="E25" s="258"/>
      <c r="F25" s="274" t="str">
        <f t="shared" si="0"/>
        <v/>
      </c>
    </row>
    <row r="26" spans="1:6" ht="15">
      <c r="A26" s="186">
        <v>6</v>
      </c>
      <c r="B26" s="252"/>
      <c r="C26" s="252"/>
      <c r="D26" s="258"/>
      <c r="E26" s="258"/>
      <c r="F26" s="274" t="str">
        <f t="shared" si="0"/>
        <v/>
      </c>
    </row>
    <row r="27" spans="1:6" ht="15">
      <c r="A27" s="186">
        <v>7</v>
      </c>
      <c r="B27" s="252"/>
      <c r="C27" s="252"/>
      <c r="D27" s="258"/>
      <c r="E27" s="258"/>
      <c r="F27" s="274" t="str">
        <f t="shared" si="0"/>
        <v/>
      </c>
    </row>
    <row r="28" spans="1:6" ht="15">
      <c r="A28" s="186">
        <v>8</v>
      </c>
      <c r="B28" s="252"/>
      <c r="C28" s="252"/>
      <c r="D28" s="258"/>
      <c r="E28" s="258"/>
      <c r="F28" s="274" t="str">
        <f t="shared" si="0"/>
        <v/>
      </c>
    </row>
    <row r="29" spans="1:6" ht="15">
      <c r="A29" s="186">
        <v>9</v>
      </c>
      <c r="B29" s="252"/>
      <c r="C29" s="252"/>
      <c r="D29" s="258"/>
      <c r="E29" s="258"/>
      <c r="F29" s="274" t="str">
        <f t="shared" si="0"/>
        <v/>
      </c>
    </row>
    <row r="30" spans="1:6" ht="15">
      <c r="A30" s="186">
        <v>10</v>
      </c>
      <c r="B30" s="252"/>
      <c r="C30" s="252"/>
      <c r="D30" s="258"/>
      <c r="E30" s="258"/>
      <c r="F30" s="274" t="str">
        <f t="shared" si="0"/>
        <v/>
      </c>
    </row>
    <row r="31" spans="1:6" ht="15">
      <c r="A31" s="186">
        <v>11</v>
      </c>
      <c r="B31" s="252"/>
      <c r="C31" s="252"/>
      <c r="D31" s="258"/>
      <c r="E31" s="258"/>
      <c r="F31" s="274" t="str">
        <f t="shared" si="0"/>
        <v/>
      </c>
    </row>
    <row r="32" spans="1:6" ht="15">
      <c r="A32" s="186">
        <v>12</v>
      </c>
      <c r="B32" s="252"/>
      <c r="C32" s="252"/>
      <c r="D32" s="258"/>
      <c r="E32" s="258"/>
      <c r="F32" s="274" t="str">
        <f t="shared" si="0"/>
        <v/>
      </c>
    </row>
    <row r="33" spans="1:6" ht="15">
      <c r="A33" s="186">
        <v>13</v>
      </c>
      <c r="B33" s="252"/>
      <c r="C33" s="252"/>
      <c r="D33" s="258"/>
      <c r="E33" s="258"/>
      <c r="F33" s="274" t="str">
        <f t="shared" si="0"/>
        <v/>
      </c>
    </row>
    <row r="34" spans="1:6" ht="15">
      <c r="A34" s="186">
        <v>14</v>
      </c>
      <c r="B34" s="252"/>
      <c r="C34" s="252"/>
      <c r="D34" s="258"/>
      <c r="E34" s="258"/>
      <c r="F34" s="274" t="str">
        <f t="shared" si="0"/>
        <v/>
      </c>
    </row>
    <row r="35" spans="1:6" ht="15">
      <c r="A35" s="186">
        <v>15</v>
      </c>
      <c r="B35" s="252"/>
      <c r="C35" s="252"/>
      <c r="D35" s="258"/>
      <c r="E35" s="258"/>
      <c r="F35" s="274" t="str">
        <f t="shared" si="0"/>
        <v/>
      </c>
    </row>
    <row r="36" spans="1:6" ht="15">
      <c r="A36" s="186">
        <v>16</v>
      </c>
      <c r="B36" s="252"/>
      <c r="C36" s="252"/>
      <c r="D36" s="258"/>
      <c r="E36" s="258"/>
      <c r="F36" s="274" t="str">
        <f t="shared" si="0"/>
        <v/>
      </c>
    </row>
    <row r="37" spans="1:6" ht="15">
      <c r="A37" s="186">
        <v>17</v>
      </c>
      <c r="B37" s="252"/>
      <c r="C37" s="252"/>
      <c r="D37" s="258"/>
      <c r="E37" s="258"/>
      <c r="F37" s="274" t="str">
        <f t="shared" si="0"/>
        <v/>
      </c>
    </row>
    <row r="38" spans="1:6" ht="15">
      <c r="A38" s="186">
        <v>18</v>
      </c>
      <c r="B38" s="252"/>
      <c r="C38" s="252"/>
      <c r="D38" s="258"/>
      <c r="E38" s="258"/>
      <c r="F38" s="274" t="str">
        <f t="shared" si="0"/>
        <v/>
      </c>
    </row>
    <row r="39" spans="1:6" ht="15">
      <c r="A39" s="186">
        <v>19</v>
      </c>
      <c r="B39" s="252"/>
      <c r="C39" s="252"/>
      <c r="D39" s="258"/>
      <c r="E39" s="258"/>
      <c r="F39" s="274" t="str">
        <f t="shared" si="0"/>
        <v/>
      </c>
    </row>
    <row r="40" spans="1:6" ht="15.75" thickBot="1">
      <c r="A40" s="186">
        <v>20</v>
      </c>
      <c r="B40" s="252"/>
      <c r="C40" s="252"/>
      <c r="D40" s="258"/>
      <c r="E40" s="402"/>
      <c r="F40" s="274" t="str">
        <f t="shared" si="0"/>
        <v/>
      </c>
    </row>
    <row r="41" spans="1:6" ht="15" thickBot="1">
      <c r="E41" s="183" t="s">
        <v>1129</v>
      </c>
      <c r="F41" s="275">
        <f>SUM(F22:F40)</f>
        <v>0</v>
      </c>
    </row>
    <row r="42" spans="1:6" ht="18.75">
      <c r="A42" s="16" t="s">
        <v>1374</v>
      </c>
    </row>
    <row r="43" spans="1:6">
      <c r="A43" s="267" t="s">
        <v>1371</v>
      </c>
    </row>
    <row r="44" spans="1:6">
      <c r="B44" s="9" t="s">
        <v>188</v>
      </c>
      <c r="C44" s="9" t="s">
        <v>188</v>
      </c>
      <c r="D44" s="9" t="s">
        <v>188</v>
      </c>
      <c r="E44" s="9" t="s">
        <v>188</v>
      </c>
    </row>
    <row r="45" spans="1:6" ht="45">
      <c r="A45" s="203" t="s">
        <v>155</v>
      </c>
      <c r="B45" s="204" t="s">
        <v>1140</v>
      </c>
      <c r="C45" s="204" t="s">
        <v>1253</v>
      </c>
      <c r="D45" s="209" t="s">
        <v>1141</v>
      </c>
      <c r="E45" s="209" t="s">
        <v>1275</v>
      </c>
      <c r="F45" s="203" t="s">
        <v>160</v>
      </c>
    </row>
    <row r="46" spans="1:6" ht="15">
      <c r="A46" s="186">
        <v>1</v>
      </c>
      <c r="B46" s="216" t="s">
        <v>1143</v>
      </c>
      <c r="C46" s="216"/>
      <c r="D46" s="220">
        <v>1000</v>
      </c>
      <c r="E46" s="220">
        <v>18</v>
      </c>
      <c r="F46" s="273">
        <f>IF(OR(ISBLANK(D46),ISBLANK(E46)),"",(D46*E46*1300/1000000)+N("number of units x mass of GHG in each unit x GWP of HFC-134a / 1,000,000 grams per MT"))</f>
        <v>23.4</v>
      </c>
    </row>
    <row r="47" spans="1:6" ht="15">
      <c r="A47" s="186">
        <v>2</v>
      </c>
      <c r="B47" s="252"/>
      <c r="C47" s="252"/>
      <c r="D47" s="258"/>
      <c r="E47" s="258"/>
      <c r="F47" s="274" t="str">
        <f t="shared" ref="F47:F65" si="1">IF(OR(ISBLANK(D47),ISBLANK(E47)),"",(D47*E47*1300/1000000)+N("number of units x mass of GHG in each unit x GWP of HFC-134a / 1,000,000 grams per MT"))</f>
        <v/>
      </c>
    </row>
    <row r="48" spans="1:6" ht="15">
      <c r="A48" s="186">
        <v>3</v>
      </c>
      <c r="B48" s="252"/>
      <c r="C48" s="252"/>
      <c r="D48" s="258"/>
      <c r="E48" s="258"/>
      <c r="F48" s="274" t="str">
        <f t="shared" si="1"/>
        <v/>
      </c>
    </row>
    <row r="49" spans="1:6" ht="15">
      <c r="A49" s="186">
        <v>4</v>
      </c>
      <c r="B49" s="252"/>
      <c r="C49" s="252"/>
      <c r="D49" s="258"/>
      <c r="E49" s="258"/>
      <c r="F49" s="274" t="str">
        <f t="shared" si="1"/>
        <v/>
      </c>
    </row>
    <row r="50" spans="1:6" ht="15">
      <c r="A50" s="186">
        <v>5</v>
      </c>
      <c r="B50" s="252"/>
      <c r="C50" s="252"/>
      <c r="D50" s="258"/>
      <c r="E50" s="258"/>
      <c r="F50" s="274" t="str">
        <f t="shared" si="1"/>
        <v/>
      </c>
    </row>
    <row r="51" spans="1:6" ht="15">
      <c r="A51" s="186">
        <v>6</v>
      </c>
      <c r="B51" s="252"/>
      <c r="C51" s="252"/>
      <c r="D51" s="258"/>
      <c r="E51" s="258"/>
      <c r="F51" s="274" t="str">
        <f t="shared" si="1"/>
        <v/>
      </c>
    </row>
    <row r="52" spans="1:6" ht="15">
      <c r="A52" s="186">
        <v>7</v>
      </c>
      <c r="B52" s="252"/>
      <c r="C52" s="252"/>
      <c r="D52" s="258"/>
      <c r="E52" s="258"/>
      <c r="F52" s="274" t="str">
        <f t="shared" si="1"/>
        <v/>
      </c>
    </row>
    <row r="53" spans="1:6" ht="15">
      <c r="A53" s="186">
        <v>8</v>
      </c>
      <c r="B53" s="252"/>
      <c r="C53" s="252"/>
      <c r="D53" s="258"/>
      <c r="E53" s="258"/>
      <c r="F53" s="274" t="str">
        <f t="shared" si="1"/>
        <v/>
      </c>
    </row>
    <row r="54" spans="1:6" ht="15">
      <c r="A54" s="186">
        <v>9</v>
      </c>
      <c r="B54" s="252"/>
      <c r="C54" s="252"/>
      <c r="D54" s="258"/>
      <c r="E54" s="258"/>
      <c r="F54" s="274" t="str">
        <f t="shared" si="1"/>
        <v/>
      </c>
    </row>
    <row r="55" spans="1:6" ht="15">
      <c r="A55" s="186">
        <v>10</v>
      </c>
      <c r="B55" s="252"/>
      <c r="C55" s="252"/>
      <c r="D55" s="258"/>
      <c r="E55" s="258"/>
      <c r="F55" s="274" t="str">
        <f t="shared" si="1"/>
        <v/>
      </c>
    </row>
    <row r="56" spans="1:6" ht="15">
      <c r="A56" s="186">
        <v>11</v>
      </c>
      <c r="B56" s="252"/>
      <c r="C56" s="252"/>
      <c r="D56" s="258"/>
      <c r="E56" s="258"/>
      <c r="F56" s="274" t="str">
        <f t="shared" si="1"/>
        <v/>
      </c>
    </row>
    <row r="57" spans="1:6" ht="15">
      <c r="A57" s="186">
        <v>12</v>
      </c>
      <c r="B57" s="252"/>
      <c r="C57" s="252"/>
      <c r="D57" s="258"/>
      <c r="E57" s="258"/>
      <c r="F57" s="274" t="str">
        <f t="shared" si="1"/>
        <v/>
      </c>
    </row>
    <row r="58" spans="1:6" ht="15">
      <c r="A58" s="186">
        <v>13</v>
      </c>
      <c r="B58" s="252"/>
      <c r="C58" s="252"/>
      <c r="D58" s="258"/>
      <c r="E58" s="258"/>
      <c r="F58" s="274" t="str">
        <f t="shared" si="1"/>
        <v/>
      </c>
    </row>
    <row r="59" spans="1:6" ht="15">
      <c r="A59" s="186">
        <v>14</v>
      </c>
      <c r="B59" s="252"/>
      <c r="C59" s="252"/>
      <c r="D59" s="258"/>
      <c r="E59" s="258"/>
      <c r="F59" s="274" t="str">
        <f t="shared" si="1"/>
        <v/>
      </c>
    </row>
    <row r="60" spans="1:6" ht="15">
      <c r="A60" s="186">
        <v>15</v>
      </c>
      <c r="B60" s="252"/>
      <c r="C60" s="252"/>
      <c r="D60" s="258"/>
      <c r="E60" s="258"/>
      <c r="F60" s="274" t="str">
        <f t="shared" si="1"/>
        <v/>
      </c>
    </row>
    <row r="61" spans="1:6" ht="15">
      <c r="A61" s="186">
        <v>16</v>
      </c>
      <c r="B61" s="252"/>
      <c r="C61" s="252"/>
      <c r="D61" s="258"/>
      <c r="E61" s="258"/>
      <c r="F61" s="274" t="str">
        <f t="shared" si="1"/>
        <v/>
      </c>
    </row>
    <row r="62" spans="1:6" ht="15">
      <c r="A62" s="186">
        <v>17</v>
      </c>
      <c r="B62" s="252"/>
      <c r="C62" s="252"/>
      <c r="D62" s="258"/>
      <c r="E62" s="258"/>
      <c r="F62" s="274" t="str">
        <f t="shared" si="1"/>
        <v/>
      </c>
    </row>
    <row r="63" spans="1:6" ht="15">
      <c r="A63" s="186">
        <v>18</v>
      </c>
      <c r="B63" s="252"/>
      <c r="C63" s="252"/>
      <c r="D63" s="258"/>
      <c r="E63" s="258"/>
      <c r="F63" s="274" t="str">
        <f t="shared" si="1"/>
        <v/>
      </c>
    </row>
    <row r="64" spans="1:6" ht="15">
      <c r="A64" s="186">
        <v>19</v>
      </c>
      <c r="B64" s="252"/>
      <c r="C64" s="252"/>
      <c r="D64" s="258"/>
      <c r="E64" s="258"/>
      <c r="F64" s="274" t="str">
        <f t="shared" si="1"/>
        <v/>
      </c>
    </row>
    <row r="65" spans="1:6" ht="15.75" thickBot="1">
      <c r="A65" s="186">
        <v>20</v>
      </c>
      <c r="B65" s="252"/>
      <c r="C65" s="252"/>
      <c r="D65" s="258"/>
      <c r="E65" s="258"/>
      <c r="F65" s="274" t="str">
        <f t="shared" si="1"/>
        <v/>
      </c>
    </row>
    <row r="66" spans="1:6" ht="15" thickBot="1">
      <c r="E66" s="183" t="s">
        <v>1129</v>
      </c>
      <c r="F66" s="275">
        <f>SUM(F47:F65)</f>
        <v>0</v>
      </c>
    </row>
  </sheetData>
  <sheetProtection algorithmName="SHA-512" hashValue="gY4v8dRawshILq0jVyUd5bB346lXqYC4QN8m71NHIXXu2Pr03GPafHbNf+6HCY86HQw8/VRIEj1+Xlv6qsuQBg==" saltValue="d/auMp4dBXlaoaieeGqA6A==" spinCount="100000" sheet="1" objects="1" scenarios="1"/>
  <pageMargins left="0.7" right="0.7" top="0.75" bottom="0.75" header="0.3" footer="0.3"/>
  <pageSetup orientation="portrait"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FFFF00"/>
  </sheetPr>
  <dimension ref="A1:Q265"/>
  <sheetViews>
    <sheetView zoomScale="58" zoomScaleNormal="90" workbookViewId="0">
      <selection activeCell="B6" sqref="B6"/>
    </sheetView>
  </sheetViews>
  <sheetFormatPr defaultRowHeight="14.25"/>
  <cols>
    <col min="1" max="1" width="12.375" bestFit="1" customWidth="1"/>
    <col min="2" max="2" width="57.625" bestFit="1" customWidth="1"/>
    <col min="3" max="3" width="13.375" bestFit="1" customWidth="1"/>
    <col min="4" max="4" width="29.625" bestFit="1" customWidth="1"/>
    <col min="5" max="5" width="44.875" customWidth="1"/>
    <col min="6" max="6" width="35.125" bestFit="1" customWidth="1"/>
    <col min="7" max="7" width="37.125" bestFit="1" customWidth="1"/>
    <col min="8" max="8" width="27.375" customWidth="1"/>
    <col min="9" max="13" width="16.875" customWidth="1"/>
    <col min="16" max="16" width="63.25" bestFit="1" customWidth="1"/>
    <col min="17" max="17" width="20" customWidth="1"/>
  </cols>
  <sheetData>
    <row r="1" spans="1:17" s="72" customFormat="1" ht="75">
      <c r="A1" s="72" t="s">
        <v>0</v>
      </c>
      <c r="B1" s="72" t="s">
        <v>28</v>
      </c>
      <c r="C1" s="72" t="s">
        <v>1</v>
      </c>
      <c r="D1" s="72" t="s">
        <v>2</v>
      </c>
      <c r="E1" s="404" t="s">
        <v>3</v>
      </c>
      <c r="F1" s="404" t="s">
        <v>4</v>
      </c>
      <c r="G1" s="404" t="s">
        <v>5</v>
      </c>
      <c r="H1" s="14" t="s">
        <v>181</v>
      </c>
      <c r="I1" s="404" t="s">
        <v>6</v>
      </c>
      <c r="J1" s="404" t="s">
        <v>7</v>
      </c>
      <c r="K1" s="404" t="s">
        <v>8</v>
      </c>
      <c r="L1" s="404" t="s">
        <v>9</v>
      </c>
      <c r="M1" s="404" t="s">
        <v>10</v>
      </c>
      <c r="P1" s="409" t="s">
        <v>162</v>
      </c>
      <c r="Q1" s="409" t="s">
        <v>1092</v>
      </c>
    </row>
    <row r="2" spans="1:17">
      <c r="A2" t="s">
        <v>29</v>
      </c>
      <c r="B2" t="s">
        <v>30</v>
      </c>
      <c r="C2" t="s">
        <v>3653</v>
      </c>
      <c r="D2" t="s">
        <v>12</v>
      </c>
      <c r="E2">
        <v>0.53300000000000003</v>
      </c>
      <c r="F2">
        <v>5.3999999999999999E-2</v>
      </c>
      <c r="G2">
        <v>0.58699999999999997</v>
      </c>
      <c r="H2">
        <f>G2*VLOOKUP(C2,GWPs!$B$3:$C$6,2,FALSE)</f>
        <v>0.58699999999999997</v>
      </c>
      <c r="I2">
        <v>4</v>
      </c>
      <c r="J2">
        <v>2</v>
      </c>
      <c r="K2">
        <v>1</v>
      </c>
      <c r="L2">
        <v>4</v>
      </c>
      <c r="M2">
        <v>1</v>
      </c>
      <c r="P2" t="s">
        <v>147</v>
      </c>
      <c r="Q2">
        <f>SUMIF(B:B,P2,H:H)</f>
        <v>0.183</v>
      </c>
    </row>
    <row r="3" spans="1:17">
      <c r="A3" t="s">
        <v>29</v>
      </c>
      <c r="B3" t="s">
        <v>30</v>
      </c>
      <c r="C3" t="s">
        <v>3654</v>
      </c>
      <c r="D3" t="s">
        <v>12</v>
      </c>
      <c r="E3">
        <v>2.7E-2</v>
      </c>
      <c r="F3">
        <v>1E-3</v>
      </c>
      <c r="G3">
        <v>2.7E-2</v>
      </c>
      <c r="H3">
        <f>G3*VLOOKUP(C3,GWPs!$B$3:$C$6,2,FALSE)</f>
        <v>0.75600000000000001</v>
      </c>
      <c r="I3">
        <v>3</v>
      </c>
      <c r="J3">
        <v>2</v>
      </c>
      <c r="K3">
        <v>1</v>
      </c>
      <c r="L3">
        <v>1</v>
      </c>
      <c r="M3">
        <v>1</v>
      </c>
      <c r="P3" t="s">
        <v>130</v>
      </c>
      <c r="Q3">
        <f t="shared" ref="Q3:Q66" si="0">SUMIF(B:B,P3,H:H)</f>
        <v>8.5000000000000006E-2</v>
      </c>
    </row>
    <row r="4" spans="1:17">
      <c r="A4" t="s">
        <v>29</v>
      </c>
      <c r="B4" t="s">
        <v>30</v>
      </c>
      <c r="C4" t="s">
        <v>3655</v>
      </c>
      <c r="D4" t="s">
        <v>12</v>
      </c>
      <c r="E4">
        <v>3.0000000000000001E-3</v>
      </c>
      <c r="F4">
        <v>0</v>
      </c>
      <c r="G4">
        <v>3.0000000000000001E-3</v>
      </c>
      <c r="H4">
        <f>G4*VLOOKUP(C4,GWPs!$B$3:$C$6,2,FALSE)</f>
        <v>0.79500000000000004</v>
      </c>
      <c r="I4">
        <v>4</v>
      </c>
      <c r="J4">
        <v>2</v>
      </c>
      <c r="K4">
        <v>1</v>
      </c>
      <c r="L4">
        <v>4</v>
      </c>
      <c r="M4">
        <v>1</v>
      </c>
      <c r="P4" t="s">
        <v>87</v>
      </c>
      <c r="Q4">
        <f t="shared" si="0"/>
        <v>0.99</v>
      </c>
    </row>
    <row r="5" spans="1:17">
      <c r="A5" t="s">
        <v>29</v>
      </c>
      <c r="B5" t="s">
        <v>30</v>
      </c>
      <c r="C5" t="s">
        <v>15</v>
      </c>
      <c r="D5" t="s">
        <v>16</v>
      </c>
      <c r="E5">
        <v>4.0000000000000001E-3</v>
      </c>
      <c r="F5">
        <v>0</v>
      </c>
      <c r="G5">
        <v>4.0000000000000001E-3</v>
      </c>
      <c r="H5">
        <f>G5*VLOOKUP(C5,GWPs!$B$3:$C$6,2,FALSE)</f>
        <v>4.0000000000000001E-3</v>
      </c>
      <c r="I5">
        <v>4</v>
      </c>
      <c r="J5">
        <v>2</v>
      </c>
      <c r="K5">
        <v>1</v>
      </c>
      <c r="L5">
        <v>4</v>
      </c>
      <c r="M5">
        <v>1</v>
      </c>
      <c r="P5" t="s">
        <v>136</v>
      </c>
      <c r="Q5">
        <f t="shared" si="0"/>
        <v>9.9000000000000005E-2</v>
      </c>
    </row>
    <row r="6" spans="1:17">
      <c r="A6" t="s">
        <v>31</v>
      </c>
      <c r="B6" t="s">
        <v>32</v>
      </c>
      <c r="C6" t="s">
        <v>3653</v>
      </c>
      <c r="D6" t="s">
        <v>12</v>
      </c>
      <c r="E6">
        <v>0.187</v>
      </c>
      <c r="F6">
        <v>1.2999999999999999E-2</v>
      </c>
      <c r="G6">
        <v>0.2</v>
      </c>
      <c r="H6">
        <f>G6*VLOOKUP(C6,GWPs!$B$3:$C$6,2,FALSE)</f>
        <v>0.2</v>
      </c>
      <c r="I6">
        <v>4</v>
      </c>
      <c r="J6">
        <v>2</v>
      </c>
      <c r="K6">
        <v>1</v>
      </c>
      <c r="L6">
        <v>4</v>
      </c>
      <c r="M6">
        <v>1</v>
      </c>
      <c r="P6" t="s">
        <v>145</v>
      </c>
      <c r="Q6">
        <f t="shared" si="0"/>
        <v>0.19600000000000001</v>
      </c>
    </row>
    <row r="7" spans="1:17">
      <c r="A7" t="s">
        <v>31</v>
      </c>
      <c r="B7" t="s">
        <v>32</v>
      </c>
      <c r="C7" t="s">
        <v>3654</v>
      </c>
      <c r="D7" t="s">
        <v>12</v>
      </c>
      <c r="E7">
        <v>1E-3</v>
      </c>
      <c r="F7">
        <v>0</v>
      </c>
      <c r="G7">
        <v>1E-3</v>
      </c>
      <c r="H7">
        <f>G7*VLOOKUP(C7,GWPs!$B$3:$C$6,2,FALSE)</f>
        <v>2.8000000000000001E-2</v>
      </c>
      <c r="I7">
        <v>3</v>
      </c>
      <c r="J7">
        <v>2</v>
      </c>
      <c r="K7">
        <v>1</v>
      </c>
      <c r="L7">
        <v>1</v>
      </c>
      <c r="M7">
        <v>1</v>
      </c>
      <c r="P7" t="s">
        <v>48</v>
      </c>
      <c r="Q7">
        <f t="shared" si="0"/>
        <v>0.123</v>
      </c>
    </row>
    <row r="8" spans="1:17">
      <c r="A8" t="s">
        <v>31</v>
      </c>
      <c r="B8" t="s">
        <v>32</v>
      </c>
      <c r="C8" t="s">
        <v>3655</v>
      </c>
      <c r="D8" t="s">
        <v>12</v>
      </c>
      <c r="E8">
        <v>0</v>
      </c>
      <c r="F8">
        <v>0</v>
      </c>
      <c r="G8">
        <v>0</v>
      </c>
      <c r="H8">
        <f>G8*VLOOKUP(C8,GWPs!$B$3:$C$6,2,FALSE)</f>
        <v>0</v>
      </c>
      <c r="I8">
        <v>4</v>
      </c>
      <c r="J8">
        <v>2</v>
      </c>
      <c r="K8">
        <v>1</v>
      </c>
      <c r="L8">
        <v>4</v>
      </c>
      <c r="M8">
        <v>1</v>
      </c>
      <c r="P8" t="s">
        <v>109</v>
      </c>
      <c r="Q8">
        <f t="shared" si="0"/>
        <v>0.1</v>
      </c>
    </row>
    <row r="9" spans="1:17">
      <c r="A9" t="s">
        <v>31</v>
      </c>
      <c r="B9" t="s">
        <v>32</v>
      </c>
      <c r="C9" t="s">
        <v>15</v>
      </c>
      <c r="D9" t="s">
        <v>16</v>
      </c>
      <c r="E9">
        <v>2E-3</v>
      </c>
      <c r="F9">
        <v>0</v>
      </c>
      <c r="G9">
        <v>2E-3</v>
      </c>
      <c r="H9">
        <f>G9*VLOOKUP(C9,GWPs!$B$3:$C$6,2,FALSE)</f>
        <v>2E-3</v>
      </c>
      <c r="I9">
        <v>4</v>
      </c>
      <c r="J9">
        <v>2</v>
      </c>
      <c r="K9">
        <v>1</v>
      </c>
      <c r="L9">
        <v>4</v>
      </c>
      <c r="M9">
        <v>1</v>
      </c>
      <c r="P9" t="s">
        <v>58</v>
      </c>
      <c r="Q9">
        <f t="shared" si="0"/>
        <v>0.55700000000000005</v>
      </c>
    </row>
    <row r="10" spans="1:17">
      <c r="A10" t="s">
        <v>33</v>
      </c>
      <c r="B10" t="s">
        <v>34</v>
      </c>
      <c r="C10" t="s">
        <v>3653</v>
      </c>
      <c r="D10" t="s">
        <v>12</v>
      </c>
      <c r="E10">
        <v>0.47199999999999998</v>
      </c>
      <c r="F10">
        <v>3.3000000000000002E-2</v>
      </c>
      <c r="G10">
        <v>0.505</v>
      </c>
      <c r="H10">
        <f>G10*VLOOKUP(C10,GWPs!$B$3:$C$6,2,FALSE)</f>
        <v>0.505</v>
      </c>
      <c r="I10">
        <v>4</v>
      </c>
      <c r="J10">
        <v>2</v>
      </c>
      <c r="K10">
        <v>1</v>
      </c>
      <c r="L10">
        <v>3</v>
      </c>
      <c r="M10">
        <v>1</v>
      </c>
      <c r="P10" t="s">
        <v>70</v>
      </c>
      <c r="Q10">
        <f t="shared" si="0"/>
        <v>9.8000000000000004E-2</v>
      </c>
    </row>
    <row r="11" spans="1:17">
      <c r="A11" t="s">
        <v>33</v>
      </c>
      <c r="B11" t="s">
        <v>34</v>
      </c>
      <c r="C11" t="s">
        <v>3654</v>
      </c>
      <c r="D11" t="s">
        <v>12</v>
      </c>
      <c r="E11">
        <v>2.1999999999999999E-2</v>
      </c>
      <c r="F11">
        <v>0</v>
      </c>
      <c r="G11">
        <v>2.1999999999999999E-2</v>
      </c>
      <c r="H11">
        <f>G11*VLOOKUP(C11,GWPs!$B$3:$C$6,2,FALSE)</f>
        <v>0.61599999999999999</v>
      </c>
      <c r="I11">
        <v>4</v>
      </c>
      <c r="J11">
        <v>2</v>
      </c>
      <c r="K11">
        <v>1</v>
      </c>
      <c r="L11">
        <v>1</v>
      </c>
      <c r="M11">
        <v>1</v>
      </c>
      <c r="P11" t="s">
        <v>126</v>
      </c>
      <c r="Q11">
        <f t="shared" si="0"/>
        <v>5.6999999999999995E-2</v>
      </c>
    </row>
    <row r="12" spans="1:17">
      <c r="A12" t="s">
        <v>33</v>
      </c>
      <c r="B12" t="s">
        <v>34</v>
      </c>
      <c r="C12" t="s">
        <v>3655</v>
      </c>
      <c r="D12" t="s">
        <v>12</v>
      </c>
      <c r="E12">
        <v>0</v>
      </c>
      <c r="F12">
        <v>0</v>
      </c>
      <c r="G12">
        <v>0</v>
      </c>
      <c r="H12">
        <f>G12*VLOOKUP(C12,GWPs!$B$3:$C$6,2,FALSE)</f>
        <v>0</v>
      </c>
      <c r="I12">
        <v>3</v>
      </c>
      <c r="J12">
        <v>2</v>
      </c>
      <c r="K12">
        <v>1</v>
      </c>
      <c r="L12">
        <v>3</v>
      </c>
      <c r="M12">
        <v>1</v>
      </c>
      <c r="P12" t="s">
        <v>42</v>
      </c>
      <c r="Q12">
        <f t="shared" si="0"/>
        <v>0.28300000000000003</v>
      </c>
    </row>
    <row r="13" spans="1:17">
      <c r="A13" t="s">
        <v>33</v>
      </c>
      <c r="B13" t="s">
        <v>34</v>
      </c>
      <c r="C13" t="s">
        <v>15</v>
      </c>
      <c r="D13" t="s">
        <v>16</v>
      </c>
      <c r="E13">
        <v>3.0000000000000001E-3</v>
      </c>
      <c r="F13">
        <v>0</v>
      </c>
      <c r="G13">
        <v>3.0000000000000001E-3</v>
      </c>
      <c r="H13">
        <f>G13*VLOOKUP(C13,GWPs!$B$3:$C$6,2,FALSE)</f>
        <v>3.0000000000000001E-3</v>
      </c>
      <c r="I13">
        <v>4</v>
      </c>
      <c r="J13">
        <v>2</v>
      </c>
      <c r="K13">
        <v>1</v>
      </c>
      <c r="L13">
        <v>4</v>
      </c>
      <c r="M13">
        <v>1</v>
      </c>
      <c r="P13" t="s">
        <v>111</v>
      </c>
      <c r="Q13">
        <f t="shared" si="0"/>
        <v>0.16500000000000001</v>
      </c>
    </row>
    <row r="14" spans="1:17">
      <c r="A14" t="s">
        <v>35</v>
      </c>
      <c r="B14" t="s">
        <v>36</v>
      </c>
      <c r="C14" t="s">
        <v>3653</v>
      </c>
      <c r="D14" t="s">
        <v>12</v>
      </c>
      <c r="E14">
        <v>0.70299999999999996</v>
      </c>
      <c r="F14">
        <v>4.9000000000000002E-2</v>
      </c>
      <c r="G14">
        <v>0.752</v>
      </c>
      <c r="H14">
        <f>G14*VLOOKUP(C14,GWPs!$B$3:$C$6,2,FALSE)</f>
        <v>0.752</v>
      </c>
      <c r="I14">
        <v>4</v>
      </c>
      <c r="J14">
        <v>2</v>
      </c>
      <c r="K14">
        <v>1</v>
      </c>
      <c r="L14">
        <v>4</v>
      </c>
      <c r="M14">
        <v>1</v>
      </c>
      <c r="P14" t="s">
        <v>134</v>
      </c>
      <c r="Q14">
        <f t="shared" si="0"/>
        <v>0.19600000000000001</v>
      </c>
    </row>
    <row r="15" spans="1:17">
      <c r="A15" t="s">
        <v>35</v>
      </c>
      <c r="B15" t="s">
        <v>36</v>
      </c>
      <c r="C15" t="s">
        <v>3654</v>
      </c>
      <c r="D15" t="s">
        <v>12</v>
      </c>
      <c r="E15">
        <v>2.3E-2</v>
      </c>
      <c r="F15">
        <v>1E-3</v>
      </c>
      <c r="G15">
        <v>2.3E-2</v>
      </c>
      <c r="H15">
        <f>G15*VLOOKUP(C15,GWPs!$B$3:$C$6,2,FALSE)</f>
        <v>0.64400000000000002</v>
      </c>
      <c r="I15">
        <v>4</v>
      </c>
      <c r="J15">
        <v>2</v>
      </c>
      <c r="K15">
        <v>1</v>
      </c>
      <c r="L15">
        <v>1</v>
      </c>
      <c r="M15">
        <v>1</v>
      </c>
      <c r="P15" t="s">
        <v>72</v>
      </c>
      <c r="Q15">
        <f t="shared" si="0"/>
        <v>0.252</v>
      </c>
    </row>
    <row r="16" spans="1:17">
      <c r="A16" t="s">
        <v>35</v>
      </c>
      <c r="B16" t="s">
        <v>36</v>
      </c>
      <c r="C16" t="s">
        <v>3655</v>
      </c>
      <c r="D16" t="s">
        <v>12</v>
      </c>
      <c r="E16">
        <v>0</v>
      </c>
      <c r="F16">
        <v>0</v>
      </c>
      <c r="G16">
        <v>0</v>
      </c>
      <c r="H16">
        <f>G16*VLOOKUP(C16,GWPs!$B$3:$C$6,2,FALSE)</f>
        <v>0</v>
      </c>
      <c r="I16">
        <v>4</v>
      </c>
      <c r="J16">
        <v>2</v>
      </c>
      <c r="K16">
        <v>1</v>
      </c>
      <c r="L16">
        <v>3</v>
      </c>
      <c r="M16">
        <v>1</v>
      </c>
      <c r="P16" t="s">
        <v>66</v>
      </c>
      <c r="Q16">
        <f t="shared" si="0"/>
        <v>0.30900000000000005</v>
      </c>
    </row>
    <row r="17" spans="1:17">
      <c r="A17" t="s">
        <v>35</v>
      </c>
      <c r="B17" t="s">
        <v>36</v>
      </c>
      <c r="C17" t="s">
        <v>15</v>
      </c>
      <c r="D17" t="s">
        <v>16</v>
      </c>
      <c r="E17">
        <v>4.0000000000000001E-3</v>
      </c>
      <c r="F17">
        <v>0</v>
      </c>
      <c r="G17">
        <v>4.0000000000000001E-3</v>
      </c>
      <c r="H17">
        <f>G17*VLOOKUP(C17,GWPs!$B$3:$C$6,2,FALSE)</f>
        <v>4.0000000000000001E-3</v>
      </c>
      <c r="I17">
        <v>4</v>
      </c>
      <c r="J17">
        <v>2</v>
      </c>
      <c r="K17">
        <v>1</v>
      </c>
      <c r="L17">
        <v>4</v>
      </c>
      <c r="M17">
        <v>1</v>
      </c>
      <c r="P17" t="s">
        <v>30</v>
      </c>
      <c r="Q17">
        <f t="shared" si="0"/>
        <v>2.1419999999999999</v>
      </c>
    </row>
    <row r="18" spans="1:17">
      <c r="A18" t="s">
        <v>37</v>
      </c>
      <c r="B18" t="s">
        <v>38</v>
      </c>
      <c r="C18" t="s">
        <v>3653</v>
      </c>
      <c r="D18" t="s">
        <v>12</v>
      </c>
      <c r="E18">
        <v>0.318</v>
      </c>
      <c r="F18">
        <v>0</v>
      </c>
      <c r="G18">
        <v>0.31900000000000001</v>
      </c>
      <c r="H18">
        <f>G18*VLOOKUP(C18,GWPs!$B$3:$C$6,2,FALSE)</f>
        <v>0.31900000000000001</v>
      </c>
      <c r="I18">
        <v>4</v>
      </c>
      <c r="J18">
        <v>2</v>
      </c>
      <c r="K18">
        <v>1</v>
      </c>
      <c r="L18">
        <v>4</v>
      </c>
      <c r="M18">
        <v>1</v>
      </c>
      <c r="P18" t="s">
        <v>113</v>
      </c>
      <c r="Q18">
        <f t="shared" si="0"/>
        <v>5.3999999999999999E-2</v>
      </c>
    </row>
    <row r="19" spans="1:17">
      <c r="A19" t="s">
        <v>37</v>
      </c>
      <c r="B19" t="s">
        <v>38</v>
      </c>
      <c r="C19" t="s">
        <v>3654</v>
      </c>
      <c r="D19" t="s">
        <v>12</v>
      </c>
      <c r="E19">
        <v>1E-3</v>
      </c>
      <c r="F19">
        <v>0</v>
      </c>
      <c r="G19">
        <v>1E-3</v>
      </c>
      <c r="H19">
        <f>G19*VLOOKUP(C19,GWPs!$B$3:$C$6,2,FALSE)</f>
        <v>2.8000000000000001E-2</v>
      </c>
      <c r="I19">
        <v>4</v>
      </c>
      <c r="J19">
        <v>2</v>
      </c>
      <c r="K19">
        <v>1</v>
      </c>
      <c r="L19">
        <v>1</v>
      </c>
      <c r="M19">
        <v>1</v>
      </c>
      <c r="P19" t="s">
        <v>44</v>
      </c>
      <c r="Q19">
        <f t="shared" si="0"/>
        <v>0.77800000000000002</v>
      </c>
    </row>
    <row r="20" spans="1:17">
      <c r="A20" t="s">
        <v>37</v>
      </c>
      <c r="B20" t="s">
        <v>38</v>
      </c>
      <c r="C20" t="s">
        <v>3655</v>
      </c>
      <c r="D20" t="s">
        <v>12</v>
      </c>
      <c r="E20">
        <v>0</v>
      </c>
      <c r="F20">
        <v>0</v>
      </c>
      <c r="G20">
        <v>0</v>
      </c>
      <c r="H20">
        <f>G20*VLOOKUP(C20,GWPs!$B$3:$C$6,2,FALSE)</f>
        <v>0</v>
      </c>
      <c r="I20">
        <v>4</v>
      </c>
      <c r="J20">
        <v>2</v>
      </c>
      <c r="K20">
        <v>1</v>
      </c>
      <c r="L20">
        <v>4</v>
      </c>
      <c r="M20">
        <v>1</v>
      </c>
      <c r="P20" t="s">
        <v>19</v>
      </c>
      <c r="Q20">
        <f t="shared" si="0"/>
        <v>0.21299999999999999</v>
      </c>
    </row>
    <row r="21" spans="1:17">
      <c r="A21" t="s">
        <v>37</v>
      </c>
      <c r="B21" t="s">
        <v>38</v>
      </c>
      <c r="C21" t="s">
        <v>15</v>
      </c>
      <c r="D21" t="s">
        <v>16</v>
      </c>
      <c r="E21">
        <v>4.0000000000000001E-3</v>
      </c>
      <c r="F21">
        <v>0</v>
      </c>
      <c r="G21">
        <v>4.0000000000000001E-3</v>
      </c>
      <c r="H21">
        <f>G21*VLOOKUP(C21,GWPs!$B$3:$C$6,2,FALSE)</f>
        <v>4.0000000000000001E-3</v>
      </c>
      <c r="I21">
        <v>4</v>
      </c>
      <c r="J21">
        <v>2</v>
      </c>
      <c r="K21">
        <v>1</v>
      </c>
      <c r="L21">
        <v>4</v>
      </c>
      <c r="M21">
        <v>1</v>
      </c>
      <c r="P21" t="s">
        <v>149</v>
      </c>
      <c r="Q21">
        <f t="shared" si="0"/>
        <v>0.23300000000000001</v>
      </c>
    </row>
    <row r="22" spans="1:17">
      <c r="A22" t="s">
        <v>39</v>
      </c>
      <c r="B22" t="s">
        <v>40</v>
      </c>
      <c r="C22" t="s">
        <v>3653</v>
      </c>
      <c r="D22" t="s">
        <v>12</v>
      </c>
      <c r="E22">
        <v>3.1749999999999998</v>
      </c>
      <c r="F22">
        <v>0</v>
      </c>
      <c r="G22">
        <v>3.1749999999999998</v>
      </c>
      <c r="H22">
        <f>G22*VLOOKUP(C22,GWPs!$B$3:$C$6,2,FALSE)</f>
        <v>3.1749999999999998</v>
      </c>
      <c r="I22">
        <v>2</v>
      </c>
      <c r="J22">
        <v>2</v>
      </c>
      <c r="K22">
        <v>1</v>
      </c>
      <c r="L22">
        <v>2</v>
      </c>
      <c r="M22">
        <v>1</v>
      </c>
      <c r="P22" t="s">
        <v>32</v>
      </c>
      <c r="Q22">
        <f t="shared" si="0"/>
        <v>0.23</v>
      </c>
    </row>
    <row r="23" spans="1:17">
      <c r="A23" t="s">
        <v>39</v>
      </c>
      <c r="B23" t="s">
        <v>40</v>
      </c>
      <c r="C23" t="s">
        <v>3654</v>
      </c>
      <c r="D23" t="s">
        <v>12</v>
      </c>
      <c r="E23">
        <v>5.0000000000000001E-3</v>
      </c>
      <c r="F23">
        <v>0</v>
      </c>
      <c r="G23">
        <v>5.0000000000000001E-3</v>
      </c>
      <c r="H23">
        <f>G23*VLOOKUP(C23,GWPs!$B$3:$C$6,2,FALSE)</f>
        <v>0.14000000000000001</v>
      </c>
      <c r="I23">
        <v>4</v>
      </c>
      <c r="J23">
        <v>2</v>
      </c>
      <c r="K23">
        <v>1</v>
      </c>
      <c r="L23">
        <v>1</v>
      </c>
      <c r="M23">
        <v>1</v>
      </c>
      <c r="P23" t="s">
        <v>119</v>
      </c>
      <c r="Q23">
        <f t="shared" si="0"/>
        <v>0.19</v>
      </c>
    </row>
    <row r="24" spans="1:17">
      <c r="A24" t="s">
        <v>39</v>
      </c>
      <c r="B24" t="s">
        <v>40</v>
      </c>
      <c r="C24" t="s">
        <v>3655</v>
      </c>
      <c r="D24" t="s">
        <v>12</v>
      </c>
      <c r="E24">
        <v>0</v>
      </c>
      <c r="F24">
        <v>0</v>
      </c>
      <c r="G24">
        <v>0</v>
      </c>
      <c r="H24">
        <f>G24*VLOOKUP(C24,GWPs!$B$3:$C$6,2,FALSE)</f>
        <v>0</v>
      </c>
      <c r="I24">
        <v>3</v>
      </c>
      <c r="J24">
        <v>2</v>
      </c>
      <c r="K24">
        <v>1</v>
      </c>
      <c r="L24">
        <v>2</v>
      </c>
      <c r="M24">
        <v>1</v>
      </c>
      <c r="P24" t="s">
        <v>77</v>
      </c>
      <c r="Q24">
        <f t="shared" si="0"/>
        <v>0.25</v>
      </c>
    </row>
    <row r="25" spans="1:17">
      <c r="A25" t="s">
        <v>39</v>
      </c>
      <c r="B25" t="s">
        <v>40</v>
      </c>
      <c r="C25" t="s">
        <v>15</v>
      </c>
      <c r="D25" t="s">
        <v>16</v>
      </c>
      <c r="E25">
        <v>1.2E-2</v>
      </c>
      <c r="F25">
        <v>0</v>
      </c>
      <c r="G25">
        <v>1.2E-2</v>
      </c>
      <c r="H25">
        <f>G25*VLOOKUP(C25,GWPs!$B$3:$C$6,2,FALSE)</f>
        <v>1.2E-2</v>
      </c>
      <c r="I25">
        <v>2</v>
      </c>
      <c r="J25">
        <v>2</v>
      </c>
      <c r="K25">
        <v>1</v>
      </c>
      <c r="L25">
        <v>2</v>
      </c>
      <c r="M25">
        <v>1</v>
      </c>
      <c r="P25" t="s">
        <v>20</v>
      </c>
      <c r="Q25">
        <f t="shared" si="0"/>
        <v>0.193</v>
      </c>
    </row>
    <row r="26" spans="1:17">
      <c r="A26" t="s">
        <v>41</v>
      </c>
      <c r="B26" t="s">
        <v>42</v>
      </c>
      <c r="C26" t="s">
        <v>3653</v>
      </c>
      <c r="D26" t="s">
        <v>12</v>
      </c>
      <c r="E26">
        <v>0.23200000000000001</v>
      </c>
      <c r="F26">
        <v>0</v>
      </c>
      <c r="G26">
        <v>0.23200000000000001</v>
      </c>
      <c r="H26">
        <f>G26*VLOOKUP(C26,GWPs!$B$3:$C$6,2,FALSE)</f>
        <v>0.23200000000000001</v>
      </c>
      <c r="I26">
        <v>3</v>
      </c>
      <c r="J26">
        <v>2</v>
      </c>
      <c r="K26">
        <v>1</v>
      </c>
      <c r="L26">
        <v>4</v>
      </c>
      <c r="M26">
        <v>1</v>
      </c>
      <c r="P26" t="s">
        <v>23</v>
      </c>
      <c r="Q26">
        <f t="shared" si="0"/>
        <v>0.16200000000000001</v>
      </c>
    </row>
    <row r="27" spans="1:17">
      <c r="A27" t="s">
        <v>41</v>
      </c>
      <c r="B27" t="s">
        <v>42</v>
      </c>
      <c r="C27" t="s">
        <v>3654</v>
      </c>
      <c r="D27" t="s">
        <v>12</v>
      </c>
      <c r="E27">
        <v>1E-3</v>
      </c>
      <c r="F27">
        <v>0</v>
      </c>
      <c r="G27">
        <v>1E-3</v>
      </c>
      <c r="H27">
        <f>G27*VLOOKUP(C27,GWPs!$B$3:$C$6,2,FALSE)</f>
        <v>2.8000000000000001E-2</v>
      </c>
      <c r="I27">
        <v>4</v>
      </c>
      <c r="J27">
        <v>2</v>
      </c>
      <c r="K27">
        <v>1</v>
      </c>
      <c r="L27">
        <v>1</v>
      </c>
      <c r="M27">
        <v>1</v>
      </c>
      <c r="P27" t="s">
        <v>153</v>
      </c>
      <c r="Q27">
        <f t="shared" si="0"/>
        <v>1.4999999999999999E-2</v>
      </c>
    </row>
    <row r="28" spans="1:17">
      <c r="A28" t="s">
        <v>41</v>
      </c>
      <c r="B28" t="s">
        <v>42</v>
      </c>
      <c r="C28" t="s">
        <v>3655</v>
      </c>
      <c r="D28" t="s">
        <v>12</v>
      </c>
      <c r="E28">
        <v>0</v>
      </c>
      <c r="F28">
        <v>0</v>
      </c>
      <c r="G28">
        <v>0</v>
      </c>
      <c r="H28">
        <f>G28*VLOOKUP(C28,GWPs!$B$3:$C$6,2,FALSE)</f>
        <v>0</v>
      </c>
      <c r="I28">
        <v>4</v>
      </c>
      <c r="J28">
        <v>2</v>
      </c>
      <c r="K28">
        <v>1</v>
      </c>
      <c r="L28">
        <v>3</v>
      </c>
      <c r="M28">
        <v>1</v>
      </c>
      <c r="P28" t="s">
        <v>117</v>
      </c>
      <c r="Q28">
        <f t="shared" si="0"/>
        <v>3.4000000000000002E-2</v>
      </c>
    </row>
    <row r="29" spans="1:17">
      <c r="A29" t="s">
        <v>41</v>
      </c>
      <c r="B29" t="s">
        <v>42</v>
      </c>
      <c r="C29" t="s">
        <v>15</v>
      </c>
      <c r="D29" t="s">
        <v>16</v>
      </c>
      <c r="E29">
        <v>2.3E-2</v>
      </c>
      <c r="F29">
        <v>0</v>
      </c>
      <c r="G29">
        <v>2.3E-2</v>
      </c>
      <c r="H29">
        <f>G29*VLOOKUP(C29,GWPs!$B$3:$C$6,2,FALSE)</f>
        <v>2.3E-2</v>
      </c>
      <c r="I29">
        <v>4</v>
      </c>
      <c r="J29">
        <v>2</v>
      </c>
      <c r="K29">
        <v>1</v>
      </c>
      <c r="L29">
        <v>5</v>
      </c>
      <c r="M29">
        <v>1</v>
      </c>
      <c r="P29" t="s">
        <v>22</v>
      </c>
      <c r="Q29">
        <f t="shared" si="0"/>
        <v>5.8000000000000003E-2</v>
      </c>
    </row>
    <row r="30" spans="1:17">
      <c r="A30" t="s">
        <v>43</v>
      </c>
      <c r="B30" t="s">
        <v>44</v>
      </c>
      <c r="C30" t="s">
        <v>3653</v>
      </c>
      <c r="D30" t="s">
        <v>12</v>
      </c>
      <c r="E30">
        <v>0.29199999999999998</v>
      </c>
      <c r="F30">
        <v>1.6E-2</v>
      </c>
      <c r="G30">
        <v>0.309</v>
      </c>
      <c r="H30">
        <f>G30*VLOOKUP(C30,GWPs!$B$3:$C$6,2,FALSE)</f>
        <v>0.309</v>
      </c>
      <c r="I30">
        <v>4</v>
      </c>
      <c r="J30">
        <v>2</v>
      </c>
      <c r="K30">
        <v>1</v>
      </c>
      <c r="L30">
        <v>4</v>
      </c>
      <c r="M30">
        <v>1</v>
      </c>
      <c r="P30" t="s">
        <v>68</v>
      </c>
      <c r="Q30">
        <f t="shared" si="0"/>
        <v>0.26800000000000002</v>
      </c>
    </row>
    <row r="31" spans="1:17">
      <c r="A31" t="s">
        <v>43</v>
      </c>
      <c r="B31" t="s">
        <v>44</v>
      </c>
      <c r="C31" t="s">
        <v>3654</v>
      </c>
      <c r="D31" t="s">
        <v>12</v>
      </c>
      <c r="E31">
        <v>7.0000000000000001E-3</v>
      </c>
      <c r="F31">
        <v>0</v>
      </c>
      <c r="G31">
        <v>7.0000000000000001E-3</v>
      </c>
      <c r="H31">
        <f>G31*VLOOKUP(C31,GWPs!$B$3:$C$6,2,FALSE)</f>
        <v>0.19600000000000001</v>
      </c>
      <c r="I31">
        <v>3</v>
      </c>
      <c r="J31">
        <v>2</v>
      </c>
      <c r="K31">
        <v>1</v>
      </c>
      <c r="L31">
        <v>1</v>
      </c>
      <c r="M31">
        <v>1</v>
      </c>
      <c r="P31" t="s">
        <v>128</v>
      </c>
      <c r="Q31">
        <f t="shared" si="0"/>
        <v>0.113</v>
      </c>
    </row>
    <row r="32" spans="1:17">
      <c r="A32" t="s">
        <v>43</v>
      </c>
      <c r="B32" t="s">
        <v>44</v>
      </c>
      <c r="C32" t="s">
        <v>3655</v>
      </c>
      <c r="D32" t="s">
        <v>12</v>
      </c>
      <c r="E32">
        <v>1E-3</v>
      </c>
      <c r="F32">
        <v>0</v>
      </c>
      <c r="G32">
        <v>1E-3</v>
      </c>
      <c r="H32">
        <f>G32*VLOOKUP(C32,GWPs!$B$3:$C$6,2,FALSE)</f>
        <v>0.26500000000000001</v>
      </c>
      <c r="I32">
        <v>4</v>
      </c>
      <c r="J32">
        <v>2</v>
      </c>
      <c r="K32">
        <v>1</v>
      </c>
      <c r="L32">
        <v>4</v>
      </c>
      <c r="M32">
        <v>1</v>
      </c>
      <c r="P32" t="s">
        <v>36</v>
      </c>
      <c r="Q32">
        <f t="shared" si="0"/>
        <v>1.4</v>
      </c>
    </row>
    <row r="33" spans="1:17">
      <c r="A33" t="s">
        <v>43</v>
      </c>
      <c r="B33" t="s">
        <v>44</v>
      </c>
      <c r="C33" t="s">
        <v>15</v>
      </c>
      <c r="D33" t="s">
        <v>16</v>
      </c>
      <c r="E33">
        <v>8.0000000000000002E-3</v>
      </c>
      <c r="F33">
        <v>0</v>
      </c>
      <c r="G33">
        <v>8.0000000000000002E-3</v>
      </c>
      <c r="H33">
        <f>G33*VLOOKUP(C33,GWPs!$B$3:$C$6,2,FALSE)</f>
        <v>8.0000000000000002E-3</v>
      </c>
      <c r="I33">
        <v>4</v>
      </c>
      <c r="J33">
        <v>2</v>
      </c>
      <c r="K33">
        <v>1</v>
      </c>
      <c r="L33">
        <v>4</v>
      </c>
      <c r="M33">
        <v>1</v>
      </c>
      <c r="P33" t="s">
        <v>79</v>
      </c>
      <c r="Q33">
        <f t="shared" si="0"/>
        <v>0.17499999999999999</v>
      </c>
    </row>
    <row r="34" spans="1:17">
      <c r="A34" t="s">
        <v>45</v>
      </c>
      <c r="B34" t="s">
        <v>46</v>
      </c>
      <c r="C34" t="s">
        <v>3653</v>
      </c>
      <c r="D34" t="s">
        <v>12</v>
      </c>
      <c r="E34">
        <v>0.27800000000000002</v>
      </c>
      <c r="F34">
        <v>1.9E-2</v>
      </c>
      <c r="G34">
        <v>0.29699999999999999</v>
      </c>
      <c r="H34">
        <f>G34*VLOOKUP(C34,GWPs!$B$3:$C$6,2,FALSE)</f>
        <v>0.29699999999999999</v>
      </c>
      <c r="I34">
        <v>3</v>
      </c>
      <c r="J34">
        <v>2</v>
      </c>
      <c r="K34">
        <v>1</v>
      </c>
      <c r="L34">
        <v>4</v>
      </c>
      <c r="M34">
        <v>1</v>
      </c>
      <c r="P34" t="s">
        <v>124</v>
      </c>
      <c r="Q34">
        <f t="shared" si="0"/>
        <v>8.8999999999999996E-2</v>
      </c>
    </row>
    <row r="35" spans="1:17">
      <c r="A35" t="s">
        <v>45</v>
      </c>
      <c r="B35" t="s">
        <v>46</v>
      </c>
      <c r="C35" t="s">
        <v>3654</v>
      </c>
      <c r="D35" t="s">
        <v>12</v>
      </c>
      <c r="E35">
        <v>2E-3</v>
      </c>
      <c r="F35">
        <v>0</v>
      </c>
      <c r="G35">
        <v>2E-3</v>
      </c>
      <c r="H35">
        <f>G35*VLOOKUP(C35,GWPs!$B$3:$C$6,2,FALSE)</f>
        <v>5.6000000000000001E-2</v>
      </c>
      <c r="I35">
        <v>3</v>
      </c>
      <c r="J35">
        <v>2</v>
      </c>
      <c r="K35">
        <v>1</v>
      </c>
      <c r="L35">
        <v>1</v>
      </c>
      <c r="M35">
        <v>1</v>
      </c>
      <c r="P35" t="s">
        <v>107</v>
      </c>
      <c r="Q35">
        <f t="shared" si="0"/>
        <v>5.7000000000000002E-2</v>
      </c>
    </row>
    <row r="36" spans="1:17">
      <c r="A36" t="s">
        <v>45</v>
      </c>
      <c r="B36" t="s">
        <v>46</v>
      </c>
      <c r="C36" t="s">
        <v>3655</v>
      </c>
      <c r="D36" t="s">
        <v>12</v>
      </c>
      <c r="E36">
        <v>0</v>
      </c>
      <c r="F36">
        <v>0</v>
      </c>
      <c r="G36">
        <v>0</v>
      </c>
      <c r="H36">
        <f>G36*VLOOKUP(C36,GWPs!$B$3:$C$6,2,FALSE)</f>
        <v>0</v>
      </c>
      <c r="I36">
        <v>4</v>
      </c>
      <c r="J36">
        <v>2</v>
      </c>
      <c r="K36">
        <v>1</v>
      </c>
      <c r="L36">
        <v>4</v>
      </c>
      <c r="M36">
        <v>1</v>
      </c>
      <c r="P36" t="s">
        <v>83</v>
      </c>
      <c r="Q36">
        <f t="shared" si="0"/>
        <v>0.153</v>
      </c>
    </row>
    <row r="37" spans="1:17">
      <c r="A37" t="s">
        <v>45</v>
      </c>
      <c r="B37" t="s">
        <v>46</v>
      </c>
      <c r="C37" t="s">
        <v>15</v>
      </c>
      <c r="D37" t="s">
        <v>16</v>
      </c>
      <c r="E37">
        <v>6.0000000000000001E-3</v>
      </c>
      <c r="F37">
        <v>0</v>
      </c>
      <c r="G37">
        <v>6.0000000000000001E-3</v>
      </c>
      <c r="H37">
        <f>G37*VLOOKUP(C37,GWPs!$B$3:$C$6,2,FALSE)</f>
        <v>6.0000000000000001E-3</v>
      </c>
      <c r="I37">
        <v>3</v>
      </c>
      <c r="J37">
        <v>2</v>
      </c>
      <c r="K37">
        <v>1</v>
      </c>
      <c r="L37">
        <v>3</v>
      </c>
      <c r="M37">
        <v>1</v>
      </c>
      <c r="P37" t="s">
        <v>74</v>
      </c>
      <c r="Q37">
        <f t="shared" si="0"/>
        <v>0.28100000000000003</v>
      </c>
    </row>
    <row r="38" spans="1:17">
      <c r="A38" t="s">
        <v>47</v>
      </c>
      <c r="B38" t="s">
        <v>48</v>
      </c>
      <c r="C38" t="s">
        <v>3653</v>
      </c>
      <c r="D38" t="s">
        <v>12</v>
      </c>
      <c r="E38">
        <v>7.0999999999999994E-2</v>
      </c>
      <c r="F38">
        <v>2.1000000000000001E-2</v>
      </c>
      <c r="G38">
        <v>9.1999999999999998E-2</v>
      </c>
      <c r="H38">
        <f>G38*VLOOKUP(C38,GWPs!$B$3:$C$6,2,FALSE)</f>
        <v>9.1999999999999998E-2</v>
      </c>
      <c r="I38">
        <v>3</v>
      </c>
      <c r="J38">
        <v>2</v>
      </c>
      <c r="K38">
        <v>1</v>
      </c>
      <c r="L38">
        <v>4</v>
      </c>
      <c r="M38">
        <v>1</v>
      </c>
      <c r="P38" t="s">
        <v>62</v>
      </c>
      <c r="Q38">
        <f t="shared" si="0"/>
        <v>0.88</v>
      </c>
    </row>
    <row r="39" spans="1:17">
      <c r="A39" t="s">
        <v>47</v>
      </c>
      <c r="B39" t="s">
        <v>48</v>
      </c>
      <c r="C39" t="s">
        <v>3654</v>
      </c>
      <c r="D39" t="s">
        <v>12</v>
      </c>
      <c r="E39">
        <v>0</v>
      </c>
      <c r="F39">
        <v>0</v>
      </c>
      <c r="G39">
        <v>1E-3</v>
      </c>
      <c r="H39">
        <f>G39*VLOOKUP(C39,GWPs!$B$3:$C$6,2,FALSE)</f>
        <v>2.8000000000000001E-2</v>
      </c>
      <c r="I39">
        <v>3</v>
      </c>
      <c r="J39">
        <v>2</v>
      </c>
      <c r="K39">
        <v>1</v>
      </c>
      <c r="L39">
        <v>1</v>
      </c>
      <c r="M39">
        <v>1</v>
      </c>
      <c r="P39" t="s">
        <v>139</v>
      </c>
      <c r="Q39">
        <f t="shared" si="0"/>
        <v>0.16700000000000001</v>
      </c>
    </row>
    <row r="40" spans="1:17">
      <c r="A40" t="s">
        <v>47</v>
      </c>
      <c r="B40" t="s">
        <v>48</v>
      </c>
      <c r="C40" t="s">
        <v>3655</v>
      </c>
      <c r="D40" t="s">
        <v>12</v>
      </c>
      <c r="E40">
        <v>0</v>
      </c>
      <c r="F40">
        <v>0</v>
      </c>
      <c r="G40">
        <v>0</v>
      </c>
      <c r="H40">
        <f>G40*VLOOKUP(C40,GWPs!$B$3:$C$6,2,FALSE)</f>
        <v>0</v>
      </c>
      <c r="I40">
        <v>4</v>
      </c>
      <c r="J40">
        <v>2</v>
      </c>
      <c r="K40">
        <v>1</v>
      </c>
      <c r="L40">
        <v>4</v>
      </c>
      <c r="M40">
        <v>1</v>
      </c>
      <c r="P40" t="s">
        <v>34</v>
      </c>
      <c r="Q40">
        <f t="shared" si="0"/>
        <v>1.1239999999999999</v>
      </c>
    </row>
    <row r="41" spans="1:17">
      <c r="A41" t="s">
        <v>47</v>
      </c>
      <c r="B41" t="s">
        <v>48</v>
      </c>
      <c r="C41" t="s">
        <v>15</v>
      </c>
      <c r="D41" t="s">
        <v>16</v>
      </c>
      <c r="E41">
        <v>3.0000000000000001E-3</v>
      </c>
      <c r="F41">
        <v>0</v>
      </c>
      <c r="G41">
        <v>3.0000000000000001E-3</v>
      </c>
      <c r="H41">
        <f>G41*VLOOKUP(C41,GWPs!$B$3:$C$6,2,FALSE)</f>
        <v>3.0000000000000001E-3</v>
      </c>
      <c r="I41">
        <v>4</v>
      </c>
      <c r="J41">
        <v>2</v>
      </c>
      <c r="K41">
        <v>1</v>
      </c>
      <c r="L41">
        <v>4</v>
      </c>
      <c r="M41">
        <v>1</v>
      </c>
      <c r="P41" t="s">
        <v>21</v>
      </c>
      <c r="Q41">
        <f t="shared" si="0"/>
        <v>0.37300000000000005</v>
      </c>
    </row>
    <row r="42" spans="1:17">
      <c r="A42" t="s">
        <v>49</v>
      </c>
      <c r="B42" t="s">
        <v>50</v>
      </c>
      <c r="C42" t="s">
        <v>3653</v>
      </c>
      <c r="D42" t="s">
        <v>12</v>
      </c>
      <c r="E42">
        <v>0.216</v>
      </c>
      <c r="F42">
        <v>1.7999999999999999E-2</v>
      </c>
      <c r="G42">
        <v>0.23400000000000001</v>
      </c>
      <c r="H42">
        <f>G42*VLOOKUP(C42,GWPs!$B$3:$C$6,2,FALSE)</f>
        <v>0.23400000000000001</v>
      </c>
      <c r="I42">
        <v>3</v>
      </c>
      <c r="J42">
        <v>2</v>
      </c>
      <c r="K42">
        <v>1</v>
      </c>
      <c r="L42">
        <v>3</v>
      </c>
      <c r="M42">
        <v>1</v>
      </c>
      <c r="P42" t="s">
        <v>103</v>
      </c>
      <c r="Q42">
        <f t="shared" si="0"/>
        <v>0.17199999999999999</v>
      </c>
    </row>
    <row r="43" spans="1:17">
      <c r="A43" t="s">
        <v>49</v>
      </c>
      <c r="B43" t="s">
        <v>50</v>
      </c>
      <c r="C43" t="s">
        <v>3654</v>
      </c>
      <c r="D43" t="s">
        <v>12</v>
      </c>
      <c r="E43">
        <v>1E-3</v>
      </c>
      <c r="F43">
        <v>0</v>
      </c>
      <c r="G43">
        <v>1E-3</v>
      </c>
      <c r="H43">
        <f>G43*VLOOKUP(C43,GWPs!$B$3:$C$6,2,FALSE)</f>
        <v>2.8000000000000001E-2</v>
      </c>
      <c r="I43">
        <v>3</v>
      </c>
      <c r="J43">
        <v>2</v>
      </c>
      <c r="K43">
        <v>1</v>
      </c>
      <c r="L43">
        <v>1</v>
      </c>
      <c r="M43">
        <v>1</v>
      </c>
      <c r="P43" t="s">
        <v>151</v>
      </c>
      <c r="Q43">
        <f t="shared" si="0"/>
        <v>0.15000000000000002</v>
      </c>
    </row>
    <row r="44" spans="1:17">
      <c r="A44" t="s">
        <v>49</v>
      </c>
      <c r="B44" t="s">
        <v>50</v>
      </c>
      <c r="C44" t="s">
        <v>3655</v>
      </c>
      <c r="D44" t="s">
        <v>12</v>
      </c>
      <c r="E44">
        <v>0</v>
      </c>
      <c r="F44">
        <v>0</v>
      </c>
      <c r="G44">
        <v>0</v>
      </c>
      <c r="H44">
        <f>G44*VLOOKUP(C44,GWPs!$B$3:$C$6,2,FALSE)</f>
        <v>0</v>
      </c>
      <c r="I44">
        <v>4</v>
      </c>
      <c r="J44">
        <v>2</v>
      </c>
      <c r="K44">
        <v>1</v>
      </c>
      <c r="L44">
        <v>4</v>
      </c>
      <c r="M44">
        <v>1</v>
      </c>
      <c r="P44" t="s">
        <v>99</v>
      </c>
      <c r="Q44">
        <f t="shared" si="0"/>
        <v>0.35299999999999998</v>
      </c>
    </row>
    <row r="45" spans="1:17">
      <c r="A45" t="s">
        <v>49</v>
      </c>
      <c r="B45" t="s">
        <v>50</v>
      </c>
      <c r="C45" t="s">
        <v>15</v>
      </c>
      <c r="D45" t="s">
        <v>16</v>
      </c>
      <c r="E45">
        <v>1.0999999999999999E-2</v>
      </c>
      <c r="F45">
        <v>0</v>
      </c>
      <c r="G45">
        <v>1.0999999999999999E-2</v>
      </c>
      <c r="H45">
        <f>G45*VLOOKUP(C45,GWPs!$B$3:$C$6,2,FALSE)</f>
        <v>1.0999999999999999E-2</v>
      </c>
      <c r="I45">
        <v>4</v>
      </c>
      <c r="J45">
        <v>2</v>
      </c>
      <c r="K45">
        <v>1</v>
      </c>
      <c r="L45">
        <v>5</v>
      </c>
      <c r="M45">
        <v>1</v>
      </c>
      <c r="P45" t="s">
        <v>18</v>
      </c>
      <c r="Q45">
        <f t="shared" si="0"/>
        <v>0.17699999999999999</v>
      </c>
    </row>
    <row r="46" spans="1:17">
      <c r="A46" t="s">
        <v>51</v>
      </c>
      <c r="B46" t="s">
        <v>52</v>
      </c>
      <c r="C46" t="s">
        <v>3653</v>
      </c>
      <c r="D46" t="s">
        <v>12</v>
      </c>
      <c r="E46">
        <v>0.48099999999999998</v>
      </c>
      <c r="F46">
        <v>2.1999999999999999E-2</v>
      </c>
      <c r="G46">
        <v>0.503</v>
      </c>
      <c r="H46">
        <f>G46*VLOOKUP(C46,GWPs!$B$3:$C$6,2,FALSE)</f>
        <v>0.503</v>
      </c>
      <c r="I46">
        <v>4</v>
      </c>
      <c r="J46">
        <v>2</v>
      </c>
      <c r="K46">
        <v>1</v>
      </c>
      <c r="L46">
        <v>4</v>
      </c>
      <c r="M46">
        <v>1</v>
      </c>
      <c r="P46" t="s">
        <v>52</v>
      </c>
      <c r="Q46">
        <f t="shared" si="0"/>
        <v>0.56500000000000006</v>
      </c>
    </row>
    <row r="47" spans="1:17">
      <c r="A47" t="s">
        <v>51</v>
      </c>
      <c r="B47" t="s">
        <v>52</v>
      </c>
      <c r="C47" t="s">
        <v>3654</v>
      </c>
      <c r="D47" t="s">
        <v>12</v>
      </c>
      <c r="E47">
        <v>1E-3</v>
      </c>
      <c r="F47">
        <v>0</v>
      </c>
      <c r="G47">
        <v>2E-3</v>
      </c>
      <c r="H47">
        <f>G47*VLOOKUP(C47,GWPs!$B$3:$C$6,2,FALSE)</f>
        <v>5.6000000000000001E-2</v>
      </c>
      <c r="I47">
        <v>3</v>
      </c>
      <c r="J47">
        <v>2</v>
      </c>
      <c r="K47">
        <v>1</v>
      </c>
      <c r="L47">
        <v>1</v>
      </c>
      <c r="M47">
        <v>1</v>
      </c>
      <c r="P47" t="s">
        <v>143</v>
      </c>
      <c r="Q47">
        <f t="shared" si="0"/>
        <v>6.2E-2</v>
      </c>
    </row>
    <row r="48" spans="1:17">
      <c r="A48" t="s">
        <v>51</v>
      </c>
      <c r="B48" t="s">
        <v>52</v>
      </c>
      <c r="C48" t="s">
        <v>3655</v>
      </c>
      <c r="D48" t="s">
        <v>12</v>
      </c>
      <c r="E48">
        <v>0</v>
      </c>
      <c r="F48">
        <v>0</v>
      </c>
      <c r="G48">
        <v>0</v>
      </c>
      <c r="H48">
        <f>G48*VLOOKUP(C48,GWPs!$B$3:$C$6,2,FALSE)</f>
        <v>0</v>
      </c>
      <c r="I48">
        <v>3</v>
      </c>
      <c r="J48">
        <v>2</v>
      </c>
      <c r="K48">
        <v>1</v>
      </c>
      <c r="L48">
        <v>3</v>
      </c>
      <c r="M48">
        <v>1</v>
      </c>
      <c r="P48" t="s">
        <v>56</v>
      </c>
      <c r="Q48">
        <f t="shared" si="0"/>
        <v>1.0599999999999998</v>
      </c>
    </row>
    <row r="49" spans="1:17">
      <c r="A49" t="s">
        <v>51</v>
      </c>
      <c r="B49" t="s">
        <v>52</v>
      </c>
      <c r="C49" t="s">
        <v>15</v>
      </c>
      <c r="D49" t="s">
        <v>16</v>
      </c>
      <c r="E49">
        <v>6.0000000000000001E-3</v>
      </c>
      <c r="F49">
        <v>0</v>
      </c>
      <c r="G49">
        <v>6.0000000000000001E-3</v>
      </c>
      <c r="H49">
        <f>G49*VLOOKUP(C49,GWPs!$B$3:$C$6,2,FALSE)</f>
        <v>6.0000000000000001E-3</v>
      </c>
      <c r="I49">
        <v>4</v>
      </c>
      <c r="J49">
        <v>2</v>
      </c>
      <c r="K49">
        <v>1</v>
      </c>
      <c r="L49">
        <v>4</v>
      </c>
      <c r="M49">
        <v>1</v>
      </c>
      <c r="P49" t="s">
        <v>97</v>
      </c>
      <c r="Q49">
        <f t="shared" si="0"/>
        <v>1.8320000000000001</v>
      </c>
    </row>
    <row r="50" spans="1:17">
      <c r="A50" t="s">
        <v>53</v>
      </c>
      <c r="B50" t="s">
        <v>54</v>
      </c>
      <c r="C50" t="s">
        <v>3653</v>
      </c>
      <c r="D50" t="s">
        <v>12</v>
      </c>
      <c r="E50">
        <v>0.32300000000000001</v>
      </c>
      <c r="F50">
        <v>4.0000000000000001E-3</v>
      </c>
      <c r="G50">
        <v>0.32700000000000001</v>
      </c>
      <c r="H50">
        <f>G50*VLOOKUP(C50,GWPs!$B$3:$C$6,2,FALSE)</f>
        <v>0.32700000000000001</v>
      </c>
      <c r="I50">
        <v>3</v>
      </c>
      <c r="J50">
        <v>2</v>
      </c>
      <c r="K50">
        <v>1</v>
      </c>
      <c r="L50">
        <v>4</v>
      </c>
      <c r="M50">
        <v>1</v>
      </c>
      <c r="P50" t="s">
        <v>60</v>
      </c>
      <c r="Q50">
        <f t="shared" si="0"/>
        <v>0.36000000000000004</v>
      </c>
    </row>
    <row r="51" spans="1:17">
      <c r="A51" t="s">
        <v>53</v>
      </c>
      <c r="B51" t="s">
        <v>54</v>
      </c>
      <c r="C51" t="s">
        <v>3654</v>
      </c>
      <c r="D51" t="s">
        <v>12</v>
      </c>
      <c r="E51">
        <v>1E-3</v>
      </c>
      <c r="F51">
        <v>0</v>
      </c>
      <c r="G51">
        <v>1E-3</v>
      </c>
      <c r="H51">
        <f>G51*VLOOKUP(C51,GWPs!$B$3:$C$6,2,FALSE)</f>
        <v>2.8000000000000001E-2</v>
      </c>
      <c r="I51">
        <v>4</v>
      </c>
      <c r="J51">
        <v>2</v>
      </c>
      <c r="K51">
        <v>1</v>
      </c>
      <c r="L51">
        <v>1</v>
      </c>
      <c r="M51">
        <v>1</v>
      </c>
      <c r="P51" t="s">
        <v>64</v>
      </c>
      <c r="Q51">
        <f t="shared" si="0"/>
        <v>0.81100000000000005</v>
      </c>
    </row>
    <row r="52" spans="1:17">
      <c r="A52" t="s">
        <v>53</v>
      </c>
      <c r="B52" t="s">
        <v>54</v>
      </c>
      <c r="C52" t="s">
        <v>3655</v>
      </c>
      <c r="D52" t="s">
        <v>12</v>
      </c>
      <c r="E52">
        <v>0</v>
      </c>
      <c r="F52">
        <v>0</v>
      </c>
      <c r="G52">
        <v>0</v>
      </c>
      <c r="H52">
        <f>G52*VLOOKUP(C52,GWPs!$B$3:$C$6,2,FALSE)</f>
        <v>0</v>
      </c>
      <c r="I52">
        <v>3</v>
      </c>
      <c r="J52">
        <v>2</v>
      </c>
      <c r="K52">
        <v>1</v>
      </c>
      <c r="L52">
        <v>3</v>
      </c>
      <c r="M52">
        <v>1</v>
      </c>
      <c r="P52" t="s">
        <v>54</v>
      </c>
      <c r="Q52">
        <f t="shared" si="0"/>
        <v>0.35900000000000004</v>
      </c>
    </row>
    <row r="53" spans="1:17">
      <c r="A53" t="s">
        <v>53</v>
      </c>
      <c r="B53" t="s">
        <v>54</v>
      </c>
      <c r="C53" t="s">
        <v>15</v>
      </c>
      <c r="D53" t="s">
        <v>16</v>
      </c>
      <c r="E53">
        <v>4.0000000000000001E-3</v>
      </c>
      <c r="F53">
        <v>0</v>
      </c>
      <c r="G53">
        <v>4.0000000000000001E-3</v>
      </c>
      <c r="H53">
        <f>G53*VLOOKUP(C53,GWPs!$B$3:$C$6,2,FALSE)</f>
        <v>4.0000000000000001E-3</v>
      </c>
      <c r="I53">
        <v>3</v>
      </c>
      <c r="J53">
        <v>2</v>
      </c>
      <c r="K53">
        <v>1</v>
      </c>
      <c r="L53">
        <v>4</v>
      </c>
      <c r="M53">
        <v>1</v>
      </c>
      <c r="P53" t="s">
        <v>105</v>
      </c>
      <c r="Q53">
        <f t="shared" si="0"/>
        <v>7.0000000000000007E-2</v>
      </c>
    </row>
    <row r="54" spans="1:17">
      <c r="A54" t="s">
        <v>55</v>
      </c>
      <c r="B54" t="s">
        <v>56</v>
      </c>
      <c r="C54" t="s">
        <v>3653</v>
      </c>
      <c r="D54" t="s">
        <v>12</v>
      </c>
      <c r="E54">
        <v>0.61499999999999999</v>
      </c>
      <c r="F54">
        <v>2.1999999999999999E-2</v>
      </c>
      <c r="G54">
        <v>0.63700000000000001</v>
      </c>
      <c r="H54">
        <f>G54*VLOOKUP(C54,GWPs!$B$3:$C$6,2,FALSE)</f>
        <v>0.63700000000000001</v>
      </c>
      <c r="I54">
        <v>4</v>
      </c>
      <c r="J54">
        <v>2</v>
      </c>
      <c r="K54">
        <v>1</v>
      </c>
      <c r="L54">
        <v>3</v>
      </c>
      <c r="M54">
        <v>1</v>
      </c>
      <c r="P54" t="s">
        <v>89</v>
      </c>
      <c r="Q54">
        <f t="shared" si="0"/>
        <v>0.71500000000000008</v>
      </c>
    </row>
    <row r="55" spans="1:17">
      <c r="A55" t="s">
        <v>55</v>
      </c>
      <c r="B55" t="s">
        <v>56</v>
      </c>
      <c r="C55" t="s">
        <v>3654</v>
      </c>
      <c r="D55" t="s">
        <v>12</v>
      </c>
      <c r="E55">
        <v>1.4999999999999999E-2</v>
      </c>
      <c r="F55">
        <v>0</v>
      </c>
      <c r="G55">
        <v>1.4999999999999999E-2</v>
      </c>
      <c r="H55">
        <f>G55*VLOOKUP(C55,GWPs!$B$3:$C$6,2,FALSE)</f>
        <v>0.42</v>
      </c>
      <c r="I55">
        <v>4</v>
      </c>
      <c r="J55">
        <v>2</v>
      </c>
      <c r="K55">
        <v>1</v>
      </c>
      <c r="L55">
        <v>1</v>
      </c>
      <c r="M55">
        <v>1</v>
      </c>
      <c r="P55" t="s">
        <v>121</v>
      </c>
      <c r="Q55">
        <f t="shared" si="0"/>
        <v>0.14600000000000002</v>
      </c>
    </row>
    <row r="56" spans="1:17">
      <c r="A56" t="s">
        <v>55</v>
      </c>
      <c r="B56" t="s">
        <v>56</v>
      </c>
      <c r="C56" t="s">
        <v>3655</v>
      </c>
      <c r="D56" t="s">
        <v>12</v>
      </c>
      <c r="E56">
        <v>0</v>
      </c>
      <c r="F56">
        <v>0</v>
      </c>
      <c r="G56">
        <v>0</v>
      </c>
      <c r="H56">
        <f>G56*VLOOKUP(C56,GWPs!$B$3:$C$6,2,FALSE)</f>
        <v>0</v>
      </c>
      <c r="I56">
        <v>3</v>
      </c>
      <c r="J56">
        <v>2</v>
      </c>
      <c r="K56">
        <v>1</v>
      </c>
      <c r="L56">
        <v>3</v>
      </c>
      <c r="M56">
        <v>1</v>
      </c>
      <c r="P56" t="s">
        <v>115</v>
      </c>
      <c r="Q56">
        <f t="shared" si="0"/>
        <v>8.7000000000000008E-2</v>
      </c>
    </row>
    <row r="57" spans="1:17">
      <c r="A57" t="s">
        <v>55</v>
      </c>
      <c r="B57" t="s">
        <v>56</v>
      </c>
      <c r="C57" t="s">
        <v>15</v>
      </c>
      <c r="D57" t="s">
        <v>16</v>
      </c>
      <c r="E57">
        <v>3.0000000000000001E-3</v>
      </c>
      <c r="F57">
        <v>0</v>
      </c>
      <c r="G57">
        <v>3.0000000000000001E-3</v>
      </c>
      <c r="H57">
        <f>G57*VLOOKUP(C57,GWPs!$B$3:$C$6,2,FALSE)</f>
        <v>3.0000000000000001E-3</v>
      </c>
      <c r="I57">
        <v>4</v>
      </c>
      <c r="J57">
        <v>2</v>
      </c>
      <c r="K57">
        <v>1</v>
      </c>
      <c r="L57">
        <v>4</v>
      </c>
      <c r="M57">
        <v>1</v>
      </c>
      <c r="P57" t="s">
        <v>141</v>
      </c>
      <c r="Q57">
        <f t="shared" si="0"/>
        <v>0.17599999999999999</v>
      </c>
    </row>
    <row r="58" spans="1:17">
      <c r="A58" t="s">
        <v>57</v>
      </c>
      <c r="B58" t="s">
        <v>58</v>
      </c>
      <c r="C58" t="s">
        <v>3653</v>
      </c>
      <c r="D58" t="s">
        <v>12</v>
      </c>
      <c r="E58">
        <v>0.47599999999999998</v>
      </c>
      <c r="F58">
        <v>1.4999999999999999E-2</v>
      </c>
      <c r="G58">
        <v>0.49</v>
      </c>
      <c r="H58">
        <f>G58*VLOOKUP(C58,GWPs!$B$3:$C$6,2,FALSE)</f>
        <v>0.49</v>
      </c>
      <c r="I58">
        <v>4</v>
      </c>
      <c r="J58">
        <v>2</v>
      </c>
      <c r="K58">
        <v>1</v>
      </c>
      <c r="L58">
        <v>4</v>
      </c>
      <c r="M58">
        <v>1</v>
      </c>
      <c r="P58" t="s">
        <v>38</v>
      </c>
      <c r="Q58">
        <f t="shared" si="0"/>
        <v>0.35100000000000003</v>
      </c>
    </row>
    <row r="59" spans="1:17">
      <c r="A59" t="s">
        <v>57</v>
      </c>
      <c r="B59" t="s">
        <v>58</v>
      </c>
      <c r="C59" t="s">
        <v>3654</v>
      </c>
      <c r="D59" t="s">
        <v>12</v>
      </c>
      <c r="E59">
        <v>2E-3</v>
      </c>
      <c r="F59">
        <v>0</v>
      </c>
      <c r="G59">
        <v>2E-3</v>
      </c>
      <c r="H59">
        <f>G59*VLOOKUP(C59,GWPs!$B$3:$C$6,2,FALSE)</f>
        <v>5.6000000000000001E-2</v>
      </c>
      <c r="I59">
        <v>3</v>
      </c>
      <c r="J59">
        <v>2</v>
      </c>
      <c r="K59">
        <v>1</v>
      </c>
      <c r="L59">
        <v>1</v>
      </c>
      <c r="M59">
        <v>1</v>
      </c>
      <c r="P59" t="s">
        <v>46</v>
      </c>
      <c r="Q59">
        <f t="shared" si="0"/>
        <v>0.35899999999999999</v>
      </c>
    </row>
    <row r="60" spans="1:17">
      <c r="A60" t="s">
        <v>57</v>
      </c>
      <c r="B60" t="s">
        <v>58</v>
      </c>
      <c r="C60" t="s">
        <v>3655</v>
      </c>
      <c r="D60" t="s">
        <v>12</v>
      </c>
      <c r="E60">
        <v>0</v>
      </c>
      <c r="F60">
        <v>0</v>
      </c>
      <c r="G60">
        <v>0</v>
      </c>
      <c r="H60">
        <f>G60*VLOOKUP(C60,GWPs!$B$3:$C$6,2,FALSE)</f>
        <v>0</v>
      </c>
      <c r="I60">
        <v>3</v>
      </c>
      <c r="J60">
        <v>2</v>
      </c>
      <c r="K60">
        <v>1</v>
      </c>
      <c r="L60">
        <v>2</v>
      </c>
      <c r="M60">
        <v>1</v>
      </c>
      <c r="P60" t="s">
        <v>95</v>
      </c>
      <c r="Q60">
        <f t="shared" si="0"/>
        <v>0.14000000000000001</v>
      </c>
    </row>
    <row r="61" spans="1:17">
      <c r="A61" t="s">
        <v>57</v>
      </c>
      <c r="B61" t="s">
        <v>58</v>
      </c>
      <c r="C61" t="s">
        <v>15</v>
      </c>
      <c r="D61" t="s">
        <v>16</v>
      </c>
      <c r="E61">
        <v>1.0999999999999999E-2</v>
      </c>
      <c r="F61">
        <v>0</v>
      </c>
      <c r="G61">
        <v>1.0999999999999999E-2</v>
      </c>
      <c r="H61">
        <f>G61*VLOOKUP(C61,GWPs!$B$3:$C$6,2,FALSE)</f>
        <v>1.0999999999999999E-2</v>
      </c>
      <c r="I61">
        <v>3</v>
      </c>
      <c r="J61">
        <v>2</v>
      </c>
      <c r="K61">
        <v>1</v>
      </c>
      <c r="L61">
        <v>3</v>
      </c>
      <c r="M61">
        <v>1</v>
      </c>
      <c r="P61" t="s">
        <v>93</v>
      </c>
      <c r="Q61">
        <f t="shared" si="0"/>
        <v>1.3559999999999999</v>
      </c>
    </row>
    <row r="62" spans="1:17">
      <c r="A62" t="s">
        <v>59</v>
      </c>
      <c r="B62" t="s">
        <v>60</v>
      </c>
      <c r="C62" t="s">
        <v>3653</v>
      </c>
      <c r="D62" t="s">
        <v>12</v>
      </c>
      <c r="E62">
        <v>0.31</v>
      </c>
      <c r="F62">
        <v>1.0999999999999999E-2</v>
      </c>
      <c r="G62">
        <v>0.32100000000000001</v>
      </c>
      <c r="H62">
        <f>G62*VLOOKUP(C62,GWPs!$B$3:$C$6,2,FALSE)</f>
        <v>0.32100000000000001</v>
      </c>
      <c r="I62">
        <v>3</v>
      </c>
      <c r="J62">
        <v>2</v>
      </c>
      <c r="K62">
        <v>1</v>
      </c>
      <c r="L62">
        <v>3</v>
      </c>
      <c r="M62">
        <v>1</v>
      </c>
      <c r="P62" t="s">
        <v>40</v>
      </c>
      <c r="Q62">
        <f t="shared" si="0"/>
        <v>3.327</v>
      </c>
    </row>
    <row r="63" spans="1:17">
      <c r="A63" t="s">
        <v>59</v>
      </c>
      <c r="B63" t="s">
        <v>60</v>
      </c>
      <c r="C63" t="s">
        <v>3654</v>
      </c>
      <c r="D63" t="s">
        <v>12</v>
      </c>
      <c r="E63">
        <v>1E-3</v>
      </c>
      <c r="F63">
        <v>0</v>
      </c>
      <c r="G63">
        <v>1E-3</v>
      </c>
      <c r="H63">
        <f>G63*VLOOKUP(C63,GWPs!$B$3:$C$6,2,FALSE)</f>
        <v>2.8000000000000001E-2</v>
      </c>
      <c r="I63">
        <v>4</v>
      </c>
      <c r="J63">
        <v>2</v>
      </c>
      <c r="K63">
        <v>1</v>
      </c>
      <c r="L63">
        <v>1</v>
      </c>
      <c r="M63">
        <v>1</v>
      </c>
      <c r="P63" t="s">
        <v>101</v>
      </c>
      <c r="Q63">
        <f t="shared" si="0"/>
        <v>0.49500000000000005</v>
      </c>
    </row>
    <row r="64" spans="1:17">
      <c r="A64" t="s">
        <v>59</v>
      </c>
      <c r="B64" t="s">
        <v>60</v>
      </c>
      <c r="C64" t="s">
        <v>3655</v>
      </c>
      <c r="D64" t="s">
        <v>12</v>
      </c>
      <c r="E64">
        <v>0</v>
      </c>
      <c r="F64">
        <v>0</v>
      </c>
      <c r="G64">
        <v>0</v>
      </c>
      <c r="H64">
        <f>G64*VLOOKUP(C64,GWPs!$B$3:$C$6,2,FALSE)</f>
        <v>0</v>
      </c>
      <c r="I64">
        <v>3</v>
      </c>
      <c r="J64">
        <v>2</v>
      </c>
      <c r="K64">
        <v>1</v>
      </c>
      <c r="L64">
        <v>2</v>
      </c>
      <c r="M64">
        <v>1</v>
      </c>
      <c r="P64" t="s">
        <v>132</v>
      </c>
      <c r="Q64">
        <f t="shared" si="0"/>
        <v>1.58</v>
      </c>
    </row>
    <row r="65" spans="1:17">
      <c r="A65" t="s">
        <v>59</v>
      </c>
      <c r="B65" t="s">
        <v>60</v>
      </c>
      <c r="C65" t="s">
        <v>15</v>
      </c>
      <c r="D65" t="s">
        <v>16</v>
      </c>
      <c r="E65">
        <v>1.0999999999999999E-2</v>
      </c>
      <c r="F65">
        <v>0</v>
      </c>
      <c r="G65">
        <v>1.0999999999999999E-2</v>
      </c>
      <c r="H65">
        <f>G65*VLOOKUP(C65,GWPs!$B$3:$C$6,2,FALSE)</f>
        <v>1.0999999999999999E-2</v>
      </c>
      <c r="I65">
        <v>4</v>
      </c>
      <c r="J65">
        <v>2</v>
      </c>
      <c r="K65">
        <v>1</v>
      </c>
      <c r="L65">
        <v>4</v>
      </c>
      <c r="M65">
        <v>1</v>
      </c>
      <c r="P65" t="s">
        <v>91</v>
      </c>
      <c r="Q65">
        <f t="shared" si="0"/>
        <v>0.77</v>
      </c>
    </row>
    <row r="66" spans="1:17">
      <c r="A66" t="s">
        <v>61</v>
      </c>
      <c r="B66" t="s">
        <v>62</v>
      </c>
      <c r="C66" t="s">
        <v>3653</v>
      </c>
      <c r="D66" t="s">
        <v>12</v>
      </c>
      <c r="E66">
        <v>0.78600000000000003</v>
      </c>
      <c r="F66">
        <v>3.4000000000000002E-2</v>
      </c>
      <c r="G66">
        <v>0.82</v>
      </c>
      <c r="H66">
        <f>G66*VLOOKUP(C66,GWPs!$B$3:$C$6,2,FALSE)</f>
        <v>0.82</v>
      </c>
      <c r="I66">
        <v>3</v>
      </c>
      <c r="J66">
        <v>2</v>
      </c>
      <c r="K66">
        <v>1</v>
      </c>
      <c r="L66">
        <v>3</v>
      </c>
      <c r="M66">
        <v>1</v>
      </c>
      <c r="P66" t="s">
        <v>81</v>
      </c>
      <c r="Q66">
        <f t="shared" si="0"/>
        <v>0.14600000000000002</v>
      </c>
    </row>
    <row r="67" spans="1:17">
      <c r="A67" t="s">
        <v>61</v>
      </c>
      <c r="B67" t="s">
        <v>62</v>
      </c>
      <c r="C67" t="s">
        <v>3654</v>
      </c>
      <c r="D67" t="s">
        <v>12</v>
      </c>
      <c r="E67">
        <v>2E-3</v>
      </c>
      <c r="F67">
        <v>0</v>
      </c>
      <c r="G67">
        <v>2E-3</v>
      </c>
      <c r="H67">
        <f>G67*VLOOKUP(C67,GWPs!$B$3:$C$6,2,FALSE)</f>
        <v>5.6000000000000001E-2</v>
      </c>
      <c r="I67">
        <v>4</v>
      </c>
      <c r="J67">
        <v>2</v>
      </c>
      <c r="K67">
        <v>1</v>
      </c>
      <c r="L67">
        <v>1</v>
      </c>
      <c r="M67">
        <v>1</v>
      </c>
      <c r="P67" t="s">
        <v>50</v>
      </c>
      <c r="Q67">
        <f>SUMIF(B:B,P67,H:H)</f>
        <v>0.27300000000000002</v>
      </c>
    </row>
    <row r="68" spans="1:17">
      <c r="A68" t="s">
        <v>61</v>
      </c>
      <c r="B68" t="s">
        <v>62</v>
      </c>
      <c r="C68" t="s">
        <v>3655</v>
      </c>
      <c r="D68" t="s">
        <v>12</v>
      </c>
      <c r="E68">
        <v>0</v>
      </c>
      <c r="F68">
        <v>0</v>
      </c>
      <c r="G68">
        <v>0</v>
      </c>
      <c r="H68">
        <f>G68*VLOOKUP(C68,GWPs!$B$3:$C$6,2,FALSE)</f>
        <v>0</v>
      </c>
      <c r="I68">
        <v>3</v>
      </c>
      <c r="J68">
        <v>2</v>
      </c>
      <c r="K68">
        <v>1</v>
      </c>
      <c r="L68">
        <v>3</v>
      </c>
      <c r="M68">
        <v>1</v>
      </c>
    </row>
    <row r="69" spans="1:17">
      <c r="A69" t="s">
        <v>61</v>
      </c>
      <c r="B69" t="s">
        <v>62</v>
      </c>
      <c r="C69" t="s">
        <v>15</v>
      </c>
      <c r="D69" t="s">
        <v>16</v>
      </c>
      <c r="E69">
        <v>4.0000000000000001E-3</v>
      </c>
      <c r="F69">
        <v>0</v>
      </c>
      <c r="G69">
        <v>4.0000000000000001E-3</v>
      </c>
      <c r="H69">
        <f>G69*VLOOKUP(C69,GWPs!$B$3:$C$6,2,FALSE)</f>
        <v>4.0000000000000001E-3</v>
      </c>
      <c r="I69">
        <v>4</v>
      </c>
      <c r="J69">
        <v>2</v>
      </c>
      <c r="K69">
        <v>1</v>
      </c>
      <c r="L69">
        <v>4</v>
      </c>
      <c r="M69">
        <v>1</v>
      </c>
    </row>
    <row r="70" spans="1:17">
      <c r="A70" t="s">
        <v>63</v>
      </c>
      <c r="B70" t="s">
        <v>64</v>
      </c>
      <c r="C70" t="s">
        <v>3653</v>
      </c>
      <c r="D70" t="s">
        <v>12</v>
      </c>
      <c r="E70">
        <v>0.66300000000000003</v>
      </c>
      <c r="F70">
        <v>1.7000000000000001E-2</v>
      </c>
      <c r="G70">
        <v>0.68</v>
      </c>
      <c r="H70">
        <f>G70*VLOOKUP(C70,GWPs!$B$3:$C$6,2,FALSE)</f>
        <v>0.68</v>
      </c>
      <c r="I70">
        <v>2</v>
      </c>
      <c r="J70">
        <v>2</v>
      </c>
      <c r="K70">
        <v>1</v>
      </c>
      <c r="L70">
        <v>2</v>
      </c>
      <c r="M70">
        <v>1</v>
      </c>
    </row>
    <row r="71" spans="1:17">
      <c r="A71" t="s">
        <v>63</v>
      </c>
      <c r="B71" t="s">
        <v>64</v>
      </c>
      <c r="C71" t="s">
        <v>3654</v>
      </c>
      <c r="D71" t="s">
        <v>12</v>
      </c>
      <c r="E71">
        <v>3.0000000000000001E-3</v>
      </c>
      <c r="F71">
        <v>0</v>
      </c>
      <c r="G71">
        <v>4.0000000000000001E-3</v>
      </c>
      <c r="H71">
        <f>G71*VLOOKUP(C71,GWPs!$B$3:$C$6,2,FALSE)</f>
        <v>0.112</v>
      </c>
      <c r="I71">
        <v>4</v>
      </c>
      <c r="J71">
        <v>2</v>
      </c>
      <c r="K71">
        <v>1</v>
      </c>
      <c r="L71">
        <v>1</v>
      </c>
      <c r="M71">
        <v>1</v>
      </c>
    </row>
    <row r="72" spans="1:17">
      <c r="A72" t="s">
        <v>63</v>
      </c>
      <c r="B72" t="s">
        <v>64</v>
      </c>
      <c r="C72" t="s">
        <v>3655</v>
      </c>
      <c r="D72" t="s">
        <v>12</v>
      </c>
      <c r="E72">
        <v>0</v>
      </c>
      <c r="F72">
        <v>0</v>
      </c>
      <c r="G72">
        <v>0</v>
      </c>
      <c r="H72">
        <f>G72*VLOOKUP(C72,GWPs!$B$3:$C$6,2,FALSE)</f>
        <v>0</v>
      </c>
      <c r="I72">
        <v>3</v>
      </c>
      <c r="J72">
        <v>2</v>
      </c>
      <c r="K72">
        <v>1</v>
      </c>
      <c r="L72">
        <v>3</v>
      </c>
      <c r="M72">
        <v>1</v>
      </c>
    </row>
    <row r="73" spans="1:17">
      <c r="A73" t="s">
        <v>63</v>
      </c>
      <c r="B73" t="s">
        <v>64</v>
      </c>
      <c r="C73" t="s">
        <v>15</v>
      </c>
      <c r="D73" t="s">
        <v>16</v>
      </c>
      <c r="E73">
        <v>1.9E-2</v>
      </c>
      <c r="F73">
        <v>0</v>
      </c>
      <c r="G73">
        <v>1.9E-2</v>
      </c>
      <c r="H73">
        <f>G73*VLOOKUP(C73,GWPs!$B$3:$C$6,2,FALSE)</f>
        <v>1.9E-2</v>
      </c>
      <c r="I73">
        <v>3</v>
      </c>
      <c r="J73">
        <v>2</v>
      </c>
      <c r="K73">
        <v>1</v>
      </c>
      <c r="L73">
        <v>2</v>
      </c>
      <c r="M73">
        <v>1</v>
      </c>
    </row>
    <row r="74" spans="1:17">
      <c r="A74" t="s">
        <v>65</v>
      </c>
      <c r="B74" t="s">
        <v>66</v>
      </c>
      <c r="C74" t="s">
        <v>3653</v>
      </c>
      <c r="D74" t="s">
        <v>12</v>
      </c>
      <c r="E74">
        <v>0.26100000000000001</v>
      </c>
      <c r="F74">
        <v>1.2E-2</v>
      </c>
      <c r="G74">
        <v>0.27300000000000002</v>
      </c>
      <c r="H74">
        <f>G74*VLOOKUP(C74,GWPs!$B$3:$C$6,2,FALSE)</f>
        <v>0.27300000000000002</v>
      </c>
      <c r="I74">
        <v>3</v>
      </c>
      <c r="J74">
        <v>2</v>
      </c>
      <c r="K74">
        <v>1</v>
      </c>
      <c r="L74">
        <v>3</v>
      </c>
      <c r="M74">
        <v>1</v>
      </c>
    </row>
    <row r="75" spans="1:17">
      <c r="A75" t="s">
        <v>65</v>
      </c>
      <c r="B75" t="s">
        <v>66</v>
      </c>
      <c r="C75" t="s">
        <v>3654</v>
      </c>
      <c r="D75" t="s">
        <v>12</v>
      </c>
      <c r="E75">
        <v>1E-3</v>
      </c>
      <c r="F75">
        <v>0</v>
      </c>
      <c r="G75">
        <v>1E-3</v>
      </c>
      <c r="H75">
        <f>G75*VLOOKUP(C75,GWPs!$B$3:$C$6,2,FALSE)</f>
        <v>2.8000000000000001E-2</v>
      </c>
      <c r="I75">
        <v>4</v>
      </c>
      <c r="J75">
        <v>2</v>
      </c>
      <c r="K75">
        <v>1</v>
      </c>
      <c r="L75">
        <v>1</v>
      </c>
      <c r="M75">
        <v>1</v>
      </c>
    </row>
    <row r="76" spans="1:17">
      <c r="A76" t="s">
        <v>65</v>
      </c>
      <c r="B76" t="s">
        <v>66</v>
      </c>
      <c r="C76" t="s">
        <v>3655</v>
      </c>
      <c r="D76" t="s">
        <v>12</v>
      </c>
      <c r="E76">
        <v>0</v>
      </c>
      <c r="F76">
        <v>0</v>
      </c>
      <c r="G76">
        <v>0</v>
      </c>
      <c r="H76">
        <f>G76*VLOOKUP(C76,GWPs!$B$3:$C$6,2,FALSE)</f>
        <v>0</v>
      </c>
      <c r="I76">
        <v>3</v>
      </c>
      <c r="J76">
        <v>2</v>
      </c>
      <c r="K76">
        <v>1</v>
      </c>
      <c r="L76">
        <v>3</v>
      </c>
      <c r="M76">
        <v>1</v>
      </c>
    </row>
    <row r="77" spans="1:17">
      <c r="A77" t="s">
        <v>65</v>
      </c>
      <c r="B77" t="s">
        <v>66</v>
      </c>
      <c r="C77" t="s">
        <v>15</v>
      </c>
      <c r="D77" t="s">
        <v>16</v>
      </c>
      <c r="E77">
        <v>8.0000000000000002E-3</v>
      </c>
      <c r="F77">
        <v>0</v>
      </c>
      <c r="G77">
        <v>8.0000000000000002E-3</v>
      </c>
      <c r="H77">
        <f>G77*VLOOKUP(C77,GWPs!$B$3:$C$6,2,FALSE)</f>
        <v>8.0000000000000002E-3</v>
      </c>
      <c r="I77">
        <v>3</v>
      </c>
      <c r="J77">
        <v>2</v>
      </c>
      <c r="K77">
        <v>1</v>
      </c>
      <c r="L77">
        <v>3</v>
      </c>
      <c r="M77">
        <v>1</v>
      </c>
    </row>
    <row r="78" spans="1:17">
      <c r="A78" t="s">
        <v>67</v>
      </c>
      <c r="B78" t="s">
        <v>68</v>
      </c>
      <c r="C78" t="s">
        <v>3653</v>
      </c>
      <c r="D78" t="s">
        <v>12</v>
      </c>
      <c r="E78">
        <v>0.182</v>
      </c>
      <c r="F78">
        <v>1.0999999999999999E-2</v>
      </c>
      <c r="G78">
        <v>0.19400000000000001</v>
      </c>
      <c r="H78">
        <f>G78*VLOOKUP(C78,GWPs!$B$3:$C$6,2,FALSE)</f>
        <v>0.19400000000000001</v>
      </c>
      <c r="I78">
        <v>3</v>
      </c>
      <c r="J78">
        <v>2</v>
      </c>
      <c r="K78">
        <v>1</v>
      </c>
      <c r="L78">
        <v>3</v>
      </c>
      <c r="M78">
        <v>1</v>
      </c>
    </row>
    <row r="79" spans="1:17">
      <c r="A79" t="s">
        <v>67</v>
      </c>
      <c r="B79" t="s">
        <v>68</v>
      </c>
      <c r="C79" t="s">
        <v>3654</v>
      </c>
      <c r="D79" t="s">
        <v>12</v>
      </c>
      <c r="E79">
        <v>1E-3</v>
      </c>
      <c r="F79">
        <v>0</v>
      </c>
      <c r="G79">
        <v>1E-3</v>
      </c>
      <c r="H79">
        <f>G79*VLOOKUP(C79,GWPs!$B$3:$C$6,2,FALSE)</f>
        <v>2.8000000000000001E-2</v>
      </c>
      <c r="I79">
        <v>4</v>
      </c>
      <c r="J79">
        <v>2</v>
      </c>
      <c r="K79">
        <v>1</v>
      </c>
      <c r="L79">
        <v>1</v>
      </c>
      <c r="M79">
        <v>1</v>
      </c>
    </row>
    <row r="80" spans="1:17">
      <c r="A80" t="s">
        <v>67</v>
      </c>
      <c r="B80" t="s">
        <v>68</v>
      </c>
      <c r="C80" t="s">
        <v>3655</v>
      </c>
      <c r="D80" t="s">
        <v>12</v>
      </c>
      <c r="E80">
        <v>0</v>
      </c>
      <c r="F80">
        <v>0</v>
      </c>
      <c r="G80">
        <v>0</v>
      </c>
      <c r="H80">
        <f>G80*VLOOKUP(C80,GWPs!$B$3:$C$6,2,FALSE)</f>
        <v>0</v>
      </c>
      <c r="I80">
        <v>3</v>
      </c>
      <c r="J80">
        <v>2</v>
      </c>
      <c r="K80">
        <v>1</v>
      </c>
      <c r="L80">
        <v>3</v>
      </c>
      <c r="M80">
        <v>1</v>
      </c>
    </row>
    <row r="81" spans="1:13">
      <c r="A81" t="s">
        <v>67</v>
      </c>
      <c r="B81" t="s">
        <v>68</v>
      </c>
      <c r="C81" t="s">
        <v>15</v>
      </c>
      <c r="D81" t="s">
        <v>16</v>
      </c>
      <c r="E81">
        <v>4.5999999999999999E-2</v>
      </c>
      <c r="F81">
        <v>0</v>
      </c>
      <c r="G81">
        <v>4.5999999999999999E-2</v>
      </c>
      <c r="H81">
        <f>G81*VLOOKUP(C81,GWPs!$B$3:$C$6,2,FALSE)</f>
        <v>4.5999999999999999E-2</v>
      </c>
      <c r="I81">
        <v>4</v>
      </c>
      <c r="J81">
        <v>2</v>
      </c>
      <c r="K81">
        <v>1</v>
      </c>
      <c r="L81">
        <v>5</v>
      </c>
      <c r="M81">
        <v>1</v>
      </c>
    </row>
    <row r="82" spans="1:13">
      <c r="A82" t="s">
        <v>69</v>
      </c>
      <c r="B82" t="s">
        <v>70</v>
      </c>
      <c r="C82" t="s">
        <v>3653</v>
      </c>
      <c r="D82" t="s">
        <v>12</v>
      </c>
      <c r="E82">
        <v>7.4999999999999997E-2</v>
      </c>
      <c r="F82">
        <v>8.0000000000000002E-3</v>
      </c>
      <c r="G82">
        <v>8.3000000000000004E-2</v>
      </c>
      <c r="H82">
        <f>G82*VLOOKUP(C82,GWPs!$B$3:$C$6,2,FALSE)</f>
        <v>8.3000000000000004E-2</v>
      </c>
      <c r="I82">
        <v>3</v>
      </c>
      <c r="J82">
        <v>2</v>
      </c>
      <c r="K82">
        <v>1</v>
      </c>
      <c r="L82">
        <v>3</v>
      </c>
      <c r="M82">
        <v>1</v>
      </c>
    </row>
    <row r="83" spans="1:13">
      <c r="A83" t="s">
        <v>69</v>
      </c>
      <c r="B83" t="s">
        <v>70</v>
      </c>
      <c r="C83" t="s">
        <v>3654</v>
      </c>
      <c r="D83" t="s">
        <v>12</v>
      </c>
      <c r="E83">
        <v>0</v>
      </c>
      <c r="F83">
        <v>0</v>
      </c>
      <c r="G83">
        <v>0</v>
      </c>
      <c r="H83">
        <f>G83*VLOOKUP(C83,GWPs!$B$3:$C$6,2,FALSE)</f>
        <v>0</v>
      </c>
      <c r="I83">
        <v>3</v>
      </c>
      <c r="J83">
        <v>2</v>
      </c>
      <c r="K83">
        <v>1</v>
      </c>
      <c r="L83">
        <v>1</v>
      </c>
      <c r="M83">
        <v>1</v>
      </c>
    </row>
    <row r="84" spans="1:13">
      <c r="A84" t="s">
        <v>69</v>
      </c>
      <c r="B84" t="s">
        <v>70</v>
      </c>
      <c r="C84" t="s">
        <v>3655</v>
      </c>
      <c r="D84" t="s">
        <v>12</v>
      </c>
      <c r="E84">
        <v>0</v>
      </c>
      <c r="F84">
        <v>0</v>
      </c>
      <c r="G84">
        <v>0</v>
      </c>
      <c r="H84">
        <f>G84*VLOOKUP(C84,GWPs!$B$3:$C$6,2,FALSE)</f>
        <v>0</v>
      </c>
      <c r="I84">
        <v>3</v>
      </c>
      <c r="J84">
        <v>2</v>
      </c>
      <c r="K84">
        <v>1</v>
      </c>
      <c r="L84">
        <v>2</v>
      </c>
      <c r="M84">
        <v>1</v>
      </c>
    </row>
    <row r="85" spans="1:13">
      <c r="A85" t="s">
        <v>69</v>
      </c>
      <c r="B85" t="s">
        <v>70</v>
      </c>
      <c r="C85" t="s">
        <v>15</v>
      </c>
      <c r="D85" t="s">
        <v>16</v>
      </c>
      <c r="E85">
        <v>1.4999999999999999E-2</v>
      </c>
      <c r="F85">
        <v>0</v>
      </c>
      <c r="G85">
        <v>1.4999999999999999E-2</v>
      </c>
      <c r="H85">
        <f>G85*VLOOKUP(C85,GWPs!$B$3:$C$6,2,FALSE)</f>
        <v>1.4999999999999999E-2</v>
      </c>
      <c r="I85">
        <v>2</v>
      </c>
      <c r="J85">
        <v>2</v>
      </c>
      <c r="K85">
        <v>1</v>
      </c>
      <c r="L85">
        <v>1</v>
      </c>
      <c r="M85">
        <v>1</v>
      </c>
    </row>
    <row r="86" spans="1:13">
      <c r="A86" t="s">
        <v>71</v>
      </c>
      <c r="B86" t="s">
        <v>72</v>
      </c>
      <c r="C86" t="s">
        <v>3653</v>
      </c>
      <c r="D86" t="s">
        <v>12</v>
      </c>
      <c r="E86">
        <v>0.19800000000000001</v>
      </c>
      <c r="F86">
        <v>1.4999999999999999E-2</v>
      </c>
      <c r="G86">
        <v>0.21299999999999999</v>
      </c>
      <c r="H86">
        <f>G86*VLOOKUP(C86,GWPs!$B$3:$C$6,2,FALSE)</f>
        <v>0.21299999999999999</v>
      </c>
      <c r="I86">
        <v>3</v>
      </c>
      <c r="J86">
        <v>2</v>
      </c>
      <c r="K86">
        <v>1</v>
      </c>
      <c r="L86">
        <v>3</v>
      </c>
      <c r="M86">
        <v>1</v>
      </c>
    </row>
    <row r="87" spans="1:13">
      <c r="A87" t="s">
        <v>71</v>
      </c>
      <c r="B87" t="s">
        <v>72</v>
      </c>
      <c r="C87" t="s">
        <v>3654</v>
      </c>
      <c r="D87" t="s">
        <v>12</v>
      </c>
      <c r="E87">
        <v>1E-3</v>
      </c>
      <c r="F87">
        <v>0</v>
      </c>
      <c r="G87">
        <v>1E-3</v>
      </c>
      <c r="H87">
        <f>G87*VLOOKUP(C87,GWPs!$B$3:$C$6,2,FALSE)</f>
        <v>2.8000000000000001E-2</v>
      </c>
      <c r="I87">
        <v>4</v>
      </c>
      <c r="J87">
        <v>2</v>
      </c>
      <c r="K87">
        <v>1</v>
      </c>
      <c r="L87">
        <v>1</v>
      </c>
      <c r="M87">
        <v>1</v>
      </c>
    </row>
    <row r="88" spans="1:13">
      <c r="A88" t="s">
        <v>71</v>
      </c>
      <c r="B88" t="s">
        <v>72</v>
      </c>
      <c r="C88" t="s">
        <v>3655</v>
      </c>
      <c r="D88" t="s">
        <v>12</v>
      </c>
      <c r="E88">
        <v>0</v>
      </c>
      <c r="F88">
        <v>0</v>
      </c>
      <c r="G88">
        <v>0</v>
      </c>
      <c r="H88">
        <f>G88*VLOOKUP(C88,GWPs!$B$3:$C$6,2,FALSE)</f>
        <v>0</v>
      </c>
      <c r="I88">
        <v>3</v>
      </c>
      <c r="J88">
        <v>2</v>
      </c>
      <c r="K88">
        <v>1</v>
      </c>
      <c r="L88">
        <v>3</v>
      </c>
      <c r="M88">
        <v>1</v>
      </c>
    </row>
    <row r="89" spans="1:13">
      <c r="A89" t="s">
        <v>71</v>
      </c>
      <c r="B89" t="s">
        <v>72</v>
      </c>
      <c r="C89" t="s">
        <v>15</v>
      </c>
      <c r="D89" t="s">
        <v>16</v>
      </c>
      <c r="E89">
        <v>1.0999999999999999E-2</v>
      </c>
      <c r="F89">
        <v>0</v>
      </c>
      <c r="G89">
        <v>1.0999999999999999E-2</v>
      </c>
      <c r="H89">
        <f>G89*VLOOKUP(C89,GWPs!$B$3:$C$6,2,FALSE)</f>
        <v>1.0999999999999999E-2</v>
      </c>
      <c r="I89">
        <v>4</v>
      </c>
      <c r="J89">
        <v>2</v>
      </c>
      <c r="K89">
        <v>1</v>
      </c>
      <c r="L89">
        <v>4</v>
      </c>
      <c r="M89">
        <v>1</v>
      </c>
    </row>
    <row r="90" spans="1:13">
      <c r="A90" t="s">
        <v>73</v>
      </c>
      <c r="B90" t="s">
        <v>74</v>
      </c>
      <c r="C90" t="s">
        <v>3653</v>
      </c>
      <c r="D90" t="s">
        <v>12</v>
      </c>
      <c r="E90">
        <v>0.222</v>
      </c>
      <c r="F90">
        <v>1.0999999999999999E-2</v>
      </c>
      <c r="G90">
        <v>0.23300000000000001</v>
      </c>
      <c r="H90">
        <f>G90*VLOOKUP(C90,GWPs!$B$3:$C$6,2,FALSE)</f>
        <v>0.23300000000000001</v>
      </c>
      <c r="I90">
        <v>3</v>
      </c>
      <c r="J90">
        <v>2</v>
      </c>
      <c r="K90">
        <v>1</v>
      </c>
      <c r="L90">
        <v>3</v>
      </c>
      <c r="M90">
        <v>1</v>
      </c>
    </row>
    <row r="91" spans="1:13">
      <c r="A91" t="s">
        <v>73</v>
      </c>
      <c r="B91" t="s">
        <v>74</v>
      </c>
      <c r="C91" t="s">
        <v>3654</v>
      </c>
      <c r="D91" t="s">
        <v>12</v>
      </c>
      <c r="E91">
        <v>1E-3</v>
      </c>
      <c r="F91">
        <v>0</v>
      </c>
      <c r="G91">
        <v>1E-3</v>
      </c>
      <c r="H91">
        <f>G91*VLOOKUP(C91,GWPs!$B$3:$C$6,2,FALSE)</f>
        <v>2.8000000000000001E-2</v>
      </c>
      <c r="I91">
        <v>4</v>
      </c>
      <c r="J91">
        <v>2</v>
      </c>
      <c r="K91">
        <v>1</v>
      </c>
      <c r="L91">
        <v>1</v>
      </c>
      <c r="M91">
        <v>1</v>
      </c>
    </row>
    <row r="92" spans="1:13">
      <c r="A92" t="s">
        <v>73</v>
      </c>
      <c r="B92" t="s">
        <v>74</v>
      </c>
      <c r="C92" t="s">
        <v>3655</v>
      </c>
      <c r="D92" t="s">
        <v>12</v>
      </c>
      <c r="E92">
        <v>0</v>
      </c>
      <c r="F92">
        <v>0</v>
      </c>
      <c r="G92">
        <v>0</v>
      </c>
      <c r="H92">
        <f>G92*VLOOKUP(C92,GWPs!$B$3:$C$6,2,FALSE)</f>
        <v>0</v>
      </c>
      <c r="I92">
        <v>3</v>
      </c>
      <c r="J92">
        <v>2</v>
      </c>
      <c r="K92">
        <v>1</v>
      </c>
      <c r="L92">
        <v>3</v>
      </c>
      <c r="M92">
        <v>1</v>
      </c>
    </row>
    <row r="93" spans="1:13">
      <c r="A93" t="s">
        <v>73</v>
      </c>
      <c r="B93" t="s">
        <v>74</v>
      </c>
      <c r="C93" t="s">
        <v>15</v>
      </c>
      <c r="D93" t="s">
        <v>16</v>
      </c>
      <c r="E93">
        <v>0.02</v>
      </c>
      <c r="F93">
        <v>0</v>
      </c>
      <c r="G93">
        <v>0.02</v>
      </c>
      <c r="H93">
        <f>G93*VLOOKUP(C93,GWPs!$B$3:$C$6,2,FALSE)</f>
        <v>0.02</v>
      </c>
      <c r="I93">
        <v>4</v>
      </c>
      <c r="J93">
        <v>2</v>
      </c>
      <c r="K93">
        <v>1</v>
      </c>
      <c r="L93">
        <v>4</v>
      </c>
      <c r="M93">
        <v>1</v>
      </c>
    </row>
    <row r="94" spans="1:13">
      <c r="A94" t="s">
        <v>75</v>
      </c>
      <c r="B94" t="s">
        <v>18</v>
      </c>
      <c r="C94" t="s">
        <v>3653</v>
      </c>
      <c r="D94" t="s">
        <v>12</v>
      </c>
      <c r="E94">
        <v>0.14000000000000001</v>
      </c>
      <c r="F94">
        <v>5.0000000000000001E-3</v>
      </c>
      <c r="G94">
        <v>0.14399999999999999</v>
      </c>
      <c r="H94">
        <f>G94*VLOOKUP(C94,GWPs!$B$3:$C$6,2,FALSE)</f>
        <v>0.14399999999999999</v>
      </c>
      <c r="I94">
        <v>3</v>
      </c>
      <c r="J94">
        <v>2</v>
      </c>
      <c r="K94">
        <v>1</v>
      </c>
      <c r="L94">
        <v>3</v>
      </c>
      <c r="M94">
        <v>1</v>
      </c>
    </row>
    <row r="95" spans="1:13">
      <c r="A95" t="s">
        <v>75</v>
      </c>
      <c r="B95" t="s">
        <v>18</v>
      </c>
      <c r="C95" t="s">
        <v>3654</v>
      </c>
      <c r="D95" t="s">
        <v>12</v>
      </c>
      <c r="E95">
        <v>1E-3</v>
      </c>
      <c r="F95">
        <v>0</v>
      </c>
      <c r="G95">
        <v>1E-3</v>
      </c>
      <c r="H95">
        <f>G95*VLOOKUP(C95,GWPs!$B$3:$C$6,2,FALSE)</f>
        <v>2.8000000000000001E-2</v>
      </c>
      <c r="I95">
        <v>3</v>
      </c>
      <c r="J95">
        <v>2</v>
      </c>
      <c r="K95">
        <v>1</v>
      </c>
      <c r="L95">
        <v>1</v>
      </c>
      <c r="M95">
        <v>1</v>
      </c>
    </row>
    <row r="96" spans="1:13">
      <c r="A96" t="s">
        <v>75</v>
      </c>
      <c r="B96" t="s">
        <v>18</v>
      </c>
      <c r="C96" t="s">
        <v>3655</v>
      </c>
      <c r="D96" t="s">
        <v>12</v>
      </c>
      <c r="E96">
        <v>0</v>
      </c>
      <c r="F96">
        <v>0</v>
      </c>
      <c r="G96">
        <v>0</v>
      </c>
      <c r="H96">
        <f>G96*VLOOKUP(C96,GWPs!$B$3:$C$6,2,FALSE)</f>
        <v>0</v>
      </c>
      <c r="I96">
        <v>3</v>
      </c>
      <c r="J96">
        <v>2</v>
      </c>
      <c r="K96">
        <v>1</v>
      </c>
      <c r="L96">
        <v>3</v>
      </c>
      <c r="M96">
        <v>1</v>
      </c>
    </row>
    <row r="97" spans="1:13">
      <c r="A97" t="s">
        <v>75</v>
      </c>
      <c r="B97" t="s">
        <v>18</v>
      </c>
      <c r="C97" t="s">
        <v>15</v>
      </c>
      <c r="D97" t="s">
        <v>16</v>
      </c>
      <c r="E97">
        <v>5.0000000000000001E-3</v>
      </c>
      <c r="F97">
        <v>0</v>
      </c>
      <c r="G97">
        <v>5.0000000000000001E-3</v>
      </c>
      <c r="H97">
        <f>G97*VLOOKUP(C97,GWPs!$B$3:$C$6,2,FALSE)</f>
        <v>5.0000000000000001E-3</v>
      </c>
      <c r="I97">
        <v>3</v>
      </c>
      <c r="J97">
        <v>2</v>
      </c>
      <c r="K97">
        <v>1</v>
      </c>
      <c r="L97">
        <v>3</v>
      </c>
      <c r="M97">
        <v>1</v>
      </c>
    </row>
    <row r="98" spans="1:13">
      <c r="A98" t="s">
        <v>76</v>
      </c>
      <c r="B98" t="s">
        <v>77</v>
      </c>
      <c r="C98" t="s">
        <v>3653</v>
      </c>
      <c r="D98" t="s">
        <v>12</v>
      </c>
      <c r="E98">
        <v>0.16700000000000001</v>
      </c>
      <c r="F98">
        <v>3.2000000000000001E-2</v>
      </c>
      <c r="G98">
        <v>0.19900000000000001</v>
      </c>
      <c r="H98">
        <f>G98*VLOOKUP(C98,GWPs!$B$3:$C$6,2,FALSE)</f>
        <v>0.19900000000000001</v>
      </c>
      <c r="I98">
        <v>3</v>
      </c>
      <c r="J98">
        <v>2</v>
      </c>
      <c r="K98">
        <v>1</v>
      </c>
      <c r="L98">
        <v>3</v>
      </c>
      <c r="M98">
        <v>1</v>
      </c>
    </row>
    <row r="99" spans="1:13">
      <c r="A99" t="s">
        <v>76</v>
      </c>
      <c r="B99" t="s">
        <v>77</v>
      </c>
      <c r="C99" t="s">
        <v>3654</v>
      </c>
      <c r="D99" t="s">
        <v>12</v>
      </c>
      <c r="E99">
        <v>1E-3</v>
      </c>
      <c r="F99">
        <v>0</v>
      </c>
      <c r="G99">
        <v>1E-3</v>
      </c>
      <c r="H99">
        <f>G99*VLOOKUP(C99,GWPs!$B$3:$C$6,2,FALSE)</f>
        <v>2.8000000000000001E-2</v>
      </c>
      <c r="I99">
        <v>3</v>
      </c>
      <c r="J99">
        <v>2</v>
      </c>
      <c r="K99">
        <v>1</v>
      </c>
      <c r="L99">
        <v>1</v>
      </c>
      <c r="M99">
        <v>1</v>
      </c>
    </row>
    <row r="100" spans="1:13">
      <c r="A100" t="s">
        <v>76</v>
      </c>
      <c r="B100" t="s">
        <v>77</v>
      </c>
      <c r="C100" t="s">
        <v>3655</v>
      </c>
      <c r="D100" t="s">
        <v>12</v>
      </c>
      <c r="E100">
        <v>0</v>
      </c>
      <c r="F100">
        <v>0</v>
      </c>
      <c r="G100">
        <v>0</v>
      </c>
      <c r="H100">
        <f>G100*VLOOKUP(C100,GWPs!$B$3:$C$6,2,FALSE)</f>
        <v>0</v>
      </c>
      <c r="I100">
        <v>3</v>
      </c>
      <c r="J100">
        <v>2</v>
      </c>
      <c r="K100">
        <v>1</v>
      </c>
      <c r="L100">
        <v>3</v>
      </c>
      <c r="M100">
        <v>1</v>
      </c>
    </row>
    <row r="101" spans="1:13">
      <c r="A101" t="s">
        <v>76</v>
      </c>
      <c r="B101" t="s">
        <v>77</v>
      </c>
      <c r="C101" t="s">
        <v>15</v>
      </c>
      <c r="D101" t="s">
        <v>16</v>
      </c>
      <c r="E101">
        <v>2.3E-2</v>
      </c>
      <c r="F101">
        <v>0</v>
      </c>
      <c r="G101">
        <v>2.3E-2</v>
      </c>
      <c r="H101">
        <f>G101*VLOOKUP(C101,GWPs!$B$3:$C$6,2,FALSE)</f>
        <v>2.3E-2</v>
      </c>
      <c r="I101">
        <v>4</v>
      </c>
      <c r="J101">
        <v>2</v>
      </c>
      <c r="K101">
        <v>1</v>
      </c>
      <c r="L101">
        <v>5</v>
      </c>
      <c r="M101">
        <v>1</v>
      </c>
    </row>
    <row r="102" spans="1:13">
      <c r="A102" t="s">
        <v>78</v>
      </c>
      <c r="B102" t="s">
        <v>79</v>
      </c>
      <c r="C102" t="s">
        <v>3653</v>
      </c>
      <c r="D102" t="s">
        <v>12</v>
      </c>
      <c r="E102">
        <v>0.124</v>
      </c>
      <c r="F102">
        <v>1.7999999999999999E-2</v>
      </c>
      <c r="G102">
        <v>0.14199999999999999</v>
      </c>
      <c r="H102">
        <f>G102*VLOOKUP(C102,GWPs!$B$3:$C$6,2,FALSE)</f>
        <v>0.14199999999999999</v>
      </c>
      <c r="I102">
        <v>3</v>
      </c>
      <c r="J102">
        <v>2</v>
      </c>
      <c r="K102">
        <v>1</v>
      </c>
      <c r="L102">
        <v>3</v>
      </c>
      <c r="M102">
        <v>1</v>
      </c>
    </row>
    <row r="103" spans="1:13">
      <c r="A103" t="s">
        <v>78</v>
      </c>
      <c r="B103" t="s">
        <v>79</v>
      </c>
      <c r="C103" t="s">
        <v>3654</v>
      </c>
      <c r="D103" t="s">
        <v>12</v>
      </c>
      <c r="E103">
        <v>1E-3</v>
      </c>
      <c r="F103">
        <v>0</v>
      </c>
      <c r="G103">
        <v>1E-3</v>
      </c>
      <c r="H103">
        <f>G103*VLOOKUP(C103,GWPs!$B$3:$C$6,2,FALSE)</f>
        <v>2.8000000000000001E-2</v>
      </c>
      <c r="I103">
        <v>3</v>
      </c>
      <c r="J103">
        <v>2</v>
      </c>
      <c r="K103">
        <v>1</v>
      </c>
      <c r="L103">
        <v>1</v>
      </c>
      <c r="M103">
        <v>1</v>
      </c>
    </row>
    <row r="104" spans="1:13">
      <c r="A104" t="s">
        <v>78</v>
      </c>
      <c r="B104" t="s">
        <v>79</v>
      </c>
      <c r="C104" t="s">
        <v>3655</v>
      </c>
      <c r="D104" t="s">
        <v>12</v>
      </c>
      <c r="E104">
        <v>0</v>
      </c>
      <c r="F104">
        <v>0</v>
      </c>
      <c r="G104">
        <v>0</v>
      </c>
      <c r="H104">
        <f>G104*VLOOKUP(C104,GWPs!$B$3:$C$6,2,FALSE)</f>
        <v>0</v>
      </c>
      <c r="I104">
        <v>3</v>
      </c>
      <c r="J104">
        <v>2</v>
      </c>
      <c r="K104">
        <v>1</v>
      </c>
      <c r="L104">
        <v>3</v>
      </c>
      <c r="M104">
        <v>1</v>
      </c>
    </row>
    <row r="105" spans="1:13">
      <c r="A105" t="s">
        <v>78</v>
      </c>
      <c r="B105" t="s">
        <v>79</v>
      </c>
      <c r="C105" t="s">
        <v>15</v>
      </c>
      <c r="D105" t="s">
        <v>16</v>
      </c>
      <c r="E105">
        <v>5.0000000000000001E-3</v>
      </c>
      <c r="F105">
        <v>0</v>
      </c>
      <c r="G105">
        <v>5.0000000000000001E-3</v>
      </c>
      <c r="H105">
        <f>G105*VLOOKUP(C105,GWPs!$B$3:$C$6,2,FALSE)</f>
        <v>5.0000000000000001E-3</v>
      </c>
      <c r="I105">
        <v>4</v>
      </c>
      <c r="J105">
        <v>2</v>
      </c>
      <c r="K105">
        <v>1</v>
      </c>
      <c r="L105">
        <v>4</v>
      </c>
      <c r="M105">
        <v>1</v>
      </c>
    </row>
    <row r="106" spans="1:13">
      <c r="A106" t="s">
        <v>80</v>
      </c>
      <c r="B106" t="s">
        <v>81</v>
      </c>
      <c r="C106" t="s">
        <v>3653</v>
      </c>
      <c r="D106" t="s">
        <v>12</v>
      </c>
      <c r="E106">
        <v>0.115</v>
      </c>
      <c r="F106">
        <v>0</v>
      </c>
      <c r="G106">
        <v>0.115</v>
      </c>
      <c r="H106">
        <f>G106*VLOOKUP(C106,GWPs!$B$3:$C$6,2,FALSE)</f>
        <v>0.115</v>
      </c>
      <c r="I106">
        <v>3</v>
      </c>
      <c r="J106">
        <v>2</v>
      </c>
      <c r="K106">
        <v>1</v>
      </c>
      <c r="L106">
        <v>3</v>
      </c>
      <c r="M106">
        <v>1</v>
      </c>
    </row>
    <row r="107" spans="1:13">
      <c r="A107" t="s">
        <v>80</v>
      </c>
      <c r="B107" t="s">
        <v>81</v>
      </c>
      <c r="C107" t="s">
        <v>3654</v>
      </c>
      <c r="D107" t="s">
        <v>12</v>
      </c>
      <c r="E107">
        <v>1E-3</v>
      </c>
      <c r="F107">
        <v>0</v>
      </c>
      <c r="G107">
        <v>1E-3</v>
      </c>
      <c r="H107">
        <f>G107*VLOOKUP(C107,GWPs!$B$3:$C$6,2,FALSE)</f>
        <v>2.8000000000000001E-2</v>
      </c>
      <c r="I107">
        <v>3</v>
      </c>
      <c r="J107">
        <v>2</v>
      </c>
      <c r="K107">
        <v>1</v>
      </c>
      <c r="L107">
        <v>1</v>
      </c>
      <c r="M107">
        <v>1</v>
      </c>
    </row>
    <row r="108" spans="1:13">
      <c r="A108" t="s">
        <v>80</v>
      </c>
      <c r="B108" t="s">
        <v>81</v>
      </c>
      <c r="C108" t="s">
        <v>3655</v>
      </c>
      <c r="D108" t="s">
        <v>12</v>
      </c>
      <c r="E108">
        <v>0</v>
      </c>
      <c r="F108">
        <v>0</v>
      </c>
      <c r="G108">
        <v>0</v>
      </c>
      <c r="H108">
        <f>G108*VLOOKUP(C108,GWPs!$B$3:$C$6,2,FALSE)</f>
        <v>0</v>
      </c>
      <c r="I108">
        <v>4</v>
      </c>
      <c r="J108">
        <v>2</v>
      </c>
      <c r="K108">
        <v>1</v>
      </c>
      <c r="L108">
        <v>3</v>
      </c>
      <c r="M108">
        <v>1</v>
      </c>
    </row>
    <row r="109" spans="1:13">
      <c r="A109" t="s">
        <v>80</v>
      </c>
      <c r="B109" t="s">
        <v>81</v>
      </c>
      <c r="C109" t="s">
        <v>15</v>
      </c>
      <c r="D109" t="s">
        <v>16</v>
      </c>
      <c r="E109">
        <v>3.0000000000000001E-3</v>
      </c>
      <c r="F109">
        <v>0</v>
      </c>
      <c r="G109">
        <v>3.0000000000000001E-3</v>
      </c>
      <c r="H109">
        <f>G109*VLOOKUP(C109,GWPs!$B$3:$C$6,2,FALSE)</f>
        <v>3.0000000000000001E-3</v>
      </c>
      <c r="I109">
        <v>4</v>
      </c>
      <c r="J109">
        <v>2</v>
      </c>
      <c r="K109">
        <v>1</v>
      </c>
      <c r="L109">
        <v>4</v>
      </c>
      <c r="M109">
        <v>1</v>
      </c>
    </row>
    <row r="110" spans="1:13">
      <c r="A110" t="s">
        <v>82</v>
      </c>
      <c r="B110" t="s">
        <v>83</v>
      </c>
      <c r="C110" t="s">
        <v>3653</v>
      </c>
      <c r="D110" t="s">
        <v>12</v>
      </c>
      <c r="E110">
        <v>0.123</v>
      </c>
      <c r="F110">
        <v>0</v>
      </c>
      <c r="G110">
        <v>0.123</v>
      </c>
      <c r="H110">
        <f>G110*VLOOKUP(C110,GWPs!$B$3:$C$6,2,FALSE)</f>
        <v>0.123</v>
      </c>
      <c r="I110">
        <v>3</v>
      </c>
      <c r="J110">
        <v>2</v>
      </c>
      <c r="K110">
        <v>1</v>
      </c>
      <c r="L110">
        <v>3</v>
      </c>
      <c r="M110">
        <v>1</v>
      </c>
    </row>
    <row r="111" spans="1:13">
      <c r="A111" t="s">
        <v>82</v>
      </c>
      <c r="B111" t="s">
        <v>83</v>
      </c>
      <c r="C111" t="s">
        <v>3654</v>
      </c>
      <c r="D111" t="s">
        <v>12</v>
      </c>
      <c r="E111">
        <v>1E-3</v>
      </c>
      <c r="F111">
        <v>0</v>
      </c>
      <c r="G111">
        <v>1E-3</v>
      </c>
      <c r="H111">
        <f>G111*VLOOKUP(C111,GWPs!$B$3:$C$6,2,FALSE)</f>
        <v>2.8000000000000001E-2</v>
      </c>
      <c r="I111">
        <v>3</v>
      </c>
      <c r="J111">
        <v>2</v>
      </c>
      <c r="K111">
        <v>1</v>
      </c>
      <c r="L111">
        <v>1</v>
      </c>
      <c r="M111">
        <v>1</v>
      </c>
    </row>
    <row r="112" spans="1:13">
      <c r="A112" t="s">
        <v>82</v>
      </c>
      <c r="B112" t="s">
        <v>83</v>
      </c>
      <c r="C112" t="s">
        <v>3655</v>
      </c>
      <c r="D112" t="s">
        <v>12</v>
      </c>
      <c r="E112">
        <v>0</v>
      </c>
      <c r="F112">
        <v>0</v>
      </c>
      <c r="G112">
        <v>0</v>
      </c>
      <c r="H112">
        <f>G112*VLOOKUP(C112,GWPs!$B$3:$C$6,2,FALSE)</f>
        <v>0</v>
      </c>
      <c r="I112">
        <v>4</v>
      </c>
      <c r="J112">
        <v>2</v>
      </c>
      <c r="K112">
        <v>1</v>
      </c>
      <c r="L112">
        <v>3</v>
      </c>
      <c r="M112">
        <v>1</v>
      </c>
    </row>
    <row r="113" spans="1:13">
      <c r="A113" t="s">
        <v>82</v>
      </c>
      <c r="B113" t="s">
        <v>83</v>
      </c>
      <c r="C113" t="s">
        <v>15</v>
      </c>
      <c r="D113" t="s">
        <v>16</v>
      </c>
      <c r="E113">
        <v>2E-3</v>
      </c>
      <c r="F113">
        <v>0</v>
      </c>
      <c r="G113">
        <v>2E-3</v>
      </c>
      <c r="H113">
        <f>G113*VLOOKUP(C113,GWPs!$B$3:$C$6,2,FALSE)</f>
        <v>2E-3</v>
      </c>
      <c r="I113">
        <v>4</v>
      </c>
      <c r="J113">
        <v>2</v>
      </c>
      <c r="K113">
        <v>1</v>
      </c>
      <c r="L113">
        <v>4</v>
      </c>
      <c r="M113">
        <v>1</v>
      </c>
    </row>
    <row r="114" spans="1:13">
      <c r="A114" t="s">
        <v>84</v>
      </c>
      <c r="B114" t="s">
        <v>19</v>
      </c>
      <c r="C114" t="s">
        <v>3653</v>
      </c>
      <c r="D114" t="s">
        <v>12</v>
      </c>
      <c r="E114">
        <v>0.17799999999999999</v>
      </c>
      <c r="F114">
        <v>3.0000000000000001E-3</v>
      </c>
      <c r="G114">
        <v>0.18099999999999999</v>
      </c>
      <c r="H114">
        <f>G114*VLOOKUP(C114,GWPs!$B$3:$C$6,2,FALSE)</f>
        <v>0.18099999999999999</v>
      </c>
      <c r="I114">
        <v>3</v>
      </c>
      <c r="J114">
        <v>2</v>
      </c>
      <c r="K114">
        <v>1</v>
      </c>
      <c r="L114">
        <v>3</v>
      </c>
      <c r="M114">
        <v>1</v>
      </c>
    </row>
    <row r="115" spans="1:13">
      <c r="A115" t="s">
        <v>84</v>
      </c>
      <c r="B115" t="s">
        <v>19</v>
      </c>
      <c r="C115" t="s">
        <v>3654</v>
      </c>
      <c r="D115" t="s">
        <v>12</v>
      </c>
      <c r="E115">
        <v>1E-3</v>
      </c>
      <c r="F115">
        <v>0</v>
      </c>
      <c r="G115">
        <v>1E-3</v>
      </c>
      <c r="H115">
        <f>G115*VLOOKUP(C115,GWPs!$B$3:$C$6,2,FALSE)</f>
        <v>2.8000000000000001E-2</v>
      </c>
      <c r="I115">
        <v>3</v>
      </c>
      <c r="J115">
        <v>2</v>
      </c>
      <c r="K115">
        <v>1</v>
      </c>
      <c r="L115">
        <v>1</v>
      </c>
      <c r="M115">
        <v>1</v>
      </c>
    </row>
    <row r="116" spans="1:13">
      <c r="A116" t="s">
        <v>84</v>
      </c>
      <c r="B116" t="s">
        <v>19</v>
      </c>
      <c r="C116" t="s">
        <v>3655</v>
      </c>
      <c r="D116" t="s">
        <v>12</v>
      </c>
      <c r="E116">
        <v>0</v>
      </c>
      <c r="F116">
        <v>0</v>
      </c>
      <c r="G116">
        <v>0</v>
      </c>
      <c r="H116">
        <f>G116*VLOOKUP(C116,GWPs!$B$3:$C$6,2,FALSE)</f>
        <v>0</v>
      </c>
      <c r="I116">
        <v>4</v>
      </c>
      <c r="J116">
        <v>2</v>
      </c>
      <c r="K116">
        <v>1</v>
      </c>
      <c r="L116">
        <v>4</v>
      </c>
      <c r="M116">
        <v>1</v>
      </c>
    </row>
    <row r="117" spans="1:13">
      <c r="A117" t="s">
        <v>84</v>
      </c>
      <c r="B117" t="s">
        <v>19</v>
      </c>
      <c r="C117" t="s">
        <v>15</v>
      </c>
      <c r="D117" t="s">
        <v>16</v>
      </c>
      <c r="E117">
        <v>4.0000000000000001E-3</v>
      </c>
      <c r="F117">
        <v>0</v>
      </c>
      <c r="G117">
        <v>4.0000000000000001E-3</v>
      </c>
      <c r="H117">
        <f>G117*VLOOKUP(C117,GWPs!$B$3:$C$6,2,FALSE)</f>
        <v>4.0000000000000001E-3</v>
      </c>
      <c r="I117">
        <v>4</v>
      </c>
      <c r="J117">
        <v>2</v>
      </c>
      <c r="K117">
        <v>1</v>
      </c>
      <c r="L117">
        <v>4</v>
      </c>
      <c r="M117">
        <v>1</v>
      </c>
    </row>
    <row r="118" spans="1:13">
      <c r="A118" t="s">
        <v>85</v>
      </c>
      <c r="B118" t="s">
        <v>20</v>
      </c>
      <c r="C118" t="s">
        <v>3653</v>
      </c>
      <c r="D118" t="s">
        <v>12</v>
      </c>
      <c r="E118">
        <v>0.161</v>
      </c>
      <c r="F118">
        <v>1E-3</v>
      </c>
      <c r="G118">
        <v>0.16200000000000001</v>
      </c>
      <c r="H118">
        <f>G118*VLOOKUP(C118,GWPs!$B$3:$C$6,2,FALSE)</f>
        <v>0.16200000000000001</v>
      </c>
      <c r="I118">
        <v>3</v>
      </c>
      <c r="J118">
        <v>2</v>
      </c>
      <c r="K118">
        <v>1</v>
      </c>
      <c r="L118">
        <v>3</v>
      </c>
      <c r="M118">
        <v>1</v>
      </c>
    </row>
    <row r="119" spans="1:13">
      <c r="A119" t="s">
        <v>85</v>
      </c>
      <c r="B119" t="s">
        <v>20</v>
      </c>
      <c r="C119" t="s">
        <v>3654</v>
      </c>
      <c r="D119" t="s">
        <v>12</v>
      </c>
      <c r="E119">
        <v>1E-3</v>
      </c>
      <c r="F119">
        <v>0</v>
      </c>
      <c r="G119">
        <v>1E-3</v>
      </c>
      <c r="H119">
        <f>G119*VLOOKUP(C119,GWPs!$B$3:$C$6,2,FALSE)</f>
        <v>2.8000000000000001E-2</v>
      </c>
      <c r="I119">
        <v>3</v>
      </c>
      <c r="J119">
        <v>2</v>
      </c>
      <c r="K119">
        <v>1</v>
      </c>
      <c r="L119">
        <v>1</v>
      </c>
      <c r="M119">
        <v>1</v>
      </c>
    </row>
    <row r="120" spans="1:13">
      <c r="A120" t="s">
        <v>85</v>
      </c>
      <c r="B120" t="s">
        <v>20</v>
      </c>
      <c r="C120" t="s">
        <v>3655</v>
      </c>
      <c r="D120" t="s">
        <v>12</v>
      </c>
      <c r="E120">
        <v>0</v>
      </c>
      <c r="F120">
        <v>0</v>
      </c>
      <c r="G120">
        <v>0</v>
      </c>
      <c r="H120">
        <f>G120*VLOOKUP(C120,GWPs!$B$3:$C$6,2,FALSE)</f>
        <v>0</v>
      </c>
      <c r="I120">
        <v>4</v>
      </c>
      <c r="J120">
        <v>2</v>
      </c>
      <c r="K120">
        <v>1</v>
      </c>
      <c r="L120">
        <v>3</v>
      </c>
      <c r="M120">
        <v>1</v>
      </c>
    </row>
    <row r="121" spans="1:13">
      <c r="A121" t="s">
        <v>85</v>
      </c>
      <c r="B121" t="s">
        <v>20</v>
      </c>
      <c r="C121" t="s">
        <v>15</v>
      </c>
      <c r="D121" t="s">
        <v>16</v>
      </c>
      <c r="E121">
        <v>3.0000000000000001E-3</v>
      </c>
      <c r="F121">
        <v>0</v>
      </c>
      <c r="G121">
        <v>3.0000000000000001E-3</v>
      </c>
      <c r="H121">
        <f>G121*VLOOKUP(C121,GWPs!$B$3:$C$6,2,FALSE)</f>
        <v>3.0000000000000001E-3</v>
      </c>
      <c r="I121">
        <v>4</v>
      </c>
      <c r="J121">
        <v>2</v>
      </c>
      <c r="K121">
        <v>1</v>
      </c>
      <c r="L121">
        <v>4</v>
      </c>
      <c r="M121">
        <v>1</v>
      </c>
    </row>
    <row r="122" spans="1:13">
      <c r="A122" t="s">
        <v>86</v>
      </c>
      <c r="B122" t="s">
        <v>87</v>
      </c>
      <c r="C122" t="s">
        <v>3653</v>
      </c>
      <c r="D122" t="s">
        <v>12</v>
      </c>
      <c r="E122">
        <v>0.90400000000000003</v>
      </c>
      <c r="F122">
        <v>0</v>
      </c>
      <c r="G122">
        <v>0.90400000000000003</v>
      </c>
      <c r="H122">
        <f>G122*VLOOKUP(C122,GWPs!$B$3:$C$6,2,FALSE)</f>
        <v>0.90400000000000003</v>
      </c>
      <c r="I122">
        <v>4</v>
      </c>
      <c r="J122">
        <v>2</v>
      </c>
      <c r="K122">
        <v>1</v>
      </c>
      <c r="L122">
        <v>1</v>
      </c>
      <c r="M122">
        <v>1</v>
      </c>
    </row>
    <row r="123" spans="1:13">
      <c r="A123" t="s">
        <v>86</v>
      </c>
      <c r="B123" t="s">
        <v>87</v>
      </c>
      <c r="C123" t="s">
        <v>3654</v>
      </c>
      <c r="D123" t="s">
        <v>12</v>
      </c>
      <c r="E123">
        <v>3.0000000000000001E-3</v>
      </c>
      <c r="F123">
        <v>0</v>
      </c>
      <c r="G123">
        <v>3.0000000000000001E-3</v>
      </c>
      <c r="H123">
        <f>G123*VLOOKUP(C123,GWPs!$B$3:$C$6,2,FALSE)</f>
        <v>8.4000000000000005E-2</v>
      </c>
      <c r="I123">
        <v>4</v>
      </c>
      <c r="J123">
        <v>2</v>
      </c>
      <c r="K123">
        <v>1</v>
      </c>
      <c r="L123">
        <v>1</v>
      </c>
      <c r="M123">
        <v>1</v>
      </c>
    </row>
    <row r="124" spans="1:13">
      <c r="A124" t="s">
        <v>86</v>
      </c>
      <c r="B124" t="s">
        <v>87</v>
      </c>
      <c r="C124" t="s">
        <v>3655</v>
      </c>
      <c r="D124" t="s">
        <v>12</v>
      </c>
      <c r="E124">
        <v>0</v>
      </c>
      <c r="F124">
        <v>0</v>
      </c>
      <c r="G124">
        <v>0</v>
      </c>
      <c r="H124">
        <f>G124*VLOOKUP(C124,GWPs!$B$3:$C$6,2,FALSE)</f>
        <v>0</v>
      </c>
      <c r="I124">
        <v>4</v>
      </c>
      <c r="J124">
        <v>2</v>
      </c>
      <c r="K124">
        <v>1</v>
      </c>
      <c r="L124">
        <v>4</v>
      </c>
      <c r="M124">
        <v>1</v>
      </c>
    </row>
    <row r="125" spans="1:13">
      <c r="A125" t="s">
        <v>86</v>
      </c>
      <c r="B125" t="s">
        <v>87</v>
      </c>
      <c r="C125" t="s">
        <v>15</v>
      </c>
      <c r="D125" t="s">
        <v>16</v>
      </c>
      <c r="E125">
        <v>2E-3</v>
      </c>
      <c r="F125">
        <v>0</v>
      </c>
      <c r="G125">
        <v>2E-3</v>
      </c>
      <c r="H125">
        <f>G125*VLOOKUP(C125,GWPs!$B$3:$C$6,2,FALSE)</f>
        <v>2E-3</v>
      </c>
      <c r="I125">
        <v>4</v>
      </c>
      <c r="J125">
        <v>2</v>
      </c>
      <c r="K125">
        <v>1</v>
      </c>
      <c r="L125">
        <v>4</v>
      </c>
      <c r="M125">
        <v>1</v>
      </c>
    </row>
    <row r="126" spans="1:13">
      <c r="A126" t="s">
        <v>88</v>
      </c>
      <c r="B126" t="s">
        <v>89</v>
      </c>
      <c r="C126" t="s">
        <v>3653</v>
      </c>
      <c r="D126" t="s">
        <v>12</v>
      </c>
      <c r="E126">
        <v>0.65500000000000003</v>
      </c>
      <c r="F126">
        <v>0</v>
      </c>
      <c r="G126">
        <v>0.65500000000000003</v>
      </c>
      <c r="H126">
        <f>G126*VLOOKUP(C126,GWPs!$B$3:$C$6,2,FALSE)</f>
        <v>0.65500000000000003</v>
      </c>
      <c r="I126">
        <v>4</v>
      </c>
      <c r="J126">
        <v>2</v>
      </c>
      <c r="K126">
        <v>1</v>
      </c>
      <c r="L126">
        <v>4</v>
      </c>
      <c r="M126">
        <v>1</v>
      </c>
    </row>
    <row r="127" spans="1:13">
      <c r="A127" t="s">
        <v>88</v>
      </c>
      <c r="B127" t="s">
        <v>89</v>
      </c>
      <c r="C127" t="s">
        <v>3654</v>
      </c>
      <c r="D127" t="s">
        <v>12</v>
      </c>
      <c r="E127">
        <v>2E-3</v>
      </c>
      <c r="F127">
        <v>0</v>
      </c>
      <c r="G127">
        <v>2E-3</v>
      </c>
      <c r="H127">
        <f>G127*VLOOKUP(C127,GWPs!$B$3:$C$6,2,FALSE)</f>
        <v>5.6000000000000001E-2</v>
      </c>
      <c r="I127">
        <v>4</v>
      </c>
      <c r="J127">
        <v>2</v>
      </c>
      <c r="K127">
        <v>1</v>
      </c>
      <c r="L127">
        <v>1</v>
      </c>
      <c r="M127">
        <v>1</v>
      </c>
    </row>
    <row r="128" spans="1:13">
      <c r="A128" t="s">
        <v>88</v>
      </c>
      <c r="B128" t="s">
        <v>89</v>
      </c>
      <c r="C128" t="s">
        <v>3655</v>
      </c>
      <c r="D128" t="s">
        <v>12</v>
      </c>
      <c r="E128">
        <v>0</v>
      </c>
      <c r="F128">
        <v>0</v>
      </c>
      <c r="G128">
        <v>0</v>
      </c>
      <c r="H128">
        <f>G128*VLOOKUP(C128,GWPs!$B$3:$C$6,2,FALSE)</f>
        <v>0</v>
      </c>
      <c r="I128">
        <v>4</v>
      </c>
      <c r="J128">
        <v>2</v>
      </c>
      <c r="K128">
        <v>1</v>
      </c>
      <c r="L128">
        <v>4</v>
      </c>
      <c r="M128">
        <v>1</v>
      </c>
    </row>
    <row r="129" spans="1:13">
      <c r="A129" t="s">
        <v>88</v>
      </c>
      <c r="B129" t="s">
        <v>89</v>
      </c>
      <c r="C129" t="s">
        <v>15</v>
      </c>
      <c r="D129" t="s">
        <v>16</v>
      </c>
      <c r="E129">
        <v>4.0000000000000001E-3</v>
      </c>
      <c r="F129">
        <v>0</v>
      </c>
      <c r="G129">
        <v>4.0000000000000001E-3</v>
      </c>
      <c r="H129">
        <f>G129*VLOOKUP(C129,GWPs!$B$3:$C$6,2,FALSE)</f>
        <v>4.0000000000000001E-3</v>
      </c>
      <c r="I129">
        <v>4</v>
      </c>
      <c r="J129">
        <v>2</v>
      </c>
      <c r="K129">
        <v>1</v>
      </c>
      <c r="L129">
        <v>4</v>
      </c>
      <c r="M129">
        <v>1</v>
      </c>
    </row>
    <row r="130" spans="1:13">
      <c r="A130" t="s">
        <v>90</v>
      </c>
      <c r="B130" t="s">
        <v>91</v>
      </c>
      <c r="C130" t="s">
        <v>3653</v>
      </c>
      <c r="D130" t="s">
        <v>12</v>
      </c>
      <c r="E130">
        <v>0.625</v>
      </c>
      <c r="F130">
        <v>0</v>
      </c>
      <c r="G130">
        <v>0.625</v>
      </c>
      <c r="H130">
        <f>G130*VLOOKUP(C130,GWPs!$B$3:$C$6,2,FALSE)</f>
        <v>0.625</v>
      </c>
      <c r="I130">
        <v>4</v>
      </c>
      <c r="J130">
        <v>2</v>
      </c>
      <c r="K130">
        <v>1</v>
      </c>
      <c r="L130">
        <v>2</v>
      </c>
      <c r="M130">
        <v>1</v>
      </c>
    </row>
    <row r="131" spans="1:13">
      <c r="A131" t="s">
        <v>90</v>
      </c>
      <c r="B131" t="s">
        <v>91</v>
      </c>
      <c r="C131" t="s">
        <v>3654</v>
      </c>
      <c r="D131" t="s">
        <v>12</v>
      </c>
      <c r="E131">
        <v>3.0000000000000001E-3</v>
      </c>
      <c r="F131">
        <v>0</v>
      </c>
      <c r="G131">
        <v>3.0000000000000001E-3</v>
      </c>
      <c r="H131">
        <f>G131*VLOOKUP(C131,GWPs!$B$3:$C$6,2,FALSE)</f>
        <v>8.4000000000000005E-2</v>
      </c>
      <c r="I131">
        <v>4</v>
      </c>
      <c r="J131">
        <v>2</v>
      </c>
      <c r="K131">
        <v>1</v>
      </c>
      <c r="L131">
        <v>2</v>
      </c>
      <c r="M131">
        <v>1</v>
      </c>
    </row>
    <row r="132" spans="1:13">
      <c r="A132" t="s">
        <v>90</v>
      </c>
      <c r="B132" t="s">
        <v>91</v>
      </c>
      <c r="C132" t="s">
        <v>3655</v>
      </c>
      <c r="D132" t="s">
        <v>12</v>
      </c>
      <c r="E132">
        <v>0</v>
      </c>
      <c r="F132">
        <v>0</v>
      </c>
      <c r="G132">
        <v>0</v>
      </c>
      <c r="H132">
        <f>G132*VLOOKUP(C132,GWPs!$B$3:$C$6,2,FALSE)</f>
        <v>0</v>
      </c>
      <c r="I132">
        <v>4</v>
      </c>
      <c r="J132">
        <v>2</v>
      </c>
      <c r="K132">
        <v>1</v>
      </c>
      <c r="L132">
        <v>4</v>
      </c>
      <c r="M132">
        <v>1</v>
      </c>
    </row>
    <row r="133" spans="1:13">
      <c r="A133" t="s">
        <v>90</v>
      </c>
      <c r="B133" t="s">
        <v>91</v>
      </c>
      <c r="C133" t="s">
        <v>15</v>
      </c>
      <c r="D133" t="s">
        <v>16</v>
      </c>
      <c r="E133">
        <v>6.0999999999999999E-2</v>
      </c>
      <c r="F133">
        <v>0</v>
      </c>
      <c r="G133">
        <v>6.0999999999999999E-2</v>
      </c>
      <c r="H133">
        <f>G133*VLOOKUP(C133,GWPs!$B$3:$C$6,2,FALSE)</f>
        <v>6.0999999999999999E-2</v>
      </c>
      <c r="I133">
        <v>4</v>
      </c>
      <c r="J133">
        <v>2</v>
      </c>
      <c r="K133">
        <v>1</v>
      </c>
      <c r="L133">
        <v>5</v>
      </c>
      <c r="M133">
        <v>1</v>
      </c>
    </row>
    <row r="134" spans="1:13">
      <c r="A134" t="s">
        <v>92</v>
      </c>
      <c r="B134" t="s">
        <v>93</v>
      </c>
      <c r="C134" t="s">
        <v>3653</v>
      </c>
      <c r="D134" t="s">
        <v>12</v>
      </c>
      <c r="E134">
        <v>1.2509999999999999</v>
      </c>
      <c r="F134">
        <v>0</v>
      </c>
      <c r="G134">
        <v>1.2509999999999999</v>
      </c>
      <c r="H134">
        <f>G134*VLOOKUP(C134,GWPs!$B$3:$C$6,2,FALSE)</f>
        <v>1.2509999999999999</v>
      </c>
      <c r="I134">
        <v>4</v>
      </c>
      <c r="J134">
        <v>2</v>
      </c>
      <c r="K134">
        <v>1</v>
      </c>
      <c r="L134">
        <v>4</v>
      </c>
      <c r="M134">
        <v>1</v>
      </c>
    </row>
    <row r="135" spans="1:13">
      <c r="A135" t="s">
        <v>92</v>
      </c>
      <c r="B135" t="s">
        <v>93</v>
      </c>
      <c r="C135" t="s">
        <v>3654</v>
      </c>
      <c r="D135" t="s">
        <v>12</v>
      </c>
      <c r="E135">
        <v>3.0000000000000001E-3</v>
      </c>
      <c r="F135">
        <v>0</v>
      </c>
      <c r="G135">
        <v>3.0000000000000001E-3</v>
      </c>
      <c r="H135">
        <f>G135*VLOOKUP(C135,GWPs!$B$3:$C$6,2,FALSE)</f>
        <v>8.4000000000000005E-2</v>
      </c>
      <c r="I135">
        <v>4</v>
      </c>
      <c r="J135">
        <v>2</v>
      </c>
      <c r="K135">
        <v>1</v>
      </c>
      <c r="L135">
        <v>1</v>
      </c>
      <c r="M135">
        <v>1</v>
      </c>
    </row>
    <row r="136" spans="1:13">
      <c r="A136" t="s">
        <v>92</v>
      </c>
      <c r="B136" t="s">
        <v>93</v>
      </c>
      <c r="C136" t="s">
        <v>3655</v>
      </c>
      <c r="D136" t="s">
        <v>12</v>
      </c>
      <c r="E136">
        <v>0</v>
      </c>
      <c r="F136">
        <v>0</v>
      </c>
      <c r="G136">
        <v>0</v>
      </c>
      <c r="H136">
        <f>G136*VLOOKUP(C136,GWPs!$B$3:$C$6,2,FALSE)</f>
        <v>0</v>
      </c>
      <c r="I136">
        <v>4</v>
      </c>
      <c r="J136">
        <v>2</v>
      </c>
      <c r="K136">
        <v>1</v>
      </c>
      <c r="L136">
        <v>4</v>
      </c>
      <c r="M136">
        <v>1</v>
      </c>
    </row>
    <row r="137" spans="1:13">
      <c r="A137" t="s">
        <v>92</v>
      </c>
      <c r="B137" t="s">
        <v>93</v>
      </c>
      <c r="C137" t="s">
        <v>15</v>
      </c>
      <c r="D137" t="s">
        <v>16</v>
      </c>
      <c r="E137">
        <v>2.1000000000000001E-2</v>
      </c>
      <c r="F137">
        <v>0</v>
      </c>
      <c r="G137">
        <v>2.1000000000000001E-2</v>
      </c>
      <c r="H137">
        <f>G137*VLOOKUP(C137,GWPs!$B$3:$C$6,2,FALSE)</f>
        <v>2.1000000000000001E-2</v>
      </c>
      <c r="I137">
        <v>4</v>
      </c>
      <c r="J137">
        <v>2</v>
      </c>
      <c r="K137">
        <v>1</v>
      </c>
      <c r="L137">
        <v>5</v>
      </c>
      <c r="M137">
        <v>1</v>
      </c>
    </row>
    <row r="138" spans="1:13">
      <c r="A138" t="s">
        <v>94</v>
      </c>
      <c r="B138" t="s">
        <v>95</v>
      </c>
      <c r="C138" t="s">
        <v>3653</v>
      </c>
      <c r="D138" t="s">
        <v>12</v>
      </c>
      <c r="E138">
        <v>0.105</v>
      </c>
      <c r="F138">
        <v>0</v>
      </c>
      <c r="G138">
        <v>0.105</v>
      </c>
      <c r="H138">
        <f>G138*VLOOKUP(C138,GWPs!$B$3:$C$6,2,FALSE)</f>
        <v>0.105</v>
      </c>
      <c r="I138">
        <v>3</v>
      </c>
      <c r="J138">
        <v>2</v>
      </c>
      <c r="K138">
        <v>1</v>
      </c>
      <c r="L138">
        <v>3</v>
      </c>
      <c r="M138">
        <v>1</v>
      </c>
    </row>
    <row r="139" spans="1:13">
      <c r="A139" t="s">
        <v>94</v>
      </c>
      <c r="B139" t="s">
        <v>95</v>
      </c>
      <c r="C139" t="s">
        <v>3654</v>
      </c>
      <c r="D139" t="s">
        <v>12</v>
      </c>
      <c r="E139">
        <v>1E-3</v>
      </c>
      <c r="F139">
        <v>0</v>
      </c>
      <c r="G139">
        <v>1E-3</v>
      </c>
      <c r="H139">
        <f>G139*VLOOKUP(C139,GWPs!$B$3:$C$6,2,FALSE)</f>
        <v>2.8000000000000001E-2</v>
      </c>
      <c r="I139">
        <v>4</v>
      </c>
      <c r="J139">
        <v>2</v>
      </c>
      <c r="K139">
        <v>1</v>
      </c>
      <c r="L139">
        <v>1</v>
      </c>
      <c r="M139">
        <v>1</v>
      </c>
    </row>
    <row r="140" spans="1:13">
      <c r="A140" t="s">
        <v>94</v>
      </c>
      <c r="B140" t="s">
        <v>95</v>
      </c>
      <c r="C140" t="s">
        <v>3655</v>
      </c>
      <c r="D140" t="s">
        <v>12</v>
      </c>
      <c r="E140">
        <v>0</v>
      </c>
      <c r="F140">
        <v>0</v>
      </c>
      <c r="G140">
        <v>0</v>
      </c>
      <c r="H140">
        <f>G140*VLOOKUP(C140,GWPs!$B$3:$C$6,2,FALSE)</f>
        <v>0</v>
      </c>
      <c r="I140">
        <v>4</v>
      </c>
      <c r="J140">
        <v>2</v>
      </c>
      <c r="K140">
        <v>1</v>
      </c>
      <c r="L140">
        <v>4</v>
      </c>
      <c r="M140">
        <v>1</v>
      </c>
    </row>
    <row r="141" spans="1:13">
      <c r="A141" t="s">
        <v>94</v>
      </c>
      <c r="B141" t="s">
        <v>95</v>
      </c>
      <c r="C141" t="s">
        <v>15</v>
      </c>
      <c r="D141" t="s">
        <v>16</v>
      </c>
      <c r="E141">
        <v>7.0000000000000001E-3</v>
      </c>
      <c r="F141">
        <v>0</v>
      </c>
      <c r="G141">
        <v>7.0000000000000001E-3</v>
      </c>
      <c r="H141">
        <f>G141*VLOOKUP(C141,GWPs!$B$3:$C$6,2,FALSE)</f>
        <v>7.0000000000000001E-3</v>
      </c>
      <c r="I141">
        <v>4</v>
      </c>
      <c r="J141">
        <v>2</v>
      </c>
      <c r="K141">
        <v>1</v>
      </c>
      <c r="L141">
        <v>5</v>
      </c>
      <c r="M141">
        <v>1</v>
      </c>
    </row>
    <row r="142" spans="1:13">
      <c r="A142" t="s">
        <v>96</v>
      </c>
      <c r="B142" t="s">
        <v>97</v>
      </c>
      <c r="C142" t="s">
        <v>3653</v>
      </c>
      <c r="D142" t="s">
        <v>12</v>
      </c>
      <c r="E142">
        <v>1.006</v>
      </c>
      <c r="F142">
        <v>0</v>
      </c>
      <c r="G142">
        <v>1.006</v>
      </c>
      <c r="H142">
        <f>G142*VLOOKUP(C142,GWPs!$B$3:$C$6,2,FALSE)</f>
        <v>1.006</v>
      </c>
      <c r="I142">
        <v>4</v>
      </c>
      <c r="J142">
        <v>2</v>
      </c>
      <c r="K142">
        <v>1</v>
      </c>
      <c r="L142">
        <v>1</v>
      </c>
      <c r="M142">
        <v>1</v>
      </c>
    </row>
    <row r="143" spans="1:13">
      <c r="A143" t="s">
        <v>96</v>
      </c>
      <c r="B143" t="s">
        <v>97</v>
      </c>
      <c r="C143" t="s">
        <v>3654</v>
      </c>
      <c r="D143" t="s">
        <v>12</v>
      </c>
      <c r="E143">
        <v>2.9000000000000001E-2</v>
      </c>
      <c r="F143">
        <v>0</v>
      </c>
      <c r="G143">
        <v>2.9000000000000001E-2</v>
      </c>
      <c r="H143">
        <f>G143*VLOOKUP(C143,GWPs!$B$3:$C$6,2,FALSE)</f>
        <v>0.81200000000000006</v>
      </c>
      <c r="I143">
        <v>4</v>
      </c>
      <c r="J143">
        <v>2</v>
      </c>
      <c r="K143">
        <v>1</v>
      </c>
      <c r="L143">
        <v>1</v>
      </c>
      <c r="M143">
        <v>1</v>
      </c>
    </row>
    <row r="144" spans="1:13">
      <c r="A144" t="s">
        <v>96</v>
      </c>
      <c r="B144" t="s">
        <v>97</v>
      </c>
      <c r="C144" t="s">
        <v>3655</v>
      </c>
      <c r="D144" t="s">
        <v>12</v>
      </c>
      <c r="E144">
        <v>0</v>
      </c>
      <c r="F144">
        <v>0</v>
      </c>
      <c r="G144">
        <v>0</v>
      </c>
      <c r="H144">
        <f>G144*VLOOKUP(C144,GWPs!$B$3:$C$6,2,FALSE)</f>
        <v>0</v>
      </c>
      <c r="I144">
        <v>3</v>
      </c>
      <c r="J144">
        <v>2</v>
      </c>
      <c r="K144">
        <v>1</v>
      </c>
      <c r="L144">
        <v>3</v>
      </c>
      <c r="M144">
        <v>1</v>
      </c>
    </row>
    <row r="145" spans="1:13">
      <c r="A145" t="s">
        <v>96</v>
      </c>
      <c r="B145" t="s">
        <v>97</v>
      </c>
      <c r="C145" t="s">
        <v>15</v>
      </c>
      <c r="D145" t="s">
        <v>16</v>
      </c>
      <c r="E145">
        <v>1.4E-2</v>
      </c>
      <c r="F145">
        <v>0</v>
      </c>
      <c r="G145">
        <v>1.4E-2</v>
      </c>
      <c r="H145">
        <f>G145*VLOOKUP(C145,GWPs!$B$3:$C$6,2,FALSE)</f>
        <v>1.4E-2</v>
      </c>
      <c r="I145">
        <v>4</v>
      </c>
      <c r="J145">
        <v>2</v>
      </c>
      <c r="K145">
        <v>1</v>
      </c>
      <c r="L145">
        <v>5</v>
      </c>
      <c r="M145">
        <v>1</v>
      </c>
    </row>
    <row r="146" spans="1:13">
      <c r="A146" t="s">
        <v>98</v>
      </c>
      <c r="B146" t="s">
        <v>99</v>
      </c>
      <c r="C146" t="s">
        <v>3653</v>
      </c>
      <c r="D146" t="s">
        <v>12</v>
      </c>
      <c r="E146">
        <v>0.29299999999999998</v>
      </c>
      <c r="F146">
        <v>0</v>
      </c>
      <c r="G146">
        <v>0.29299999999999998</v>
      </c>
      <c r="H146">
        <f>G146*VLOOKUP(C146,GWPs!$B$3:$C$6,2,FALSE)</f>
        <v>0.29299999999999998</v>
      </c>
      <c r="I146">
        <v>4</v>
      </c>
      <c r="J146">
        <v>2</v>
      </c>
      <c r="K146">
        <v>1</v>
      </c>
      <c r="L146">
        <v>3</v>
      </c>
      <c r="M146">
        <v>1</v>
      </c>
    </row>
    <row r="147" spans="1:13">
      <c r="A147" t="s">
        <v>98</v>
      </c>
      <c r="B147" t="s">
        <v>99</v>
      </c>
      <c r="C147" t="s">
        <v>3654</v>
      </c>
      <c r="D147" t="s">
        <v>12</v>
      </c>
      <c r="E147">
        <v>2E-3</v>
      </c>
      <c r="F147">
        <v>0</v>
      </c>
      <c r="G147">
        <v>2E-3</v>
      </c>
      <c r="H147">
        <f>G147*VLOOKUP(C147,GWPs!$B$3:$C$6,2,FALSE)</f>
        <v>5.6000000000000001E-2</v>
      </c>
      <c r="I147">
        <v>4</v>
      </c>
      <c r="J147">
        <v>2</v>
      </c>
      <c r="K147">
        <v>1</v>
      </c>
      <c r="L147">
        <v>2</v>
      </c>
      <c r="M147">
        <v>1</v>
      </c>
    </row>
    <row r="148" spans="1:13">
      <c r="A148" t="s">
        <v>98</v>
      </c>
      <c r="B148" t="s">
        <v>99</v>
      </c>
      <c r="C148" t="s">
        <v>3655</v>
      </c>
      <c r="D148" t="s">
        <v>12</v>
      </c>
      <c r="E148">
        <v>0</v>
      </c>
      <c r="F148">
        <v>0</v>
      </c>
      <c r="G148">
        <v>0</v>
      </c>
      <c r="H148">
        <f>G148*VLOOKUP(C148,GWPs!$B$3:$C$6,2,FALSE)</f>
        <v>0</v>
      </c>
      <c r="I148">
        <v>4</v>
      </c>
      <c r="J148">
        <v>2</v>
      </c>
      <c r="K148">
        <v>1</v>
      </c>
      <c r="L148">
        <v>4</v>
      </c>
      <c r="M148">
        <v>1</v>
      </c>
    </row>
    <row r="149" spans="1:13">
      <c r="A149" t="s">
        <v>98</v>
      </c>
      <c r="B149" t="s">
        <v>99</v>
      </c>
      <c r="C149" t="s">
        <v>15</v>
      </c>
      <c r="D149" t="s">
        <v>16</v>
      </c>
      <c r="E149">
        <v>4.0000000000000001E-3</v>
      </c>
      <c r="F149">
        <v>0</v>
      </c>
      <c r="G149">
        <v>4.0000000000000001E-3</v>
      </c>
      <c r="H149">
        <f>G149*VLOOKUP(C149,GWPs!$B$3:$C$6,2,FALSE)</f>
        <v>4.0000000000000001E-3</v>
      </c>
      <c r="I149">
        <v>4</v>
      </c>
      <c r="J149">
        <v>2</v>
      </c>
      <c r="K149">
        <v>1</v>
      </c>
      <c r="L149">
        <v>4</v>
      </c>
      <c r="M149">
        <v>1</v>
      </c>
    </row>
    <row r="150" spans="1:13">
      <c r="A150" t="s">
        <v>100</v>
      </c>
      <c r="B150" t="s">
        <v>101</v>
      </c>
      <c r="C150" t="s">
        <v>3653</v>
      </c>
      <c r="D150" t="s">
        <v>12</v>
      </c>
      <c r="E150">
        <v>0.46300000000000002</v>
      </c>
      <c r="F150">
        <v>0</v>
      </c>
      <c r="G150">
        <v>0.46300000000000002</v>
      </c>
      <c r="H150">
        <f>G150*VLOOKUP(C150,GWPs!$B$3:$C$6,2,FALSE)</f>
        <v>0.46300000000000002</v>
      </c>
      <c r="I150">
        <v>2</v>
      </c>
      <c r="J150">
        <v>2</v>
      </c>
      <c r="K150">
        <v>1</v>
      </c>
      <c r="L150">
        <v>2</v>
      </c>
      <c r="M150">
        <v>1</v>
      </c>
    </row>
    <row r="151" spans="1:13">
      <c r="A151" t="s">
        <v>100</v>
      </c>
      <c r="B151" t="s">
        <v>101</v>
      </c>
      <c r="C151" t="s">
        <v>3654</v>
      </c>
      <c r="D151" t="s">
        <v>12</v>
      </c>
      <c r="E151">
        <v>1E-3</v>
      </c>
      <c r="F151">
        <v>0</v>
      </c>
      <c r="G151">
        <v>1E-3</v>
      </c>
      <c r="H151">
        <f>G151*VLOOKUP(C151,GWPs!$B$3:$C$6,2,FALSE)</f>
        <v>2.8000000000000001E-2</v>
      </c>
      <c r="I151">
        <v>3</v>
      </c>
      <c r="J151">
        <v>2</v>
      </c>
      <c r="K151">
        <v>1</v>
      </c>
      <c r="L151">
        <v>1</v>
      </c>
      <c r="M151">
        <v>1</v>
      </c>
    </row>
    <row r="152" spans="1:13">
      <c r="A152" t="s">
        <v>100</v>
      </c>
      <c r="B152" t="s">
        <v>101</v>
      </c>
      <c r="C152" t="s">
        <v>3655</v>
      </c>
      <c r="D152" t="s">
        <v>12</v>
      </c>
      <c r="E152">
        <v>0</v>
      </c>
      <c r="F152">
        <v>0</v>
      </c>
      <c r="G152">
        <v>0</v>
      </c>
      <c r="H152">
        <f>G152*VLOOKUP(C152,GWPs!$B$3:$C$6,2,FALSE)</f>
        <v>0</v>
      </c>
      <c r="I152">
        <v>3</v>
      </c>
      <c r="J152">
        <v>2</v>
      </c>
      <c r="K152">
        <v>1</v>
      </c>
      <c r="L152">
        <v>2</v>
      </c>
      <c r="M152">
        <v>1</v>
      </c>
    </row>
    <row r="153" spans="1:13">
      <c r="A153" t="s">
        <v>100</v>
      </c>
      <c r="B153" t="s">
        <v>101</v>
      </c>
      <c r="C153" t="s">
        <v>15</v>
      </c>
      <c r="D153" t="s">
        <v>16</v>
      </c>
      <c r="E153">
        <v>4.0000000000000001E-3</v>
      </c>
      <c r="F153">
        <v>0</v>
      </c>
      <c r="G153">
        <v>4.0000000000000001E-3</v>
      </c>
      <c r="H153">
        <f>G153*VLOOKUP(C153,GWPs!$B$3:$C$6,2,FALSE)</f>
        <v>4.0000000000000001E-3</v>
      </c>
      <c r="I153">
        <v>3</v>
      </c>
      <c r="J153">
        <v>2</v>
      </c>
      <c r="K153">
        <v>1</v>
      </c>
      <c r="L153">
        <v>4</v>
      </c>
      <c r="M153">
        <v>1</v>
      </c>
    </row>
    <row r="154" spans="1:13">
      <c r="A154" t="s">
        <v>102</v>
      </c>
      <c r="B154" t="s">
        <v>103</v>
      </c>
      <c r="C154" t="s">
        <v>3653</v>
      </c>
      <c r="D154" t="s">
        <v>12</v>
      </c>
      <c r="E154">
        <v>0.14099999999999999</v>
      </c>
      <c r="F154">
        <v>0</v>
      </c>
      <c r="G154">
        <v>0.14099999999999999</v>
      </c>
      <c r="H154">
        <f>G154*VLOOKUP(C154,GWPs!$B$3:$C$6,2,FALSE)</f>
        <v>0.14099999999999999</v>
      </c>
      <c r="I154">
        <v>3</v>
      </c>
      <c r="J154">
        <v>2</v>
      </c>
      <c r="K154">
        <v>1</v>
      </c>
      <c r="L154">
        <v>3</v>
      </c>
      <c r="M154">
        <v>1</v>
      </c>
    </row>
    <row r="155" spans="1:13">
      <c r="A155" t="s">
        <v>102</v>
      </c>
      <c r="B155" t="s">
        <v>103</v>
      </c>
      <c r="C155" t="s">
        <v>3654</v>
      </c>
      <c r="D155" t="s">
        <v>12</v>
      </c>
      <c r="E155">
        <v>1E-3</v>
      </c>
      <c r="F155">
        <v>0</v>
      </c>
      <c r="G155">
        <v>1E-3</v>
      </c>
      <c r="H155">
        <f>G155*VLOOKUP(C155,GWPs!$B$3:$C$6,2,FALSE)</f>
        <v>2.8000000000000001E-2</v>
      </c>
      <c r="I155">
        <v>3</v>
      </c>
      <c r="J155">
        <v>2</v>
      </c>
      <c r="K155">
        <v>1</v>
      </c>
      <c r="L155">
        <v>1</v>
      </c>
      <c r="M155">
        <v>1</v>
      </c>
    </row>
    <row r="156" spans="1:13">
      <c r="A156" t="s">
        <v>102</v>
      </c>
      <c r="B156" t="s">
        <v>103</v>
      </c>
      <c r="C156" t="s">
        <v>3655</v>
      </c>
      <c r="D156" t="s">
        <v>12</v>
      </c>
      <c r="E156">
        <v>0</v>
      </c>
      <c r="F156">
        <v>0</v>
      </c>
      <c r="G156">
        <v>0</v>
      </c>
      <c r="H156">
        <f>G156*VLOOKUP(C156,GWPs!$B$3:$C$6,2,FALSE)</f>
        <v>0</v>
      </c>
      <c r="I156">
        <v>3</v>
      </c>
      <c r="J156">
        <v>2</v>
      </c>
      <c r="K156">
        <v>1</v>
      </c>
      <c r="L156">
        <v>3</v>
      </c>
      <c r="M156">
        <v>1</v>
      </c>
    </row>
    <row r="157" spans="1:13">
      <c r="A157" t="s">
        <v>102</v>
      </c>
      <c r="B157" t="s">
        <v>103</v>
      </c>
      <c r="C157" t="s">
        <v>15</v>
      </c>
      <c r="D157" t="s">
        <v>16</v>
      </c>
      <c r="E157">
        <v>3.0000000000000001E-3</v>
      </c>
      <c r="F157">
        <v>0</v>
      </c>
      <c r="G157">
        <v>3.0000000000000001E-3</v>
      </c>
      <c r="H157">
        <f>G157*VLOOKUP(C157,GWPs!$B$3:$C$6,2,FALSE)</f>
        <v>3.0000000000000001E-3</v>
      </c>
      <c r="I157">
        <v>4</v>
      </c>
      <c r="J157">
        <v>2</v>
      </c>
      <c r="K157">
        <v>1</v>
      </c>
      <c r="L157">
        <v>4</v>
      </c>
      <c r="M157">
        <v>1</v>
      </c>
    </row>
    <row r="158" spans="1:13">
      <c r="A158" t="s">
        <v>104</v>
      </c>
      <c r="B158" t="s">
        <v>105</v>
      </c>
      <c r="C158" t="s">
        <v>3653</v>
      </c>
      <c r="D158" t="s">
        <v>12</v>
      </c>
      <c r="E158">
        <v>6.4000000000000001E-2</v>
      </c>
      <c r="F158">
        <v>4.0000000000000001E-3</v>
      </c>
      <c r="G158">
        <v>6.8000000000000005E-2</v>
      </c>
      <c r="H158">
        <f>G158*VLOOKUP(C158,GWPs!$B$3:$C$6,2,FALSE)</f>
        <v>6.8000000000000005E-2</v>
      </c>
      <c r="I158">
        <v>3</v>
      </c>
      <c r="J158">
        <v>2</v>
      </c>
      <c r="K158">
        <v>1</v>
      </c>
      <c r="L158">
        <v>3</v>
      </c>
      <c r="M158">
        <v>1</v>
      </c>
    </row>
    <row r="159" spans="1:13">
      <c r="A159" t="s">
        <v>104</v>
      </c>
      <c r="B159" t="s">
        <v>105</v>
      </c>
      <c r="C159" t="s">
        <v>3654</v>
      </c>
      <c r="D159" t="s">
        <v>12</v>
      </c>
      <c r="E159">
        <v>0</v>
      </c>
      <c r="F159">
        <v>0</v>
      </c>
      <c r="G159">
        <v>0</v>
      </c>
      <c r="H159">
        <f>G159*VLOOKUP(C159,GWPs!$B$3:$C$6,2,FALSE)</f>
        <v>0</v>
      </c>
      <c r="I159">
        <v>3</v>
      </c>
      <c r="J159">
        <v>2</v>
      </c>
      <c r="K159">
        <v>1</v>
      </c>
      <c r="L159">
        <v>1</v>
      </c>
      <c r="M159">
        <v>1</v>
      </c>
    </row>
    <row r="160" spans="1:13">
      <c r="A160" t="s">
        <v>104</v>
      </c>
      <c r="B160" t="s">
        <v>105</v>
      </c>
      <c r="C160" t="s">
        <v>3655</v>
      </c>
      <c r="D160" t="s">
        <v>12</v>
      </c>
      <c r="E160">
        <v>0</v>
      </c>
      <c r="F160">
        <v>0</v>
      </c>
      <c r="G160">
        <v>0</v>
      </c>
      <c r="H160">
        <f>G160*VLOOKUP(C160,GWPs!$B$3:$C$6,2,FALSE)</f>
        <v>0</v>
      </c>
      <c r="I160">
        <v>3</v>
      </c>
      <c r="J160">
        <v>2</v>
      </c>
      <c r="K160">
        <v>1</v>
      </c>
      <c r="L160">
        <v>3</v>
      </c>
      <c r="M160">
        <v>1</v>
      </c>
    </row>
    <row r="161" spans="1:13">
      <c r="A161" t="s">
        <v>104</v>
      </c>
      <c r="B161" t="s">
        <v>105</v>
      </c>
      <c r="C161" t="s">
        <v>15</v>
      </c>
      <c r="D161" t="s">
        <v>16</v>
      </c>
      <c r="E161">
        <v>2E-3</v>
      </c>
      <c r="F161">
        <v>0</v>
      </c>
      <c r="G161">
        <v>2E-3</v>
      </c>
      <c r="H161">
        <f>G161*VLOOKUP(C161,GWPs!$B$3:$C$6,2,FALSE)</f>
        <v>2E-3</v>
      </c>
      <c r="I161">
        <v>3</v>
      </c>
      <c r="J161">
        <v>2</v>
      </c>
      <c r="K161">
        <v>1</v>
      </c>
      <c r="L161">
        <v>4</v>
      </c>
      <c r="M161">
        <v>1</v>
      </c>
    </row>
    <row r="162" spans="1:13">
      <c r="A162" t="s">
        <v>106</v>
      </c>
      <c r="B162" t="s">
        <v>107</v>
      </c>
      <c r="C162" t="s">
        <v>3653</v>
      </c>
      <c r="D162" t="s">
        <v>12</v>
      </c>
      <c r="E162">
        <v>5.3999999999999999E-2</v>
      </c>
      <c r="F162">
        <v>2E-3</v>
      </c>
      <c r="G162">
        <v>5.6000000000000001E-2</v>
      </c>
      <c r="H162">
        <f>G162*VLOOKUP(C162,GWPs!$B$3:$C$6,2,FALSE)</f>
        <v>5.6000000000000001E-2</v>
      </c>
      <c r="I162">
        <v>3</v>
      </c>
      <c r="J162">
        <v>2</v>
      </c>
      <c r="K162">
        <v>1</v>
      </c>
      <c r="L162">
        <v>3</v>
      </c>
      <c r="M162">
        <v>1</v>
      </c>
    </row>
    <row r="163" spans="1:13">
      <c r="A163" t="s">
        <v>106</v>
      </c>
      <c r="B163" t="s">
        <v>107</v>
      </c>
      <c r="C163" t="s">
        <v>3654</v>
      </c>
      <c r="D163" t="s">
        <v>12</v>
      </c>
      <c r="E163">
        <v>0</v>
      </c>
      <c r="F163">
        <v>0</v>
      </c>
      <c r="G163">
        <v>0</v>
      </c>
      <c r="H163">
        <f>G163*VLOOKUP(C163,GWPs!$B$3:$C$6,2,FALSE)</f>
        <v>0</v>
      </c>
      <c r="I163">
        <v>3</v>
      </c>
      <c r="J163">
        <v>2</v>
      </c>
      <c r="K163">
        <v>1</v>
      </c>
      <c r="L163">
        <v>1</v>
      </c>
      <c r="M163">
        <v>1</v>
      </c>
    </row>
    <row r="164" spans="1:13">
      <c r="A164" t="s">
        <v>106</v>
      </c>
      <c r="B164" t="s">
        <v>107</v>
      </c>
      <c r="C164" t="s">
        <v>3655</v>
      </c>
      <c r="D164" t="s">
        <v>12</v>
      </c>
      <c r="E164">
        <v>0</v>
      </c>
      <c r="F164">
        <v>0</v>
      </c>
      <c r="G164">
        <v>0</v>
      </c>
      <c r="H164">
        <f>G164*VLOOKUP(C164,GWPs!$B$3:$C$6,2,FALSE)</f>
        <v>0</v>
      </c>
      <c r="I164">
        <v>3</v>
      </c>
      <c r="J164">
        <v>2</v>
      </c>
      <c r="K164">
        <v>1</v>
      </c>
      <c r="L164">
        <v>3</v>
      </c>
      <c r="M164">
        <v>1</v>
      </c>
    </row>
    <row r="165" spans="1:13">
      <c r="A165" t="s">
        <v>106</v>
      </c>
      <c r="B165" t="s">
        <v>107</v>
      </c>
      <c r="C165" t="s">
        <v>15</v>
      </c>
      <c r="D165" t="s">
        <v>16</v>
      </c>
      <c r="E165">
        <v>1E-3</v>
      </c>
      <c r="F165">
        <v>0</v>
      </c>
      <c r="G165">
        <v>1E-3</v>
      </c>
      <c r="H165">
        <f>G165*VLOOKUP(C165,GWPs!$B$3:$C$6,2,FALSE)</f>
        <v>1E-3</v>
      </c>
      <c r="I165">
        <v>4</v>
      </c>
      <c r="J165">
        <v>2</v>
      </c>
      <c r="K165">
        <v>1</v>
      </c>
      <c r="L165">
        <v>4</v>
      </c>
      <c r="M165">
        <v>1</v>
      </c>
    </row>
    <row r="166" spans="1:13">
      <c r="A166" t="s">
        <v>108</v>
      </c>
      <c r="B166" t="s">
        <v>109</v>
      </c>
      <c r="C166" t="s">
        <v>3653</v>
      </c>
      <c r="D166" t="s">
        <v>12</v>
      </c>
      <c r="E166">
        <v>9.4E-2</v>
      </c>
      <c r="F166">
        <v>0</v>
      </c>
      <c r="G166">
        <v>9.4E-2</v>
      </c>
      <c r="H166">
        <f>G166*VLOOKUP(C166,GWPs!$B$3:$C$6,2,FALSE)</f>
        <v>9.4E-2</v>
      </c>
      <c r="I166">
        <v>3</v>
      </c>
      <c r="J166">
        <v>2</v>
      </c>
      <c r="K166">
        <v>1</v>
      </c>
      <c r="L166">
        <v>3</v>
      </c>
      <c r="M166">
        <v>1</v>
      </c>
    </row>
    <row r="167" spans="1:13">
      <c r="A167" t="s">
        <v>108</v>
      </c>
      <c r="B167" t="s">
        <v>109</v>
      </c>
      <c r="C167" t="s">
        <v>3654</v>
      </c>
      <c r="D167" t="s">
        <v>12</v>
      </c>
      <c r="E167">
        <v>0</v>
      </c>
      <c r="F167">
        <v>0</v>
      </c>
      <c r="G167">
        <v>0</v>
      </c>
      <c r="H167">
        <f>G167*VLOOKUP(C167,GWPs!$B$3:$C$6,2,FALSE)</f>
        <v>0</v>
      </c>
      <c r="I167">
        <v>3</v>
      </c>
      <c r="J167">
        <v>2</v>
      </c>
      <c r="K167">
        <v>1</v>
      </c>
      <c r="L167">
        <v>1</v>
      </c>
      <c r="M167">
        <v>1</v>
      </c>
    </row>
    <row r="168" spans="1:13">
      <c r="A168" t="s">
        <v>108</v>
      </c>
      <c r="B168" t="s">
        <v>109</v>
      </c>
      <c r="C168" t="s">
        <v>3655</v>
      </c>
      <c r="D168" t="s">
        <v>12</v>
      </c>
      <c r="E168">
        <v>0</v>
      </c>
      <c r="F168">
        <v>0</v>
      </c>
      <c r="G168">
        <v>0</v>
      </c>
      <c r="H168">
        <f>G168*VLOOKUP(C168,GWPs!$B$3:$C$6,2,FALSE)</f>
        <v>0</v>
      </c>
      <c r="I168">
        <v>3</v>
      </c>
      <c r="J168">
        <v>2</v>
      </c>
      <c r="K168">
        <v>1</v>
      </c>
      <c r="L168">
        <v>3</v>
      </c>
      <c r="M168">
        <v>1</v>
      </c>
    </row>
    <row r="169" spans="1:13">
      <c r="A169" t="s">
        <v>108</v>
      </c>
      <c r="B169" t="s">
        <v>109</v>
      </c>
      <c r="C169" t="s">
        <v>15</v>
      </c>
      <c r="D169" t="s">
        <v>16</v>
      </c>
      <c r="E169">
        <v>6.0000000000000001E-3</v>
      </c>
      <c r="F169">
        <v>0</v>
      </c>
      <c r="G169">
        <v>6.0000000000000001E-3</v>
      </c>
      <c r="H169">
        <f>G169*VLOOKUP(C169,GWPs!$B$3:$C$6,2,FALSE)</f>
        <v>6.0000000000000001E-3</v>
      </c>
      <c r="I169">
        <v>4</v>
      </c>
      <c r="J169">
        <v>2</v>
      </c>
      <c r="K169">
        <v>1</v>
      </c>
      <c r="L169">
        <v>5</v>
      </c>
      <c r="M169">
        <v>1</v>
      </c>
    </row>
    <row r="170" spans="1:13">
      <c r="A170" t="s">
        <v>110</v>
      </c>
      <c r="B170" t="s">
        <v>111</v>
      </c>
      <c r="C170" t="s">
        <v>3653</v>
      </c>
      <c r="D170" t="s">
        <v>12</v>
      </c>
      <c r="E170">
        <v>0.13200000000000001</v>
      </c>
      <c r="F170">
        <v>0</v>
      </c>
      <c r="G170">
        <v>0.13200000000000001</v>
      </c>
      <c r="H170">
        <f>G170*VLOOKUP(C170,GWPs!$B$3:$C$6,2,FALSE)</f>
        <v>0.13200000000000001</v>
      </c>
      <c r="I170">
        <v>3</v>
      </c>
      <c r="J170">
        <v>2</v>
      </c>
      <c r="K170">
        <v>1</v>
      </c>
      <c r="L170">
        <v>3</v>
      </c>
      <c r="M170">
        <v>1</v>
      </c>
    </row>
    <row r="171" spans="1:13">
      <c r="A171" t="s">
        <v>110</v>
      </c>
      <c r="B171" t="s">
        <v>111</v>
      </c>
      <c r="C171" t="s">
        <v>3654</v>
      </c>
      <c r="D171" t="s">
        <v>12</v>
      </c>
      <c r="E171">
        <v>1E-3</v>
      </c>
      <c r="F171">
        <v>0</v>
      </c>
      <c r="G171">
        <v>1E-3</v>
      </c>
      <c r="H171">
        <f>G171*VLOOKUP(C171,GWPs!$B$3:$C$6,2,FALSE)</f>
        <v>2.8000000000000001E-2</v>
      </c>
      <c r="I171">
        <v>3</v>
      </c>
      <c r="J171">
        <v>2</v>
      </c>
      <c r="K171">
        <v>1</v>
      </c>
      <c r="L171">
        <v>1</v>
      </c>
      <c r="M171">
        <v>1</v>
      </c>
    </row>
    <row r="172" spans="1:13">
      <c r="A172" t="s">
        <v>110</v>
      </c>
      <c r="B172" t="s">
        <v>111</v>
      </c>
      <c r="C172" t="s">
        <v>3655</v>
      </c>
      <c r="D172" t="s">
        <v>12</v>
      </c>
      <c r="E172">
        <v>0</v>
      </c>
      <c r="F172">
        <v>0</v>
      </c>
      <c r="G172">
        <v>0</v>
      </c>
      <c r="H172">
        <f>G172*VLOOKUP(C172,GWPs!$B$3:$C$6,2,FALSE)</f>
        <v>0</v>
      </c>
      <c r="I172">
        <v>3</v>
      </c>
      <c r="J172">
        <v>2</v>
      </c>
      <c r="K172">
        <v>1</v>
      </c>
      <c r="L172">
        <v>3</v>
      </c>
      <c r="M172">
        <v>1</v>
      </c>
    </row>
    <row r="173" spans="1:13">
      <c r="A173" t="s">
        <v>110</v>
      </c>
      <c r="B173" t="s">
        <v>111</v>
      </c>
      <c r="C173" t="s">
        <v>15</v>
      </c>
      <c r="D173" t="s">
        <v>16</v>
      </c>
      <c r="E173">
        <v>5.0000000000000001E-3</v>
      </c>
      <c r="F173">
        <v>0</v>
      </c>
      <c r="G173">
        <v>5.0000000000000001E-3</v>
      </c>
      <c r="H173">
        <f>G173*VLOOKUP(C173,GWPs!$B$3:$C$6,2,FALSE)</f>
        <v>5.0000000000000001E-3</v>
      </c>
      <c r="I173">
        <v>4</v>
      </c>
      <c r="J173">
        <v>2</v>
      </c>
      <c r="K173">
        <v>1</v>
      </c>
      <c r="L173">
        <v>4</v>
      </c>
      <c r="M173">
        <v>1</v>
      </c>
    </row>
    <row r="174" spans="1:13">
      <c r="A174" t="s">
        <v>112</v>
      </c>
      <c r="B174" t="s">
        <v>113</v>
      </c>
      <c r="C174" t="s">
        <v>3653</v>
      </c>
      <c r="D174" t="s">
        <v>12</v>
      </c>
      <c r="E174">
        <v>5.2999999999999999E-2</v>
      </c>
      <c r="F174">
        <v>0</v>
      </c>
      <c r="G174">
        <v>5.2999999999999999E-2</v>
      </c>
      <c r="H174">
        <f>G174*VLOOKUP(C174,GWPs!$B$3:$C$6,2,FALSE)</f>
        <v>5.2999999999999999E-2</v>
      </c>
      <c r="I174">
        <v>3</v>
      </c>
      <c r="J174">
        <v>2</v>
      </c>
      <c r="K174">
        <v>1</v>
      </c>
      <c r="L174">
        <v>3</v>
      </c>
      <c r="M174">
        <v>1</v>
      </c>
    </row>
    <row r="175" spans="1:13">
      <c r="A175" t="s">
        <v>112</v>
      </c>
      <c r="B175" t="s">
        <v>113</v>
      </c>
      <c r="C175" t="s">
        <v>3654</v>
      </c>
      <c r="D175" t="s">
        <v>12</v>
      </c>
      <c r="E175">
        <v>0</v>
      </c>
      <c r="F175">
        <v>0</v>
      </c>
      <c r="G175">
        <v>0</v>
      </c>
      <c r="H175">
        <f>G175*VLOOKUP(C175,GWPs!$B$3:$C$6,2,FALSE)</f>
        <v>0</v>
      </c>
      <c r="I175">
        <v>3</v>
      </c>
      <c r="J175">
        <v>2</v>
      </c>
      <c r="K175">
        <v>1</v>
      </c>
      <c r="L175">
        <v>1</v>
      </c>
      <c r="M175">
        <v>1</v>
      </c>
    </row>
    <row r="176" spans="1:13">
      <c r="A176" t="s">
        <v>112</v>
      </c>
      <c r="B176" t="s">
        <v>113</v>
      </c>
      <c r="C176" t="s">
        <v>3655</v>
      </c>
      <c r="D176" t="s">
        <v>12</v>
      </c>
      <c r="E176">
        <v>0</v>
      </c>
      <c r="F176">
        <v>0</v>
      </c>
      <c r="G176">
        <v>0</v>
      </c>
      <c r="H176">
        <f>G176*VLOOKUP(C176,GWPs!$B$3:$C$6,2,FALSE)</f>
        <v>0</v>
      </c>
      <c r="I176">
        <v>3</v>
      </c>
      <c r="J176">
        <v>2</v>
      </c>
      <c r="K176">
        <v>1</v>
      </c>
      <c r="L176">
        <v>3</v>
      </c>
      <c r="M176">
        <v>1</v>
      </c>
    </row>
    <row r="177" spans="1:13">
      <c r="A177" t="s">
        <v>112</v>
      </c>
      <c r="B177" t="s">
        <v>113</v>
      </c>
      <c r="C177" t="s">
        <v>15</v>
      </c>
      <c r="D177" t="s">
        <v>16</v>
      </c>
      <c r="E177">
        <v>1E-3</v>
      </c>
      <c r="F177">
        <v>0</v>
      </c>
      <c r="G177">
        <v>1E-3</v>
      </c>
      <c r="H177">
        <f>G177*VLOOKUP(C177,GWPs!$B$3:$C$6,2,FALSE)</f>
        <v>1E-3</v>
      </c>
      <c r="I177">
        <v>4</v>
      </c>
      <c r="J177">
        <v>2</v>
      </c>
      <c r="K177">
        <v>1</v>
      </c>
      <c r="L177">
        <v>4</v>
      </c>
      <c r="M177">
        <v>1</v>
      </c>
    </row>
    <row r="178" spans="1:13">
      <c r="A178" t="s">
        <v>114</v>
      </c>
      <c r="B178" t="s">
        <v>115</v>
      </c>
      <c r="C178" t="s">
        <v>3653</v>
      </c>
      <c r="D178" t="s">
        <v>12</v>
      </c>
      <c r="E178">
        <v>8.5000000000000006E-2</v>
      </c>
      <c r="F178">
        <v>0</v>
      </c>
      <c r="G178">
        <v>8.5000000000000006E-2</v>
      </c>
      <c r="H178">
        <f>G178*VLOOKUP(C178,GWPs!$B$3:$C$6,2,FALSE)</f>
        <v>8.5000000000000006E-2</v>
      </c>
      <c r="I178">
        <v>3</v>
      </c>
      <c r="J178">
        <v>2</v>
      </c>
      <c r="K178">
        <v>1</v>
      </c>
      <c r="L178">
        <v>3</v>
      </c>
      <c r="M178">
        <v>1</v>
      </c>
    </row>
    <row r="179" spans="1:13">
      <c r="A179" t="s">
        <v>114</v>
      </c>
      <c r="B179" t="s">
        <v>115</v>
      </c>
      <c r="C179" t="s">
        <v>3654</v>
      </c>
      <c r="D179" t="s">
        <v>12</v>
      </c>
      <c r="E179">
        <v>0</v>
      </c>
      <c r="F179">
        <v>0</v>
      </c>
      <c r="G179">
        <v>0</v>
      </c>
      <c r="H179">
        <f>G179*VLOOKUP(C179,GWPs!$B$3:$C$6,2,FALSE)</f>
        <v>0</v>
      </c>
      <c r="I179">
        <v>4</v>
      </c>
      <c r="J179">
        <v>2</v>
      </c>
      <c r="K179">
        <v>1</v>
      </c>
      <c r="L179">
        <v>1</v>
      </c>
      <c r="M179">
        <v>1</v>
      </c>
    </row>
    <row r="180" spans="1:13">
      <c r="A180" t="s">
        <v>114</v>
      </c>
      <c r="B180" t="s">
        <v>115</v>
      </c>
      <c r="C180" t="s">
        <v>3655</v>
      </c>
      <c r="D180" t="s">
        <v>12</v>
      </c>
      <c r="E180">
        <v>0</v>
      </c>
      <c r="F180">
        <v>0</v>
      </c>
      <c r="G180">
        <v>0</v>
      </c>
      <c r="H180">
        <f>G180*VLOOKUP(C180,GWPs!$B$3:$C$6,2,FALSE)</f>
        <v>0</v>
      </c>
      <c r="I180">
        <v>3</v>
      </c>
      <c r="J180">
        <v>2</v>
      </c>
      <c r="K180">
        <v>1</v>
      </c>
      <c r="L180">
        <v>3</v>
      </c>
      <c r="M180">
        <v>1</v>
      </c>
    </row>
    <row r="181" spans="1:13">
      <c r="A181" t="s">
        <v>114</v>
      </c>
      <c r="B181" t="s">
        <v>115</v>
      </c>
      <c r="C181" t="s">
        <v>15</v>
      </c>
      <c r="D181" t="s">
        <v>16</v>
      </c>
      <c r="E181">
        <v>2E-3</v>
      </c>
      <c r="F181">
        <v>0</v>
      </c>
      <c r="G181">
        <v>2E-3</v>
      </c>
      <c r="H181">
        <f>G181*VLOOKUP(C181,GWPs!$B$3:$C$6,2,FALSE)</f>
        <v>2E-3</v>
      </c>
      <c r="I181">
        <v>4</v>
      </c>
      <c r="J181">
        <v>2</v>
      </c>
      <c r="K181">
        <v>1</v>
      </c>
      <c r="L181">
        <v>4</v>
      </c>
      <c r="M181">
        <v>1</v>
      </c>
    </row>
    <row r="182" spans="1:13">
      <c r="A182" t="s">
        <v>116</v>
      </c>
      <c r="B182" t="s">
        <v>117</v>
      </c>
      <c r="C182" t="s">
        <v>3653</v>
      </c>
      <c r="D182" t="s">
        <v>12</v>
      </c>
      <c r="E182">
        <v>3.3000000000000002E-2</v>
      </c>
      <c r="F182">
        <v>0</v>
      </c>
      <c r="G182">
        <v>3.3000000000000002E-2</v>
      </c>
      <c r="H182">
        <f>G182*VLOOKUP(C182,GWPs!$B$3:$C$6,2,FALSE)</f>
        <v>3.3000000000000002E-2</v>
      </c>
      <c r="I182">
        <v>3</v>
      </c>
      <c r="J182">
        <v>2</v>
      </c>
      <c r="K182">
        <v>1</v>
      </c>
      <c r="L182">
        <v>3</v>
      </c>
      <c r="M182">
        <v>1</v>
      </c>
    </row>
    <row r="183" spans="1:13">
      <c r="A183" t="s">
        <v>116</v>
      </c>
      <c r="B183" t="s">
        <v>117</v>
      </c>
      <c r="C183" t="s">
        <v>3654</v>
      </c>
      <c r="D183" t="s">
        <v>12</v>
      </c>
      <c r="E183">
        <v>0</v>
      </c>
      <c r="F183">
        <v>0</v>
      </c>
      <c r="G183">
        <v>0</v>
      </c>
      <c r="H183">
        <f>G183*VLOOKUP(C183,GWPs!$B$3:$C$6,2,FALSE)</f>
        <v>0</v>
      </c>
      <c r="I183">
        <v>3</v>
      </c>
      <c r="J183">
        <v>2</v>
      </c>
      <c r="K183">
        <v>1</v>
      </c>
      <c r="L183">
        <v>1</v>
      </c>
      <c r="M183">
        <v>1</v>
      </c>
    </row>
    <row r="184" spans="1:13">
      <c r="A184" t="s">
        <v>116</v>
      </c>
      <c r="B184" t="s">
        <v>117</v>
      </c>
      <c r="C184" t="s">
        <v>3655</v>
      </c>
      <c r="D184" t="s">
        <v>12</v>
      </c>
      <c r="E184">
        <v>0</v>
      </c>
      <c r="F184">
        <v>0</v>
      </c>
      <c r="G184">
        <v>0</v>
      </c>
      <c r="H184">
        <f>G184*VLOOKUP(C184,GWPs!$B$3:$C$6,2,FALSE)</f>
        <v>0</v>
      </c>
      <c r="I184">
        <v>3</v>
      </c>
      <c r="J184">
        <v>2</v>
      </c>
      <c r="K184">
        <v>1</v>
      </c>
      <c r="L184">
        <v>3</v>
      </c>
      <c r="M184">
        <v>1</v>
      </c>
    </row>
    <row r="185" spans="1:13">
      <c r="A185" t="s">
        <v>116</v>
      </c>
      <c r="B185" t="s">
        <v>117</v>
      </c>
      <c r="C185" t="s">
        <v>15</v>
      </c>
      <c r="D185" t="s">
        <v>16</v>
      </c>
      <c r="E185">
        <v>1E-3</v>
      </c>
      <c r="F185">
        <v>0</v>
      </c>
      <c r="G185">
        <v>1E-3</v>
      </c>
      <c r="H185">
        <f>G185*VLOOKUP(C185,GWPs!$B$3:$C$6,2,FALSE)</f>
        <v>1E-3</v>
      </c>
      <c r="I185">
        <v>4</v>
      </c>
      <c r="J185">
        <v>2</v>
      </c>
      <c r="K185">
        <v>1</v>
      </c>
      <c r="L185">
        <v>4</v>
      </c>
      <c r="M185">
        <v>1</v>
      </c>
    </row>
    <row r="186" spans="1:13">
      <c r="A186" t="s">
        <v>118</v>
      </c>
      <c r="B186" t="s">
        <v>119</v>
      </c>
      <c r="C186" t="s">
        <v>3653</v>
      </c>
      <c r="D186" t="s">
        <v>12</v>
      </c>
      <c r="E186">
        <v>0.16</v>
      </c>
      <c r="F186">
        <v>0</v>
      </c>
      <c r="G186">
        <v>0.16</v>
      </c>
      <c r="H186">
        <f>G186*VLOOKUP(C186,GWPs!$B$3:$C$6,2,FALSE)</f>
        <v>0.16</v>
      </c>
      <c r="I186">
        <v>3</v>
      </c>
      <c r="J186">
        <v>2</v>
      </c>
      <c r="K186">
        <v>1</v>
      </c>
      <c r="L186">
        <v>3</v>
      </c>
      <c r="M186">
        <v>1</v>
      </c>
    </row>
    <row r="187" spans="1:13">
      <c r="A187" t="s">
        <v>118</v>
      </c>
      <c r="B187" t="s">
        <v>119</v>
      </c>
      <c r="C187" t="s">
        <v>3654</v>
      </c>
      <c r="D187" t="s">
        <v>12</v>
      </c>
      <c r="E187">
        <v>1E-3</v>
      </c>
      <c r="F187">
        <v>0</v>
      </c>
      <c r="G187">
        <v>1E-3</v>
      </c>
      <c r="H187">
        <f>G187*VLOOKUP(C187,GWPs!$B$3:$C$6,2,FALSE)</f>
        <v>2.8000000000000001E-2</v>
      </c>
      <c r="I187">
        <v>3</v>
      </c>
      <c r="J187">
        <v>2</v>
      </c>
      <c r="K187">
        <v>1</v>
      </c>
      <c r="L187">
        <v>1</v>
      </c>
      <c r="M187">
        <v>1</v>
      </c>
    </row>
    <row r="188" spans="1:13">
      <c r="A188" t="s">
        <v>118</v>
      </c>
      <c r="B188" t="s">
        <v>119</v>
      </c>
      <c r="C188" t="s">
        <v>3655</v>
      </c>
      <c r="D188" t="s">
        <v>12</v>
      </c>
      <c r="E188">
        <v>0</v>
      </c>
      <c r="F188">
        <v>0</v>
      </c>
      <c r="G188">
        <v>0</v>
      </c>
      <c r="H188">
        <f>G188*VLOOKUP(C188,GWPs!$B$3:$C$6,2,FALSE)</f>
        <v>0</v>
      </c>
      <c r="I188">
        <v>3</v>
      </c>
      <c r="J188">
        <v>2</v>
      </c>
      <c r="K188">
        <v>1</v>
      </c>
      <c r="L188">
        <v>3</v>
      </c>
      <c r="M188">
        <v>1</v>
      </c>
    </row>
    <row r="189" spans="1:13">
      <c r="A189" t="s">
        <v>118</v>
      </c>
      <c r="B189" t="s">
        <v>119</v>
      </c>
      <c r="C189" t="s">
        <v>15</v>
      </c>
      <c r="D189" t="s">
        <v>16</v>
      </c>
      <c r="E189">
        <v>2E-3</v>
      </c>
      <c r="F189">
        <v>0</v>
      </c>
      <c r="G189">
        <v>2E-3</v>
      </c>
      <c r="H189">
        <f>G189*VLOOKUP(C189,GWPs!$B$3:$C$6,2,FALSE)</f>
        <v>2E-3</v>
      </c>
      <c r="I189">
        <v>4</v>
      </c>
      <c r="J189">
        <v>2</v>
      </c>
      <c r="K189">
        <v>1</v>
      </c>
      <c r="L189">
        <v>4</v>
      </c>
      <c r="M189">
        <v>1</v>
      </c>
    </row>
    <row r="190" spans="1:13">
      <c r="A190" t="s">
        <v>120</v>
      </c>
      <c r="B190" t="s">
        <v>121</v>
      </c>
      <c r="C190" t="s">
        <v>3653</v>
      </c>
      <c r="D190" t="s">
        <v>12</v>
      </c>
      <c r="E190">
        <v>0.115</v>
      </c>
      <c r="F190">
        <v>0</v>
      </c>
      <c r="G190">
        <v>0.115</v>
      </c>
      <c r="H190">
        <f>G190*VLOOKUP(C190,GWPs!$B$3:$C$6,2,FALSE)</f>
        <v>0.115</v>
      </c>
      <c r="I190">
        <v>3</v>
      </c>
      <c r="J190">
        <v>2</v>
      </c>
      <c r="K190">
        <v>1</v>
      </c>
      <c r="L190">
        <v>3</v>
      </c>
      <c r="M190">
        <v>1</v>
      </c>
    </row>
    <row r="191" spans="1:13">
      <c r="A191" t="s">
        <v>120</v>
      </c>
      <c r="B191" t="s">
        <v>121</v>
      </c>
      <c r="C191" t="s">
        <v>3654</v>
      </c>
      <c r="D191" t="s">
        <v>12</v>
      </c>
      <c r="E191">
        <v>1E-3</v>
      </c>
      <c r="F191">
        <v>0</v>
      </c>
      <c r="G191">
        <v>1E-3</v>
      </c>
      <c r="H191">
        <f>G191*VLOOKUP(C191,GWPs!$B$3:$C$6,2,FALSE)</f>
        <v>2.8000000000000001E-2</v>
      </c>
      <c r="I191">
        <v>3</v>
      </c>
      <c r="J191">
        <v>2</v>
      </c>
      <c r="K191">
        <v>1</v>
      </c>
      <c r="L191">
        <v>1</v>
      </c>
      <c r="M191">
        <v>1</v>
      </c>
    </row>
    <row r="192" spans="1:13">
      <c r="A192" t="s">
        <v>120</v>
      </c>
      <c r="B192" t="s">
        <v>121</v>
      </c>
      <c r="C192" t="s">
        <v>3655</v>
      </c>
      <c r="D192" t="s">
        <v>12</v>
      </c>
      <c r="E192">
        <v>0</v>
      </c>
      <c r="F192">
        <v>0</v>
      </c>
      <c r="G192">
        <v>0</v>
      </c>
      <c r="H192">
        <f>G192*VLOOKUP(C192,GWPs!$B$3:$C$6,2,FALSE)</f>
        <v>0</v>
      </c>
      <c r="I192">
        <v>4</v>
      </c>
      <c r="J192">
        <v>2</v>
      </c>
      <c r="K192">
        <v>1</v>
      </c>
      <c r="L192">
        <v>3</v>
      </c>
      <c r="M192">
        <v>1</v>
      </c>
    </row>
    <row r="193" spans="1:13">
      <c r="A193" t="s">
        <v>120</v>
      </c>
      <c r="B193" t="s">
        <v>121</v>
      </c>
      <c r="C193" t="s">
        <v>15</v>
      </c>
      <c r="D193" t="s">
        <v>16</v>
      </c>
      <c r="E193">
        <v>3.0000000000000001E-3</v>
      </c>
      <c r="F193">
        <v>0</v>
      </c>
      <c r="G193">
        <v>3.0000000000000001E-3</v>
      </c>
      <c r="H193">
        <f>G193*VLOOKUP(C193,GWPs!$B$3:$C$6,2,FALSE)</f>
        <v>3.0000000000000001E-3</v>
      </c>
      <c r="I193">
        <v>4</v>
      </c>
      <c r="J193">
        <v>2</v>
      </c>
      <c r="K193">
        <v>1</v>
      </c>
      <c r="L193">
        <v>5</v>
      </c>
      <c r="M193">
        <v>1</v>
      </c>
    </row>
    <row r="194" spans="1:13">
      <c r="A194" t="s">
        <v>122</v>
      </c>
      <c r="B194" t="s">
        <v>22</v>
      </c>
      <c r="C194" t="s">
        <v>3653</v>
      </c>
      <c r="D194" t="s">
        <v>12</v>
      </c>
      <c r="E194">
        <v>5.7000000000000002E-2</v>
      </c>
      <c r="F194">
        <v>0</v>
      </c>
      <c r="G194">
        <v>5.7000000000000002E-2</v>
      </c>
      <c r="H194">
        <f>G194*VLOOKUP(C194,GWPs!$B$3:$C$6,2,FALSE)</f>
        <v>5.7000000000000002E-2</v>
      </c>
      <c r="I194">
        <v>3</v>
      </c>
      <c r="J194">
        <v>2</v>
      </c>
      <c r="K194">
        <v>1</v>
      </c>
      <c r="L194">
        <v>3</v>
      </c>
      <c r="M194">
        <v>1</v>
      </c>
    </row>
    <row r="195" spans="1:13">
      <c r="A195" t="s">
        <v>122</v>
      </c>
      <c r="B195" t="s">
        <v>22</v>
      </c>
      <c r="C195" t="s">
        <v>3654</v>
      </c>
      <c r="D195" t="s">
        <v>12</v>
      </c>
      <c r="E195">
        <v>0</v>
      </c>
      <c r="F195">
        <v>0</v>
      </c>
      <c r="G195">
        <v>0</v>
      </c>
      <c r="H195">
        <f>G195*VLOOKUP(C195,GWPs!$B$3:$C$6,2,FALSE)</f>
        <v>0</v>
      </c>
      <c r="I195">
        <v>3</v>
      </c>
      <c r="J195">
        <v>2</v>
      </c>
      <c r="K195">
        <v>1</v>
      </c>
      <c r="L195">
        <v>1</v>
      </c>
      <c r="M195">
        <v>1</v>
      </c>
    </row>
    <row r="196" spans="1:13">
      <c r="A196" t="s">
        <v>122</v>
      </c>
      <c r="B196" t="s">
        <v>22</v>
      </c>
      <c r="C196" t="s">
        <v>3655</v>
      </c>
      <c r="D196" t="s">
        <v>12</v>
      </c>
      <c r="E196">
        <v>0</v>
      </c>
      <c r="F196">
        <v>0</v>
      </c>
      <c r="G196">
        <v>0</v>
      </c>
      <c r="H196">
        <f>G196*VLOOKUP(C196,GWPs!$B$3:$C$6,2,FALSE)</f>
        <v>0</v>
      </c>
      <c r="I196">
        <v>3</v>
      </c>
      <c r="J196">
        <v>2</v>
      </c>
      <c r="K196">
        <v>1</v>
      </c>
      <c r="L196">
        <v>3</v>
      </c>
      <c r="M196">
        <v>1</v>
      </c>
    </row>
    <row r="197" spans="1:13">
      <c r="A197" t="s">
        <v>122</v>
      </c>
      <c r="B197" t="s">
        <v>22</v>
      </c>
      <c r="C197" t="s">
        <v>15</v>
      </c>
      <c r="D197" t="s">
        <v>16</v>
      </c>
      <c r="E197">
        <v>1E-3</v>
      </c>
      <c r="F197">
        <v>0</v>
      </c>
      <c r="G197">
        <v>1E-3</v>
      </c>
      <c r="H197">
        <f>G197*VLOOKUP(C197,GWPs!$B$3:$C$6,2,FALSE)</f>
        <v>1E-3</v>
      </c>
      <c r="I197">
        <v>4</v>
      </c>
      <c r="J197">
        <v>2</v>
      </c>
      <c r="K197">
        <v>1</v>
      </c>
      <c r="L197">
        <v>4</v>
      </c>
      <c r="M197">
        <v>1</v>
      </c>
    </row>
    <row r="198" spans="1:13">
      <c r="A198" t="s">
        <v>123</v>
      </c>
      <c r="B198" t="s">
        <v>124</v>
      </c>
      <c r="C198" t="s">
        <v>3653</v>
      </c>
      <c r="D198" t="s">
        <v>12</v>
      </c>
      <c r="E198">
        <v>8.5999999999999993E-2</v>
      </c>
      <c r="F198">
        <v>0</v>
      </c>
      <c r="G198">
        <v>8.5999999999999993E-2</v>
      </c>
      <c r="H198">
        <f>G198*VLOOKUP(C198,GWPs!$B$3:$C$6,2,FALSE)</f>
        <v>8.5999999999999993E-2</v>
      </c>
      <c r="I198">
        <v>3</v>
      </c>
      <c r="J198">
        <v>2</v>
      </c>
      <c r="K198">
        <v>1</v>
      </c>
      <c r="L198">
        <v>3</v>
      </c>
      <c r="M198">
        <v>1</v>
      </c>
    </row>
    <row r="199" spans="1:13">
      <c r="A199" t="s">
        <v>123</v>
      </c>
      <c r="B199" t="s">
        <v>124</v>
      </c>
      <c r="C199" t="s">
        <v>3654</v>
      </c>
      <c r="D199" t="s">
        <v>12</v>
      </c>
      <c r="E199">
        <v>0</v>
      </c>
      <c r="F199">
        <v>0</v>
      </c>
      <c r="G199">
        <v>0</v>
      </c>
      <c r="H199">
        <f>G199*VLOOKUP(C199,GWPs!$B$3:$C$6,2,FALSE)</f>
        <v>0</v>
      </c>
      <c r="I199">
        <v>3</v>
      </c>
      <c r="J199">
        <v>2</v>
      </c>
      <c r="K199">
        <v>1</v>
      </c>
      <c r="L199">
        <v>1</v>
      </c>
      <c r="M199">
        <v>1</v>
      </c>
    </row>
    <row r="200" spans="1:13">
      <c r="A200" t="s">
        <v>123</v>
      </c>
      <c r="B200" t="s">
        <v>124</v>
      </c>
      <c r="C200" t="s">
        <v>3655</v>
      </c>
      <c r="D200" t="s">
        <v>12</v>
      </c>
      <c r="E200">
        <v>0</v>
      </c>
      <c r="F200">
        <v>0</v>
      </c>
      <c r="G200">
        <v>0</v>
      </c>
      <c r="H200">
        <f>G200*VLOOKUP(C200,GWPs!$B$3:$C$6,2,FALSE)</f>
        <v>0</v>
      </c>
      <c r="I200">
        <v>4</v>
      </c>
      <c r="J200">
        <v>2</v>
      </c>
      <c r="K200">
        <v>1</v>
      </c>
      <c r="L200">
        <v>3</v>
      </c>
      <c r="M200">
        <v>1</v>
      </c>
    </row>
    <row r="201" spans="1:13">
      <c r="A201" t="s">
        <v>123</v>
      </c>
      <c r="B201" t="s">
        <v>124</v>
      </c>
      <c r="C201" t="s">
        <v>15</v>
      </c>
      <c r="D201" t="s">
        <v>16</v>
      </c>
      <c r="E201">
        <v>3.0000000000000001E-3</v>
      </c>
      <c r="F201">
        <v>0</v>
      </c>
      <c r="G201">
        <v>3.0000000000000001E-3</v>
      </c>
      <c r="H201">
        <f>G201*VLOOKUP(C201,GWPs!$B$3:$C$6,2,FALSE)</f>
        <v>3.0000000000000001E-3</v>
      </c>
      <c r="I201">
        <v>4</v>
      </c>
      <c r="J201">
        <v>2</v>
      </c>
      <c r="K201">
        <v>1</v>
      </c>
      <c r="L201">
        <v>4</v>
      </c>
      <c r="M201">
        <v>1</v>
      </c>
    </row>
    <row r="202" spans="1:13">
      <c r="A202" t="s">
        <v>125</v>
      </c>
      <c r="B202" t="s">
        <v>126</v>
      </c>
      <c r="C202" t="s">
        <v>3653</v>
      </c>
      <c r="D202" t="s">
        <v>12</v>
      </c>
      <c r="E202">
        <v>5.2999999999999999E-2</v>
      </c>
      <c r="F202">
        <v>0</v>
      </c>
      <c r="G202">
        <v>5.2999999999999999E-2</v>
      </c>
      <c r="H202">
        <f>G202*VLOOKUP(C202,GWPs!$B$3:$C$6,2,FALSE)</f>
        <v>5.2999999999999999E-2</v>
      </c>
      <c r="I202">
        <v>3</v>
      </c>
      <c r="J202">
        <v>2</v>
      </c>
      <c r="K202">
        <v>1</v>
      </c>
      <c r="L202">
        <v>3</v>
      </c>
      <c r="M202">
        <v>1</v>
      </c>
    </row>
    <row r="203" spans="1:13">
      <c r="A203" t="s">
        <v>125</v>
      </c>
      <c r="B203" t="s">
        <v>126</v>
      </c>
      <c r="C203" t="s">
        <v>3654</v>
      </c>
      <c r="D203" t="s">
        <v>12</v>
      </c>
      <c r="E203">
        <v>0</v>
      </c>
      <c r="F203">
        <v>0</v>
      </c>
      <c r="G203">
        <v>0</v>
      </c>
      <c r="H203">
        <f>G203*VLOOKUP(C203,GWPs!$B$3:$C$6,2,FALSE)</f>
        <v>0</v>
      </c>
      <c r="I203">
        <v>3</v>
      </c>
      <c r="J203">
        <v>2</v>
      </c>
      <c r="K203">
        <v>1</v>
      </c>
      <c r="L203">
        <v>1</v>
      </c>
      <c r="M203">
        <v>1</v>
      </c>
    </row>
    <row r="204" spans="1:13">
      <c r="A204" t="s">
        <v>125</v>
      </c>
      <c r="B204" t="s">
        <v>126</v>
      </c>
      <c r="C204" t="s">
        <v>3655</v>
      </c>
      <c r="D204" t="s">
        <v>12</v>
      </c>
      <c r="E204">
        <v>0</v>
      </c>
      <c r="F204">
        <v>0</v>
      </c>
      <c r="G204">
        <v>0</v>
      </c>
      <c r="H204">
        <f>G204*VLOOKUP(C204,GWPs!$B$3:$C$6,2,FALSE)</f>
        <v>0</v>
      </c>
      <c r="I204">
        <v>4</v>
      </c>
      <c r="J204">
        <v>2</v>
      </c>
      <c r="K204">
        <v>1</v>
      </c>
      <c r="L204">
        <v>3</v>
      </c>
      <c r="M204">
        <v>1</v>
      </c>
    </row>
    <row r="205" spans="1:13">
      <c r="A205" t="s">
        <v>125</v>
      </c>
      <c r="B205" t="s">
        <v>126</v>
      </c>
      <c r="C205" t="s">
        <v>15</v>
      </c>
      <c r="D205" t="s">
        <v>16</v>
      </c>
      <c r="E205">
        <v>4.0000000000000001E-3</v>
      </c>
      <c r="F205">
        <v>0</v>
      </c>
      <c r="G205">
        <v>4.0000000000000001E-3</v>
      </c>
      <c r="H205">
        <f>G205*VLOOKUP(C205,GWPs!$B$3:$C$6,2,FALSE)</f>
        <v>4.0000000000000001E-3</v>
      </c>
      <c r="I205">
        <v>4</v>
      </c>
      <c r="J205">
        <v>2</v>
      </c>
      <c r="K205">
        <v>1</v>
      </c>
      <c r="L205">
        <v>5</v>
      </c>
      <c r="M205">
        <v>1</v>
      </c>
    </row>
    <row r="206" spans="1:13">
      <c r="A206" t="s">
        <v>127</v>
      </c>
      <c r="B206" t="s">
        <v>128</v>
      </c>
      <c r="C206" t="s">
        <v>3653</v>
      </c>
      <c r="D206" t="s">
        <v>12</v>
      </c>
      <c r="E206">
        <v>0.111</v>
      </c>
      <c r="F206">
        <v>0</v>
      </c>
      <c r="G206">
        <v>0.111</v>
      </c>
      <c r="H206">
        <f>G206*VLOOKUP(C206,GWPs!$B$3:$C$6,2,FALSE)</f>
        <v>0.111</v>
      </c>
      <c r="I206">
        <v>3</v>
      </c>
      <c r="J206">
        <v>2</v>
      </c>
      <c r="K206">
        <v>1</v>
      </c>
      <c r="L206">
        <v>3</v>
      </c>
      <c r="M206">
        <v>1</v>
      </c>
    </row>
    <row r="207" spans="1:13">
      <c r="A207" t="s">
        <v>127</v>
      </c>
      <c r="B207" t="s">
        <v>128</v>
      </c>
      <c r="C207" t="s">
        <v>3654</v>
      </c>
      <c r="D207" t="s">
        <v>12</v>
      </c>
      <c r="E207">
        <v>0</v>
      </c>
      <c r="F207">
        <v>0</v>
      </c>
      <c r="G207">
        <v>0</v>
      </c>
      <c r="H207">
        <f>G207*VLOOKUP(C207,GWPs!$B$3:$C$6,2,FALSE)</f>
        <v>0</v>
      </c>
      <c r="I207">
        <v>3</v>
      </c>
      <c r="J207">
        <v>2</v>
      </c>
      <c r="K207">
        <v>1</v>
      </c>
      <c r="L207">
        <v>1</v>
      </c>
      <c r="M207">
        <v>1</v>
      </c>
    </row>
    <row r="208" spans="1:13">
      <c r="A208" t="s">
        <v>127</v>
      </c>
      <c r="B208" t="s">
        <v>128</v>
      </c>
      <c r="C208" t="s">
        <v>3655</v>
      </c>
      <c r="D208" t="s">
        <v>12</v>
      </c>
      <c r="E208">
        <v>0</v>
      </c>
      <c r="F208">
        <v>0</v>
      </c>
      <c r="G208">
        <v>0</v>
      </c>
      <c r="H208">
        <f>G208*VLOOKUP(C208,GWPs!$B$3:$C$6,2,FALSE)</f>
        <v>0</v>
      </c>
      <c r="I208">
        <v>3</v>
      </c>
      <c r="J208">
        <v>2</v>
      </c>
      <c r="K208">
        <v>1</v>
      </c>
      <c r="L208">
        <v>3</v>
      </c>
      <c r="M208">
        <v>1</v>
      </c>
    </row>
    <row r="209" spans="1:13">
      <c r="A209" t="s">
        <v>127</v>
      </c>
      <c r="B209" t="s">
        <v>128</v>
      </c>
      <c r="C209" t="s">
        <v>15</v>
      </c>
      <c r="D209" t="s">
        <v>16</v>
      </c>
      <c r="E209">
        <v>2E-3</v>
      </c>
      <c r="F209">
        <v>0</v>
      </c>
      <c r="G209">
        <v>2E-3</v>
      </c>
      <c r="H209">
        <f>G209*VLOOKUP(C209,GWPs!$B$3:$C$6,2,FALSE)</f>
        <v>2E-3</v>
      </c>
      <c r="I209">
        <v>3</v>
      </c>
      <c r="J209">
        <v>2</v>
      </c>
      <c r="K209">
        <v>1</v>
      </c>
      <c r="L209">
        <v>4</v>
      </c>
      <c r="M209">
        <v>1</v>
      </c>
    </row>
    <row r="210" spans="1:13">
      <c r="A210" t="s">
        <v>129</v>
      </c>
      <c r="B210" t="s">
        <v>130</v>
      </c>
      <c r="C210" t="s">
        <v>3653</v>
      </c>
      <c r="D210" t="s">
        <v>12</v>
      </c>
      <c r="E210">
        <v>8.1000000000000003E-2</v>
      </c>
      <c r="F210">
        <v>0</v>
      </c>
      <c r="G210">
        <v>8.1000000000000003E-2</v>
      </c>
      <c r="H210">
        <f>G210*VLOOKUP(C210,GWPs!$B$3:$C$6,2,FALSE)</f>
        <v>8.1000000000000003E-2</v>
      </c>
      <c r="I210">
        <v>3</v>
      </c>
      <c r="J210">
        <v>2</v>
      </c>
      <c r="K210">
        <v>1</v>
      </c>
      <c r="L210">
        <v>3</v>
      </c>
      <c r="M210">
        <v>1</v>
      </c>
    </row>
    <row r="211" spans="1:13">
      <c r="A211" t="s">
        <v>129</v>
      </c>
      <c r="B211" t="s">
        <v>130</v>
      </c>
      <c r="C211" t="s">
        <v>3654</v>
      </c>
      <c r="D211" t="s">
        <v>12</v>
      </c>
      <c r="E211">
        <v>0</v>
      </c>
      <c r="F211">
        <v>0</v>
      </c>
      <c r="G211">
        <v>0</v>
      </c>
      <c r="H211">
        <f>G211*VLOOKUP(C211,GWPs!$B$3:$C$6,2,FALSE)</f>
        <v>0</v>
      </c>
      <c r="I211">
        <v>3</v>
      </c>
      <c r="J211">
        <v>2</v>
      </c>
      <c r="K211">
        <v>1</v>
      </c>
      <c r="L211">
        <v>1</v>
      </c>
      <c r="M211">
        <v>1</v>
      </c>
    </row>
    <row r="212" spans="1:13">
      <c r="A212" t="s">
        <v>129</v>
      </c>
      <c r="B212" t="s">
        <v>130</v>
      </c>
      <c r="C212" t="s">
        <v>3655</v>
      </c>
      <c r="D212" t="s">
        <v>12</v>
      </c>
      <c r="E212">
        <v>0</v>
      </c>
      <c r="F212">
        <v>0</v>
      </c>
      <c r="G212">
        <v>0</v>
      </c>
      <c r="H212">
        <f>G212*VLOOKUP(C212,GWPs!$B$3:$C$6,2,FALSE)</f>
        <v>0</v>
      </c>
      <c r="I212">
        <v>4</v>
      </c>
      <c r="J212">
        <v>2</v>
      </c>
      <c r="K212">
        <v>1</v>
      </c>
      <c r="L212">
        <v>3</v>
      </c>
      <c r="M212">
        <v>1</v>
      </c>
    </row>
    <row r="213" spans="1:13">
      <c r="A213" t="s">
        <v>129</v>
      </c>
      <c r="B213" t="s">
        <v>130</v>
      </c>
      <c r="C213" t="s">
        <v>15</v>
      </c>
      <c r="D213" t="s">
        <v>16</v>
      </c>
      <c r="E213">
        <v>4.0000000000000001E-3</v>
      </c>
      <c r="F213">
        <v>0</v>
      </c>
      <c r="G213">
        <v>4.0000000000000001E-3</v>
      </c>
      <c r="H213">
        <f>G213*VLOOKUP(C213,GWPs!$B$3:$C$6,2,FALSE)</f>
        <v>4.0000000000000001E-3</v>
      </c>
      <c r="I213">
        <v>4</v>
      </c>
      <c r="J213">
        <v>2</v>
      </c>
      <c r="K213">
        <v>1</v>
      </c>
      <c r="L213">
        <v>5</v>
      </c>
      <c r="M213">
        <v>1</v>
      </c>
    </row>
    <row r="214" spans="1:13">
      <c r="A214" t="s">
        <v>131</v>
      </c>
      <c r="B214" t="s">
        <v>132</v>
      </c>
      <c r="C214" t="s">
        <v>3653</v>
      </c>
      <c r="D214" t="s">
        <v>12</v>
      </c>
      <c r="E214">
        <v>0.247</v>
      </c>
      <c r="F214">
        <v>1E-3</v>
      </c>
      <c r="G214">
        <v>0.248</v>
      </c>
      <c r="H214">
        <f>G214*VLOOKUP(C214,GWPs!$B$3:$C$6,2,FALSE)</f>
        <v>0.248</v>
      </c>
      <c r="I214">
        <v>2</v>
      </c>
      <c r="J214">
        <v>2</v>
      </c>
      <c r="K214">
        <v>1</v>
      </c>
      <c r="L214">
        <v>2</v>
      </c>
      <c r="M214">
        <v>1</v>
      </c>
    </row>
    <row r="215" spans="1:13">
      <c r="A215" t="s">
        <v>131</v>
      </c>
      <c r="B215" t="s">
        <v>132</v>
      </c>
      <c r="C215" t="s">
        <v>3654</v>
      </c>
      <c r="D215" t="s">
        <v>12</v>
      </c>
      <c r="E215">
        <v>4.7E-2</v>
      </c>
      <c r="F215">
        <v>0</v>
      </c>
      <c r="G215">
        <v>4.7E-2</v>
      </c>
      <c r="H215">
        <f>G215*VLOOKUP(C215,GWPs!$B$3:$C$6,2,FALSE)</f>
        <v>1.3160000000000001</v>
      </c>
      <c r="I215">
        <v>2</v>
      </c>
      <c r="J215">
        <v>2</v>
      </c>
      <c r="K215">
        <v>1</v>
      </c>
      <c r="L215">
        <v>1</v>
      </c>
      <c r="M215">
        <v>1</v>
      </c>
    </row>
    <row r="216" spans="1:13">
      <c r="A216" t="s">
        <v>131</v>
      </c>
      <c r="B216" t="s">
        <v>132</v>
      </c>
      <c r="C216" t="s">
        <v>3655</v>
      </c>
      <c r="D216" t="s">
        <v>12</v>
      </c>
      <c r="E216">
        <v>0</v>
      </c>
      <c r="F216">
        <v>0</v>
      </c>
      <c r="G216">
        <v>0</v>
      </c>
      <c r="H216">
        <f>G216*VLOOKUP(C216,GWPs!$B$3:$C$6,2,FALSE)</f>
        <v>0</v>
      </c>
      <c r="I216">
        <v>4</v>
      </c>
      <c r="J216">
        <v>2</v>
      </c>
      <c r="K216">
        <v>1</v>
      </c>
      <c r="L216">
        <v>1</v>
      </c>
      <c r="M216">
        <v>1</v>
      </c>
    </row>
    <row r="217" spans="1:13">
      <c r="A217" t="s">
        <v>131</v>
      </c>
      <c r="B217" t="s">
        <v>132</v>
      </c>
      <c r="C217" t="s">
        <v>15</v>
      </c>
      <c r="D217" t="s">
        <v>16</v>
      </c>
      <c r="E217">
        <v>1.6E-2</v>
      </c>
      <c r="F217">
        <v>0</v>
      </c>
      <c r="G217">
        <v>1.6E-2</v>
      </c>
      <c r="H217">
        <f>G217*VLOOKUP(C217,GWPs!$B$3:$C$6,2,FALSE)</f>
        <v>1.6E-2</v>
      </c>
      <c r="I217">
        <v>4</v>
      </c>
      <c r="J217">
        <v>2</v>
      </c>
      <c r="K217">
        <v>1</v>
      </c>
      <c r="L217">
        <v>5</v>
      </c>
      <c r="M217">
        <v>1</v>
      </c>
    </row>
    <row r="218" spans="1:13">
      <c r="A218" t="s">
        <v>133</v>
      </c>
      <c r="B218" t="s">
        <v>134</v>
      </c>
      <c r="C218" t="s">
        <v>3653</v>
      </c>
      <c r="D218" t="s">
        <v>12</v>
      </c>
      <c r="E218">
        <v>0.16500000000000001</v>
      </c>
      <c r="F218">
        <v>0</v>
      </c>
      <c r="G218">
        <v>0.16500000000000001</v>
      </c>
      <c r="H218">
        <f>G218*VLOOKUP(C218,GWPs!$B$3:$C$6,2,FALSE)</f>
        <v>0.16500000000000001</v>
      </c>
      <c r="I218">
        <v>3</v>
      </c>
      <c r="J218">
        <v>2</v>
      </c>
      <c r="K218">
        <v>1</v>
      </c>
      <c r="L218">
        <v>3</v>
      </c>
      <c r="M218">
        <v>1</v>
      </c>
    </row>
    <row r="219" spans="1:13">
      <c r="A219" t="s">
        <v>133</v>
      </c>
      <c r="B219" t="s">
        <v>134</v>
      </c>
      <c r="C219" t="s">
        <v>3654</v>
      </c>
      <c r="D219" t="s">
        <v>12</v>
      </c>
      <c r="E219">
        <v>1E-3</v>
      </c>
      <c r="F219">
        <v>0</v>
      </c>
      <c r="G219">
        <v>1E-3</v>
      </c>
      <c r="H219">
        <f>G219*VLOOKUP(C219,GWPs!$B$3:$C$6,2,FALSE)</f>
        <v>2.8000000000000001E-2</v>
      </c>
      <c r="I219">
        <v>3</v>
      </c>
      <c r="J219">
        <v>2</v>
      </c>
      <c r="K219">
        <v>1</v>
      </c>
      <c r="L219">
        <v>1</v>
      </c>
      <c r="M219">
        <v>1</v>
      </c>
    </row>
    <row r="220" spans="1:13">
      <c r="A220" t="s">
        <v>133</v>
      </c>
      <c r="B220" t="s">
        <v>134</v>
      </c>
      <c r="C220" t="s">
        <v>3655</v>
      </c>
      <c r="D220" t="s">
        <v>12</v>
      </c>
      <c r="E220">
        <v>0</v>
      </c>
      <c r="F220">
        <v>0</v>
      </c>
      <c r="G220">
        <v>0</v>
      </c>
      <c r="H220">
        <f>G220*VLOOKUP(C220,GWPs!$B$3:$C$6,2,FALSE)</f>
        <v>0</v>
      </c>
      <c r="I220">
        <v>4</v>
      </c>
      <c r="J220">
        <v>2</v>
      </c>
      <c r="K220">
        <v>1</v>
      </c>
      <c r="L220">
        <v>4</v>
      </c>
      <c r="M220">
        <v>1</v>
      </c>
    </row>
    <row r="221" spans="1:13">
      <c r="A221" t="s">
        <v>133</v>
      </c>
      <c r="B221" t="s">
        <v>134</v>
      </c>
      <c r="C221" t="s">
        <v>15</v>
      </c>
      <c r="D221" t="s">
        <v>16</v>
      </c>
      <c r="E221">
        <v>3.0000000000000001E-3</v>
      </c>
      <c r="F221">
        <v>0</v>
      </c>
      <c r="G221">
        <v>3.0000000000000001E-3</v>
      </c>
      <c r="H221">
        <f>G221*VLOOKUP(C221,GWPs!$B$3:$C$6,2,FALSE)</f>
        <v>3.0000000000000001E-3</v>
      </c>
      <c r="I221">
        <v>4</v>
      </c>
      <c r="J221">
        <v>2</v>
      </c>
      <c r="K221">
        <v>1</v>
      </c>
      <c r="L221">
        <v>4</v>
      </c>
      <c r="M221">
        <v>1</v>
      </c>
    </row>
    <row r="222" spans="1:13">
      <c r="A222" t="s">
        <v>135</v>
      </c>
      <c r="B222" t="s">
        <v>136</v>
      </c>
      <c r="C222" t="s">
        <v>3653</v>
      </c>
      <c r="D222" t="s">
        <v>12</v>
      </c>
      <c r="E222">
        <v>9.6000000000000002E-2</v>
      </c>
      <c r="F222">
        <v>0</v>
      </c>
      <c r="G222">
        <v>9.6000000000000002E-2</v>
      </c>
      <c r="H222">
        <f>G222*VLOOKUP(C222,GWPs!$B$3:$C$6,2,FALSE)</f>
        <v>9.6000000000000002E-2</v>
      </c>
      <c r="I222">
        <v>3</v>
      </c>
      <c r="J222">
        <v>2</v>
      </c>
      <c r="K222">
        <v>1</v>
      </c>
      <c r="L222">
        <v>3</v>
      </c>
      <c r="M222">
        <v>1</v>
      </c>
    </row>
    <row r="223" spans="1:13">
      <c r="A223" t="s">
        <v>135</v>
      </c>
      <c r="B223" t="s">
        <v>136</v>
      </c>
      <c r="C223" t="s">
        <v>3654</v>
      </c>
      <c r="D223" t="s">
        <v>12</v>
      </c>
      <c r="E223">
        <v>0</v>
      </c>
      <c r="F223">
        <v>0</v>
      </c>
      <c r="G223">
        <v>0</v>
      </c>
      <c r="H223">
        <f>G223*VLOOKUP(C223,GWPs!$B$3:$C$6,2,FALSE)</f>
        <v>0</v>
      </c>
      <c r="I223">
        <v>3</v>
      </c>
      <c r="J223">
        <v>2</v>
      </c>
      <c r="K223">
        <v>1</v>
      </c>
      <c r="L223">
        <v>1</v>
      </c>
      <c r="M223">
        <v>1</v>
      </c>
    </row>
    <row r="224" spans="1:13">
      <c r="A224" t="s">
        <v>135</v>
      </c>
      <c r="B224" t="s">
        <v>136</v>
      </c>
      <c r="C224" t="s">
        <v>3655</v>
      </c>
      <c r="D224" t="s">
        <v>12</v>
      </c>
      <c r="E224">
        <v>0</v>
      </c>
      <c r="F224">
        <v>0</v>
      </c>
      <c r="G224">
        <v>0</v>
      </c>
      <c r="H224">
        <f>G224*VLOOKUP(C224,GWPs!$B$3:$C$6,2,FALSE)</f>
        <v>0</v>
      </c>
      <c r="I224">
        <v>3</v>
      </c>
      <c r="J224">
        <v>2</v>
      </c>
      <c r="K224">
        <v>1</v>
      </c>
      <c r="L224">
        <v>2</v>
      </c>
      <c r="M224">
        <v>1</v>
      </c>
    </row>
    <row r="225" spans="1:13">
      <c r="A225" t="s">
        <v>135</v>
      </c>
      <c r="B225" t="s">
        <v>136</v>
      </c>
      <c r="C225" t="s">
        <v>15</v>
      </c>
      <c r="D225" t="s">
        <v>16</v>
      </c>
      <c r="E225">
        <v>3.0000000000000001E-3</v>
      </c>
      <c r="F225">
        <v>0</v>
      </c>
      <c r="G225">
        <v>3.0000000000000001E-3</v>
      </c>
      <c r="H225">
        <f>G225*VLOOKUP(C225,GWPs!$B$3:$C$6,2,FALSE)</f>
        <v>3.0000000000000001E-3</v>
      </c>
      <c r="I225">
        <v>4</v>
      </c>
      <c r="J225">
        <v>2</v>
      </c>
      <c r="K225">
        <v>1</v>
      </c>
      <c r="L225">
        <v>4</v>
      </c>
      <c r="M225">
        <v>1</v>
      </c>
    </row>
    <row r="226" spans="1:13">
      <c r="A226" t="s">
        <v>137</v>
      </c>
      <c r="B226" t="s">
        <v>23</v>
      </c>
      <c r="C226" t="s">
        <v>3653</v>
      </c>
      <c r="D226" t="s">
        <v>12</v>
      </c>
      <c r="E226">
        <v>0.13</v>
      </c>
      <c r="F226">
        <v>0</v>
      </c>
      <c r="G226">
        <v>0.13</v>
      </c>
      <c r="H226">
        <f>G226*VLOOKUP(C226,GWPs!$B$3:$C$6,2,FALSE)</f>
        <v>0.13</v>
      </c>
      <c r="I226">
        <v>3</v>
      </c>
      <c r="J226">
        <v>2</v>
      </c>
      <c r="K226">
        <v>1</v>
      </c>
      <c r="L226">
        <v>3</v>
      </c>
      <c r="M226">
        <v>1</v>
      </c>
    </row>
    <row r="227" spans="1:13">
      <c r="A227" t="s">
        <v>137</v>
      </c>
      <c r="B227" t="s">
        <v>23</v>
      </c>
      <c r="C227" t="s">
        <v>3654</v>
      </c>
      <c r="D227" t="s">
        <v>12</v>
      </c>
      <c r="E227">
        <v>1E-3</v>
      </c>
      <c r="F227">
        <v>0</v>
      </c>
      <c r="G227">
        <v>1E-3</v>
      </c>
      <c r="H227">
        <f>G227*VLOOKUP(C227,GWPs!$B$3:$C$6,2,FALSE)</f>
        <v>2.8000000000000001E-2</v>
      </c>
      <c r="I227">
        <v>3</v>
      </c>
      <c r="J227">
        <v>2</v>
      </c>
      <c r="K227">
        <v>1</v>
      </c>
      <c r="L227">
        <v>1</v>
      </c>
      <c r="M227">
        <v>1</v>
      </c>
    </row>
    <row r="228" spans="1:13">
      <c r="A228" t="s">
        <v>137</v>
      </c>
      <c r="B228" t="s">
        <v>23</v>
      </c>
      <c r="C228" t="s">
        <v>3655</v>
      </c>
      <c r="D228" t="s">
        <v>12</v>
      </c>
      <c r="E228">
        <v>0</v>
      </c>
      <c r="F228">
        <v>0</v>
      </c>
      <c r="G228">
        <v>0</v>
      </c>
      <c r="H228">
        <f>G228*VLOOKUP(C228,GWPs!$B$3:$C$6,2,FALSE)</f>
        <v>0</v>
      </c>
      <c r="I228">
        <v>3</v>
      </c>
      <c r="J228">
        <v>2</v>
      </c>
      <c r="K228">
        <v>1</v>
      </c>
      <c r="L228">
        <v>3</v>
      </c>
      <c r="M228">
        <v>1</v>
      </c>
    </row>
    <row r="229" spans="1:13">
      <c r="A229" t="s">
        <v>137</v>
      </c>
      <c r="B229" t="s">
        <v>23</v>
      </c>
      <c r="C229" t="s">
        <v>15</v>
      </c>
      <c r="D229" t="s">
        <v>16</v>
      </c>
      <c r="E229">
        <v>4.0000000000000001E-3</v>
      </c>
      <c r="F229">
        <v>0</v>
      </c>
      <c r="G229">
        <v>4.0000000000000001E-3</v>
      </c>
      <c r="H229">
        <f>G229*VLOOKUP(C229,GWPs!$B$3:$C$6,2,FALSE)</f>
        <v>4.0000000000000001E-3</v>
      </c>
      <c r="I229">
        <v>4</v>
      </c>
      <c r="J229">
        <v>2</v>
      </c>
      <c r="K229">
        <v>1</v>
      </c>
      <c r="L229">
        <v>4</v>
      </c>
      <c r="M229">
        <v>1</v>
      </c>
    </row>
    <row r="230" spans="1:13">
      <c r="A230" t="s">
        <v>138</v>
      </c>
      <c r="B230" t="s">
        <v>139</v>
      </c>
      <c r="C230" t="s">
        <v>3653</v>
      </c>
      <c r="D230" t="s">
        <v>12</v>
      </c>
      <c r="E230">
        <v>0.13400000000000001</v>
      </c>
      <c r="F230">
        <v>0</v>
      </c>
      <c r="G230">
        <v>0.13400000000000001</v>
      </c>
      <c r="H230">
        <f>G230*VLOOKUP(C230,GWPs!$B$3:$C$6,2,FALSE)</f>
        <v>0.13400000000000001</v>
      </c>
      <c r="I230">
        <v>3</v>
      </c>
      <c r="J230">
        <v>2</v>
      </c>
      <c r="K230">
        <v>1</v>
      </c>
      <c r="L230">
        <v>3</v>
      </c>
      <c r="M230">
        <v>1</v>
      </c>
    </row>
    <row r="231" spans="1:13">
      <c r="A231" t="s">
        <v>138</v>
      </c>
      <c r="B231" t="s">
        <v>139</v>
      </c>
      <c r="C231" t="s">
        <v>3654</v>
      </c>
      <c r="D231" t="s">
        <v>12</v>
      </c>
      <c r="E231">
        <v>1E-3</v>
      </c>
      <c r="F231">
        <v>0</v>
      </c>
      <c r="G231">
        <v>1E-3</v>
      </c>
      <c r="H231">
        <f>G231*VLOOKUP(C231,GWPs!$B$3:$C$6,2,FALSE)</f>
        <v>2.8000000000000001E-2</v>
      </c>
      <c r="I231">
        <v>3</v>
      </c>
      <c r="J231">
        <v>2</v>
      </c>
      <c r="K231">
        <v>1</v>
      </c>
      <c r="L231">
        <v>1</v>
      </c>
      <c r="M231">
        <v>1</v>
      </c>
    </row>
    <row r="232" spans="1:13">
      <c r="A232" t="s">
        <v>138</v>
      </c>
      <c r="B232" t="s">
        <v>139</v>
      </c>
      <c r="C232" t="s">
        <v>3655</v>
      </c>
      <c r="D232" t="s">
        <v>12</v>
      </c>
      <c r="E232">
        <v>0</v>
      </c>
      <c r="F232">
        <v>0</v>
      </c>
      <c r="G232">
        <v>0</v>
      </c>
      <c r="H232">
        <f>G232*VLOOKUP(C232,GWPs!$B$3:$C$6,2,FALSE)</f>
        <v>0</v>
      </c>
      <c r="I232">
        <v>4</v>
      </c>
      <c r="J232">
        <v>2</v>
      </c>
      <c r="K232">
        <v>1</v>
      </c>
      <c r="L232">
        <v>4</v>
      </c>
      <c r="M232">
        <v>1</v>
      </c>
    </row>
    <row r="233" spans="1:13">
      <c r="A233" t="s">
        <v>138</v>
      </c>
      <c r="B233" t="s">
        <v>139</v>
      </c>
      <c r="C233" t="s">
        <v>15</v>
      </c>
      <c r="D233" t="s">
        <v>16</v>
      </c>
      <c r="E233">
        <v>5.0000000000000001E-3</v>
      </c>
      <c r="F233">
        <v>0</v>
      </c>
      <c r="G233">
        <v>5.0000000000000001E-3</v>
      </c>
      <c r="H233">
        <f>G233*VLOOKUP(C233,GWPs!$B$3:$C$6,2,FALSE)</f>
        <v>5.0000000000000001E-3</v>
      </c>
      <c r="I233">
        <v>4</v>
      </c>
      <c r="J233">
        <v>2</v>
      </c>
      <c r="K233">
        <v>1</v>
      </c>
      <c r="L233">
        <v>5</v>
      </c>
      <c r="M233">
        <v>1</v>
      </c>
    </row>
    <row r="234" spans="1:13">
      <c r="A234" t="s">
        <v>140</v>
      </c>
      <c r="B234" t="s">
        <v>141</v>
      </c>
      <c r="C234" t="s">
        <v>3653</v>
      </c>
      <c r="D234" t="s">
        <v>12</v>
      </c>
      <c r="E234">
        <v>0.14299999999999999</v>
      </c>
      <c r="F234">
        <v>0</v>
      </c>
      <c r="G234">
        <v>0.14299999999999999</v>
      </c>
      <c r="H234">
        <f>G234*VLOOKUP(C234,GWPs!$B$3:$C$6,2,FALSE)</f>
        <v>0.14299999999999999</v>
      </c>
      <c r="I234">
        <v>3</v>
      </c>
      <c r="J234">
        <v>2</v>
      </c>
      <c r="K234">
        <v>1</v>
      </c>
      <c r="L234">
        <v>3</v>
      </c>
      <c r="M234">
        <v>1</v>
      </c>
    </row>
    <row r="235" spans="1:13">
      <c r="A235" t="s">
        <v>140</v>
      </c>
      <c r="B235" t="s">
        <v>141</v>
      </c>
      <c r="C235" t="s">
        <v>3654</v>
      </c>
      <c r="D235" t="s">
        <v>12</v>
      </c>
      <c r="E235">
        <v>1E-3</v>
      </c>
      <c r="F235">
        <v>0</v>
      </c>
      <c r="G235">
        <v>1E-3</v>
      </c>
      <c r="H235">
        <f>G235*VLOOKUP(C235,GWPs!$B$3:$C$6,2,FALSE)</f>
        <v>2.8000000000000001E-2</v>
      </c>
      <c r="I235">
        <v>3</v>
      </c>
      <c r="J235">
        <v>2</v>
      </c>
      <c r="K235">
        <v>1</v>
      </c>
      <c r="L235">
        <v>1</v>
      </c>
      <c r="M235">
        <v>1</v>
      </c>
    </row>
    <row r="236" spans="1:13">
      <c r="A236" t="s">
        <v>140</v>
      </c>
      <c r="B236" t="s">
        <v>141</v>
      </c>
      <c r="C236" t="s">
        <v>3655</v>
      </c>
      <c r="D236" t="s">
        <v>12</v>
      </c>
      <c r="E236">
        <v>0</v>
      </c>
      <c r="F236">
        <v>0</v>
      </c>
      <c r="G236">
        <v>0</v>
      </c>
      <c r="H236">
        <f>G236*VLOOKUP(C236,GWPs!$B$3:$C$6,2,FALSE)</f>
        <v>0</v>
      </c>
      <c r="I236">
        <v>4</v>
      </c>
      <c r="J236">
        <v>2</v>
      </c>
      <c r="K236">
        <v>1</v>
      </c>
      <c r="L236">
        <v>4</v>
      </c>
      <c r="M236">
        <v>1</v>
      </c>
    </row>
    <row r="237" spans="1:13">
      <c r="A237" t="s">
        <v>140</v>
      </c>
      <c r="B237" t="s">
        <v>141</v>
      </c>
      <c r="C237" t="s">
        <v>15</v>
      </c>
      <c r="D237" t="s">
        <v>16</v>
      </c>
      <c r="E237">
        <v>5.0000000000000001E-3</v>
      </c>
      <c r="F237">
        <v>0</v>
      </c>
      <c r="G237">
        <v>5.0000000000000001E-3</v>
      </c>
      <c r="H237">
        <f>G237*VLOOKUP(C237,GWPs!$B$3:$C$6,2,FALSE)</f>
        <v>5.0000000000000001E-3</v>
      </c>
      <c r="I237">
        <v>4</v>
      </c>
      <c r="J237">
        <v>2</v>
      </c>
      <c r="K237">
        <v>1</v>
      </c>
      <c r="L237">
        <v>5</v>
      </c>
      <c r="M237">
        <v>1</v>
      </c>
    </row>
    <row r="238" spans="1:13">
      <c r="A238" t="s">
        <v>142</v>
      </c>
      <c r="B238" t="s">
        <v>143</v>
      </c>
      <c r="C238" t="s">
        <v>3653</v>
      </c>
      <c r="D238" t="s">
        <v>12</v>
      </c>
      <c r="E238">
        <v>6.0999999999999999E-2</v>
      </c>
      <c r="F238">
        <v>0</v>
      </c>
      <c r="G238">
        <v>6.0999999999999999E-2</v>
      </c>
      <c r="H238">
        <f>G238*VLOOKUP(C238,GWPs!$B$3:$C$6,2,FALSE)</f>
        <v>6.0999999999999999E-2</v>
      </c>
      <c r="I238">
        <v>3</v>
      </c>
      <c r="J238">
        <v>2</v>
      </c>
      <c r="K238">
        <v>1</v>
      </c>
      <c r="L238">
        <v>3</v>
      </c>
      <c r="M238">
        <v>1</v>
      </c>
    </row>
    <row r="239" spans="1:13">
      <c r="A239" t="s">
        <v>142</v>
      </c>
      <c r="B239" t="s">
        <v>143</v>
      </c>
      <c r="C239" t="s">
        <v>3654</v>
      </c>
      <c r="D239" t="s">
        <v>12</v>
      </c>
      <c r="E239">
        <v>0</v>
      </c>
      <c r="F239">
        <v>0</v>
      </c>
      <c r="G239">
        <v>0</v>
      </c>
      <c r="H239">
        <f>G239*VLOOKUP(C239,GWPs!$B$3:$C$6,2,FALSE)</f>
        <v>0</v>
      </c>
      <c r="I239">
        <v>3</v>
      </c>
      <c r="J239">
        <v>2</v>
      </c>
      <c r="K239">
        <v>1</v>
      </c>
      <c r="L239">
        <v>1</v>
      </c>
      <c r="M239">
        <v>1</v>
      </c>
    </row>
    <row r="240" spans="1:13">
      <c r="A240" t="s">
        <v>142</v>
      </c>
      <c r="B240" t="s">
        <v>143</v>
      </c>
      <c r="C240" t="s">
        <v>3655</v>
      </c>
      <c r="D240" t="s">
        <v>12</v>
      </c>
      <c r="E240">
        <v>0</v>
      </c>
      <c r="F240">
        <v>0</v>
      </c>
      <c r="G240">
        <v>0</v>
      </c>
      <c r="H240">
        <f>G240*VLOOKUP(C240,GWPs!$B$3:$C$6,2,FALSE)</f>
        <v>0</v>
      </c>
      <c r="I240">
        <v>4</v>
      </c>
      <c r="J240">
        <v>2</v>
      </c>
      <c r="K240">
        <v>1</v>
      </c>
      <c r="L240">
        <v>3</v>
      </c>
      <c r="M240">
        <v>1</v>
      </c>
    </row>
    <row r="241" spans="1:13">
      <c r="A241" t="s">
        <v>142</v>
      </c>
      <c r="B241" t="s">
        <v>143</v>
      </c>
      <c r="C241" t="s">
        <v>15</v>
      </c>
      <c r="D241" t="s">
        <v>16</v>
      </c>
      <c r="E241">
        <v>1E-3</v>
      </c>
      <c r="F241">
        <v>0</v>
      </c>
      <c r="G241">
        <v>1E-3</v>
      </c>
      <c r="H241">
        <f>G241*VLOOKUP(C241,GWPs!$B$3:$C$6,2,FALSE)</f>
        <v>1E-3</v>
      </c>
      <c r="I241">
        <v>4</v>
      </c>
      <c r="J241">
        <v>2</v>
      </c>
      <c r="K241">
        <v>1</v>
      </c>
      <c r="L241">
        <v>4</v>
      </c>
      <c r="M241">
        <v>1</v>
      </c>
    </row>
    <row r="242" spans="1:13">
      <c r="A242" t="s">
        <v>144</v>
      </c>
      <c r="B242" t="s">
        <v>145</v>
      </c>
      <c r="C242" t="s">
        <v>3653</v>
      </c>
      <c r="D242" t="s">
        <v>12</v>
      </c>
      <c r="E242">
        <v>0.16400000000000001</v>
      </c>
      <c r="F242">
        <v>0</v>
      </c>
      <c r="G242">
        <v>0.16400000000000001</v>
      </c>
      <c r="H242">
        <f>G242*VLOOKUP(C242,GWPs!$B$3:$C$6,2,FALSE)</f>
        <v>0.16400000000000001</v>
      </c>
      <c r="I242">
        <v>3</v>
      </c>
      <c r="J242">
        <v>2</v>
      </c>
      <c r="K242">
        <v>1</v>
      </c>
      <c r="L242">
        <v>3</v>
      </c>
      <c r="M242">
        <v>1</v>
      </c>
    </row>
    <row r="243" spans="1:13">
      <c r="A243" t="s">
        <v>144</v>
      </c>
      <c r="B243" t="s">
        <v>145</v>
      </c>
      <c r="C243" t="s">
        <v>3654</v>
      </c>
      <c r="D243" t="s">
        <v>12</v>
      </c>
      <c r="E243">
        <v>1E-3</v>
      </c>
      <c r="F243">
        <v>0</v>
      </c>
      <c r="G243">
        <v>1E-3</v>
      </c>
      <c r="H243">
        <f>G243*VLOOKUP(C243,GWPs!$B$3:$C$6,2,FALSE)</f>
        <v>2.8000000000000001E-2</v>
      </c>
      <c r="I243">
        <v>3</v>
      </c>
      <c r="J243">
        <v>2</v>
      </c>
      <c r="K243">
        <v>1</v>
      </c>
      <c r="L243">
        <v>1</v>
      </c>
      <c r="M243">
        <v>1</v>
      </c>
    </row>
    <row r="244" spans="1:13">
      <c r="A244" t="s">
        <v>144</v>
      </c>
      <c r="B244" t="s">
        <v>145</v>
      </c>
      <c r="C244" t="s">
        <v>3655</v>
      </c>
      <c r="D244" t="s">
        <v>12</v>
      </c>
      <c r="E244">
        <v>0</v>
      </c>
      <c r="F244">
        <v>0</v>
      </c>
      <c r="G244">
        <v>0</v>
      </c>
      <c r="H244">
        <f>G244*VLOOKUP(C244,GWPs!$B$3:$C$6,2,FALSE)</f>
        <v>0</v>
      </c>
      <c r="I244">
        <v>4</v>
      </c>
      <c r="J244">
        <v>2</v>
      </c>
      <c r="K244">
        <v>1</v>
      </c>
      <c r="L244">
        <v>4</v>
      </c>
      <c r="M244">
        <v>1</v>
      </c>
    </row>
    <row r="245" spans="1:13">
      <c r="A245" t="s">
        <v>144</v>
      </c>
      <c r="B245" t="s">
        <v>145</v>
      </c>
      <c r="C245" t="s">
        <v>15</v>
      </c>
      <c r="D245" t="s">
        <v>16</v>
      </c>
      <c r="E245">
        <v>4.0000000000000001E-3</v>
      </c>
      <c r="F245">
        <v>0</v>
      </c>
      <c r="G245">
        <v>4.0000000000000001E-3</v>
      </c>
      <c r="H245">
        <f>G245*VLOOKUP(C245,GWPs!$B$3:$C$6,2,FALSE)</f>
        <v>4.0000000000000001E-3</v>
      </c>
      <c r="I245">
        <v>4</v>
      </c>
      <c r="J245">
        <v>2</v>
      </c>
      <c r="K245">
        <v>1</v>
      </c>
      <c r="L245">
        <v>4</v>
      </c>
      <c r="M245">
        <v>1</v>
      </c>
    </row>
    <row r="246" spans="1:13">
      <c r="A246" t="s">
        <v>146</v>
      </c>
      <c r="B246" t="s">
        <v>147</v>
      </c>
      <c r="C246" t="s">
        <v>3653</v>
      </c>
      <c r="D246" t="s">
        <v>12</v>
      </c>
      <c r="E246">
        <v>0.152</v>
      </c>
      <c r="F246">
        <v>0</v>
      </c>
      <c r="G246">
        <v>0.152</v>
      </c>
      <c r="H246">
        <f>G246*VLOOKUP(C246,GWPs!$B$3:$C$6,2,FALSE)</f>
        <v>0.152</v>
      </c>
      <c r="I246">
        <v>3</v>
      </c>
      <c r="J246">
        <v>2</v>
      </c>
      <c r="K246">
        <v>1</v>
      </c>
      <c r="L246">
        <v>3</v>
      </c>
      <c r="M246">
        <v>1</v>
      </c>
    </row>
    <row r="247" spans="1:13">
      <c r="A247" t="s">
        <v>146</v>
      </c>
      <c r="B247" t="s">
        <v>147</v>
      </c>
      <c r="C247" t="s">
        <v>3654</v>
      </c>
      <c r="D247" t="s">
        <v>12</v>
      </c>
      <c r="E247">
        <v>1E-3</v>
      </c>
      <c r="F247">
        <v>0</v>
      </c>
      <c r="G247">
        <v>1E-3</v>
      </c>
      <c r="H247">
        <f>G247*VLOOKUP(C247,GWPs!$B$3:$C$6,2,FALSE)</f>
        <v>2.8000000000000001E-2</v>
      </c>
      <c r="I247">
        <v>3</v>
      </c>
      <c r="J247">
        <v>2</v>
      </c>
      <c r="K247">
        <v>1</v>
      </c>
      <c r="L247">
        <v>1</v>
      </c>
      <c r="M247">
        <v>1</v>
      </c>
    </row>
    <row r="248" spans="1:13">
      <c r="A248" t="s">
        <v>146</v>
      </c>
      <c r="B248" t="s">
        <v>147</v>
      </c>
      <c r="C248" t="s">
        <v>3655</v>
      </c>
      <c r="D248" t="s">
        <v>12</v>
      </c>
      <c r="E248">
        <v>0</v>
      </c>
      <c r="F248">
        <v>0</v>
      </c>
      <c r="G248">
        <v>0</v>
      </c>
      <c r="H248">
        <f>G248*VLOOKUP(C248,GWPs!$B$3:$C$6,2,FALSE)</f>
        <v>0</v>
      </c>
      <c r="I248">
        <v>4</v>
      </c>
      <c r="J248">
        <v>2</v>
      </c>
      <c r="K248">
        <v>1</v>
      </c>
      <c r="L248">
        <v>4</v>
      </c>
      <c r="M248">
        <v>1</v>
      </c>
    </row>
    <row r="249" spans="1:13">
      <c r="A249" t="s">
        <v>146</v>
      </c>
      <c r="B249" t="s">
        <v>147</v>
      </c>
      <c r="C249" t="s">
        <v>15</v>
      </c>
      <c r="D249" t="s">
        <v>16</v>
      </c>
      <c r="E249">
        <v>3.0000000000000001E-3</v>
      </c>
      <c r="F249">
        <v>0</v>
      </c>
      <c r="G249">
        <v>3.0000000000000001E-3</v>
      </c>
      <c r="H249">
        <f>G249*VLOOKUP(C249,GWPs!$B$3:$C$6,2,FALSE)</f>
        <v>3.0000000000000001E-3</v>
      </c>
      <c r="I249">
        <v>4</v>
      </c>
      <c r="J249">
        <v>2</v>
      </c>
      <c r="K249">
        <v>1</v>
      </c>
      <c r="L249">
        <v>4</v>
      </c>
      <c r="M249">
        <v>1</v>
      </c>
    </row>
    <row r="250" spans="1:13">
      <c r="A250" t="s">
        <v>148</v>
      </c>
      <c r="B250" t="s">
        <v>149</v>
      </c>
      <c r="C250" t="s">
        <v>3653</v>
      </c>
      <c r="D250" t="s">
        <v>12</v>
      </c>
      <c r="E250">
        <v>0.19800000000000001</v>
      </c>
      <c r="F250">
        <v>0</v>
      </c>
      <c r="G250">
        <v>0.19800000000000001</v>
      </c>
      <c r="H250">
        <f>G250*VLOOKUP(C250,GWPs!$B$3:$C$6,2,FALSE)</f>
        <v>0.19800000000000001</v>
      </c>
      <c r="I250">
        <v>3</v>
      </c>
      <c r="J250">
        <v>2</v>
      </c>
      <c r="K250">
        <v>1</v>
      </c>
      <c r="L250">
        <v>3</v>
      </c>
      <c r="M250">
        <v>1</v>
      </c>
    </row>
    <row r="251" spans="1:13">
      <c r="A251" t="s">
        <v>148</v>
      </c>
      <c r="B251" t="s">
        <v>149</v>
      </c>
      <c r="C251" t="s">
        <v>3654</v>
      </c>
      <c r="D251" t="s">
        <v>12</v>
      </c>
      <c r="E251">
        <v>1E-3</v>
      </c>
      <c r="F251">
        <v>0</v>
      </c>
      <c r="G251">
        <v>1E-3</v>
      </c>
      <c r="H251">
        <f>G251*VLOOKUP(C251,GWPs!$B$3:$C$6,2,FALSE)</f>
        <v>2.8000000000000001E-2</v>
      </c>
      <c r="I251">
        <v>3</v>
      </c>
      <c r="J251">
        <v>2</v>
      </c>
      <c r="K251">
        <v>1</v>
      </c>
      <c r="L251">
        <v>1</v>
      </c>
      <c r="M251">
        <v>1</v>
      </c>
    </row>
    <row r="252" spans="1:13">
      <c r="A252" t="s">
        <v>148</v>
      </c>
      <c r="B252" t="s">
        <v>149</v>
      </c>
      <c r="C252" t="s">
        <v>3655</v>
      </c>
      <c r="D252" t="s">
        <v>12</v>
      </c>
      <c r="E252">
        <v>0</v>
      </c>
      <c r="F252">
        <v>0</v>
      </c>
      <c r="G252">
        <v>0</v>
      </c>
      <c r="H252">
        <f>G252*VLOOKUP(C252,GWPs!$B$3:$C$6,2,FALSE)</f>
        <v>0</v>
      </c>
      <c r="I252">
        <v>4</v>
      </c>
      <c r="J252">
        <v>2</v>
      </c>
      <c r="K252">
        <v>1</v>
      </c>
      <c r="L252">
        <v>4</v>
      </c>
      <c r="M252">
        <v>1</v>
      </c>
    </row>
    <row r="253" spans="1:13">
      <c r="A253" t="s">
        <v>148</v>
      </c>
      <c r="B253" t="s">
        <v>149</v>
      </c>
      <c r="C253" t="s">
        <v>15</v>
      </c>
      <c r="D253" t="s">
        <v>16</v>
      </c>
      <c r="E253">
        <v>7.0000000000000001E-3</v>
      </c>
      <c r="F253">
        <v>0</v>
      </c>
      <c r="G253">
        <v>7.0000000000000001E-3</v>
      </c>
      <c r="H253">
        <f>G253*VLOOKUP(C253,GWPs!$B$3:$C$6,2,FALSE)</f>
        <v>7.0000000000000001E-3</v>
      </c>
      <c r="I253">
        <v>4</v>
      </c>
      <c r="J253">
        <v>2</v>
      </c>
      <c r="K253">
        <v>1</v>
      </c>
      <c r="L253">
        <v>5</v>
      </c>
      <c r="M253">
        <v>1</v>
      </c>
    </row>
    <row r="254" spans="1:13">
      <c r="A254" t="s">
        <v>150</v>
      </c>
      <c r="B254" t="s">
        <v>151</v>
      </c>
      <c r="C254" t="s">
        <v>3653</v>
      </c>
      <c r="D254" t="s">
        <v>12</v>
      </c>
      <c r="E254">
        <v>0.11700000000000001</v>
      </c>
      <c r="F254">
        <v>0</v>
      </c>
      <c r="G254">
        <v>0.11700000000000001</v>
      </c>
      <c r="H254">
        <f>G254*VLOOKUP(C254,GWPs!$B$3:$C$6,2,FALSE)</f>
        <v>0.11700000000000001</v>
      </c>
      <c r="I254">
        <v>3</v>
      </c>
      <c r="J254">
        <v>2</v>
      </c>
      <c r="K254">
        <v>1</v>
      </c>
      <c r="L254">
        <v>3</v>
      </c>
      <c r="M254">
        <v>1</v>
      </c>
    </row>
    <row r="255" spans="1:13">
      <c r="A255" t="s">
        <v>150</v>
      </c>
      <c r="B255" t="s">
        <v>151</v>
      </c>
      <c r="C255" t="s">
        <v>3654</v>
      </c>
      <c r="D255" t="s">
        <v>12</v>
      </c>
      <c r="E255">
        <v>1E-3</v>
      </c>
      <c r="F255">
        <v>0</v>
      </c>
      <c r="G255">
        <v>1E-3</v>
      </c>
      <c r="H255">
        <f>G255*VLOOKUP(C255,GWPs!$B$3:$C$6,2,FALSE)</f>
        <v>2.8000000000000001E-2</v>
      </c>
      <c r="I255">
        <v>3</v>
      </c>
      <c r="J255">
        <v>2</v>
      </c>
      <c r="K255">
        <v>1</v>
      </c>
      <c r="L255">
        <v>1</v>
      </c>
      <c r="M255">
        <v>1</v>
      </c>
    </row>
    <row r="256" spans="1:13">
      <c r="A256" t="s">
        <v>150</v>
      </c>
      <c r="B256" t="s">
        <v>151</v>
      </c>
      <c r="C256" t="s">
        <v>3655</v>
      </c>
      <c r="D256" t="s">
        <v>12</v>
      </c>
      <c r="E256">
        <v>0</v>
      </c>
      <c r="F256">
        <v>0</v>
      </c>
      <c r="G256">
        <v>0</v>
      </c>
      <c r="H256">
        <f>G256*VLOOKUP(C256,GWPs!$B$3:$C$6,2,FALSE)</f>
        <v>0</v>
      </c>
      <c r="I256">
        <v>4</v>
      </c>
      <c r="J256">
        <v>2</v>
      </c>
      <c r="K256">
        <v>1</v>
      </c>
      <c r="L256">
        <v>3</v>
      </c>
      <c r="M256">
        <v>1</v>
      </c>
    </row>
    <row r="257" spans="1:13">
      <c r="A257" t="s">
        <v>150</v>
      </c>
      <c r="B257" t="s">
        <v>151</v>
      </c>
      <c r="C257" t="s">
        <v>15</v>
      </c>
      <c r="D257" t="s">
        <v>16</v>
      </c>
      <c r="E257">
        <v>5.0000000000000001E-3</v>
      </c>
      <c r="F257">
        <v>0</v>
      </c>
      <c r="G257">
        <v>5.0000000000000001E-3</v>
      </c>
      <c r="H257">
        <f>G257*VLOOKUP(C257,GWPs!$B$3:$C$6,2,FALSE)</f>
        <v>5.0000000000000001E-3</v>
      </c>
      <c r="I257">
        <v>4</v>
      </c>
      <c r="J257">
        <v>2</v>
      </c>
      <c r="K257">
        <v>1</v>
      </c>
      <c r="L257">
        <v>5</v>
      </c>
      <c r="M257">
        <v>1</v>
      </c>
    </row>
    <row r="258" spans="1:13">
      <c r="A258" t="s">
        <v>152</v>
      </c>
      <c r="B258" t="s">
        <v>153</v>
      </c>
      <c r="C258" t="s">
        <v>3653</v>
      </c>
      <c r="D258" t="s">
        <v>12</v>
      </c>
      <c r="E258">
        <v>1.4E-2</v>
      </c>
      <c r="F258">
        <v>0</v>
      </c>
      <c r="G258">
        <v>1.4E-2</v>
      </c>
      <c r="H258">
        <f>G258*VLOOKUP(C258,GWPs!$B$3:$C$6,2,FALSE)</f>
        <v>1.4E-2</v>
      </c>
      <c r="I258">
        <v>3</v>
      </c>
      <c r="J258">
        <v>2</v>
      </c>
      <c r="K258">
        <v>1</v>
      </c>
      <c r="L258">
        <v>3</v>
      </c>
      <c r="M258">
        <v>1</v>
      </c>
    </row>
    <row r="259" spans="1:13">
      <c r="A259" t="s">
        <v>152</v>
      </c>
      <c r="B259" t="s">
        <v>153</v>
      </c>
      <c r="C259" t="s">
        <v>3654</v>
      </c>
      <c r="D259" t="s">
        <v>12</v>
      </c>
      <c r="E259">
        <v>0</v>
      </c>
      <c r="F259">
        <v>0</v>
      </c>
      <c r="G259">
        <v>0</v>
      </c>
      <c r="H259">
        <f>G259*VLOOKUP(C259,GWPs!$B$3:$C$6,2,FALSE)</f>
        <v>0</v>
      </c>
      <c r="I259">
        <v>4</v>
      </c>
      <c r="J259">
        <v>2</v>
      </c>
      <c r="K259">
        <v>1</v>
      </c>
      <c r="L259">
        <v>1</v>
      </c>
      <c r="M259">
        <v>1</v>
      </c>
    </row>
    <row r="260" spans="1:13">
      <c r="A260" t="s">
        <v>152</v>
      </c>
      <c r="B260" t="s">
        <v>153</v>
      </c>
      <c r="C260" t="s">
        <v>3655</v>
      </c>
      <c r="D260" t="s">
        <v>12</v>
      </c>
      <c r="E260">
        <v>0</v>
      </c>
      <c r="F260">
        <v>0</v>
      </c>
      <c r="G260">
        <v>0</v>
      </c>
      <c r="H260">
        <f>G260*VLOOKUP(C260,GWPs!$B$3:$C$6,2,FALSE)</f>
        <v>0</v>
      </c>
      <c r="I260">
        <v>4</v>
      </c>
      <c r="J260">
        <v>2</v>
      </c>
      <c r="K260">
        <v>1</v>
      </c>
      <c r="L260">
        <v>3</v>
      </c>
      <c r="M260">
        <v>1</v>
      </c>
    </row>
    <row r="261" spans="1:13">
      <c r="A261" t="s">
        <v>152</v>
      </c>
      <c r="B261" t="s">
        <v>153</v>
      </c>
      <c r="C261" t="s">
        <v>15</v>
      </c>
      <c r="D261" t="s">
        <v>16</v>
      </c>
      <c r="E261">
        <v>1E-3</v>
      </c>
      <c r="F261">
        <v>0</v>
      </c>
      <c r="G261">
        <v>1E-3</v>
      </c>
      <c r="H261">
        <f>G261*VLOOKUP(C261,GWPs!$B$3:$C$6,2,FALSE)</f>
        <v>1E-3</v>
      </c>
      <c r="I261">
        <v>4</v>
      </c>
      <c r="J261">
        <v>2</v>
      </c>
      <c r="K261">
        <v>1</v>
      </c>
      <c r="L261">
        <v>5</v>
      </c>
      <c r="M261">
        <v>1</v>
      </c>
    </row>
    <row r="262" spans="1:13">
      <c r="A262" t="s">
        <v>154</v>
      </c>
      <c r="B262" t="s">
        <v>21</v>
      </c>
      <c r="C262" t="s">
        <v>3653</v>
      </c>
      <c r="D262" t="s">
        <v>12</v>
      </c>
      <c r="E262">
        <v>0.34100000000000003</v>
      </c>
      <c r="F262">
        <v>0</v>
      </c>
      <c r="G262">
        <v>0.34100000000000003</v>
      </c>
      <c r="H262">
        <f>G262*VLOOKUP(C262,GWPs!$B$3:$C$6,2,FALSE)</f>
        <v>0.34100000000000003</v>
      </c>
      <c r="I262">
        <v>3</v>
      </c>
      <c r="J262">
        <v>2</v>
      </c>
      <c r="K262">
        <v>1</v>
      </c>
      <c r="L262">
        <v>3</v>
      </c>
      <c r="M262">
        <v>1</v>
      </c>
    </row>
    <row r="263" spans="1:13">
      <c r="A263" t="s">
        <v>154</v>
      </c>
      <c r="B263" t="s">
        <v>21</v>
      </c>
      <c r="C263" t="s">
        <v>3654</v>
      </c>
      <c r="D263" t="s">
        <v>12</v>
      </c>
      <c r="E263">
        <v>1E-3</v>
      </c>
      <c r="F263">
        <v>0</v>
      </c>
      <c r="G263">
        <v>1E-3</v>
      </c>
      <c r="H263">
        <f>G263*VLOOKUP(C263,GWPs!$B$3:$C$6,2,FALSE)</f>
        <v>2.8000000000000001E-2</v>
      </c>
      <c r="I263">
        <v>3</v>
      </c>
      <c r="J263">
        <v>2</v>
      </c>
      <c r="K263">
        <v>1</v>
      </c>
      <c r="L263">
        <v>1</v>
      </c>
      <c r="M263">
        <v>1</v>
      </c>
    </row>
    <row r="264" spans="1:13">
      <c r="A264" t="s">
        <v>154</v>
      </c>
      <c r="B264" t="s">
        <v>21</v>
      </c>
      <c r="C264" t="s">
        <v>3655</v>
      </c>
      <c r="D264" t="s">
        <v>12</v>
      </c>
      <c r="E264">
        <v>0</v>
      </c>
      <c r="F264">
        <v>0</v>
      </c>
      <c r="G264">
        <v>0</v>
      </c>
      <c r="H264">
        <f>G264*VLOOKUP(C264,GWPs!$B$3:$C$6,2,FALSE)</f>
        <v>0</v>
      </c>
      <c r="I264">
        <v>3</v>
      </c>
      <c r="J264">
        <v>2</v>
      </c>
      <c r="K264">
        <v>1</v>
      </c>
      <c r="L264">
        <v>3</v>
      </c>
      <c r="M264">
        <v>1</v>
      </c>
    </row>
    <row r="265" spans="1:13">
      <c r="A265" t="s">
        <v>154</v>
      </c>
      <c r="B265" t="s">
        <v>21</v>
      </c>
      <c r="C265" t="s">
        <v>15</v>
      </c>
      <c r="D265" t="s">
        <v>16</v>
      </c>
      <c r="E265">
        <v>4.0000000000000001E-3</v>
      </c>
      <c r="F265">
        <v>0</v>
      </c>
      <c r="G265">
        <v>4.0000000000000001E-3</v>
      </c>
      <c r="H265">
        <f>G265*VLOOKUP(C265,GWPs!$B$3:$C$6,2,FALSE)</f>
        <v>4.0000000000000001E-3</v>
      </c>
      <c r="I265">
        <v>4</v>
      </c>
      <c r="J265">
        <v>2</v>
      </c>
      <c r="K265">
        <v>1</v>
      </c>
      <c r="L265">
        <v>4</v>
      </c>
      <c r="M265">
        <v>1</v>
      </c>
    </row>
  </sheetData>
  <sortState xmlns:xlrd2="http://schemas.microsoft.com/office/spreadsheetml/2017/richdata2" ref="P2:Q67">
    <sortCondition ref="P1:P67"/>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tabColor theme="3" tint="0.59999389629810485"/>
  </sheetPr>
  <dimension ref="A1:AF68"/>
  <sheetViews>
    <sheetView showGridLines="0" zoomScale="90" zoomScaleNormal="90" workbookViewId="0">
      <selection activeCell="C18" sqref="C18:G19"/>
    </sheetView>
  </sheetViews>
  <sheetFormatPr defaultColWidth="8.875" defaultRowHeight="14.25"/>
  <cols>
    <col min="2" max="2" width="26.375" customWidth="1"/>
    <col min="3" max="3" width="42" customWidth="1"/>
    <col min="4" max="4" width="25.125" customWidth="1"/>
    <col min="5" max="5" width="21" customWidth="1"/>
    <col min="6" max="6" width="21.25" customWidth="1"/>
    <col min="7" max="7" width="19.375" customWidth="1"/>
    <col min="8" max="8" width="17.875" customWidth="1"/>
    <col min="9" max="9" width="16.5" customWidth="1"/>
    <col min="10" max="10" width="13.5" customWidth="1"/>
  </cols>
  <sheetData>
    <row r="1" spans="1:32" ht="27.6" customHeight="1">
      <c r="A1" s="198" t="s">
        <v>1098</v>
      </c>
      <c r="B1" s="199"/>
      <c r="C1" s="199"/>
      <c r="D1" s="199"/>
      <c r="E1" s="199"/>
      <c r="F1" s="199"/>
      <c r="G1" s="199"/>
      <c r="H1" s="199"/>
      <c r="I1" s="199"/>
      <c r="J1" s="199"/>
    </row>
    <row r="2" spans="1:32">
      <c r="A2" s="208" t="s">
        <v>1125</v>
      </c>
      <c r="B2" s="201"/>
      <c r="C2" s="201"/>
      <c r="D2" s="201"/>
      <c r="E2" s="201"/>
      <c r="F2" s="201"/>
      <c r="G2" s="201"/>
      <c r="H2" s="201"/>
      <c r="I2" s="201"/>
      <c r="J2" s="201"/>
    </row>
    <row r="3" spans="1:32" ht="16.350000000000001" customHeight="1">
      <c r="A3" s="202" t="s">
        <v>1386</v>
      </c>
      <c r="B3" s="201"/>
      <c r="C3" s="201"/>
      <c r="D3" s="201"/>
      <c r="E3" s="201"/>
      <c r="F3" s="201"/>
      <c r="G3" s="201"/>
      <c r="H3" s="201"/>
      <c r="I3" s="201"/>
      <c r="J3" s="201"/>
    </row>
    <row r="4" spans="1:32">
      <c r="A4" s="202" t="s">
        <v>1272</v>
      </c>
      <c r="B4" s="201"/>
      <c r="C4" s="201"/>
      <c r="D4" s="201"/>
      <c r="E4" s="201"/>
      <c r="F4" s="201"/>
      <c r="G4" s="201"/>
      <c r="H4" s="201"/>
      <c r="I4" s="201"/>
      <c r="J4" s="201"/>
    </row>
    <row r="5" spans="1:32">
      <c r="A5" s="215" t="s">
        <v>1277</v>
      </c>
      <c r="B5" s="201"/>
      <c r="C5" s="201"/>
      <c r="D5" s="201"/>
      <c r="E5" s="201"/>
      <c r="F5" s="201"/>
      <c r="G5" s="201"/>
      <c r="H5" s="201"/>
      <c r="I5" s="201"/>
      <c r="J5" s="201"/>
    </row>
    <row r="6" spans="1:32">
      <c r="A6" s="202" t="s">
        <v>1252</v>
      </c>
      <c r="B6" s="201"/>
      <c r="C6" s="201"/>
      <c r="D6" s="201"/>
      <c r="E6" s="201"/>
      <c r="F6" s="201"/>
      <c r="G6" s="201"/>
      <c r="H6" s="201"/>
      <c r="I6" s="201"/>
      <c r="J6" s="201"/>
    </row>
    <row r="7" spans="1:32">
      <c r="A7" s="215" t="s">
        <v>1278</v>
      </c>
      <c r="B7" s="201"/>
      <c r="C7" s="201"/>
      <c r="D7" s="201"/>
      <c r="E7" s="201"/>
      <c r="F7" s="201"/>
      <c r="G7" s="201"/>
      <c r="H7" s="201"/>
      <c r="I7" s="201"/>
      <c r="J7" s="201"/>
    </row>
    <row r="11" spans="1:32">
      <c r="B11" s="22"/>
      <c r="C11" s="22"/>
      <c r="D11" s="22"/>
      <c r="E11" s="22"/>
      <c r="F11" s="22"/>
      <c r="G11" s="22"/>
      <c r="H11" s="22"/>
      <c r="K11" s="22"/>
      <c r="L11" s="22"/>
      <c r="M11" s="22"/>
      <c r="N11" s="22"/>
      <c r="O11" s="87"/>
      <c r="P11" s="87"/>
      <c r="Q11" s="22"/>
      <c r="R11" s="22"/>
      <c r="S11" s="22"/>
      <c r="T11" s="22"/>
      <c r="U11" s="22"/>
      <c r="V11" s="22"/>
      <c r="W11" s="22"/>
      <c r="X11" s="22"/>
      <c r="Y11" s="22"/>
      <c r="Z11" s="22"/>
      <c r="AA11" s="22"/>
      <c r="AB11" s="22"/>
      <c r="AC11" s="22"/>
      <c r="AD11" s="22"/>
      <c r="AE11" s="22"/>
      <c r="AF11" s="22"/>
    </row>
    <row r="12" spans="1:32">
      <c r="B12" s="22"/>
      <c r="C12" s="22"/>
      <c r="D12" s="22"/>
      <c r="E12" s="22"/>
      <c r="F12" s="22"/>
      <c r="G12" s="22"/>
      <c r="H12" s="22"/>
      <c r="K12" s="22"/>
      <c r="L12" s="22"/>
      <c r="M12" s="22"/>
      <c r="N12" s="22"/>
      <c r="O12" s="87"/>
      <c r="P12" s="87"/>
      <c r="Q12" s="22"/>
      <c r="R12" s="22"/>
      <c r="S12" s="22"/>
      <c r="T12" s="22"/>
      <c r="U12" s="22"/>
      <c r="V12" s="22"/>
      <c r="W12" s="22"/>
      <c r="X12" s="22"/>
      <c r="Y12" s="22"/>
      <c r="Z12" s="22"/>
      <c r="AA12" s="22"/>
      <c r="AB12" s="22"/>
      <c r="AC12" s="22"/>
      <c r="AD12" s="22"/>
      <c r="AE12" s="22"/>
      <c r="AF12" s="22"/>
    </row>
    <row r="13" spans="1:32" ht="18.75" customHeight="1"/>
    <row r="14" spans="1:32">
      <c r="A14" s="267" t="s">
        <v>1371</v>
      </c>
    </row>
    <row r="15" spans="1:32">
      <c r="B15" s="9" t="s">
        <v>188</v>
      </c>
      <c r="C15" s="9" t="s">
        <v>188</v>
      </c>
      <c r="D15" s="9" t="s">
        <v>188</v>
      </c>
      <c r="E15" s="9" t="s">
        <v>188</v>
      </c>
      <c r="F15" s="9" t="s">
        <v>188</v>
      </c>
      <c r="G15" s="9" t="s">
        <v>188</v>
      </c>
      <c r="H15" s="9"/>
    </row>
    <row r="16" spans="1:32" ht="45">
      <c r="A16" s="203" t="s">
        <v>155</v>
      </c>
      <c r="B16" s="204" t="s">
        <v>1270</v>
      </c>
      <c r="C16" s="205" t="s">
        <v>1271</v>
      </c>
      <c r="D16" s="205" t="s">
        <v>3438</v>
      </c>
      <c r="E16" s="205" t="s">
        <v>3451</v>
      </c>
      <c r="F16" s="205" t="s">
        <v>3590</v>
      </c>
      <c r="G16" s="205" t="s">
        <v>1268</v>
      </c>
      <c r="H16" s="209" t="s">
        <v>1269</v>
      </c>
      <c r="I16" s="209" t="s">
        <v>1257</v>
      </c>
      <c r="J16" s="209" t="s">
        <v>160</v>
      </c>
    </row>
    <row r="17" spans="1:10" ht="15">
      <c r="A17" s="186">
        <v>1</v>
      </c>
      <c r="B17" s="216" t="s">
        <v>1372</v>
      </c>
      <c r="C17" s="216" t="s">
        <v>109</v>
      </c>
      <c r="D17" s="223">
        <v>1000000000</v>
      </c>
      <c r="E17" s="321">
        <v>1</v>
      </c>
      <c r="F17" s="223">
        <v>100000000</v>
      </c>
      <c r="G17" s="223">
        <v>10000000</v>
      </c>
      <c r="H17" s="320">
        <f>G17/F17</f>
        <v>0.1</v>
      </c>
      <c r="I17" s="285">
        <f>IFERROR(VLOOKUP(C17,'2016_Summary_Industry_v1.1'!$P$2:$Q$67,2),"")</f>
        <v>0.1</v>
      </c>
      <c r="J17" s="276">
        <f>IFERROR(D17*E17*H17*I17*'inventory year and inflation'!$J$18/1000,"")</f>
        <v>8500</v>
      </c>
    </row>
    <row r="18" spans="1:10" ht="15">
      <c r="A18" s="186">
        <v>2</v>
      </c>
      <c r="B18" s="250"/>
      <c r="C18" s="250"/>
      <c r="D18" s="260"/>
      <c r="E18" s="322"/>
      <c r="F18" s="260"/>
      <c r="G18" s="260"/>
      <c r="H18" s="397" t="str">
        <f>IFERROR(G18/F18,"")</f>
        <v/>
      </c>
      <c r="I18" s="285" t="str">
        <f>IFERROR(VLOOKUP(C18,'2016_Summary_Industry_v1.1'!$P$2:$Q$67,2),"")</f>
        <v/>
      </c>
      <c r="J18" s="277" t="str">
        <f>IFERROR(D18*E18*H18*I18*'inventory year and inflation'!$J$18/1000,"")</f>
        <v/>
      </c>
    </row>
    <row r="19" spans="1:10" ht="15">
      <c r="A19" s="186">
        <v>3</v>
      </c>
      <c r="B19" s="250"/>
      <c r="C19" s="250"/>
      <c r="D19" s="260"/>
      <c r="E19" s="322"/>
      <c r="F19" s="260"/>
      <c r="G19" s="260"/>
      <c r="H19" s="397" t="str">
        <f t="shared" ref="H19:H66" si="0">IFERROR(G19/F19,"")</f>
        <v/>
      </c>
      <c r="I19" s="285" t="str">
        <f>IFERROR(VLOOKUP(C19,'2016_Summary_Industry_v1.1'!$P$2:$Q$67,2),"")</f>
        <v/>
      </c>
      <c r="J19" s="277" t="str">
        <f>IFERROR(D19*E19*H19*I19*'inventory year and inflation'!$J$18/1000,"")</f>
        <v/>
      </c>
    </row>
    <row r="20" spans="1:10" ht="15">
      <c r="A20" s="186">
        <v>4</v>
      </c>
      <c r="B20" s="250"/>
      <c r="C20" s="250"/>
      <c r="D20" s="260"/>
      <c r="E20" s="322"/>
      <c r="F20" s="260"/>
      <c r="G20" s="260"/>
      <c r="H20" s="397" t="str">
        <f t="shared" si="0"/>
        <v/>
      </c>
      <c r="I20" s="285" t="str">
        <f>IFERROR(VLOOKUP(C20,'2016_Summary_Industry_v1.1'!$P$2:$Q$67,2),"")</f>
        <v/>
      </c>
      <c r="J20" s="277" t="str">
        <f>IFERROR(D20*E20*H20*I20*'inventory year and inflation'!$J$18/1000,"")</f>
        <v/>
      </c>
    </row>
    <row r="21" spans="1:10" ht="15">
      <c r="A21" s="186">
        <v>5</v>
      </c>
      <c r="B21" s="250"/>
      <c r="C21" s="250"/>
      <c r="D21" s="260"/>
      <c r="E21" s="322"/>
      <c r="F21" s="260"/>
      <c r="G21" s="260"/>
      <c r="H21" s="397" t="str">
        <f t="shared" si="0"/>
        <v/>
      </c>
      <c r="I21" s="285" t="str">
        <f>IFERROR(VLOOKUP(C21,'2016_Summary_Industry_v1.1'!$P$2:$Q$67,2),"")</f>
        <v/>
      </c>
      <c r="J21" s="277" t="str">
        <f>IFERROR(D21*E21*H21*I21*'inventory year and inflation'!$J$18/1000,"")</f>
        <v/>
      </c>
    </row>
    <row r="22" spans="1:10" ht="15">
      <c r="A22" s="186">
        <v>6</v>
      </c>
      <c r="B22" s="250"/>
      <c r="C22" s="250"/>
      <c r="D22" s="260"/>
      <c r="E22" s="322"/>
      <c r="F22" s="260"/>
      <c r="G22" s="260"/>
      <c r="H22" s="397" t="str">
        <f t="shared" si="0"/>
        <v/>
      </c>
      <c r="I22" s="285" t="str">
        <f>IFERROR(VLOOKUP(C22,'2016_Summary_Industry_v1.1'!$P$2:$Q$67,2),"")</f>
        <v/>
      </c>
      <c r="J22" s="277" t="str">
        <f>IFERROR(D22*E22*H22*I22*'inventory year and inflation'!$J$18/1000,"")</f>
        <v/>
      </c>
    </row>
    <row r="23" spans="1:10" ht="15">
      <c r="A23" s="186">
        <v>7</v>
      </c>
      <c r="B23" s="250"/>
      <c r="C23" s="250"/>
      <c r="D23" s="260"/>
      <c r="E23" s="322"/>
      <c r="F23" s="260"/>
      <c r="G23" s="260"/>
      <c r="H23" s="397" t="str">
        <f t="shared" si="0"/>
        <v/>
      </c>
      <c r="I23" s="285" t="str">
        <f>IFERROR(VLOOKUP(C23,'2016_Summary_Industry_v1.1'!$P$2:$Q$67,2),"")</f>
        <v/>
      </c>
      <c r="J23" s="277" t="str">
        <f>IFERROR(D23*E23*H23*I23*'inventory year and inflation'!$J$18/1000,"")</f>
        <v/>
      </c>
    </row>
    <row r="24" spans="1:10" ht="15">
      <c r="A24" s="186">
        <v>8</v>
      </c>
      <c r="B24" s="250"/>
      <c r="C24" s="250"/>
      <c r="D24" s="260"/>
      <c r="E24" s="322"/>
      <c r="F24" s="260"/>
      <c r="G24" s="260"/>
      <c r="H24" s="397" t="str">
        <f t="shared" si="0"/>
        <v/>
      </c>
      <c r="I24" s="285" t="str">
        <f>IFERROR(VLOOKUP(C24,'2016_Summary_Industry_v1.1'!$P$2:$Q$67,2),"")</f>
        <v/>
      </c>
      <c r="J24" s="277" t="str">
        <f>IFERROR(D24*E24*H24*I24*'inventory year and inflation'!$J$18/1000,"")</f>
        <v/>
      </c>
    </row>
    <row r="25" spans="1:10" ht="15">
      <c r="A25" s="186">
        <v>9</v>
      </c>
      <c r="B25" s="250"/>
      <c r="C25" s="250"/>
      <c r="D25" s="260"/>
      <c r="E25" s="322"/>
      <c r="F25" s="260"/>
      <c r="G25" s="260"/>
      <c r="H25" s="397" t="str">
        <f t="shared" si="0"/>
        <v/>
      </c>
      <c r="I25" s="285" t="str">
        <f>IFERROR(VLOOKUP(C25,'2016_Summary_Industry_v1.1'!$P$2:$Q$67,2),"")</f>
        <v/>
      </c>
      <c r="J25" s="277" t="str">
        <f>IFERROR(D25*E25*H25*I25*'inventory year and inflation'!$J$18/1000,"")</f>
        <v/>
      </c>
    </row>
    <row r="26" spans="1:10" ht="15">
      <c r="A26" s="186">
        <v>10</v>
      </c>
      <c r="B26" s="250"/>
      <c r="C26" s="250"/>
      <c r="D26" s="260"/>
      <c r="E26" s="322"/>
      <c r="F26" s="260"/>
      <c r="G26" s="260"/>
      <c r="H26" s="397" t="str">
        <f t="shared" si="0"/>
        <v/>
      </c>
      <c r="I26" s="285" t="str">
        <f>IFERROR(VLOOKUP(C26,'2016_Summary_Industry_v1.1'!$P$2:$Q$67,2),"")</f>
        <v/>
      </c>
      <c r="J26" s="277" t="str">
        <f>IFERROR(D26*E26*H26*I26*'inventory year and inflation'!$J$18/1000,"")</f>
        <v/>
      </c>
    </row>
    <row r="27" spans="1:10" ht="15">
      <c r="A27" s="186">
        <v>11</v>
      </c>
      <c r="B27" s="250"/>
      <c r="C27" s="250"/>
      <c r="D27" s="260"/>
      <c r="E27" s="322"/>
      <c r="F27" s="260"/>
      <c r="G27" s="260"/>
      <c r="H27" s="397" t="str">
        <f t="shared" si="0"/>
        <v/>
      </c>
      <c r="I27" s="285" t="str">
        <f>IFERROR(VLOOKUP(C27,'2016_Summary_Industry_v1.1'!$P$2:$Q$67,2),"")</f>
        <v/>
      </c>
      <c r="J27" s="277" t="str">
        <f>IFERROR(D27*E27*H27*I27*'inventory year and inflation'!$J$18/1000,"")</f>
        <v/>
      </c>
    </row>
    <row r="28" spans="1:10" ht="15">
      <c r="A28" s="186">
        <v>12</v>
      </c>
      <c r="B28" s="250"/>
      <c r="C28" s="250"/>
      <c r="D28" s="260"/>
      <c r="E28" s="322"/>
      <c r="F28" s="260"/>
      <c r="G28" s="260"/>
      <c r="H28" s="397" t="str">
        <f t="shared" si="0"/>
        <v/>
      </c>
      <c r="I28" s="285" t="str">
        <f>IFERROR(VLOOKUP(C28,'2016_Summary_Industry_v1.1'!$P$2:$Q$67,2),"")</f>
        <v/>
      </c>
      <c r="J28" s="277" t="str">
        <f>IFERROR(D28*E28*H28*I28*'inventory year and inflation'!$J$18/1000,"")</f>
        <v/>
      </c>
    </row>
    <row r="29" spans="1:10" ht="15">
      <c r="A29" s="186">
        <v>13</v>
      </c>
      <c r="B29" s="250"/>
      <c r="C29" s="250"/>
      <c r="D29" s="260"/>
      <c r="E29" s="322"/>
      <c r="F29" s="260"/>
      <c r="G29" s="260"/>
      <c r="H29" s="397" t="str">
        <f t="shared" si="0"/>
        <v/>
      </c>
      <c r="I29" s="285" t="str">
        <f>IFERROR(VLOOKUP(C29,'2016_Summary_Industry_v1.1'!$P$2:$Q$67,2),"")</f>
        <v/>
      </c>
      <c r="J29" s="277" t="str">
        <f>IFERROR(D29*E29*H29*I29*'inventory year and inflation'!$J$18/1000,"")</f>
        <v/>
      </c>
    </row>
    <row r="30" spans="1:10" ht="15">
      <c r="A30" s="186">
        <v>14</v>
      </c>
      <c r="B30" s="250"/>
      <c r="C30" s="250"/>
      <c r="D30" s="260"/>
      <c r="E30" s="322"/>
      <c r="F30" s="260"/>
      <c r="G30" s="260"/>
      <c r="H30" s="397" t="str">
        <f t="shared" si="0"/>
        <v/>
      </c>
      <c r="I30" s="285" t="str">
        <f>IFERROR(VLOOKUP(C30,'2016_Summary_Industry_v1.1'!$P$2:$Q$67,2),"")</f>
        <v/>
      </c>
      <c r="J30" s="277" t="str">
        <f>IFERROR(D30*E30*H30*I30*'inventory year and inflation'!$J$18/1000,"")</f>
        <v/>
      </c>
    </row>
    <row r="31" spans="1:10" ht="15">
      <c r="A31" s="186">
        <v>15</v>
      </c>
      <c r="B31" s="250"/>
      <c r="C31" s="250"/>
      <c r="D31" s="260"/>
      <c r="E31" s="322"/>
      <c r="F31" s="260"/>
      <c r="G31" s="260"/>
      <c r="H31" s="397" t="str">
        <f t="shared" si="0"/>
        <v/>
      </c>
      <c r="I31" s="285" t="str">
        <f>IFERROR(VLOOKUP(C31,'2016_Summary_Industry_v1.1'!$P$2:$Q$67,2),"")</f>
        <v/>
      </c>
      <c r="J31" s="277" t="str">
        <f>IFERROR(D31*E31*H31*I31*'inventory year and inflation'!$J$18/1000,"")</f>
        <v/>
      </c>
    </row>
    <row r="32" spans="1:10" ht="15">
      <c r="A32" s="186">
        <v>16</v>
      </c>
      <c r="B32" s="250"/>
      <c r="C32" s="250"/>
      <c r="D32" s="260"/>
      <c r="E32" s="322"/>
      <c r="F32" s="260"/>
      <c r="G32" s="260"/>
      <c r="H32" s="397" t="str">
        <f t="shared" si="0"/>
        <v/>
      </c>
      <c r="I32" s="285" t="str">
        <f>IFERROR(VLOOKUP(C32,'2016_Summary_Industry_v1.1'!$P$2:$Q$67,2),"")</f>
        <v/>
      </c>
      <c r="J32" s="277" t="str">
        <f>IFERROR(D32*E32*H32*I32*'inventory year and inflation'!$J$18/1000,"")</f>
        <v/>
      </c>
    </row>
    <row r="33" spans="1:10" ht="15">
      <c r="A33" s="186">
        <v>17</v>
      </c>
      <c r="B33" s="250"/>
      <c r="C33" s="250"/>
      <c r="D33" s="260"/>
      <c r="E33" s="322"/>
      <c r="F33" s="260"/>
      <c r="G33" s="260"/>
      <c r="H33" s="397" t="str">
        <f t="shared" si="0"/>
        <v/>
      </c>
      <c r="I33" s="285" t="str">
        <f>IFERROR(VLOOKUP(C33,'2016_Summary_Industry_v1.1'!$P$2:$Q$67,2),"")</f>
        <v/>
      </c>
      <c r="J33" s="277" t="str">
        <f>IFERROR(D33*E33*H33*I33*'inventory year and inflation'!$J$18/1000,"")</f>
        <v/>
      </c>
    </row>
    <row r="34" spans="1:10" ht="15">
      <c r="A34" s="186">
        <v>18</v>
      </c>
      <c r="B34" s="250"/>
      <c r="C34" s="250"/>
      <c r="D34" s="260"/>
      <c r="E34" s="322"/>
      <c r="F34" s="260"/>
      <c r="G34" s="260"/>
      <c r="H34" s="397" t="str">
        <f t="shared" si="0"/>
        <v/>
      </c>
      <c r="I34" s="285" t="str">
        <f>IFERROR(VLOOKUP(C34,'2016_Summary_Industry_v1.1'!$P$2:$Q$67,2),"")</f>
        <v/>
      </c>
      <c r="J34" s="277" t="str">
        <f>IFERROR(D34*E34*H34*I34*'inventory year and inflation'!$J$18/1000,"")</f>
        <v/>
      </c>
    </row>
    <row r="35" spans="1:10" ht="15">
      <c r="A35" s="186">
        <v>19</v>
      </c>
      <c r="B35" s="250"/>
      <c r="C35" s="250"/>
      <c r="D35" s="260"/>
      <c r="E35" s="322"/>
      <c r="F35" s="260"/>
      <c r="G35" s="260"/>
      <c r="H35" s="397" t="str">
        <f t="shared" si="0"/>
        <v/>
      </c>
      <c r="I35" s="285" t="str">
        <f>IFERROR(VLOOKUP(C35,'2016_Summary_Industry_v1.1'!$P$2:$Q$67,2),"")</f>
        <v/>
      </c>
      <c r="J35" s="277" t="str">
        <f>IFERROR(D35*E35*H35*I35*'inventory year and inflation'!$J$18/1000,"")</f>
        <v/>
      </c>
    </row>
    <row r="36" spans="1:10" ht="15">
      <c r="A36" s="186">
        <v>20</v>
      </c>
      <c r="B36" s="250"/>
      <c r="C36" s="250"/>
      <c r="D36" s="260"/>
      <c r="E36" s="322"/>
      <c r="F36" s="260"/>
      <c r="G36" s="260"/>
      <c r="H36" s="397" t="str">
        <f t="shared" si="0"/>
        <v/>
      </c>
      <c r="I36" s="285" t="str">
        <f>IFERROR(VLOOKUP(C36,'2016_Summary_Industry_v1.1'!$P$2:$Q$67,2),"")</f>
        <v/>
      </c>
      <c r="J36" s="277" t="str">
        <f>IFERROR(D36*E36*H36*I36*'inventory year and inflation'!$J$18/1000,"")</f>
        <v/>
      </c>
    </row>
    <row r="37" spans="1:10" ht="15">
      <c r="A37" s="186">
        <v>21</v>
      </c>
      <c r="B37" s="250"/>
      <c r="C37" s="250"/>
      <c r="D37" s="260"/>
      <c r="E37" s="322"/>
      <c r="F37" s="260"/>
      <c r="G37" s="260"/>
      <c r="H37" s="397" t="str">
        <f t="shared" si="0"/>
        <v/>
      </c>
      <c r="I37" s="285" t="str">
        <f>IFERROR(VLOOKUP(C37,'2016_Summary_Industry_v1.1'!$P$2:$Q$67,2),"")</f>
        <v/>
      </c>
      <c r="J37" s="277" t="str">
        <f>IFERROR(D37*E37*H37*I37*'inventory year and inflation'!$J$18/1000,"")</f>
        <v/>
      </c>
    </row>
    <row r="38" spans="1:10" ht="15">
      <c r="A38" s="186">
        <v>22</v>
      </c>
      <c r="B38" s="250"/>
      <c r="C38" s="250"/>
      <c r="D38" s="260"/>
      <c r="E38" s="322"/>
      <c r="F38" s="260"/>
      <c r="G38" s="260"/>
      <c r="H38" s="397" t="str">
        <f t="shared" si="0"/>
        <v/>
      </c>
      <c r="I38" s="285" t="str">
        <f>IFERROR(VLOOKUP(C38,'2016_Summary_Industry_v1.1'!$P$2:$Q$67,2),"")</f>
        <v/>
      </c>
      <c r="J38" s="277" t="str">
        <f>IFERROR(D38*E38*H38*I38*'inventory year and inflation'!$J$18/1000,"")</f>
        <v/>
      </c>
    </row>
    <row r="39" spans="1:10" ht="15">
      <c r="A39" s="186">
        <v>23</v>
      </c>
      <c r="B39" s="250"/>
      <c r="C39" s="250"/>
      <c r="D39" s="260"/>
      <c r="E39" s="322"/>
      <c r="F39" s="260"/>
      <c r="G39" s="260"/>
      <c r="H39" s="397" t="str">
        <f t="shared" si="0"/>
        <v/>
      </c>
      <c r="I39" s="285" t="str">
        <f>IFERROR(VLOOKUP(C39,'2016_Summary_Industry_v1.1'!$P$2:$Q$67,2),"")</f>
        <v/>
      </c>
      <c r="J39" s="277" t="str">
        <f>IFERROR(D39*E39*H39*I39*'inventory year and inflation'!$J$18/1000,"")</f>
        <v/>
      </c>
    </row>
    <row r="40" spans="1:10" ht="15">
      <c r="A40" s="186">
        <v>24</v>
      </c>
      <c r="B40" s="250"/>
      <c r="C40" s="250"/>
      <c r="D40" s="260"/>
      <c r="E40" s="322"/>
      <c r="F40" s="260"/>
      <c r="G40" s="260"/>
      <c r="H40" s="397" t="str">
        <f t="shared" si="0"/>
        <v/>
      </c>
      <c r="I40" s="285" t="str">
        <f>IFERROR(VLOOKUP(C40,'2016_Summary_Industry_v1.1'!$P$2:$Q$67,2),"")</f>
        <v/>
      </c>
      <c r="J40" s="277" t="str">
        <f>IFERROR(D40*E40*H40*I40*'inventory year and inflation'!$J$18/1000,"")</f>
        <v/>
      </c>
    </row>
    <row r="41" spans="1:10" ht="15">
      <c r="A41" s="186">
        <v>25</v>
      </c>
      <c r="B41" s="250"/>
      <c r="C41" s="250"/>
      <c r="D41" s="260"/>
      <c r="E41" s="322"/>
      <c r="F41" s="260"/>
      <c r="G41" s="260"/>
      <c r="H41" s="397" t="str">
        <f t="shared" si="0"/>
        <v/>
      </c>
      <c r="I41" s="285" t="str">
        <f>IFERROR(VLOOKUP(C41,'2016_Summary_Industry_v1.1'!$P$2:$Q$67,2),"")</f>
        <v/>
      </c>
      <c r="J41" s="277" t="str">
        <f>IFERROR(D41*E41*H41*I41*'inventory year and inflation'!$J$18/1000,"")</f>
        <v/>
      </c>
    </row>
    <row r="42" spans="1:10" ht="15">
      <c r="A42" s="186">
        <v>26</v>
      </c>
      <c r="B42" s="250"/>
      <c r="C42" s="250"/>
      <c r="D42" s="260"/>
      <c r="E42" s="322"/>
      <c r="F42" s="260"/>
      <c r="G42" s="260"/>
      <c r="H42" s="397" t="str">
        <f t="shared" si="0"/>
        <v/>
      </c>
      <c r="I42" s="285" t="str">
        <f>IFERROR(VLOOKUP(C42,'2016_Summary_Industry_v1.1'!$P$2:$Q$67,2),"")</f>
        <v/>
      </c>
      <c r="J42" s="277" t="str">
        <f>IFERROR(D42*E42*H42*I42*'inventory year and inflation'!$J$18/1000,"")</f>
        <v/>
      </c>
    </row>
    <row r="43" spans="1:10" ht="15">
      <c r="A43" s="186">
        <v>27</v>
      </c>
      <c r="B43" s="250"/>
      <c r="C43" s="250"/>
      <c r="D43" s="260"/>
      <c r="E43" s="322"/>
      <c r="F43" s="260"/>
      <c r="G43" s="260"/>
      <c r="H43" s="397" t="str">
        <f t="shared" si="0"/>
        <v/>
      </c>
      <c r="I43" s="285" t="str">
        <f>IFERROR(VLOOKUP(C43,'2016_Summary_Industry_v1.1'!$P$2:$Q$67,2),"")</f>
        <v/>
      </c>
      <c r="J43" s="277" t="str">
        <f>IFERROR(D43*E43*H43*I43*'inventory year and inflation'!$J$18/1000,"")</f>
        <v/>
      </c>
    </row>
    <row r="44" spans="1:10" ht="15">
      <c r="A44" s="186">
        <v>28</v>
      </c>
      <c r="B44" s="250"/>
      <c r="C44" s="250"/>
      <c r="D44" s="260"/>
      <c r="E44" s="322"/>
      <c r="F44" s="260"/>
      <c r="G44" s="260"/>
      <c r="H44" s="397" t="str">
        <f t="shared" si="0"/>
        <v/>
      </c>
      <c r="I44" s="285" t="str">
        <f>IFERROR(VLOOKUP(C44,'2016_Summary_Industry_v1.1'!$P$2:$Q$67,2),"")</f>
        <v/>
      </c>
      <c r="J44" s="277" t="str">
        <f>IFERROR(D44*E44*H44*I44*'inventory year and inflation'!$J$18/1000,"")</f>
        <v/>
      </c>
    </row>
    <row r="45" spans="1:10" ht="15">
      <c r="A45" s="186">
        <v>29</v>
      </c>
      <c r="B45" s="250"/>
      <c r="C45" s="250"/>
      <c r="D45" s="260"/>
      <c r="E45" s="322"/>
      <c r="F45" s="260"/>
      <c r="G45" s="260"/>
      <c r="H45" s="397" t="str">
        <f t="shared" si="0"/>
        <v/>
      </c>
      <c r="I45" s="285" t="str">
        <f>IFERROR(VLOOKUP(C45,'2016_Summary_Industry_v1.1'!$P$2:$Q$67,2),"")</f>
        <v/>
      </c>
      <c r="J45" s="277" t="str">
        <f>IFERROR(D45*E45*H45*I45*'inventory year and inflation'!$J$18/1000,"")</f>
        <v/>
      </c>
    </row>
    <row r="46" spans="1:10" ht="15">
      <c r="A46" s="186">
        <v>30</v>
      </c>
      <c r="B46" s="250"/>
      <c r="C46" s="250"/>
      <c r="D46" s="260"/>
      <c r="E46" s="322"/>
      <c r="F46" s="260"/>
      <c r="G46" s="260"/>
      <c r="H46" s="397" t="str">
        <f t="shared" si="0"/>
        <v/>
      </c>
      <c r="I46" s="285" t="str">
        <f>IFERROR(VLOOKUP(C46,'2016_Summary_Industry_v1.1'!$P$2:$Q$67,2),"")</f>
        <v/>
      </c>
      <c r="J46" s="277" t="str">
        <f>IFERROR(D46*E46*H46*I46*'inventory year and inflation'!$J$18/1000,"")</f>
        <v/>
      </c>
    </row>
    <row r="47" spans="1:10" ht="15">
      <c r="A47" s="186">
        <v>31</v>
      </c>
      <c r="B47" s="250"/>
      <c r="C47" s="250"/>
      <c r="D47" s="260"/>
      <c r="E47" s="322"/>
      <c r="F47" s="260"/>
      <c r="G47" s="260"/>
      <c r="H47" s="397" t="str">
        <f t="shared" si="0"/>
        <v/>
      </c>
      <c r="I47" s="285" t="str">
        <f>IFERROR(VLOOKUP(C47,'2016_Summary_Industry_v1.1'!$P$2:$Q$67,2),"")</f>
        <v/>
      </c>
      <c r="J47" s="277" t="str">
        <f>IFERROR(D47*E47*H47*I47*'inventory year and inflation'!$J$18/1000,"")</f>
        <v/>
      </c>
    </row>
    <row r="48" spans="1:10" ht="15">
      <c r="A48" s="186">
        <v>32</v>
      </c>
      <c r="B48" s="250"/>
      <c r="C48" s="250"/>
      <c r="D48" s="260"/>
      <c r="E48" s="322"/>
      <c r="F48" s="260"/>
      <c r="G48" s="260"/>
      <c r="H48" s="397" t="str">
        <f t="shared" si="0"/>
        <v/>
      </c>
      <c r="I48" s="285" t="str">
        <f>IFERROR(VLOOKUP(C48,'2016_Summary_Industry_v1.1'!$P$2:$Q$67,2),"")</f>
        <v/>
      </c>
      <c r="J48" s="277" t="str">
        <f>IFERROR(D48*E48*H48*I48*'inventory year and inflation'!$J$18/1000,"")</f>
        <v/>
      </c>
    </row>
    <row r="49" spans="1:10" ht="15">
      <c r="A49" s="186">
        <v>33</v>
      </c>
      <c r="B49" s="250"/>
      <c r="C49" s="250"/>
      <c r="D49" s="260"/>
      <c r="E49" s="322"/>
      <c r="F49" s="260"/>
      <c r="G49" s="260"/>
      <c r="H49" s="397" t="str">
        <f t="shared" si="0"/>
        <v/>
      </c>
      <c r="I49" s="285" t="str">
        <f>IFERROR(VLOOKUP(C49,'2016_Summary_Industry_v1.1'!$P$2:$Q$67,2),"")</f>
        <v/>
      </c>
      <c r="J49" s="277" t="str">
        <f>IFERROR(D49*E49*H49*I49*'inventory year and inflation'!$J$18/1000,"")</f>
        <v/>
      </c>
    </row>
    <row r="50" spans="1:10" ht="15">
      <c r="A50" s="186">
        <v>34</v>
      </c>
      <c r="B50" s="250"/>
      <c r="C50" s="250"/>
      <c r="D50" s="260"/>
      <c r="E50" s="322"/>
      <c r="F50" s="260"/>
      <c r="G50" s="260"/>
      <c r="H50" s="397" t="str">
        <f t="shared" si="0"/>
        <v/>
      </c>
      <c r="I50" s="285" t="str">
        <f>IFERROR(VLOOKUP(C50,'2016_Summary_Industry_v1.1'!$P$2:$Q$67,2),"")</f>
        <v/>
      </c>
      <c r="J50" s="277" t="str">
        <f>IFERROR(D50*E50*H50*I50*'inventory year and inflation'!$J$18/1000,"")</f>
        <v/>
      </c>
    </row>
    <row r="51" spans="1:10" ht="15">
      <c r="A51" s="186">
        <v>35</v>
      </c>
      <c r="B51" s="250"/>
      <c r="C51" s="250"/>
      <c r="D51" s="260"/>
      <c r="E51" s="322"/>
      <c r="F51" s="260"/>
      <c r="G51" s="260"/>
      <c r="H51" s="397" t="str">
        <f t="shared" si="0"/>
        <v/>
      </c>
      <c r="I51" s="285" t="str">
        <f>IFERROR(VLOOKUP(C51,'2016_Summary_Industry_v1.1'!$P$2:$Q$67,2),"")</f>
        <v/>
      </c>
      <c r="J51" s="277" t="str">
        <f>IFERROR(D51*E51*H51*I51*'inventory year and inflation'!$J$18/1000,"")</f>
        <v/>
      </c>
    </row>
    <row r="52" spans="1:10" ht="15">
      <c r="A52" s="186">
        <v>36</v>
      </c>
      <c r="B52" s="250"/>
      <c r="C52" s="250"/>
      <c r="D52" s="260"/>
      <c r="E52" s="322"/>
      <c r="F52" s="260"/>
      <c r="G52" s="260"/>
      <c r="H52" s="397" t="str">
        <f t="shared" si="0"/>
        <v/>
      </c>
      <c r="I52" s="285" t="str">
        <f>IFERROR(VLOOKUP(C52,'2016_Summary_Industry_v1.1'!$P$2:$Q$67,2),"")</f>
        <v/>
      </c>
      <c r="J52" s="277" t="str">
        <f>IFERROR(D52*E52*H52*I52*'inventory year and inflation'!$J$18/1000,"")</f>
        <v/>
      </c>
    </row>
    <row r="53" spans="1:10" ht="15">
      <c r="A53" s="186">
        <v>37</v>
      </c>
      <c r="B53" s="250"/>
      <c r="C53" s="250"/>
      <c r="D53" s="260"/>
      <c r="E53" s="322"/>
      <c r="F53" s="260"/>
      <c r="G53" s="260"/>
      <c r="H53" s="397" t="str">
        <f t="shared" si="0"/>
        <v/>
      </c>
      <c r="I53" s="285" t="str">
        <f>IFERROR(VLOOKUP(C53,'2016_Summary_Industry_v1.1'!$P$2:$Q$67,2),"")</f>
        <v/>
      </c>
      <c r="J53" s="277" t="str">
        <f>IFERROR(D53*E53*H53*I53*'inventory year and inflation'!$J$18/1000,"")</f>
        <v/>
      </c>
    </row>
    <row r="54" spans="1:10" ht="15">
      <c r="A54" s="186">
        <v>38</v>
      </c>
      <c r="B54" s="250"/>
      <c r="C54" s="250"/>
      <c r="D54" s="260"/>
      <c r="E54" s="322"/>
      <c r="F54" s="260"/>
      <c r="G54" s="260"/>
      <c r="H54" s="397" t="str">
        <f t="shared" si="0"/>
        <v/>
      </c>
      <c r="I54" s="285" t="str">
        <f>IFERROR(VLOOKUP(C54,'2016_Summary_Industry_v1.1'!$P$2:$Q$67,2),"")</f>
        <v/>
      </c>
      <c r="J54" s="277" t="str">
        <f>IFERROR(D54*E54*H54*I54*'inventory year and inflation'!$J$18/1000,"")</f>
        <v/>
      </c>
    </row>
    <row r="55" spans="1:10" ht="15">
      <c r="A55" s="186">
        <v>39</v>
      </c>
      <c r="B55" s="250"/>
      <c r="C55" s="250"/>
      <c r="D55" s="260"/>
      <c r="E55" s="322"/>
      <c r="F55" s="260"/>
      <c r="G55" s="260"/>
      <c r="H55" s="397" t="str">
        <f t="shared" si="0"/>
        <v/>
      </c>
      <c r="I55" s="285" t="str">
        <f>IFERROR(VLOOKUP(C55,'2016_Summary_Industry_v1.1'!$P$2:$Q$67,2),"")</f>
        <v/>
      </c>
      <c r="J55" s="277" t="str">
        <f>IFERROR(D55*E55*H55*I55*'inventory year and inflation'!$J$18/1000,"")</f>
        <v/>
      </c>
    </row>
    <row r="56" spans="1:10" ht="15">
      <c r="A56" s="186">
        <v>40</v>
      </c>
      <c r="B56" s="250"/>
      <c r="C56" s="250"/>
      <c r="D56" s="260"/>
      <c r="E56" s="322"/>
      <c r="F56" s="260"/>
      <c r="G56" s="260"/>
      <c r="H56" s="397" t="str">
        <f t="shared" si="0"/>
        <v/>
      </c>
      <c r="I56" s="285" t="str">
        <f>IFERROR(VLOOKUP(C56,'2016_Summary_Industry_v1.1'!$P$2:$Q$67,2),"")</f>
        <v/>
      </c>
      <c r="J56" s="277" t="str">
        <f>IFERROR(D56*E56*H56*I56*'inventory year and inflation'!$J$18/1000,"")</f>
        <v/>
      </c>
    </row>
    <row r="57" spans="1:10" ht="15">
      <c r="A57" s="186">
        <v>41</v>
      </c>
      <c r="B57" s="250"/>
      <c r="C57" s="250"/>
      <c r="D57" s="260"/>
      <c r="E57" s="322"/>
      <c r="F57" s="260"/>
      <c r="G57" s="260"/>
      <c r="H57" s="397" t="str">
        <f t="shared" si="0"/>
        <v/>
      </c>
      <c r="I57" s="285" t="str">
        <f>IFERROR(VLOOKUP(C57,'2016_Summary_Industry_v1.1'!$P$2:$Q$67,2),"")</f>
        <v/>
      </c>
      <c r="J57" s="277" t="str">
        <f>IFERROR(D57*E57*H57*I57*'inventory year and inflation'!$J$18/1000,"")</f>
        <v/>
      </c>
    </row>
    <row r="58" spans="1:10" ht="15">
      <c r="A58" s="186">
        <v>42</v>
      </c>
      <c r="B58" s="250"/>
      <c r="C58" s="250"/>
      <c r="D58" s="260"/>
      <c r="E58" s="322"/>
      <c r="F58" s="260"/>
      <c r="G58" s="260"/>
      <c r="H58" s="397" t="str">
        <f t="shared" si="0"/>
        <v/>
      </c>
      <c r="I58" s="285" t="str">
        <f>IFERROR(VLOOKUP(C58,'2016_Summary_Industry_v1.1'!$P$2:$Q$67,2),"")</f>
        <v/>
      </c>
      <c r="J58" s="277" t="str">
        <f>IFERROR(D58*E58*H58*I58*'inventory year and inflation'!$J$18/1000,"")</f>
        <v/>
      </c>
    </row>
    <row r="59" spans="1:10" ht="15">
      <c r="A59" s="186">
        <v>43</v>
      </c>
      <c r="B59" s="250"/>
      <c r="C59" s="250"/>
      <c r="D59" s="260"/>
      <c r="E59" s="322"/>
      <c r="F59" s="260"/>
      <c r="G59" s="260"/>
      <c r="H59" s="397" t="str">
        <f t="shared" si="0"/>
        <v/>
      </c>
      <c r="I59" s="285" t="str">
        <f>IFERROR(VLOOKUP(C59,'2016_Summary_Industry_v1.1'!$P$2:$Q$67,2),"")</f>
        <v/>
      </c>
      <c r="J59" s="277" t="str">
        <f>IFERROR(D59*E59*H59*I59*'inventory year and inflation'!$J$18/1000,"")</f>
        <v/>
      </c>
    </row>
    <row r="60" spans="1:10" ht="15">
      <c r="A60" s="186">
        <v>44</v>
      </c>
      <c r="B60" s="250"/>
      <c r="C60" s="250"/>
      <c r="D60" s="260"/>
      <c r="E60" s="322"/>
      <c r="F60" s="260"/>
      <c r="G60" s="260"/>
      <c r="H60" s="397" t="str">
        <f t="shared" si="0"/>
        <v/>
      </c>
      <c r="I60" s="285" t="str">
        <f>IFERROR(VLOOKUP(C60,'2016_Summary_Industry_v1.1'!$P$2:$Q$67,2),"")</f>
        <v/>
      </c>
      <c r="J60" s="277" t="str">
        <f>IFERROR(D60*E60*H60*I60*'inventory year and inflation'!$J$18/1000,"")</f>
        <v/>
      </c>
    </row>
    <row r="61" spans="1:10" ht="15">
      <c r="A61" s="186">
        <v>45</v>
      </c>
      <c r="B61" s="250"/>
      <c r="C61" s="250"/>
      <c r="D61" s="260"/>
      <c r="E61" s="322"/>
      <c r="F61" s="260"/>
      <c r="G61" s="260"/>
      <c r="H61" s="397" t="str">
        <f t="shared" si="0"/>
        <v/>
      </c>
      <c r="I61" s="285" t="str">
        <f>IFERROR(VLOOKUP(C61,'2016_Summary_Industry_v1.1'!$P$2:$Q$67,2),"")</f>
        <v/>
      </c>
      <c r="J61" s="277" t="str">
        <f>IFERROR(D61*E61*H61*I61*'inventory year and inflation'!$J$18/1000,"")</f>
        <v/>
      </c>
    </row>
    <row r="62" spans="1:10" ht="15">
      <c r="A62" s="186">
        <v>46</v>
      </c>
      <c r="B62" s="250"/>
      <c r="C62" s="250"/>
      <c r="D62" s="260"/>
      <c r="E62" s="322"/>
      <c r="F62" s="260"/>
      <c r="G62" s="260"/>
      <c r="H62" s="397" t="str">
        <f t="shared" si="0"/>
        <v/>
      </c>
      <c r="I62" s="285" t="str">
        <f>IFERROR(VLOOKUP(C62,'2016_Summary_Industry_v1.1'!$P$2:$Q$67,2),"")</f>
        <v/>
      </c>
      <c r="J62" s="277" t="str">
        <f>IFERROR(D62*E62*H62*I62*'inventory year and inflation'!$J$18/1000,"")</f>
        <v/>
      </c>
    </row>
    <row r="63" spans="1:10" ht="15">
      <c r="A63" s="186">
        <v>47</v>
      </c>
      <c r="B63" s="250"/>
      <c r="C63" s="250"/>
      <c r="D63" s="260"/>
      <c r="E63" s="322"/>
      <c r="F63" s="260"/>
      <c r="G63" s="260"/>
      <c r="H63" s="397" t="str">
        <f t="shared" si="0"/>
        <v/>
      </c>
      <c r="I63" s="285" t="str">
        <f>IFERROR(VLOOKUP(C63,'2016_Summary_Industry_v1.1'!$P$2:$Q$67,2),"")</f>
        <v/>
      </c>
      <c r="J63" s="277" t="str">
        <f>IFERROR(D63*E63*H63*I63*'inventory year and inflation'!$J$18/1000,"")</f>
        <v/>
      </c>
    </row>
    <row r="64" spans="1:10" ht="15">
      <c r="A64" s="186">
        <v>48</v>
      </c>
      <c r="B64" s="250"/>
      <c r="C64" s="250"/>
      <c r="D64" s="260"/>
      <c r="E64" s="322"/>
      <c r="F64" s="260"/>
      <c r="G64" s="260"/>
      <c r="H64" s="397" t="str">
        <f t="shared" si="0"/>
        <v/>
      </c>
      <c r="I64" s="285" t="str">
        <f>IFERROR(VLOOKUP(C64,'2016_Summary_Industry_v1.1'!$P$2:$Q$67,2),"")</f>
        <v/>
      </c>
      <c r="J64" s="277" t="str">
        <f>IFERROR(D64*E64*H64*I64*'inventory year and inflation'!$J$18/1000,"")</f>
        <v/>
      </c>
    </row>
    <row r="65" spans="1:11" ht="15">
      <c r="A65" s="186">
        <v>49</v>
      </c>
      <c r="B65" s="250"/>
      <c r="C65" s="250"/>
      <c r="D65" s="260"/>
      <c r="E65" s="322"/>
      <c r="F65" s="260"/>
      <c r="G65" s="260"/>
      <c r="H65" s="397" t="str">
        <f t="shared" si="0"/>
        <v/>
      </c>
      <c r="I65" s="285" t="str">
        <f>IFERROR(VLOOKUP(C65,'2016_Summary_Industry_v1.1'!$P$2:$Q$67,2),"")</f>
        <v/>
      </c>
      <c r="J65" s="277" t="str">
        <f>IFERROR(D65*E65*H65*I65*'inventory year and inflation'!$J$18/1000,"")</f>
        <v/>
      </c>
    </row>
    <row r="66" spans="1:11" ht="15.75" thickBot="1">
      <c r="A66" s="186">
        <v>50</v>
      </c>
      <c r="B66" s="250"/>
      <c r="C66" s="250"/>
      <c r="D66" s="260"/>
      <c r="E66" s="322"/>
      <c r="F66" s="260"/>
      <c r="G66" s="260"/>
      <c r="H66" s="397" t="str">
        <f t="shared" si="0"/>
        <v/>
      </c>
      <c r="I66" s="285" t="str">
        <f>IFERROR(VLOOKUP(C66,'2016_Summary_Industry_v1.1'!$P$2:$Q$67,2),"")</f>
        <v/>
      </c>
      <c r="J66" s="277" t="str">
        <f>IFERROR(D66*E66*H66*I66*'inventory year and inflation'!$J$18/1000,"")</f>
        <v/>
      </c>
    </row>
    <row r="67" spans="1:11" ht="15" thickBot="1">
      <c r="I67" s="285" t="str">
        <f>IFERROR(VLOOKUP(C67,'2016_Summary_Industry_v1.1'!$P$2:$Q$67,2),"")</f>
        <v/>
      </c>
      <c r="J67" s="308">
        <f>SUM($J$18:$J$66)</f>
        <v>0</v>
      </c>
    </row>
    <row r="68" spans="1:11" ht="15" thickBot="1">
      <c r="I68" s="285" t="str">
        <f>IFERROR(VLOOKUP(C68,'2016_Summary_Industry_v1.1'!$P$2:$Q$67,2),"")</f>
        <v/>
      </c>
      <c r="J68" s="319"/>
      <c r="K68" s="262" t="s">
        <v>3437</v>
      </c>
    </row>
  </sheetData>
  <sheetProtection algorithmName="SHA-512" hashValue="qmVK0rGipFSzTT7SEW2yr8tGYkeRe2R5Zkky89scJNM1AgfmjVfjIDmS24yqlu2pxhybMQtDOxWMH1MC/stZAg==" saltValue="hmLi2ProsEb1DI3Fh4RtxQ==" spinCount="100000" sheet="1" objects="1" scenarios="1"/>
  <dataValidations count="1">
    <dataValidation type="list" allowBlank="1" showInputMessage="1" showErrorMessage="1" sqref="C17" xr:uid="{00000000-0002-0000-2600-000000000000}">
      <formula1>#REF!</formula1>
    </dataValidation>
  </dataValidations>
  <pageMargins left="0.7" right="0.7" top="0.75" bottom="0.75" header="0.3" footer="0.3"/>
  <pageSetup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1000000}">
          <x14:formula1>
            <xm:f>'2016_Summary_Industry_v1.1'!$P$2:$P$67</xm:f>
          </x14:formula1>
          <xm:sqref>C18:C66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4E494"/>
    <outlinePr summaryBelow="0"/>
  </sheetPr>
  <dimension ref="A1:L570"/>
  <sheetViews>
    <sheetView topLeftCell="A39" zoomScale="90" zoomScaleNormal="90" zoomScaleSheetLayoutView="50" workbookViewId="0">
      <selection activeCell="C246" sqref="C246:D246"/>
    </sheetView>
  </sheetViews>
  <sheetFormatPr defaultColWidth="10.5" defaultRowHeight="14.25" outlineLevelRow="2"/>
  <cols>
    <col min="1" max="1" width="45.125" customWidth="1"/>
    <col min="2" max="2" width="48.125" customWidth="1"/>
    <col min="3" max="3" width="21.75" customWidth="1"/>
    <col min="4" max="4" width="20.125" customWidth="1"/>
    <col min="5" max="5" width="16.875" customWidth="1"/>
    <col min="6" max="6" width="14.125" customWidth="1"/>
    <col min="7" max="7" width="22.875" customWidth="1"/>
    <col min="8" max="8" width="15.875" customWidth="1"/>
    <col min="9" max="9" width="17.75" customWidth="1"/>
    <col min="10" max="10" width="18.375" customWidth="1"/>
  </cols>
  <sheetData>
    <row r="1" spans="1:7" s="22" customFormat="1" ht="95.25" customHeight="1">
      <c r="C1" s="586"/>
      <c r="D1" s="1021" t="str">
        <f>+Instructions!B2</f>
        <v>Health Care Emissions Impact Calculator-Facility</v>
      </c>
      <c r="F1" s="587"/>
      <c r="G1" s="587"/>
    </row>
    <row r="2" spans="1:7" s="22" customFormat="1" ht="5.0999999999999996" customHeight="1"/>
    <row r="3" spans="1:7" s="22" customFormat="1" ht="15.75">
      <c r="A3" s="588" t="s">
        <v>5678</v>
      </c>
    </row>
    <row r="4" spans="1:7" s="22" customFormat="1" ht="33.75" customHeight="1">
      <c r="A4" s="1117" t="s">
        <v>5739</v>
      </c>
      <c r="B4" s="1117"/>
      <c r="C4" s="1117"/>
      <c r="D4" s="1117"/>
      <c r="E4" s="1117"/>
    </row>
    <row r="5" spans="1:7" s="22" customFormat="1"/>
    <row r="6" spans="1:7" s="22" customFormat="1" ht="15">
      <c r="A6" s="589" t="s">
        <v>4372</v>
      </c>
      <c r="B6" s="918" t="s">
        <v>4373</v>
      </c>
      <c r="C6" t="s">
        <v>5681</v>
      </c>
    </row>
    <row r="7" spans="1:7" s="22" customFormat="1" ht="15">
      <c r="A7" s="589" t="s">
        <v>4374</v>
      </c>
      <c r="B7" s="918" t="s">
        <v>4375</v>
      </c>
      <c r="C7" t="s">
        <v>5680</v>
      </c>
    </row>
    <row r="8" spans="1:7" s="22" customFormat="1" ht="15">
      <c r="A8" s="589" t="s">
        <v>4376</v>
      </c>
      <c r="B8" s="918" t="s">
        <v>4377</v>
      </c>
      <c r="C8" t="s">
        <v>5682</v>
      </c>
    </row>
    <row r="9" spans="1:7" s="22" customFormat="1" ht="15">
      <c r="A9" s="589" t="s">
        <v>4378</v>
      </c>
      <c r="B9" s="918" t="s">
        <v>5679</v>
      </c>
      <c r="C9" s="22" t="s">
        <v>5683</v>
      </c>
    </row>
    <row r="10" spans="1:7" s="22" customFormat="1" ht="8.1" customHeight="1"/>
    <row r="11" spans="1:7" s="22" customFormat="1" ht="5.45" customHeight="1"/>
    <row r="12" spans="1:7" s="591" customFormat="1" ht="20.25">
      <c r="A12" s="590" t="s">
        <v>216</v>
      </c>
    </row>
    <row r="13" spans="1:7" ht="48" customHeight="1">
      <c r="A13" s="1104" t="s">
        <v>5752</v>
      </c>
      <c r="B13" s="1104"/>
      <c r="C13" s="1104"/>
      <c r="D13" s="1104"/>
      <c r="E13" s="1104"/>
      <c r="F13" s="1104"/>
      <c r="G13" s="1104"/>
    </row>
    <row r="14" spans="1:7" ht="13.5" customHeight="1">
      <c r="A14" s="592"/>
      <c r="B14" s="359"/>
      <c r="C14" s="359"/>
      <c r="D14" s="359"/>
      <c r="E14" s="359"/>
      <c r="F14" s="359"/>
    </row>
    <row r="15" spans="1:7" s="595" customFormat="1" ht="18">
      <c r="A15" s="593" t="s">
        <v>4379</v>
      </c>
      <c r="B15" s="594" t="s">
        <v>4380</v>
      </c>
    </row>
    <row r="16" spans="1:7" outlineLevel="1"/>
    <row r="17" spans="1:10" ht="29.25" customHeight="1" outlineLevel="1">
      <c r="A17" s="1118" t="s">
        <v>5753</v>
      </c>
      <c r="B17" s="1118"/>
      <c r="C17" s="1118"/>
      <c r="D17" s="1118"/>
      <c r="E17" s="1118"/>
      <c r="F17" s="1118"/>
      <c r="G17" s="1118"/>
    </row>
    <row r="18" spans="1:10" ht="7.5" customHeight="1" outlineLevel="1">
      <c r="B18" s="596"/>
      <c r="C18" s="596"/>
      <c r="D18" s="596"/>
      <c r="E18" s="596"/>
      <c r="F18" s="596"/>
    </row>
    <row r="19" spans="1:10" ht="34.5" customHeight="1" outlineLevel="1">
      <c r="A19" s="1119" t="s">
        <v>5684</v>
      </c>
      <c r="B19" s="1119"/>
      <c r="C19" s="1119"/>
      <c r="D19" s="1119"/>
      <c r="E19" s="1119"/>
      <c r="F19" s="1119"/>
      <c r="G19" s="1119"/>
    </row>
    <row r="20" spans="1:10" outlineLevel="1">
      <c r="B20" s="597"/>
      <c r="C20" s="597"/>
      <c r="D20" s="597"/>
      <c r="E20" s="597"/>
      <c r="F20" s="597"/>
    </row>
    <row r="21" spans="1:10" ht="15" outlineLevel="1">
      <c r="B21" s="598" t="s">
        <v>5685</v>
      </c>
      <c r="C21" s="1120"/>
      <c r="D21" s="1121"/>
      <c r="E21" s="597"/>
      <c r="F21" s="597"/>
    </row>
    <row r="22" spans="1:10" outlineLevel="1">
      <c r="B22" s="597"/>
      <c r="C22" s="597"/>
      <c r="D22" s="597"/>
      <c r="E22" s="597"/>
      <c r="F22" s="597"/>
    </row>
    <row r="23" spans="1:10" ht="24" customHeight="1" outlineLevel="1">
      <c r="A23" s="1116" t="s">
        <v>1128</v>
      </c>
      <c r="B23" s="1116"/>
      <c r="C23" s="596"/>
      <c r="D23" s="596"/>
      <c r="E23" s="596"/>
      <c r="F23" s="596"/>
    </row>
    <row r="24" spans="1:10" outlineLevel="1">
      <c r="A24" s="1110" t="s">
        <v>5698</v>
      </c>
      <c r="B24" s="1110"/>
      <c r="C24" s="1110"/>
      <c r="D24" s="1110"/>
      <c r="E24" s="1110"/>
      <c r="F24" s="1110"/>
      <c r="G24" s="1110"/>
    </row>
    <row r="25" spans="1:10" outlineLevel="1">
      <c r="A25" s="1110" t="s">
        <v>5686</v>
      </c>
      <c r="B25" s="1110"/>
      <c r="C25" s="1110"/>
      <c r="D25" s="1110"/>
      <c r="E25" s="1110"/>
      <c r="F25" s="1110"/>
      <c r="G25" s="1110"/>
    </row>
    <row r="26" spans="1:10" outlineLevel="1"/>
    <row r="27" spans="1:10" outlineLevel="1">
      <c r="D27" s="1111" t="s">
        <v>4381</v>
      </c>
      <c r="E27" s="1112"/>
      <c r="F27" s="1112"/>
      <c r="G27" s="1113"/>
      <c r="I27" s="9"/>
    </row>
    <row r="28" spans="1:10" ht="18.75" outlineLevel="1">
      <c r="A28" s="600" t="s">
        <v>4382</v>
      </c>
      <c r="B28" s="600" t="s">
        <v>4383</v>
      </c>
      <c r="C28" s="600" t="s">
        <v>2</v>
      </c>
      <c r="D28" s="600" t="s">
        <v>4384</v>
      </c>
      <c r="E28" s="600" t="s">
        <v>4385</v>
      </c>
      <c r="F28" s="600" t="s">
        <v>4386</v>
      </c>
      <c r="G28" s="600" t="s">
        <v>4387</v>
      </c>
      <c r="I28" s="600" t="s">
        <v>4383</v>
      </c>
      <c r="J28" s="600" t="s">
        <v>2</v>
      </c>
    </row>
    <row r="29" spans="1:10" ht="20.25" customHeight="1" outlineLevel="1">
      <c r="A29" s="601" t="s">
        <v>228</v>
      </c>
      <c r="B29" s="602"/>
      <c r="C29" s="602"/>
      <c r="D29" s="603">
        <f>ROUND(+SUM(D30:D38),3)</f>
        <v>0</v>
      </c>
      <c r="E29" s="603">
        <f>ROUND(+SUM(E30:E38),3)</f>
        <v>0</v>
      </c>
      <c r="F29" s="603">
        <f>ROUND(+SUM(F30:F38),3)</f>
        <v>0</v>
      </c>
      <c r="G29" s="603">
        <f>ROUND(+SUM(G30:G38),3)</f>
        <v>0</v>
      </c>
      <c r="I29" s="604"/>
      <c r="J29" s="605"/>
    </row>
    <row r="30" spans="1:10" ht="16.5" outlineLevel="1">
      <c r="A30" s="606" t="str">
        <f>'S1&amp;2 Lists'!L3</f>
        <v>Natural gas</v>
      </c>
      <c r="B30" s="976"/>
      <c r="C30" s="976"/>
      <c r="D30" s="607">
        <f>ROUND(+$I30*'S1&amp;2 Lists'!$N3*'S1&amp;2 Lists'!$O3*'S1&amp;2 Lists'!P3/1000,3)</f>
        <v>0</v>
      </c>
      <c r="E30" s="607">
        <f>ROUND(+$I30*'S1&amp;2 Lists'!$N3*'S1&amp;2 Lists'!$O3*'S1&amp;2 Lists'!Q3/1000,3)</f>
        <v>0</v>
      </c>
      <c r="F30" s="607">
        <f>ROUND(+$I30*'S1&amp;2 Lists'!$N3*'S1&amp;2 Lists'!$O3*'S1&amp;2 Lists'!R3/1000,3)</f>
        <v>0</v>
      </c>
      <c r="G30" s="607">
        <f>+D30+$E30*VLOOKUP($E$28,'S1&amp;2 Lists'!$C$1:$G$127,3,FALSE)+F30*VLOOKUP($F$28,'S1&amp;2 Lists'!$C$1:$G$127,3,FALSE)</f>
        <v>0</v>
      </c>
      <c r="I30" s="607">
        <f>+ROUND(IF(C30='S1&amp;2 Lists'!$CU$3,B30,IF(C30='S1&amp;2 Lists'!$CU$4,B30/'S1&amp;2 Lists'!$CQ$3,IF(C30='S1&amp;2 Lists'!$CU$5,B30/'S1&amp;2 Lists'!$CQ$4,IF(C30='S1&amp;2 Lists'!$CU$6,B30/'S1&amp;2 Lists'!$CQ$5,0)))),3)</f>
        <v>0</v>
      </c>
      <c r="J30" s="608" t="s">
        <v>4388</v>
      </c>
    </row>
    <row r="31" spans="1:10" outlineLevel="1">
      <c r="A31" s="606" t="str">
        <f>+'S1&amp;2 Lists'!L5</f>
        <v>Fuel Oil #2</v>
      </c>
      <c r="B31" s="971"/>
      <c r="C31" s="971"/>
      <c r="D31" s="607">
        <f>ROUND(+$I31*'S1&amp;2 Lists'!$N5*'S1&amp;2 Lists'!$O5*'S1&amp;2 Lists'!P5/1000,3)</f>
        <v>0</v>
      </c>
      <c r="E31" s="607">
        <f>ROUND(+$I31*'S1&amp;2 Lists'!$N5*'S1&amp;2 Lists'!$O5*'S1&amp;2 Lists'!Q5/1000,3)</f>
        <v>0</v>
      </c>
      <c r="F31" s="607">
        <f>ROUND(+$I31*'S1&amp;2 Lists'!$N5*'S1&amp;2 Lists'!$O5*'S1&amp;2 Lists'!R5/1000,3)</f>
        <v>0</v>
      </c>
      <c r="G31" s="607">
        <f>+D31+$E31*VLOOKUP($E$28,'S1&amp;2 Lists'!$C$1:$G$127,3,FALSE)+F31*VLOOKUP($F$28,'S1&amp;2 Lists'!$C$1:$G$127,3,FALSE)</f>
        <v>0</v>
      </c>
      <c r="I31" s="607">
        <f>+ROUND(IF(C31='S1&amp;2 Lists'!$CW$3,B31,IF(C31='S1&amp;2 Lists'!$CW$4,B31/'S1&amp;2 Lists'!$CQ$8,0)),3)</f>
        <v>0</v>
      </c>
      <c r="J31" s="326" t="s">
        <v>4389</v>
      </c>
    </row>
    <row r="32" spans="1:10" outlineLevel="1">
      <c r="A32" s="606" t="str">
        <f>+'S1&amp;2 Lists'!L4</f>
        <v>Diesel</v>
      </c>
      <c r="B32" s="971"/>
      <c r="C32" s="971"/>
      <c r="D32" s="607">
        <f>ROUND(+$I32*'S1&amp;2 Lists'!$N4*'S1&amp;2 Lists'!$O4*'S1&amp;2 Lists'!P4/1000,3)</f>
        <v>0</v>
      </c>
      <c r="E32" s="607">
        <f>ROUND(+$I32*'S1&amp;2 Lists'!$N4*'S1&amp;2 Lists'!$O4*'S1&amp;2 Lists'!Q4/1000,3)</f>
        <v>0</v>
      </c>
      <c r="F32" s="607">
        <f>ROUND(+$I32*'S1&amp;2 Lists'!$N4*'S1&amp;2 Lists'!$O4*'S1&amp;2 Lists'!R4/1000,3)</f>
        <v>0</v>
      </c>
      <c r="G32" s="607">
        <f>+D32+$E32*VLOOKUP($E$28,'S1&amp;2 Lists'!$C$1:$G$127,3,FALSE)+F32*VLOOKUP($F$28,'S1&amp;2 Lists'!$C$1:$G$127,3,FALSE)</f>
        <v>0</v>
      </c>
      <c r="I32" s="607">
        <f>+ROUND(IF(C32='S1&amp;2 Lists'!$CW$3,B32,IF(C32='S1&amp;2 Lists'!$CW$4,B32/'S1&amp;2 Lists'!$CQ$8,0)),3)</f>
        <v>0</v>
      </c>
      <c r="J32" s="326" t="s">
        <v>4389</v>
      </c>
    </row>
    <row r="33" spans="1:10" outlineLevel="1">
      <c r="A33" s="606" t="str">
        <f>+'S1&amp;2 Lists'!L6</f>
        <v>Gasoline</v>
      </c>
      <c r="B33" s="971"/>
      <c r="C33" s="971"/>
      <c r="D33" s="607">
        <f>ROUND(+$I33*'S1&amp;2 Lists'!$N6*'S1&amp;2 Lists'!$O6*'S1&amp;2 Lists'!P6/1000,3)</f>
        <v>0</v>
      </c>
      <c r="E33" s="607">
        <f>ROUND(+$I33*'S1&amp;2 Lists'!$N6*'S1&amp;2 Lists'!$O6*'S1&amp;2 Lists'!Q6/1000,3)</f>
        <v>0</v>
      </c>
      <c r="F33" s="607">
        <f>ROUND(+$I33*'S1&amp;2 Lists'!$N6*'S1&amp;2 Lists'!$O6*'S1&amp;2 Lists'!R6/1000,3)</f>
        <v>0</v>
      </c>
      <c r="G33" s="607">
        <f>+D33+$E33*VLOOKUP($E$28,'S1&amp;2 Lists'!$C$1:$G$127,3,FALSE)+F33*VLOOKUP($F$28,'S1&amp;2 Lists'!$C$1:$G$127,3,FALSE)</f>
        <v>0</v>
      </c>
      <c r="I33" s="607">
        <f>+ROUND(IF(C33='S1&amp;2 Lists'!$CW$3,B33,IF(C33='S1&amp;2 Lists'!$CW$4,B33/'S1&amp;2 Lists'!$CQ$8,0)),3)</f>
        <v>0</v>
      </c>
      <c r="J33" s="326" t="s">
        <v>4389</v>
      </c>
    </row>
    <row r="34" spans="1:10" outlineLevel="1">
      <c r="A34" s="606" t="str">
        <f>+'S1&amp;2 Lists'!L7</f>
        <v>Liquefied Petroleum Gases (LPG)</v>
      </c>
      <c r="B34" s="971"/>
      <c r="C34" s="971"/>
      <c r="D34" s="607">
        <f>ROUND(+$I34*'S1&amp;2 Lists'!$O7*'S1&amp;2 Lists'!P7/1000,3)</f>
        <v>0</v>
      </c>
      <c r="E34" s="607">
        <f>ROUND(+$I34*'S1&amp;2 Lists'!$O7*'S1&amp;2 Lists'!Q7/1000,3)</f>
        <v>0</v>
      </c>
      <c r="F34" s="607">
        <f>ROUND(+$I34*'S1&amp;2 Lists'!$O7*'S1&amp;2 Lists'!R7/1000,3)</f>
        <v>0</v>
      </c>
      <c r="G34" s="607">
        <f>+D34+$E34*VLOOKUP($E$28,'S1&amp;2 Lists'!$C$1:$G$127,3,FALSE)+F34*VLOOKUP($F$28,'S1&amp;2 Lists'!$C$1:$G$127,3,FALSE)</f>
        <v>0</v>
      </c>
      <c r="I34" s="607">
        <f>+ROUND(IF(C34='S1&amp;2 Lists'!CV3,B34,IF(C34='S1&amp;2 Lists'!CV4,B34/'S1&amp;2 Lists'!CQ6,IF(C34='S1&amp;2 Lists'!CV5,B34/'S1&amp;2 Lists'!CQ10,IF(C34='S1&amp;2 Lists'!CV6,B34/'S1&amp;2 Lists'!CQ9,0)))),3)</f>
        <v>0</v>
      </c>
      <c r="J34" s="326" t="s">
        <v>264</v>
      </c>
    </row>
    <row r="35" spans="1:10" outlineLevel="1">
      <c r="A35" s="606" t="str">
        <f>+'S1&amp;2 Lists'!L8</f>
        <v>Kerosene</v>
      </c>
      <c r="B35" s="971"/>
      <c r="C35" s="971"/>
      <c r="D35" s="607">
        <f>ROUND(+$I35*'S1&amp;2 Lists'!$N8*'S1&amp;2 Lists'!$O8*'S1&amp;2 Lists'!P8/1000,3)</f>
        <v>0</v>
      </c>
      <c r="E35" s="607">
        <f>ROUND(+$I35*'S1&amp;2 Lists'!$N8*'S1&amp;2 Lists'!$O8*'S1&amp;2 Lists'!Q8/1000,3)</f>
        <v>0</v>
      </c>
      <c r="F35" s="607">
        <f>ROUND(+$I35*'S1&amp;2 Lists'!$N8*'S1&amp;2 Lists'!$O8*'S1&amp;2 Lists'!R8/1000,3)</f>
        <v>0</v>
      </c>
      <c r="G35" s="607">
        <f>+D35+$E35*VLOOKUP($E$28,'S1&amp;2 Lists'!$C$1:$G$127,3,FALSE)+F35*VLOOKUP($F$28,'S1&amp;2 Lists'!$C$1:$G$127,3,FALSE)</f>
        <v>0</v>
      </c>
      <c r="I35" s="607">
        <f>+ROUND(IF(C35='S1&amp;2 Lists'!$CW$3,B35,IF(C35='S1&amp;2 Lists'!$CW$4,B35/'S1&amp;2 Lists'!$CQ$8,0)),3)</f>
        <v>0</v>
      </c>
      <c r="J35" s="326" t="s">
        <v>4389</v>
      </c>
    </row>
    <row r="36" spans="1:10" outlineLevel="1">
      <c r="A36" s="606" t="str">
        <f>+'S1&amp;2 Lists'!L9</f>
        <v>Coal</v>
      </c>
      <c r="B36" s="971"/>
      <c r="C36" s="971"/>
      <c r="D36" s="607">
        <f>ROUND(+$I36*'S1&amp;2 Lists'!$O9*'S1&amp;2 Lists'!P9/1000,3)</f>
        <v>0</v>
      </c>
      <c r="E36" s="607">
        <f>ROUND(+$I36*'S1&amp;2 Lists'!$O9*'S1&amp;2 Lists'!Q9/1000,3)</f>
        <v>0</v>
      </c>
      <c r="F36" s="607">
        <f>ROUND(+$I36*'S1&amp;2 Lists'!$O9*'S1&amp;2 Lists'!R9/1000,3)</f>
        <v>0</v>
      </c>
      <c r="G36" s="607">
        <f>+D36+$E36*VLOOKUP($E$28,'S1&amp;2 Lists'!$C$1:$G$127,3,FALSE)+F36*VLOOKUP($F$28,'S1&amp;2 Lists'!$C$1:$G$127,3,FALSE)</f>
        <v>0</v>
      </c>
      <c r="I36" s="607">
        <f>+ROUND(IF(C36='S1&amp;2 Lists'!$CX$3,B36,IF(C36='S1&amp;2 Lists'!$CX$4,B36/'S1&amp;2 Lists'!$CQ$6,IF(C36='S1&amp;2 Lists'!$CX$5,B36/'S1&amp;2 Lists'!$CQ$7,0))),3)</f>
        <v>0</v>
      </c>
      <c r="J36" s="326" t="s">
        <v>4391</v>
      </c>
    </row>
    <row r="37" spans="1:10" outlineLevel="1">
      <c r="A37" s="606" t="str">
        <f>+'S1&amp;2 Lists'!L10</f>
        <v>Wood</v>
      </c>
      <c r="B37" s="971"/>
      <c r="C37" s="971"/>
      <c r="D37" s="607">
        <f>ROUND(+$I37*'S1&amp;2 Lists'!$O10*'S1&amp;2 Lists'!P10/1000,3)</f>
        <v>0</v>
      </c>
      <c r="E37" s="607">
        <f>ROUND(+$I37*'S1&amp;2 Lists'!$O10*'S1&amp;2 Lists'!Q10/1000,3)</f>
        <v>0</v>
      </c>
      <c r="F37" s="607">
        <f>ROUND(+$I37*'S1&amp;2 Lists'!$O10*'S1&amp;2 Lists'!R10/1000,3)</f>
        <v>0</v>
      </c>
      <c r="G37" s="607">
        <f>+D37+$E37*VLOOKUP($E$28,'S1&amp;2 Lists'!$C$1:$G$127,3,FALSE)+F37*VLOOKUP($F$28,'S1&amp;2 Lists'!$C$1:$G$127,3,FALSE)</f>
        <v>0</v>
      </c>
      <c r="I37" s="607">
        <f>+ROUND(IF(C37='S1&amp;2 Lists'!$CX$3,B37,IF(C37='S1&amp;2 Lists'!$CX$4,B37/'S1&amp;2 Lists'!$CQ$6,IF(C37='S1&amp;2 Lists'!$CX$5,B37/'S1&amp;2 Lists'!$CQ$7,0))),3)</f>
        <v>0</v>
      </c>
      <c r="J37" s="326" t="s">
        <v>4391</v>
      </c>
    </row>
    <row r="38" spans="1:10" outlineLevel="1">
      <c r="A38" s="606" t="str">
        <f>+'S1&amp;2 Lists'!L11</f>
        <v>Biodiesel</v>
      </c>
      <c r="B38" s="977"/>
      <c r="C38" s="977"/>
      <c r="D38" s="607">
        <f>ROUND(+$I38*'S1&amp;2 Lists'!$N11*'S1&amp;2 Lists'!$O11*'S1&amp;2 Lists'!P11/1000,3)</f>
        <v>0</v>
      </c>
      <c r="E38" s="607">
        <f>ROUND(+$I38*'S1&amp;2 Lists'!$N11*'S1&amp;2 Lists'!$O11*'S1&amp;2 Lists'!Q11/1000,3)</f>
        <v>0</v>
      </c>
      <c r="F38" s="607">
        <f>ROUND(+$I38*'S1&amp;2 Lists'!$N11*'S1&amp;2 Lists'!$O11*'S1&amp;2 Lists'!R11/1000,3)</f>
        <v>0</v>
      </c>
      <c r="G38" s="607">
        <f>+D38+$E38*VLOOKUP($E$28,'S1&amp;2 Lists'!$C$1:$G$127,3,FALSE)+F38*VLOOKUP($F$28,'S1&amp;2 Lists'!$C$1:$G$127,3,FALSE)</f>
        <v>0</v>
      </c>
      <c r="I38" s="607">
        <f>+ROUND(IF(C38='S1&amp;2 Lists'!$CW$3,B38,IF(C38='S1&amp;2 Lists'!$CW$4,B38/'S1&amp;2 Lists'!$CQ$8,0)),3)</f>
        <v>0</v>
      </c>
      <c r="J38" s="326" t="s">
        <v>4389</v>
      </c>
    </row>
    <row r="39" spans="1:10" outlineLevel="1"/>
    <row r="40" spans="1:10" s="595" customFormat="1" ht="18">
      <c r="A40" s="593" t="s">
        <v>4392</v>
      </c>
      <c r="B40" s="594" t="s">
        <v>5778</v>
      </c>
      <c r="F40" s="609"/>
    </row>
    <row r="41" spans="1:10" outlineLevel="1">
      <c r="F41" s="610"/>
    </row>
    <row r="42" spans="1:10" ht="45.75" customHeight="1" outlineLevel="1">
      <c r="A42" s="1104" t="s">
        <v>5754</v>
      </c>
      <c r="B42" s="1104"/>
      <c r="C42" s="1104"/>
      <c r="D42" s="1104"/>
      <c r="E42" s="1104"/>
      <c r="F42" s="1104"/>
      <c r="G42" s="1104"/>
    </row>
    <row r="43" spans="1:10" ht="54" customHeight="1" outlineLevel="1">
      <c r="A43" s="1114" t="s">
        <v>5755</v>
      </c>
      <c r="B43" s="1115"/>
      <c r="C43" s="1115"/>
      <c r="D43" s="1115"/>
      <c r="E43" s="1115"/>
      <c r="F43" s="1115"/>
      <c r="G43" s="1115"/>
    </row>
    <row r="44" spans="1:10" ht="15" customHeight="1" outlineLevel="1">
      <c r="B44" s="611"/>
      <c r="C44" s="611"/>
      <c r="D44" s="611"/>
      <c r="E44" s="611"/>
      <c r="F44" s="611"/>
      <c r="G44" s="611"/>
    </row>
    <row r="45" spans="1:10" ht="15" customHeight="1" outlineLevel="1">
      <c r="A45" s="1123" t="s">
        <v>5685</v>
      </c>
      <c r="B45" s="1124"/>
      <c r="C45" s="1125"/>
      <c r="D45" s="1126"/>
      <c r="E45" s="597"/>
      <c r="F45" s="597"/>
    </row>
    <row r="46" spans="1:10" ht="8.25" customHeight="1" outlineLevel="1">
      <c r="B46" s="611"/>
      <c r="C46" s="611"/>
      <c r="D46" s="611"/>
      <c r="E46" s="611"/>
      <c r="F46" s="611"/>
      <c r="G46" s="611"/>
    </row>
    <row r="47" spans="1:10" outlineLevel="1">
      <c r="B47" s="597"/>
      <c r="C47" s="597"/>
      <c r="D47" s="597"/>
      <c r="E47" s="597"/>
    </row>
    <row r="48" spans="1:10" outlineLevel="1">
      <c r="A48" s="612" t="s">
        <v>4393</v>
      </c>
      <c r="C48" s="596"/>
      <c r="D48" s="596"/>
      <c r="F48" s="514"/>
      <c r="G48" s="514"/>
    </row>
    <row r="49" spans="1:11" ht="69.75" customHeight="1" outlineLevel="1">
      <c r="A49" s="1110" t="s">
        <v>5767</v>
      </c>
      <c r="B49" s="1110"/>
      <c r="C49" s="1110"/>
      <c r="D49" s="1110"/>
      <c r="F49" s="813"/>
      <c r="G49" s="813"/>
      <c r="H49" s="813"/>
    </row>
    <row r="50" spans="1:11" ht="33" customHeight="1" outlineLevel="1">
      <c r="A50" s="1110" t="s">
        <v>5756</v>
      </c>
      <c r="B50" s="1110"/>
      <c r="C50" s="1110"/>
      <c r="D50" s="1110"/>
      <c r="F50" s="963"/>
      <c r="G50" s="964"/>
      <c r="H50" s="965"/>
    </row>
    <row r="51" spans="1:11" ht="35.25" customHeight="1" outlineLevel="1">
      <c r="A51" s="1110" t="s">
        <v>5699</v>
      </c>
      <c r="B51" s="1110"/>
      <c r="C51" s="1110"/>
      <c r="D51" s="1110"/>
      <c r="F51" s="610"/>
    </row>
    <row r="52" spans="1:11" ht="22.5" customHeight="1" outlineLevel="1">
      <c r="A52" s="1110" t="s">
        <v>5713</v>
      </c>
      <c r="B52" s="1110"/>
      <c r="C52" s="1110"/>
      <c r="D52" s="1110"/>
      <c r="F52" s="610"/>
    </row>
    <row r="53" spans="1:11" ht="22.5" customHeight="1" outlineLevel="1">
      <c r="F53" s="610"/>
    </row>
    <row r="54" spans="1:11" outlineLevel="1">
      <c r="F54" s="610"/>
    </row>
    <row r="55" spans="1:11" ht="31.5" customHeight="1" outlineLevel="1">
      <c r="C55" s="613" t="s">
        <v>5712</v>
      </c>
      <c r="E55" s="610"/>
    </row>
    <row r="56" spans="1:11" outlineLevel="1">
      <c r="A56" s="614" t="s">
        <v>4394</v>
      </c>
      <c r="B56" s="615">
        <v>0.05</v>
      </c>
      <c r="C56" s="1005"/>
      <c r="D56" t="s">
        <v>4437</v>
      </c>
    </row>
    <row r="57" spans="1:11" outlineLevel="1">
      <c r="A57" s="614" t="s">
        <v>4395</v>
      </c>
      <c r="B57" s="615">
        <v>0.1</v>
      </c>
      <c r="C57" s="1005"/>
      <c r="D57" t="s">
        <v>4437</v>
      </c>
    </row>
    <row r="58" spans="1:11" outlineLevel="1">
      <c r="E58" s="913" t="s">
        <v>4381</v>
      </c>
      <c r="F58" s="914"/>
      <c r="G58" s="914"/>
      <c r="H58" s="915"/>
    </row>
    <row r="59" spans="1:11" ht="42.75" outlineLevel="1">
      <c r="A59" s="600" t="s">
        <v>4382</v>
      </c>
      <c r="B59" s="600" t="s">
        <v>4383</v>
      </c>
      <c r="C59" s="613" t="s">
        <v>5711</v>
      </c>
      <c r="D59" s="600" t="s">
        <v>2</v>
      </c>
      <c r="E59" s="600" t="s">
        <v>4384</v>
      </c>
      <c r="F59" s="600" t="s">
        <v>4385</v>
      </c>
      <c r="G59" s="600" t="s">
        <v>4386</v>
      </c>
      <c r="H59" s="600" t="s">
        <v>4387</v>
      </c>
      <c r="J59" s="600" t="s">
        <v>4383</v>
      </c>
      <c r="K59" s="600" t="s">
        <v>2</v>
      </c>
    </row>
    <row r="60" spans="1:11" ht="15" outlineLevel="1">
      <c r="A60" s="616" t="s">
        <v>228</v>
      </c>
      <c r="B60" s="602"/>
      <c r="C60" s="617"/>
      <c r="D60" s="602"/>
      <c r="E60" s="618">
        <f>ROUND(+SUM(E61:E65),3)</f>
        <v>0</v>
      </c>
      <c r="F60" s="618">
        <f>ROUND(+SUM(F61:F65),3)</f>
        <v>0</v>
      </c>
      <c r="G60" s="618">
        <f>ROUND(+SUM(G61:G65),3)</f>
        <v>0</v>
      </c>
      <c r="H60" s="618">
        <f>ROUND(+SUM(H61:H65),3)</f>
        <v>0</v>
      </c>
      <c r="J60" s="617"/>
      <c r="K60" s="617"/>
    </row>
    <row r="61" spans="1:11" outlineLevel="1">
      <c r="A61" s="606" t="str">
        <f>+'S1&amp;2 Lists'!L6</f>
        <v>Gasoline</v>
      </c>
      <c r="B61" s="973"/>
      <c r="C61" s="620">
        <f>B61*(1-IF($C$57=0,$B$57,$C$57))</f>
        <v>0</v>
      </c>
      <c r="D61" s="973"/>
      <c r="E61" s="607">
        <f>ROUND(+$J61*'S1&amp;2 Lists'!$N6*'S1&amp;2 Lists'!$O6*'S1&amp;2 Lists'!S6/1000,3)</f>
        <v>0</v>
      </c>
      <c r="F61" s="607">
        <f>ROUND(+$J61*'S1&amp;2 Lists'!$N6*'S1&amp;2 Lists'!$O6*'S1&amp;2 Lists'!T6/1000,3)</f>
        <v>0</v>
      </c>
      <c r="G61" s="607">
        <f>ROUND(+$J61*'S1&amp;2 Lists'!$N6*'S1&amp;2 Lists'!$O6*'S1&amp;2 Lists'!U6/1000,3)</f>
        <v>0</v>
      </c>
      <c r="H61" s="607">
        <f>ROUND(+E61+$F61*VLOOKUP($F$59,'S1&amp;2 Lists'!$C$1:$G$127,3,FALSE)+G61*VLOOKUP($G$59,'S1&amp;2 Lists'!$C$1:$G$127,3,FALSE),3)</f>
        <v>0</v>
      </c>
      <c r="J61" s="607">
        <f>+ROUND(IF(D61='S1&amp;2 Lists'!$CW$3,C61,IF(D61='S1&amp;2 Lists'!$CW$4,C61/'S1&amp;2 Lists'!$CQ$8,0)),3)</f>
        <v>0</v>
      </c>
      <c r="K61" s="619" t="s">
        <v>4389</v>
      </c>
    </row>
    <row r="62" spans="1:11" outlineLevel="1">
      <c r="A62" s="606" t="str">
        <f>+'S1&amp;2 Lists'!L4</f>
        <v>Diesel</v>
      </c>
      <c r="B62" s="973"/>
      <c r="C62" s="620">
        <f>B62*(1-IF($C$56=0,$B$56,$C$56))</f>
        <v>0</v>
      </c>
      <c r="D62" s="973"/>
      <c r="E62" s="607">
        <f>ROUND(+$J62*'S1&amp;2 Lists'!$N4*'S1&amp;2 Lists'!$O4*'S1&amp;2 Lists'!S4/1000,3)</f>
        <v>0</v>
      </c>
      <c r="F62" s="607">
        <f>ROUND(+$J62*'S1&amp;2 Lists'!$N4*'S1&amp;2 Lists'!$O4*'S1&amp;2 Lists'!T4/1000,3)</f>
        <v>0</v>
      </c>
      <c r="G62" s="607">
        <f>ROUND(+$J62*'S1&amp;2 Lists'!$N4*'S1&amp;2 Lists'!$O4*'S1&amp;2 Lists'!U4/1000,3)</f>
        <v>0</v>
      </c>
      <c r="H62" s="607">
        <f>ROUND(+E62+$F62*VLOOKUP($F$59,'S1&amp;2 Lists'!$C$1:$G$127,3,FALSE)+G62*VLOOKUP($G$59,'S1&amp;2 Lists'!$C$1:$G$127,3,FALSE),3)</f>
        <v>0</v>
      </c>
      <c r="J62" s="607">
        <f>+ROUND(IF(D62='S1&amp;2 Lists'!$CW$3,C62,IF(D62='S1&amp;2 Lists'!$CW$4,C62/'S1&amp;2 Lists'!$CQ$8,0)),3)</f>
        <v>0</v>
      </c>
      <c r="K62" s="619" t="s">
        <v>4389</v>
      </c>
    </row>
    <row r="63" spans="1:11" ht="17.25" outlineLevel="1">
      <c r="A63" s="606" t="str">
        <f>+'S1&amp;2 Lists'!L3</f>
        <v>Natural gas</v>
      </c>
      <c r="B63" s="973"/>
      <c r="C63" s="617"/>
      <c r="D63" s="973"/>
      <c r="E63" s="607">
        <f>ROUND(+$J63*'S1&amp;2 Lists'!$N3*'S1&amp;2 Lists'!$O3*'S1&amp;2 Lists'!S3/1000,3)</f>
        <v>0</v>
      </c>
      <c r="F63" s="607">
        <f>ROUND(+$J63*'S1&amp;2 Lists'!$N3*'S1&amp;2 Lists'!$O3*'S1&amp;2 Lists'!T3/1000,3)</f>
        <v>0</v>
      </c>
      <c r="G63" s="607">
        <f>ROUND(+$J63*'S1&amp;2 Lists'!$N3*'S1&amp;2 Lists'!$O3*'S1&amp;2 Lists'!U3/1000,3)</f>
        <v>0</v>
      </c>
      <c r="H63" s="607">
        <f>ROUND(+E63+$F63*VLOOKUP($F$59,'S1&amp;2 Lists'!$C$1:$G$127,3,FALSE)+G63*VLOOKUP($G$59,'S1&amp;2 Lists'!$C$1:$G$127,3,FALSE),3)</f>
        <v>0</v>
      </c>
      <c r="J63" s="607">
        <f>+ROUND(IF(D63='S1&amp;2 Lists'!$CU$3,B63,IF(D63='S1&amp;2 Lists'!$CU$4,B63/'S1&amp;2 Lists'!$CQ$3,IF(D63='S1&amp;2 Lists'!$CU$5,B63/'S1&amp;2 Lists'!$CQ$4,IF(D63='S1&amp;2 Lists'!$CU$6,B63/'S1&amp;2 Lists'!$CQ$5,0)))),3)</f>
        <v>0</v>
      </c>
      <c r="K63" s="619" t="s">
        <v>4388</v>
      </c>
    </row>
    <row r="64" spans="1:11" ht="15" outlineLevel="1">
      <c r="A64" s="606" t="str">
        <f>+'S1&amp;2 Lists'!L11</f>
        <v>Biodiesel</v>
      </c>
      <c r="B64" s="602"/>
      <c r="C64" s="620">
        <f>B62*(IF($C$56=0,$B$56,$C$56))</f>
        <v>0</v>
      </c>
      <c r="D64" s="620">
        <f>+D62</f>
        <v>0</v>
      </c>
      <c r="E64" s="607">
        <f>ROUND(+$J64*'S1&amp;2 Lists'!$N11*'S1&amp;2 Lists'!$O11*'S1&amp;2 Lists'!S11/1000,3)</f>
        <v>0</v>
      </c>
      <c r="F64" s="607">
        <f>ROUND(+$J64*'S1&amp;2 Lists'!$N11*'S1&amp;2 Lists'!$O11*'S1&amp;2 Lists'!T11/1000,3)</f>
        <v>0</v>
      </c>
      <c r="G64" s="621">
        <f>ROUND(+$J64*'S1&amp;2 Lists'!$N11*'S1&amp;2 Lists'!$O11*'S1&amp;2 Lists'!U11/1000,3)</f>
        <v>0</v>
      </c>
      <c r="H64" s="607">
        <f>ROUND(+E64+$F64*VLOOKUP($F$59,'S1&amp;2 Lists'!$C$1:$G$127,3,FALSE)+G64*VLOOKUP($G$59,'S1&amp;2 Lists'!$C$1:$G$127,3,FALSE),3)</f>
        <v>0</v>
      </c>
      <c r="J64" s="607">
        <f>+ROUND(IF(D64='S1&amp;2 Lists'!$CW$3,C64,IF(D64='S1&amp;2 Lists'!$CW$4,C64/'S1&amp;2 Lists'!$CQ$8,0)),3)</f>
        <v>0</v>
      </c>
      <c r="K64" s="619" t="s">
        <v>4389</v>
      </c>
    </row>
    <row r="65" spans="1:11" ht="15" outlineLevel="1">
      <c r="A65" s="606" t="str">
        <f>+'S1&amp;2 Lists'!L12</f>
        <v>Biogasoline/Bioethanol</v>
      </c>
      <c r="B65" s="602"/>
      <c r="C65" s="620">
        <f>B61*(IF($C$57=0,$B$57,$C$57))</f>
        <v>0</v>
      </c>
      <c r="D65" s="620">
        <f>+D61</f>
        <v>0</v>
      </c>
      <c r="E65" s="607">
        <f>ROUND(+$J65*'S1&amp;2 Lists'!$N12*'S1&amp;2 Lists'!$O12*'S1&amp;2 Lists'!S12/1000,3)</f>
        <v>0</v>
      </c>
      <c r="F65" s="607">
        <f>ROUND(+$J65*'S1&amp;2 Lists'!$N12*'S1&amp;2 Lists'!$O12*'S1&amp;2 Lists'!T12/1000,3)</f>
        <v>0</v>
      </c>
      <c r="G65" s="621">
        <f>ROUND(+$J65*'S1&amp;2 Lists'!$N12*'S1&amp;2 Lists'!$O12*'S1&amp;2 Lists'!U12/1000,3)</f>
        <v>0</v>
      </c>
      <c r="H65" s="607">
        <f>ROUND(+E65+$F65*VLOOKUP($F$59,'S1&amp;2 Lists'!$C$1:$G$127,3,FALSE)+G65*VLOOKUP($G$59,'S1&amp;2 Lists'!$C$1:$G$127,3,FALSE),3)</f>
        <v>0</v>
      </c>
      <c r="J65" s="607">
        <f>+ROUND(IF(D65='S1&amp;2 Lists'!$CW$3,C65,IF(D65='S1&amp;2 Lists'!$CW$4,C65/'S1&amp;2 Lists'!$CQ$8,0)),3)</f>
        <v>0</v>
      </c>
      <c r="K65" s="619" t="s">
        <v>4389</v>
      </c>
    </row>
    <row r="66" spans="1:11" outlineLevel="1"/>
    <row r="67" spans="1:11" s="595" customFormat="1" ht="18">
      <c r="A67" s="593" t="s">
        <v>4396</v>
      </c>
      <c r="B67" s="594" t="s">
        <v>4397</v>
      </c>
    </row>
    <row r="68" spans="1:11" s="595" customFormat="1" ht="17.25" customHeight="1">
      <c r="A68" s="622" t="s">
        <v>4398</v>
      </c>
      <c r="B68" s="1130" t="s">
        <v>5779</v>
      </c>
      <c r="C68" s="1130"/>
    </row>
    <row r="69" spans="1:11" ht="18" outlineLevel="1">
      <c r="A69" s="624"/>
    </row>
    <row r="70" spans="1:11" outlineLevel="1">
      <c r="A70" s="1122" t="s">
        <v>5757</v>
      </c>
      <c r="B70" s="1122"/>
      <c r="C70" s="1122"/>
      <c r="D70" s="1122"/>
      <c r="E70" s="1122"/>
      <c r="F70" s="1122"/>
      <c r="G70" s="1122"/>
      <c r="H70" s="1122"/>
    </row>
    <row r="71" spans="1:11" ht="15" customHeight="1" outlineLevel="1">
      <c r="B71" s="611"/>
      <c r="C71" s="611"/>
      <c r="D71" s="611"/>
      <c r="E71" s="611"/>
      <c r="F71" s="611"/>
      <c r="G71" s="611"/>
    </row>
    <row r="72" spans="1:11" ht="15" customHeight="1" outlineLevel="1">
      <c r="A72" s="1123" t="s">
        <v>5685</v>
      </c>
      <c r="B72" s="1124"/>
      <c r="C72" s="1132"/>
      <c r="D72" s="1132"/>
      <c r="E72" s="597"/>
      <c r="F72" s="597"/>
    </row>
    <row r="73" spans="1:11" ht="18" outlineLevel="1">
      <c r="A73" s="624"/>
      <c r="F73" s="596"/>
    </row>
    <row r="74" spans="1:11" ht="15" outlineLevel="1" thickBot="1">
      <c r="A74" s="612" t="s">
        <v>4393</v>
      </c>
      <c r="C74" s="596"/>
      <c r="D74" s="596"/>
      <c r="E74" s="596"/>
      <c r="F74" s="596"/>
    </row>
    <row r="75" spans="1:11" ht="45.75" customHeight="1" outlineLevel="1" thickTop="1" thickBot="1">
      <c r="A75" s="1104" t="s">
        <v>5766</v>
      </c>
      <c r="B75" s="1104"/>
      <c r="C75" s="1104"/>
      <c r="D75" s="1104"/>
      <c r="E75" s="625"/>
      <c r="F75" s="1026" t="s">
        <v>5765</v>
      </c>
      <c r="G75" s="599"/>
    </row>
    <row r="76" spans="1:11" ht="15" outlineLevel="1" thickTop="1"/>
    <row r="77" spans="1:11" ht="51.95" customHeight="1" outlineLevel="1">
      <c r="B77" s="600" t="s">
        <v>4399</v>
      </c>
      <c r="C77" s="613" t="s">
        <v>4400</v>
      </c>
      <c r="D77" s="613" t="s">
        <v>4401</v>
      </c>
      <c r="E77" s="613" t="s">
        <v>5716</v>
      </c>
    </row>
    <row r="78" spans="1:11" ht="15" outlineLevel="1" collapsed="1">
      <c r="B78" s="616" t="s">
        <v>228</v>
      </c>
      <c r="C78" s="627"/>
      <c r="D78" s="628">
        <f>ROUND(+SUM($D$79:$D$205),3)</f>
        <v>0</v>
      </c>
      <c r="E78" s="603">
        <f>ROUND(+SUM($E$79:$E$205),3)</f>
        <v>0</v>
      </c>
    </row>
    <row r="79" spans="1:11" hidden="1" outlineLevel="2">
      <c r="B79" s="70" t="str">
        <f>+'S1&amp;2 Lists'!C8</f>
        <v>CO2</v>
      </c>
      <c r="C79" s="629">
        <f>+VLOOKUP(B79,'S1&amp;2 Lists'!$C$8:$G$134,3,FALSE)</f>
        <v>1</v>
      </c>
      <c r="D79" s="629">
        <f>ROUND(+SUMIF(Refrigerants!$G$10:$G$654,'Scope 1 and 2 Data'!B79,Refrigerants!$P$10:$P$654),3)</f>
        <v>0</v>
      </c>
      <c r="E79" s="629">
        <f t="shared" ref="E79:E142" si="0">+C79*D79</f>
        <v>0</v>
      </c>
    </row>
    <row r="80" spans="1:11" hidden="1" outlineLevel="2">
      <c r="B80" s="70" t="str">
        <f>+'S1&amp;2 Lists'!C9</f>
        <v>HFC-23</v>
      </c>
      <c r="C80" s="629">
        <f>+VLOOKUP(B80,'S1&amp;2 Lists'!$C$8:$G$134,3,FALSE)</f>
        <v>14800</v>
      </c>
      <c r="D80" s="629">
        <f>ROUND(+SUMIF(Refrigerants!$G$10:$G$654,'Scope 1 and 2 Data'!B80,Refrigerants!$P$10:$P$654),3)</f>
        <v>0</v>
      </c>
      <c r="E80" s="629">
        <f t="shared" si="0"/>
        <v>0</v>
      </c>
    </row>
    <row r="81" spans="2:5" hidden="1" outlineLevel="2">
      <c r="B81" s="70" t="str">
        <f>+'S1&amp;2 Lists'!C10</f>
        <v>HFC-32</v>
      </c>
      <c r="C81" s="629">
        <f>+VLOOKUP(B81,'S1&amp;2 Lists'!$C$8:$G$134,3,FALSE)</f>
        <v>675</v>
      </c>
      <c r="D81" s="629">
        <f>ROUND(+SUMIF(Refrigerants!$G$10:$G$654,'Scope 1 and 2 Data'!B81,Refrigerants!$P$10:$P$654),3)</f>
        <v>0</v>
      </c>
      <c r="E81" s="629">
        <f t="shared" si="0"/>
        <v>0</v>
      </c>
    </row>
    <row r="82" spans="2:5" hidden="1" outlineLevel="2">
      <c r="B82" s="70" t="str">
        <f>+'S1&amp;2 Lists'!C11</f>
        <v>HFC-41</v>
      </c>
      <c r="C82" s="629">
        <f>+VLOOKUP(B82,'S1&amp;2 Lists'!$C$9:$G$134,3,FALSE)</f>
        <v>92</v>
      </c>
      <c r="D82" s="629">
        <f>ROUND(+SUMIF(Refrigerants!$G$10:$G$654,'Scope 1 and 2 Data'!B82,Refrigerants!$P$10:$P$654),3)</f>
        <v>0</v>
      </c>
      <c r="E82" s="629">
        <f t="shared" si="0"/>
        <v>0</v>
      </c>
    </row>
    <row r="83" spans="2:5" hidden="1" outlineLevel="2">
      <c r="B83" s="70" t="str">
        <f>+'S1&amp;2 Lists'!C12</f>
        <v>HFC-125</v>
      </c>
      <c r="C83" s="629">
        <f>+VLOOKUP(B83,'S1&amp;2 Lists'!$C$9:$G$134,3,FALSE)</f>
        <v>3500</v>
      </c>
      <c r="D83" s="629">
        <f>ROUND(+SUMIF(Refrigerants!$G$10:$G$654,'Scope 1 and 2 Data'!B83,Refrigerants!$P$10:$P$654),3)</f>
        <v>0</v>
      </c>
      <c r="E83" s="629">
        <f t="shared" si="0"/>
        <v>0</v>
      </c>
    </row>
    <row r="84" spans="2:5" hidden="1" outlineLevel="2">
      <c r="B84" s="70" t="str">
        <f>+'S1&amp;2 Lists'!C13</f>
        <v>HFC-134</v>
      </c>
      <c r="C84" s="629">
        <f>+VLOOKUP(B84,'S1&amp;2 Lists'!$C$9:$G$134,3,FALSE)</f>
        <v>1100</v>
      </c>
      <c r="D84" s="629">
        <f>ROUND(+SUMIF(Refrigerants!$G$10:$G$654,'Scope 1 and 2 Data'!B84,Refrigerants!$P$10:$P$654),3)</f>
        <v>0</v>
      </c>
      <c r="E84" s="629">
        <f t="shared" si="0"/>
        <v>0</v>
      </c>
    </row>
    <row r="85" spans="2:5" hidden="1" outlineLevel="2">
      <c r="B85" s="70" t="str">
        <f>+'S1&amp;2 Lists'!C14</f>
        <v>HFC-134a</v>
      </c>
      <c r="C85" s="629">
        <f>+VLOOKUP(B85,'S1&amp;2 Lists'!$C$9:$G$134,3,FALSE)</f>
        <v>1430</v>
      </c>
      <c r="D85" s="629">
        <f>ROUND(+SUMIF(Refrigerants!$G$10:$G$654,'Scope 1 and 2 Data'!B85,Refrigerants!$P$10:$P$654),3)</f>
        <v>0</v>
      </c>
      <c r="E85" s="629">
        <f t="shared" si="0"/>
        <v>0</v>
      </c>
    </row>
    <row r="86" spans="2:5" hidden="1" outlineLevel="2">
      <c r="B86" s="70" t="str">
        <f>+'S1&amp;2 Lists'!C15</f>
        <v>HFC-143</v>
      </c>
      <c r="C86" s="629">
        <f>+VLOOKUP(B86,'S1&amp;2 Lists'!$C$9:$G$134,3,FALSE)</f>
        <v>353</v>
      </c>
      <c r="D86" s="629">
        <f>ROUND(+SUMIF(Refrigerants!$G$10:$G$654,'Scope 1 and 2 Data'!B86,Refrigerants!$P$10:$P$654),3)</f>
        <v>0</v>
      </c>
      <c r="E86" s="629">
        <f t="shared" si="0"/>
        <v>0</v>
      </c>
    </row>
    <row r="87" spans="2:5" hidden="1" outlineLevel="2">
      <c r="B87" s="70" t="str">
        <f>+'S1&amp;2 Lists'!C16</f>
        <v>HFC-143a</v>
      </c>
      <c r="C87" s="629">
        <f>+VLOOKUP(B87,'S1&amp;2 Lists'!$C$9:$G$134,3,FALSE)</f>
        <v>4470</v>
      </c>
      <c r="D87" s="629">
        <f>ROUND(+SUMIF(Refrigerants!$G$10:$G$654,'Scope 1 and 2 Data'!B87,Refrigerants!$P$10:$P$654),3)</f>
        <v>0</v>
      </c>
      <c r="E87" s="629">
        <f t="shared" si="0"/>
        <v>0</v>
      </c>
    </row>
    <row r="88" spans="2:5" hidden="1" outlineLevel="2">
      <c r="B88" s="70" t="str">
        <f>+'S1&amp;2 Lists'!C17</f>
        <v>HFC-152</v>
      </c>
      <c r="C88" s="629">
        <f>+VLOOKUP(B88,'S1&amp;2 Lists'!$C$9:$G$134,3,FALSE)</f>
        <v>53</v>
      </c>
      <c r="D88" s="629">
        <f>ROUND(+SUMIF(Refrigerants!$G$10:$G$654,'Scope 1 and 2 Data'!B88,Refrigerants!$P$10:$P$654),3)</f>
        <v>0</v>
      </c>
      <c r="E88" s="629">
        <f t="shared" si="0"/>
        <v>0</v>
      </c>
    </row>
    <row r="89" spans="2:5" hidden="1" outlineLevel="2">
      <c r="B89" s="70" t="str">
        <f>+'S1&amp;2 Lists'!C18</f>
        <v>HFC-152a</v>
      </c>
      <c r="C89" s="629">
        <f>+VLOOKUP(B89,'S1&amp;2 Lists'!$C$9:$G$134,3,FALSE)</f>
        <v>124</v>
      </c>
      <c r="D89" s="629">
        <f>ROUND(+SUMIF(Refrigerants!$G$10:$G$654,'Scope 1 and 2 Data'!B89,Refrigerants!$P$10:$P$654),3)</f>
        <v>0</v>
      </c>
      <c r="E89" s="629">
        <f t="shared" si="0"/>
        <v>0</v>
      </c>
    </row>
    <row r="90" spans="2:5" hidden="1" outlineLevel="2">
      <c r="B90" s="70" t="str">
        <f>+'S1&amp;2 Lists'!C19</f>
        <v>HFC-161</v>
      </c>
      <c r="C90" s="629">
        <f>+VLOOKUP(B90,'S1&amp;2 Lists'!$C$9:$G$134,3,FALSE)</f>
        <v>12</v>
      </c>
      <c r="D90" s="629">
        <f>ROUND(+SUMIF(Refrigerants!$G$10:$G$654,'Scope 1 and 2 Data'!B90,Refrigerants!$P$10:$P$654),3)</f>
        <v>0</v>
      </c>
      <c r="E90" s="629">
        <f t="shared" si="0"/>
        <v>0</v>
      </c>
    </row>
    <row r="91" spans="2:5" hidden="1" outlineLevel="2">
      <c r="B91" s="70" t="str">
        <f>+'S1&amp;2 Lists'!C20</f>
        <v>HFC-227ea</v>
      </c>
      <c r="C91" s="629">
        <f>+VLOOKUP(B91,'S1&amp;2 Lists'!$C$9:$G$134,3,FALSE)</f>
        <v>3220</v>
      </c>
      <c r="D91" s="629">
        <f>ROUND(+SUMIF(Refrigerants!$G$10:$G$654,'Scope 1 and 2 Data'!B91,Refrigerants!$P$10:$P$654),3)</f>
        <v>0</v>
      </c>
      <c r="E91" s="629">
        <f t="shared" si="0"/>
        <v>0</v>
      </c>
    </row>
    <row r="92" spans="2:5" hidden="1" outlineLevel="2">
      <c r="B92" s="70" t="str">
        <f>+'S1&amp;2 Lists'!C21</f>
        <v>HFC-236cb</v>
      </c>
      <c r="C92" s="629">
        <f>+VLOOKUP(B92,'S1&amp;2 Lists'!$C$9:$G$134,3,FALSE)</f>
        <v>1340</v>
      </c>
      <c r="D92" s="629">
        <f>ROUND(+SUMIF(Refrigerants!$G$10:$G$654,'Scope 1 and 2 Data'!B92,Refrigerants!$P$10:$P$654),3)</f>
        <v>0</v>
      </c>
      <c r="E92" s="629">
        <f t="shared" si="0"/>
        <v>0</v>
      </c>
    </row>
    <row r="93" spans="2:5" hidden="1" outlineLevel="2">
      <c r="B93" s="70" t="str">
        <f>+'S1&amp;2 Lists'!C22</f>
        <v>HFC-236ea</v>
      </c>
      <c r="C93" s="629">
        <f>+VLOOKUP(B93,'S1&amp;2 Lists'!$C$9:$G$134,3,FALSE)</f>
        <v>1370</v>
      </c>
      <c r="D93" s="629">
        <f>ROUND(+SUMIF(Refrigerants!$G$10:$G$654,'Scope 1 and 2 Data'!B93,Refrigerants!$P$10:$P$654),3)</f>
        <v>0</v>
      </c>
      <c r="E93" s="629">
        <f t="shared" si="0"/>
        <v>0</v>
      </c>
    </row>
    <row r="94" spans="2:5" hidden="1" outlineLevel="2">
      <c r="B94" s="70" t="str">
        <f>+'S1&amp;2 Lists'!C23</f>
        <v>HFC-236fa</v>
      </c>
      <c r="C94" s="629">
        <f>+VLOOKUP(B94,'S1&amp;2 Lists'!$C$9:$G$134,3,FALSE)</f>
        <v>9810</v>
      </c>
      <c r="D94" s="629">
        <f>ROUND(+SUMIF(Refrigerants!$G$10:$G$654,'Scope 1 and 2 Data'!B94,Refrigerants!$P$10:$P$654),3)</f>
        <v>0</v>
      </c>
      <c r="E94" s="629">
        <f t="shared" si="0"/>
        <v>0</v>
      </c>
    </row>
    <row r="95" spans="2:5" hidden="1" outlineLevel="2">
      <c r="B95" s="70" t="str">
        <f>+'S1&amp;2 Lists'!C24</f>
        <v>HFC-245ca</v>
      </c>
      <c r="C95" s="629">
        <f>+VLOOKUP(B95,'S1&amp;2 Lists'!$C$9:$G$134,3,FALSE)</f>
        <v>693</v>
      </c>
      <c r="D95" s="629">
        <f>ROUND(+SUMIF(Refrigerants!$G$10:$G$654,'Scope 1 and 2 Data'!B95,Refrigerants!$P$10:$P$654),3)</f>
        <v>0</v>
      </c>
      <c r="E95" s="629">
        <f t="shared" si="0"/>
        <v>0</v>
      </c>
    </row>
    <row r="96" spans="2:5" hidden="1" outlineLevel="2">
      <c r="B96" s="70" t="str">
        <f>+'S1&amp;2 Lists'!C25</f>
        <v>HFC-245fa</v>
      </c>
      <c r="C96" s="629">
        <f>+VLOOKUP(B96,'S1&amp;2 Lists'!$C$9:$G$134,3,FALSE)</f>
        <v>1030</v>
      </c>
      <c r="D96" s="629">
        <f>ROUND(+SUMIF(Refrigerants!$G$10:$G$654,'Scope 1 and 2 Data'!B96,Refrigerants!$P$10:$P$654),3)</f>
        <v>0</v>
      </c>
      <c r="E96" s="629">
        <f t="shared" si="0"/>
        <v>0</v>
      </c>
    </row>
    <row r="97" spans="2:5" hidden="1" outlineLevel="2">
      <c r="B97" s="70" t="str">
        <f>+'S1&amp;2 Lists'!C26</f>
        <v>HFC-365mfc</v>
      </c>
      <c r="C97" s="629">
        <f>+VLOOKUP(B97,'S1&amp;2 Lists'!$C$9:$G$134,3,FALSE)</f>
        <v>794</v>
      </c>
      <c r="D97" s="629">
        <f>ROUND(+SUMIF(Refrigerants!$G$10:$G$654,'Scope 1 and 2 Data'!B97,Refrigerants!$P$10:$P$654),3)</f>
        <v>0</v>
      </c>
      <c r="E97" s="629">
        <f t="shared" si="0"/>
        <v>0</v>
      </c>
    </row>
    <row r="98" spans="2:5" hidden="1" outlineLevel="2">
      <c r="B98" s="70" t="str">
        <f>+'S1&amp;2 Lists'!C27</f>
        <v>HFC-43-10mee</v>
      </c>
      <c r="C98" s="629">
        <f>+VLOOKUP(B98,'S1&amp;2 Lists'!$C$9:$G$134,3,FALSE)</f>
        <v>1640</v>
      </c>
      <c r="D98" s="629">
        <f>ROUND(+SUMIF(Refrigerants!$G$10:$G$654,'Scope 1 and 2 Data'!B98,Refrigerants!$P$10:$P$654),3)</f>
        <v>0</v>
      </c>
      <c r="E98" s="629">
        <f t="shared" si="0"/>
        <v>0</v>
      </c>
    </row>
    <row r="99" spans="2:5" hidden="1" outlineLevel="2">
      <c r="B99" s="70" t="str">
        <f>+'S1&amp;2 Lists'!C28</f>
        <v>SF6</v>
      </c>
      <c r="C99" s="629">
        <f>+VLOOKUP(B99,'S1&amp;2 Lists'!$C$9:$G$134,3,FALSE)</f>
        <v>22800</v>
      </c>
      <c r="D99" s="629">
        <f>ROUND(+SUMIF(Refrigerants!$G$10:$G$654,'Scope 1 and 2 Data'!B99,Refrigerants!$P$10:$P$654),3)</f>
        <v>0</v>
      </c>
      <c r="E99" s="629">
        <f t="shared" si="0"/>
        <v>0</v>
      </c>
    </row>
    <row r="100" spans="2:5" hidden="1" outlineLevel="2">
      <c r="B100" s="70" t="str">
        <f>+'S1&amp;2 Lists'!C29</f>
        <v>NF3</v>
      </c>
      <c r="C100" s="629">
        <f>+VLOOKUP(B100,'S1&amp;2 Lists'!$C$9:$G$134,3,FALSE)</f>
        <v>17200</v>
      </c>
      <c r="D100" s="629">
        <f>ROUND(+SUMIF(Refrigerants!$G$10:$G$654,'Scope 1 and 2 Data'!B100,Refrigerants!$P$10:$P$654),3)</f>
        <v>0</v>
      </c>
      <c r="E100" s="629">
        <f t="shared" si="0"/>
        <v>0</v>
      </c>
    </row>
    <row r="101" spans="2:5" hidden="1" outlineLevel="2">
      <c r="B101" s="70" t="str">
        <f>+'S1&amp;2 Lists'!C30</f>
        <v>PFC-14</v>
      </c>
      <c r="C101" s="629">
        <f>+VLOOKUP(B101,'S1&amp;2 Lists'!$C$9:$G$134,3,FALSE)</f>
        <v>7390</v>
      </c>
      <c r="D101" s="629">
        <f>ROUND(+SUMIF(Refrigerants!$G$10:$G$654,'Scope 1 and 2 Data'!B101,Refrigerants!$P$10:$P$654),3)</f>
        <v>0</v>
      </c>
      <c r="E101" s="629">
        <f t="shared" si="0"/>
        <v>0</v>
      </c>
    </row>
    <row r="102" spans="2:5" hidden="1" outlineLevel="2">
      <c r="B102" s="70" t="str">
        <f>+'S1&amp;2 Lists'!C31</f>
        <v>PFC-116</v>
      </c>
      <c r="C102" s="629">
        <f>+VLOOKUP(B102,'S1&amp;2 Lists'!$C$9:$G$134,3,FALSE)</f>
        <v>12200</v>
      </c>
      <c r="D102" s="629">
        <f>ROUND(+SUMIF(Refrigerants!$G$10:$G$654,'Scope 1 and 2 Data'!B102,Refrigerants!$P$10:$P$654),3)</f>
        <v>0</v>
      </c>
      <c r="E102" s="629">
        <f t="shared" si="0"/>
        <v>0</v>
      </c>
    </row>
    <row r="103" spans="2:5" hidden="1" outlineLevel="2">
      <c r="B103" s="70" t="str">
        <f>+'S1&amp;2 Lists'!C32</f>
        <v>PFC-218</v>
      </c>
      <c r="C103" s="629">
        <f>+VLOOKUP(B103,'S1&amp;2 Lists'!$C$9:$G$134,3,FALSE)</f>
        <v>8830</v>
      </c>
      <c r="D103" s="629">
        <f>ROUND(+SUMIF(Refrigerants!$G$10:$G$654,'Scope 1 and 2 Data'!B103,Refrigerants!$P$10:$P$654),3)</f>
        <v>0</v>
      </c>
      <c r="E103" s="629">
        <f t="shared" si="0"/>
        <v>0</v>
      </c>
    </row>
    <row r="104" spans="2:5" hidden="1" outlineLevel="2">
      <c r="B104" s="70" t="str">
        <f>+'S1&amp;2 Lists'!C33</f>
        <v>PFC-318</v>
      </c>
      <c r="C104" s="629">
        <f>+VLOOKUP(B104,'S1&amp;2 Lists'!$C$9:$G$134,3,FALSE)</f>
        <v>10300</v>
      </c>
      <c r="D104" s="629">
        <f>ROUND(+SUMIF(Refrigerants!$G$10:$G$654,'Scope 1 and 2 Data'!B104,Refrigerants!$P$10:$P$654),3)</f>
        <v>0</v>
      </c>
      <c r="E104" s="629">
        <f t="shared" si="0"/>
        <v>0</v>
      </c>
    </row>
    <row r="105" spans="2:5" hidden="1" outlineLevel="2">
      <c r="B105" s="70" t="str">
        <f>+'S1&amp;2 Lists'!C34</f>
        <v>PFC-3-1-10</v>
      </c>
      <c r="C105" s="629">
        <f>+VLOOKUP(B105,'S1&amp;2 Lists'!$C$9:$G$134,3,FALSE)</f>
        <v>8860</v>
      </c>
      <c r="D105" s="629">
        <f>ROUND(+SUMIF(Refrigerants!$G$10:$G$654,'Scope 1 and 2 Data'!B105,Refrigerants!$P$10:$P$654),3)</f>
        <v>0</v>
      </c>
      <c r="E105" s="629">
        <f t="shared" si="0"/>
        <v>0</v>
      </c>
    </row>
    <row r="106" spans="2:5" hidden="1" outlineLevel="2">
      <c r="B106" s="70" t="str">
        <f>+'S1&amp;2 Lists'!C35</f>
        <v>PFC-4-1-12</v>
      </c>
      <c r="C106" s="629">
        <f>+VLOOKUP(B106,'S1&amp;2 Lists'!$C$9:$G$134,3,FALSE)</f>
        <v>9160</v>
      </c>
      <c r="D106" s="629">
        <f>ROUND(+SUMIF(Refrigerants!$G$10:$G$654,'Scope 1 and 2 Data'!B106,Refrigerants!$P$10:$P$654),3)</f>
        <v>0</v>
      </c>
      <c r="E106" s="629">
        <f t="shared" si="0"/>
        <v>0</v>
      </c>
    </row>
    <row r="107" spans="2:5" hidden="1" outlineLevel="2">
      <c r="B107" s="70" t="str">
        <f>+'S1&amp;2 Lists'!C36</f>
        <v>PFC-5-1-14</v>
      </c>
      <c r="C107" s="629">
        <f>+VLOOKUP(B107,'S1&amp;2 Lists'!$C$9:$G$134,3,FALSE)</f>
        <v>9300</v>
      </c>
      <c r="D107" s="629">
        <f>ROUND(+SUMIF(Refrigerants!$G$10:$G$654,'Scope 1 and 2 Data'!B107,Refrigerants!$P$10:$P$654),3)</f>
        <v>0</v>
      </c>
      <c r="E107" s="629">
        <f t="shared" si="0"/>
        <v>0</v>
      </c>
    </row>
    <row r="108" spans="2:5" hidden="1" outlineLevel="2">
      <c r="B108" s="70" t="str">
        <f>+'S1&amp;2 Lists'!C37</f>
        <v>PFC-9-1-18</v>
      </c>
      <c r="C108" s="629">
        <f>+VLOOKUP(B108,'S1&amp;2 Lists'!$C$9:$G$134,3,FALSE)</f>
        <v>7500</v>
      </c>
      <c r="D108" s="629">
        <f>ROUND(+SUMIF(Refrigerants!$G$10:$G$654,'Scope 1 and 2 Data'!B108,Refrigerants!$P$10:$P$654),3)</f>
        <v>0</v>
      </c>
      <c r="E108" s="629">
        <f t="shared" si="0"/>
        <v>0</v>
      </c>
    </row>
    <row r="109" spans="2:5" hidden="1" outlineLevel="2">
      <c r="B109" s="70" t="str">
        <f>+'S1&amp;2 Lists'!C38</f>
        <v>Trifluoromethyl Sulfur pentafluoride</v>
      </c>
      <c r="C109" s="629">
        <f>+VLOOKUP(B109,'S1&amp;2 Lists'!$C$9:$G$134,3,FALSE)</f>
        <v>17700</v>
      </c>
      <c r="D109" s="629">
        <f>ROUND(+SUMIF(Refrigerants!$G$10:$G$654,'Scope 1 and 2 Data'!B109,Refrigerants!$P$10:$P$654),3)</f>
        <v>0</v>
      </c>
      <c r="E109" s="629">
        <f t="shared" si="0"/>
        <v>0</v>
      </c>
    </row>
    <row r="110" spans="2:5" hidden="1" outlineLevel="2">
      <c r="B110" s="70" t="str">
        <f>+'S1&amp;2 Lists'!C39</f>
        <v>Perfluorocyclopropane</v>
      </c>
      <c r="C110" s="629">
        <f>+VLOOKUP(B110,'S1&amp;2 Lists'!$C$9:$G$134,3,FALSE)</f>
        <v>17340</v>
      </c>
      <c r="D110" s="629">
        <f>ROUND(+SUMIF(Refrigerants!$G$10:$G$654,'Scope 1 and 2 Data'!B110,Refrigerants!$P$10:$P$654),3)</f>
        <v>0</v>
      </c>
      <c r="E110" s="629">
        <f t="shared" si="0"/>
        <v>0</v>
      </c>
    </row>
    <row r="111" spans="2:5" hidden="1" outlineLevel="2">
      <c r="B111" s="70" t="str">
        <f>+'S1&amp;2 Lists'!C40</f>
        <v>R-11</v>
      </c>
      <c r="C111" s="629">
        <f>+VLOOKUP(B111,'S1&amp;2 Lists'!$C$9:$G$134,3,FALSE)</f>
        <v>4750</v>
      </c>
      <c r="D111" s="629">
        <f>ROUND(+SUMIF(Refrigerants!$G$10:$G$654,'Scope 1 and 2 Data'!B111,Refrigerants!$P$10:$P$654),3)</f>
        <v>0</v>
      </c>
      <c r="E111" s="629">
        <f t="shared" si="0"/>
        <v>0</v>
      </c>
    </row>
    <row r="112" spans="2:5" hidden="1" outlineLevel="2">
      <c r="B112" s="70" t="str">
        <f>+'S1&amp;2 Lists'!C41</f>
        <v>R-12</v>
      </c>
      <c r="C112" s="629">
        <f>+VLOOKUP(B112,'S1&amp;2 Lists'!$C$9:$G$134,3,FALSE)</f>
        <v>10900</v>
      </c>
      <c r="D112" s="629">
        <f>ROUND(+SUMIF(Refrigerants!$G$10:$G$654,'Scope 1 and 2 Data'!B112,Refrigerants!$P$10:$P$654),3)</f>
        <v>0</v>
      </c>
      <c r="E112" s="629">
        <f t="shared" si="0"/>
        <v>0</v>
      </c>
    </row>
    <row r="113" spans="2:5" hidden="1" outlineLevel="2">
      <c r="B113" s="70" t="str">
        <f>+'S1&amp;2 Lists'!C42</f>
        <v>R-22</v>
      </c>
      <c r="C113" s="629">
        <f>+VLOOKUP(B113,'S1&amp;2 Lists'!$C$9:$G$134,3,FALSE)</f>
        <v>1810</v>
      </c>
      <c r="D113" s="629">
        <f>ROUND(+SUMIF(Refrigerants!$G$10:$G$654,'Scope 1 and 2 Data'!B113,Refrigerants!$P$10:$P$654),3)</f>
        <v>0</v>
      </c>
      <c r="E113" s="629">
        <f t="shared" si="0"/>
        <v>0</v>
      </c>
    </row>
    <row r="114" spans="2:5" hidden="1" outlineLevel="2">
      <c r="B114" s="70" t="str">
        <f>+'S1&amp;2 Lists'!C43</f>
        <v>R-44</v>
      </c>
      <c r="C114" s="629">
        <f>+VLOOKUP(B114,'S1&amp;2 Lists'!$C$9:$G$134,3,FALSE)</f>
        <v>1</v>
      </c>
      <c r="D114" s="629">
        <f>ROUND(+SUMIF(Refrigerants!$G$10:$G$654,'Scope 1 and 2 Data'!B114,Refrigerants!$P$10:$P$654),3)</f>
        <v>0</v>
      </c>
      <c r="E114" s="629">
        <f t="shared" si="0"/>
        <v>0</v>
      </c>
    </row>
    <row r="115" spans="2:5" hidden="1" outlineLevel="2">
      <c r="B115" s="70" t="str">
        <f>+'S1&amp;2 Lists'!C44</f>
        <v>R-123</v>
      </c>
      <c r="C115" s="629">
        <f>+VLOOKUP(B115,'S1&amp;2 Lists'!$C$9:$G$134,3,FALSE)</f>
        <v>77</v>
      </c>
      <c r="D115" s="629">
        <f>ROUND(+SUMIF(Refrigerants!$G$10:$G$654,'Scope 1 and 2 Data'!B115,Refrigerants!$P$10:$P$654),3)</f>
        <v>0</v>
      </c>
      <c r="E115" s="629">
        <f t="shared" si="0"/>
        <v>0</v>
      </c>
    </row>
    <row r="116" spans="2:5" hidden="1" outlineLevel="2">
      <c r="B116" s="70" t="str">
        <f>+'S1&amp;2 Lists'!C45</f>
        <v>R-290</v>
      </c>
      <c r="C116" s="629">
        <f>+VLOOKUP(B116,'S1&amp;2 Lists'!$C$9:$G$134,3,FALSE)</f>
        <v>3.3</v>
      </c>
      <c r="D116" s="629">
        <f>ROUND(+SUMIF(Refrigerants!$G$10:$G$654,'Scope 1 and 2 Data'!B116,Refrigerants!$P$10:$P$654),3)</f>
        <v>0</v>
      </c>
      <c r="E116" s="629">
        <f t="shared" si="0"/>
        <v>0</v>
      </c>
    </row>
    <row r="117" spans="2:5" hidden="1" outlineLevel="2">
      <c r="B117" s="70" t="str">
        <f>+'S1&amp;2 Lists'!C46</f>
        <v>R-400</v>
      </c>
      <c r="C117" s="629">
        <f>+VLOOKUP(B117,'S1&amp;2 Lists'!$C$9:$G$134,3,FALSE)</f>
        <v>0</v>
      </c>
      <c r="D117" s="629">
        <f>ROUND(+SUMIF(Refrigerants!$G$10:$G$654,'Scope 1 and 2 Data'!B117,Refrigerants!$P$10:$P$654),3)</f>
        <v>0</v>
      </c>
      <c r="E117" s="629">
        <f t="shared" si="0"/>
        <v>0</v>
      </c>
    </row>
    <row r="118" spans="2:5" hidden="1" outlineLevel="2">
      <c r="B118" s="70" t="str">
        <f>+'S1&amp;2 Lists'!C47</f>
        <v>R-401A</v>
      </c>
      <c r="C118" s="629">
        <f>+VLOOKUP(B118,'S1&amp;2 Lists'!$C$9:$G$134,3,FALSE)</f>
        <v>16.12</v>
      </c>
      <c r="D118" s="629">
        <f>ROUND(+SUMIF(Refrigerants!$G$10:$G$654,'Scope 1 and 2 Data'!B118,Refrigerants!$P$10:$P$654),3)</f>
        <v>0</v>
      </c>
      <c r="E118" s="629">
        <f t="shared" si="0"/>
        <v>0</v>
      </c>
    </row>
    <row r="119" spans="2:5" hidden="1" outlineLevel="2">
      <c r="B119" s="70" t="str">
        <f>+'S1&amp;2 Lists'!C48</f>
        <v>R-401B</v>
      </c>
      <c r="C119" s="629">
        <f>+VLOOKUP(B119,'S1&amp;2 Lists'!$C$9:$G$134,3,FALSE)</f>
        <v>13.64</v>
      </c>
      <c r="D119" s="629">
        <f>ROUND(+SUMIF(Refrigerants!$G$10:$G$654,'Scope 1 and 2 Data'!B119,Refrigerants!$P$10:$P$654),3)</f>
        <v>0</v>
      </c>
      <c r="E119" s="629">
        <f t="shared" si="0"/>
        <v>0</v>
      </c>
    </row>
    <row r="120" spans="2:5" hidden="1" outlineLevel="2">
      <c r="B120" s="70" t="str">
        <f>+'S1&amp;2 Lists'!C49</f>
        <v>R-401C</v>
      </c>
      <c r="C120" s="629">
        <f>+VLOOKUP(B120,'S1&amp;2 Lists'!$C$9:$G$134,3,FALSE)</f>
        <v>18.599999999999998</v>
      </c>
      <c r="D120" s="629">
        <f>ROUND(+SUMIF(Refrigerants!$G$10:$G$654,'Scope 1 and 2 Data'!B120,Refrigerants!$P$10:$P$654),3)</f>
        <v>0</v>
      </c>
      <c r="E120" s="629">
        <f t="shared" si="0"/>
        <v>0</v>
      </c>
    </row>
    <row r="121" spans="2:5" hidden="1" outlineLevel="2">
      <c r="B121" s="70" t="str">
        <f>+'S1&amp;2 Lists'!C50</f>
        <v>R-402A</v>
      </c>
      <c r="C121" s="629">
        <f>+VLOOKUP(B121,'S1&amp;2 Lists'!$C$9:$G$134,3,FALSE)</f>
        <v>2100</v>
      </c>
      <c r="D121" s="629">
        <f>ROUND(+SUMIF(Refrigerants!$G$10:$G$654,'Scope 1 and 2 Data'!B121,Refrigerants!$P$10:$P$654),3)</f>
        <v>0</v>
      </c>
      <c r="E121" s="629">
        <f t="shared" si="0"/>
        <v>0</v>
      </c>
    </row>
    <row r="122" spans="2:5" hidden="1" outlineLevel="2">
      <c r="B122" s="70" t="str">
        <f>+'S1&amp;2 Lists'!C51</f>
        <v>R-402B</v>
      </c>
      <c r="C122" s="629">
        <f>+VLOOKUP(B122,'S1&amp;2 Lists'!$C$9:$G$134,3,FALSE)</f>
        <v>1330</v>
      </c>
      <c r="D122" s="629">
        <f>ROUND(+SUMIF(Refrigerants!$G$10:$G$654,'Scope 1 and 2 Data'!B122,Refrigerants!$P$10:$P$654),3)</f>
        <v>0</v>
      </c>
      <c r="E122" s="629">
        <f t="shared" si="0"/>
        <v>0</v>
      </c>
    </row>
    <row r="123" spans="2:5" hidden="1" outlineLevel="2">
      <c r="B123" s="70" t="str">
        <f>+'S1&amp;2 Lists'!C52</f>
        <v>R-403A</v>
      </c>
      <c r="C123" s="629">
        <f>+VLOOKUP(B123,'S1&amp;2 Lists'!$C$9:$G$134,3,FALSE)</f>
        <v>1766</v>
      </c>
      <c r="D123" s="629">
        <f>ROUND(+SUMIF(Refrigerants!$G$10:$G$654,'Scope 1 and 2 Data'!B123,Refrigerants!$P$10:$P$654),3)</f>
        <v>0</v>
      </c>
      <c r="E123" s="629">
        <f t="shared" si="0"/>
        <v>0</v>
      </c>
    </row>
    <row r="124" spans="2:5" hidden="1" outlineLevel="2">
      <c r="B124" s="70" t="str">
        <f>+'S1&amp;2 Lists'!C53</f>
        <v>R-403B</v>
      </c>
      <c r="C124" s="629">
        <f>+VLOOKUP(B124,'S1&amp;2 Lists'!$C$9:$G$134,3,FALSE)</f>
        <v>3443.7000000000003</v>
      </c>
      <c r="D124" s="629">
        <f>ROUND(+SUMIF(Refrigerants!$G$10:$G$654,'Scope 1 and 2 Data'!B124,Refrigerants!$P$10:$P$654),3)</f>
        <v>0</v>
      </c>
      <c r="E124" s="629">
        <f t="shared" si="0"/>
        <v>0</v>
      </c>
    </row>
    <row r="125" spans="2:5" hidden="1" outlineLevel="2">
      <c r="B125" s="70" t="str">
        <f>+'S1&amp;2 Lists'!C54</f>
        <v>R-404A</v>
      </c>
      <c r="C125" s="629">
        <f>+VLOOKUP(B125,'S1&amp;2 Lists'!$C$9:$G$134,3,FALSE)</f>
        <v>3921.6</v>
      </c>
      <c r="D125" s="629">
        <f>ROUND(+SUMIF(Refrigerants!$G$10:$G$654,'Scope 1 and 2 Data'!B125,Refrigerants!$P$10:$P$654),3)</f>
        <v>0</v>
      </c>
      <c r="E125" s="629">
        <f t="shared" si="0"/>
        <v>0</v>
      </c>
    </row>
    <row r="126" spans="2:5" hidden="1" outlineLevel="2">
      <c r="B126" s="70" t="str">
        <f>+'S1&amp;2 Lists'!C55</f>
        <v>R-406A</v>
      </c>
      <c r="C126" s="629">
        <f>+VLOOKUP(B126,'S1&amp;2 Lists'!$C$9:$G$134,3,FALSE)</f>
        <v>0</v>
      </c>
      <c r="D126" s="629">
        <f>ROUND(+SUMIF(Refrigerants!$G$10:$G$654,'Scope 1 and 2 Data'!B126,Refrigerants!$P$10:$P$654),3)</f>
        <v>0</v>
      </c>
      <c r="E126" s="629">
        <f t="shared" si="0"/>
        <v>0</v>
      </c>
    </row>
    <row r="127" spans="2:5" hidden="1" outlineLevel="2">
      <c r="B127" s="70" t="str">
        <f>+'S1&amp;2 Lists'!C56</f>
        <v>R-407A</v>
      </c>
      <c r="C127" s="629">
        <f>+VLOOKUP(B127,'S1&amp;2 Lists'!$C$9:$G$134,3,FALSE)</f>
        <v>2107</v>
      </c>
      <c r="D127" s="629">
        <f>ROUND(+SUMIF(Refrigerants!$G$10:$G$654,'Scope 1 and 2 Data'!B127,Refrigerants!$P$10:$P$654),3)</f>
        <v>0</v>
      </c>
      <c r="E127" s="629">
        <f t="shared" si="0"/>
        <v>0</v>
      </c>
    </row>
    <row r="128" spans="2:5" hidden="1" outlineLevel="2">
      <c r="B128" s="70" t="str">
        <f>+'S1&amp;2 Lists'!C57</f>
        <v>R-407B</v>
      </c>
      <c r="C128" s="629">
        <f>+VLOOKUP(B128,'S1&amp;2 Lists'!$C$9:$G$134,3,FALSE)</f>
        <v>2803.5</v>
      </c>
      <c r="D128" s="629">
        <f>ROUND(+SUMIF(Refrigerants!$G$10:$G$654,'Scope 1 and 2 Data'!B128,Refrigerants!$P$10:$P$654),3)</f>
        <v>0</v>
      </c>
      <c r="E128" s="629">
        <f t="shared" si="0"/>
        <v>0</v>
      </c>
    </row>
    <row r="129" spans="2:5" hidden="1" outlineLevel="2">
      <c r="B129" s="70" t="str">
        <f>+'S1&amp;2 Lists'!C58</f>
        <v>R-407C</v>
      </c>
      <c r="C129" s="629">
        <f>+VLOOKUP(B129,'S1&amp;2 Lists'!$C$9:$G$134,3,FALSE)</f>
        <v>1773.85</v>
      </c>
      <c r="D129" s="629">
        <f>ROUND(+SUMIF(Refrigerants!$G$10:$G$654,'Scope 1 and 2 Data'!B129,Refrigerants!$P$10:$P$654),3)</f>
        <v>0</v>
      </c>
      <c r="E129" s="629">
        <f t="shared" si="0"/>
        <v>0</v>
      </c>
    </row>
    <row r="130" spans="2:5" hidden="1" outlineLevel="2">
      <c r="B130" s="70" t="str">
        <f>+'S1&amp;2 Lists'!C59</f>
        <v>R-407D</v>
      </c>
      <c r="C130" s="629">
        <f>+VLOOKUP(B130,'S1&amp;2 Lists'!$C$9:$G$134,3,FALSE)</f>
        <v>1627.25</v>
      </c>
      <c r="D130" s="629">
        <f>ROUND(+SUMIF(Refrigerants!$G$10:$G$654,'Scope 1 and 2 Data'!B130,Refrigerants!$P$10:$P$654),3)</f>
        <v>0</v>
      </c>
      <c r="E130" s="629">
        <f t="shared" si="0"/>
        <v>0</v>
      </c>
    </row>
    <row r="131" spans="2:5" hidden="1" outlineLevel="2">
      <c r="B131" s="70" t="str">
        <f>+'S1&amp;2 Lists'!C60</f>
        <v>R-407E</v>
      </c>
      <c r="C131" s="629">
        <f>+VLOOKUP(B131,'S1&amp;2 Lists'!$C$9:$G$134,3,FALSE)</f>
        <v>1551.75</v>
      </c>
      <c r="D131" s="629">
        <f>ROUND(+SUMIF(Refrigerants!$G$10:$G$654,'Scope 1 and 2 Data'!B131,Refrigerants!$P$10:$P$654),3)</f>
        <v>0</v>
      </c>
      <c r="E131" s="629">
        <f t="shared" si="0"/>
        <v>0</v>
      </c>
    </row>
    <row r="132" spans="2:5" hidden="1" outlineLevel="2">
      <c r="B132" s="70" t="str">
        <f>+'S1&amp;2 Lists'!C61</f>
        <v>R-407F</v>
      </c>
      <c r="C132" s="629">
        <f>+VLOOKUP(B132,'S1&amp;2 Lists'!$C$9:$G$134,3,FALSE)</f>
        <v>1824.5</v>
      </c>
      <c r="D132" s="629">
        <f>ROUND(+SUMIF(Refrigerants!$G$10:$G$654,'Scope 1 and 2 Data'!B132,Refrigerants!$P$10:$P$654),3)</f>
        <v>0</v>
      </c>
      <c r="E132" s="629">
        <f t="shared" si="0"/>
        <v>0</v>
      </c>
    </row>
    <row r="133" spans="2:5" hidden="1" outlineLevel="2">
      <c r="B133" s="70" t="str">
        <f>+'S1&amp;2 Lists'!C62</f>
        <v>R-408A</v>
      </c>
      <c r="C133" s="629">
        <f>+VLOOKUP(B133,'S1&amp;2 Lists'!$C$9:$G$134,3,FALSE)</f>
        <v>2301.2000000000003</v>
      </c>
      <c r="D133" s="629">
        <f>ROUND(+SUMIF(Refrigerants!$G$10:$G$654,'Scope 1 and 2 Data'!B133,Refrigerants!$P$10:$P$654),3)</f>
        <v>0</v>
      </c>
      <c r="E133" s="629">
        <f t="shared" si="0"/>
        <v>0</v>
      </c>
    </row>
    <row r="134" spans="2:5" hidden="1" outlineLevel="2">
      <c r="B134" s="70" t="str">
        <f>+'S1&amp;2 Lists'!C63</f>
        <v>R-409A</v>
      </c>
      <c r="C134" s="629">
        <f>+VLOOKUP(B134,'S1&amp;2 Lists'!$C$9:$G$134,3,FALSE)</f>
        <v>0</v>
      </c>
      <c r="D134" s="629">
        <f>ROUND(+SUMIF(Refrigerants!$G$10:$G$654,'Scope 1 and 2 Data'!B134,Refrigerants!$P$10:$P$654),3)</f>
        <v>0</v>
      </c>
      <c r="E134" s="629">
        <f t="shared" si="0"/>
        <v>0</v>
      </c>
    </row>
    <row r="135" spans="2:5" hidden="1" outlineLevel="2">
      <c r="B135" s="70" t="str">
        <f>+'S1&amp;2 Lists'!C64</f>
        <v>R-409B</v>
      </c>
      <c r="C135" s="629">
        <f>+VLOOKUP(B135,'S1&amp;2 Lists'!$C$9:$G$134,3,FALSE)</f>
        <v>0</v>
      </c>
      <c r="D135" s="629">
        <f>ROUND(+SUMIF(Refrigerants!$G$10:$G$654,'Scope 1 and 2 Data'!B135,Refrigerants!$P$10:$P$654),3)</f>
        <v>0</v>
      </c>
      <c r="E135" s="629">
        <f t="shared" si="0"/>
        <v>0</v>
      </c>
    </row>
    <row r="136" spans="2:5" hidden="1" outlineLevel="2">
      <c r="B136" s="70" t="str">
        <f>+'S1&amp;2 Lists'!C65</f>
        <v>R-410A</v>
      </c>
      <c r="C136" s="629">
        <f>+VLOOKUP(B136,'S1&amp;2 Lists'!$C$9:$G$134,3,FALSE)</f>
        <v>2087.5</v>
      </c>
      <c r="D136" s="629">
        <f>ROUND(+SUMIF(Refrigerants!$G$10:$G$654,'Scope 1 and 2 Data'!B136,Refrigerants!$P$10:$P$654),3)</f>
        <v>0</v>
      </c>
      <c r="E136" s="629">
        <f t="shared" si="0"/>
        <v>0</v>
      </c>
    </row>
    <row r="137" spans="2:5" hidden="1" outlineLevel="2">
      <c r="B137" s="70" t="str">
        <f>+'S1&amp;2 Lists'!C66</f>
        <v>R-410B</v>
      </c>
      <c r="C137" s="629">
        <f>+VLOOKUP(B137,'S1&amp;2 Lists'!$C$9:$G$134,3,FALSE)</f>
        <v>2228.75</v>
      </c>
      <c r="D137" s="629">
        <f>ROUND(+SUMIF(Refrigerants!$G$10:$G$654,'Scope 1 and 2 Data'!B137,Refrigerants!$P$10:$P$654),3)</f>
        <v>0</v>
      </c>
      <c r="E137" s="629">
        <f t="shared" si="0"/>
        <v>0</v>
      </c>
    </row>
    <row r="138" spans="2:5" hidden="1" outlineLevel="2">
      <c r="B138" s="70" t="str">
        <f>+'S1&amp;2 Lists'!C67</f>
        <v>R-411A</v>
      </c>
      <c r="C138" s="629">
        <f>+VLOOKUP(B138,'S1&amp;2 Lists'!$C$9:$G$134,3,FALSE)</f>
        <v>13.64</v>
      </c>
      <c r="D138" s="629">
        <f>ROUND(+SUMIF(Refrigerants!$G$10:$G$654,'Scope 1 and 2 Data'!B138,Refrigerants!$P$10:$P$654),3)</f>
        <v>0</v>
      </c>
      <c r="E138" s="629">
        <f t="shared" si="0"/>
        <v>0</v>
      </c>
    </row>
    <row r="139" spans="2:5" hidden="1" outlineLevel="2">
      <c r="B139" s="70" t="str">
        <f>+'S1&amp;2 Lists'!C68</f>
        <v>R-411B</v>
      </c>
      <c r="C139" s="629">
        <f>+VLOOKUP(B139,'S1&amp;2 Lists'!$C$9:$G$134,3,FALSE)</f>
        <v>3.7199999999999998</v>
      </c>
      <c r="D139" s="629">
        <f>ROUND(+SUMIF(Refrigerants!$G$10:$G$654,'Scope 1 and 2 Data'!B139,Refrigerants!$P$10:$P$654),3)</f>
        <v>0</v>
      </c>
      <c r="E139" s="629">
        <f t="shared" si="0"/>
        <v>0</v>
      </c>
    </row>
    <row r="140" spans="2:5" hidden="1" outlineLevel="2">
      <c r="B140" s="70" t="str">
        <f>+'S1&amp;2 Lists'!C69</f>
        <v>R-412A</v>
      </c>
      <c r="C140" s="629">
        <f>+VLOOKUP(B140,'S1&amp;2 Lists'!$C$9:$G$134,3,FALSE)</f>
        <v>441.5</v>
      </c>
      <c r="D140" s="629">
        <f>ROUND(+SUMIF(Refrigerants!$G$10:$G$654,'Scope 1 and 2 Data'!B140,Refrigerants!$P$10:$P$654),3)</f>
        <v>0</v>
      </c>
      <c r="E140" s="629">
        <f t="shared" si="0"/>
        <v>0</v>
      </c>
    </row>
    <row r="141" spans="2:5" hidden="1" outlineLevel="2">
      <c r="B141" s="70" t="str">
        <f>+'S1&amp;2 Lists'!C70</f>
        <v>R-413A</v>
      </c>
      <c r="C141" s="629">
        <f>+VLOOKUP(B141,'S1&amp;2 Lists'!$C$9:$G$134,3,FALSE)</f>
        <v>2053.1</v>
      </c>
      <c r="D141" s="629">
        <f>ROUND(+SUMIF(Refrigerants!$G$10:$G$654,'Scope 1 and 2 Data'!B141,Refrigerants!$P$10:$P$654),3)</f>
        <v>0</v>
      </c>
      <c r="E141" s="629">
        <f t="shared" si="0"/>
        <v>0</v>
      </c>
    </row>
    <row r="142" spans="2:5" hidden="1" outlineLevel="2">
      <c r="B142" s="70" t="str">
        <f>+'S1&amp;2 Lists'!C71</f>
        <v>R-414A</v>
      </c>
      <c r="C142" s="629">
        <f>+VLOOKUP(B142,'S1&amp;2 Lists'!$C$9:$G$134,3,FALSE)</f>
        <v>0</v>
      </c>
      <c r="D142" s="629">
        <f>ROUND(+SUMIF(Refrigerants!$G$10:$G$654,'Scope 1 and 2 Data'!B142,Refrigerants!$P$10:$P$654),3)</f>
        <v>0</v>
      </c>
      <c r="E142" s="629">
        <f t="shared" si="0"/>
        <v>0</v>
      </c>
    </row>
    <row r="143" spans="2:5" hidden="1" outlineLevel="2">
      <c r="B143" s="70" t="str">
        <f>+'S1&amp;2 Lists'!C72</f>
        <v>R-414B</v>
      </c>
      <c r="C143" s="629">
        <f>+VLOOKUP(B143,'S1&amp;2 Lists'!$C$9:$G$134,3,FALSE)</f>
        <v>0</v>
      </c>
      <c r="D143" s="629">
        <f>ROUND(+SUMIF(Refrigerants!$G$10:$G$654,'Scope 1 and 2 Data'!B143,Refrigerants!$P$10:$P$654),3)</f>
        <v>0</v>
      </c>
      <c r="E143" s="629">
        <f t="shared" ref="E143:E205" si="1">+C143*D143</f>
        <v>0</v>
      </c>
    </row>
    <row r="144" spans="2:5" hidden="1" outlineLevel="2">
      <c r="B144" s="70" t="str">
        <f>+'S1&amp;2 Lists'!C73</f>
        <v>R-415A</v>
      </c>
      <c r="C144" s="629">
        <f>+VLOOKUP(B144,'S1&amp;2 Lists'!$C$9:$G$134,3,FALSE)</f>
        <v>22.32</v>
      </c>
      <c r="D144" s="629">
        <f>ROUND(+SUMIF(Refrigerants!$G$10:$G$654,'Scope 1 and 2 Data'!B144,Refrigerants!$P$10:$P$654),3)</f>
        <v>0</v>
      </c>
      <c r="E144" s="629">
        <f t="shared" si="1"/>
        <v>0</v>
      </c>
    </row>
    <row r="145" spans="2:5" hidden="1" outlineLevel="2">
      <c r="B145" s="70" t="str">
        <f>+'S1&amp;2 Lists'!C74</f>
        <v>R-415B</v>
      </c>
      <c r="C145" s="629">
        <f>+VLOOKUP(B145,'S1&amp;2 Lists'!$C$9:$G$134,3,FALSE)</f>
        <v>93</v>
      </c>
      <c r="D145" s="629">
        <f>ROUND(+SUMIF(Refrigerants!$G$10:$G$654,'Scope 1 and 2 Data'!B145,Refrigerants!$P$10:$P$654),3)</f>
        <v>0</v>
      </c>
      <c r="E145" s="629">
        <f t="shared" si="1"/>
        <v>0</v>
      </c>
    </row>
    <row r="146" spans="2:5" hidden="1" outlineLevel="2">
      <c r="B146" s="70" t="str">
        <f>+'S1&amp;2 Lists'!C75</f>
        <v>R-416A</v>
      </c>
      <c r="C146" s="629">
        <f>+VLOOKUP(B146,'S1&amp;2 Lists'!$C$9:$G$134,3,FALSE)</f>
        <v>843.69999999999993</v>
      </c>
      <c r="D146" s="629">
        <f>ROUND(+SUMIF(Refrigerants!$G$10:$G$654,'Scope 1 and 2 Data'!B146,Refrigerants!$P$10:$P$654),3)</f>
        <v>0</v>
      </c>
      <c r="E146" s="629">
        <f t="shared" si="1"/>
        <v>0</v>
      </c>
    </row>
    <row r="147" spans="2:5" hidden="1" outlineLevel="2">
      <c r="B147" s="70" t="str">
        <f>+'S1&amp;2 Lists'!C76</f>
        <v>R-417A</v>
      </c>
      <c r="C147" s="629">
        <f>+VLOOKUP(B147,'S1&amp;2 Lists'!$C$9:$G$134,3,FALSE)</f>
        <v>2346</v>
      </c>
      <c r="D147" s="629">
        <f>ROUND(+SUMIF(Refrigerants!$G$10:$G$654,'Scope 1 and 2 Data'!B147,Refrigerants!$P$10:$P$654),3)</f>
        <v>0</v>
      </c>
      <c r="E147" s="629">
        <f t="shared" si="1"/>
        <v>0</v>
      </c>
    </row>
    <row r="148" spans="2:5" hidden="1" outlineLevel="2">
      <c r="B148" s="70" t="str">
        <f>+'S1&amp;2 Lists'!C77</f>
        <v>R-417B</v>
      </c>
      <c r="C148" s="629">
        <f>+VLOOKUP(B148,'S1&amp;2 Lists'!$C$9:$G$134,3,FALSE)</f>
        <v>3026.69</v>
      </c>
      <c r="D148" s="629">
        <f>ROUND(+SUMIF(Refrigerants!$G$10:$G$654,'Scope 1 and 2 Data'!B148,Refrigerants!$P$10:$P$654),3)</f>
        <v>0</v>
      </c>
      <c r="E148" s="629">
        <f t="shared" si="1"/>
        <v>0</v>
      </c>
    </row>
    <row r="149" spans="2:5" hidden="1" outlineLevel="2">
      <c r="B149" s="70" t="str">
        <f>+'S1&amp;2 Lists'!C78</f>
        <v>R-417C</v>
      </c>
      <c r="C149" s="629">
        <f>+VLOOKUP(B149,'S1&amp;2 Lists'!$C$9:$G$134,3,FALSE)</f>
        <v>1809.3400000000001</v>
      </c>
      <c r="D149" s="629">
        <f>ROUND(+SUMIF(Refrigerants!$G$10:$G$654,'Scope 1 and 2 Data'!B149,Refrigerants!$P$10:$P$654),3)</f>
        <v>0</v>
      </c>
      <c r="E149" s="629">
        <f t="shared" si="1"/>
        <v>0</v>
      </c>
    </row>
    <row r="150" spans="2:5" hidden="1" outlineLevel="2">
      <c r="B150" s="70" t="str">
        <f>+'S1&amp;2 Lists'!C79</f>
        <v>R-418A</v>
      </c>
      <c r="C150" s="629">
        <f>+VLOOKUP(B150,'S1&amp;2 Lists'!$C$9:$G$134,3,FALSE)</f>
        <v>3.1</v>
      </c>
      <c r="D150" s="629">
        <f>ROUND(+SUMIF(Refrigerants!$G$10:$G$654,'Scope 1 and 2 Data'!B150,Refrigerants!$P$10:$P$654),3)</f>
        <v>0</v>
      </c>
      <c r="E150" s="629">
        <f t="shared" si="1"/>
        <v>0</v>
      </c>
    </row>
    <row r="151" spans="2:5" hidden="1" outlineLevel="2">
      <c r="B151" s="70" t="str">
        <f>+'S1&amp;2 Lists'!C80</f>
        <v>R-419A</v>
      </c>
      <c r="C151" s="629">
        <f>+VLOOKUP(B151,'S1&amp;2 Lists'!$C$9:$G$134,3,FALSE)</f>
        <v>2966.7</v>
      </c>
      <c r="D151" s="629">
        <f>ROUND(+SUMIF(Refrigerants!$G$10:$G$654,'Scope 1 and 2 Data'!B151,Refrigerants!$P$10:$P$654),3)</f>
        <v>0</v>
      </c>
      <c r="E151" s="629">
        <f t="shared" si="1"/>
        <v>0</v>
      </c>
    </row>
    <row r="152" spans="2:5" hidden="1" outlineLevel="2">
      <c r="B152" s="70" t="str">
        <f>+'S1&amp;2 Lists'!C81</f>
        <v>R-419B</v>
      </c>
      <c r="C152" s="629">
        <f>+VLOOKUP(B152,'S1&amp;2 Lists'!$C$9:$G$134,3,FALSE)</f>
        <v>2383.9</v>
      </c>
      <c r="D152" s="629">
        <f>ROUND(+SUMIF(Refrigerants!$G$10:$G$654,'Scope 1 and 2 Data'!B152,Refrigerants!$P$10:$P$654),3)</f>
        <v>0</v>
      </c>
      <c r="E152" s="629">
        <f t="shared" si="1"/>
        <v>0</v>
      </c>
    </row>
    <row r="153" spans="2:5" hidden="1" outlineLevel="2">
      <c r="B153" s="70" t="str">
        <f>+'S1&amp;2 Lists'!C82</f>
        <v>R-420A</v>
      </c>
      <c r="C153" s="629">
        <f>+VLOOKUP(B153,'S1&amp;2 Lists'!$C$9:$G$134,3,FALSE)</f>
        <v>1258.4000000000001</v>
      </c>
      <c r="D153" s="629">
        <f>ROUND(+SUMIF(Refrigerants!$G$10:$G$654,'Scope 1 and 2 Data'!B153,Refrigerants!$P$10:$P$654),3)</f>
        <v>0</v>
      </c>
      <c r="E153" s="629">
        <f t="shared" si="1"/>
        <v>0</v>
      </c>
    </row>
    <row r="154" spans="2:5" hidden="1" outlineLevel="2">
      <c r="B154" s="70" t="str">
        <f>+'S1&amp;2 Lists'!C83</f>
        <v>R-421A</v>
      </c>
      <c r="C154" s="629">
        <f>+VLOOKUP(B154,'S1&amp;2 Lists'!$C$9:$G$134,3,FALSE)</f>
        <v>2630.6</v>
      </c>
      <c r="D154" s="629">
        <f>ROUND(+SUMIF(Refrigerants!$G$10:$G$654,'Scope 1 and 2 Data'!B154,Refrigerants!$P$10:$P$654),3)</f>
        <v>0</v>
      </c>
      <c r="E154" s="629">
        <f t="shared" si="1"/>
        <v>0</v>
      </c>
    </row>
    <row r="155" spans="2:5" hidden="1" outlineLevel="2">
      <c r="B155" s="70" t="str">
        <f>+'S1&amp;2 Lists'!C84</f>
        <v>R-421B</v>
      </c>
      <c r="C155" s="629">
        <f>+VLOOKUP(B155,'S1&amp;2 Lists'!$C$9:$G$134,3,FALSE)</f>
        <v>3189.5</v>
      </c>
      <c r="D155" s="629">
        <f>ROUND(+SUMIF(Refrigerants!$G$10:$G$654,'Scope 1 and 2 Data'!B155,Refrigerants!$P$10:$P$654),3)</f>
        <v>0</v>
      </c>
      <c r="E155" s="629">
        <f t="shared" si="1"/>
        <v>0</v>
      </c>
    </row>
    <row r="156" spans="2:5" hidden="1" outlineLevel="2">
      <c r="B156" s="70" t="str">
        <f>+'S1&amp;2 Lists'!C85</f>
        <v>R-422A</v>
      </c>
      <c r="C156" s="629">
        <f>+VLOOKUP(B156,'S1&amp;2 Lists'!$C$9:$G$134,3,FALSE)</f>
        <v>3142.95</v>
      </c>
      <c r="D156" s="629">
        <f>ROUND(+SUMIF(Refrigerants!$G$10:$G$654,'Scope 1 and 2 Data'!B156,Refrigerants!$P$10:$P$654),3)</f>
        <v>0</v>
      </c>
      <c r="E156" s="629">
        <f t="shared" si="1"/>
        <v>0</v>
      </c>
    </row>
    <row r="157" spans="2:5" hidden="1" outlineLevel="2">
      <c r="B157" s="70" t="str">
        <f>+'S1&amp;2 Lists'!C86</f>
        <v>R-422B</v>
      </c>
      <c r="C157" s="629">
        <f>+VLOOKUP(B157,'S1&amp;2 Lists'!$C$9:$G$134,3,FALSE)</f>
        <v>2525.6000000000004</v>
      </c>
      <c r="D157" s="629">
        <f>ROUND(+SUMIF(Refrigerants!$G$10:$G$654,'Scope 1 and 2 Data'!B157,Refrigerants!$P$10:$P$654),3)</f>
        <v>0</v>
      </c>
      <c r="E157" s="629">
        <f t="shared" si="1"/>
        <v>0</v>
      </c>
    </row>
    <row r="158" spans="2:5" hidden="1" outlineLevel="2">
      <c r="B158" s="70" t="str">
        <f>+'S1&amp;2 Lists'!C87</f>
        <v>R-422C</v>
      </c>
      <c r="C158" s="629">
        <f>+VLOOKUP(B158,'S1&amp;2 Lists'!$C$9:$G$134,3,FALSE)</f>
        <v>3084.5</v>
      </c>
      <c r="D158" s="629">
        <f>ROUND(+SUMIF(Refrigerants!$G$10:$G$654,'Scope 1 and 2 Data'!B158,Refrigerants!$P$10:$P$654),3)</f>
        <v>0</v>
      </c>
      <c r="E158" s="629">
        <f t="shared" si="1"/>
        <v>0</v>
      </c>
    </row>
    <row r="159" spans="2:5" hidden="1" outlineLevel="2">
      <c r="B159" s="70" t="str">
        <f>+'S1&amp;2 Lists'!C88</f>
        <v>R-422D</v>
      </c>
      <c r="C159" s="629">
        <f>+VLOOKUP(B159,'S1&amp;2 Lists'!$C$9:$G$134,3,FALSE)</f>
        <v>2725.45</v>
      </c>
      <c r="D159" s="629">
        <f>ROUND(+SUMIF(Refrigerants!$G$10:$G$654,'Scope 1 and 2 Data'!B159,Refrigerants!$P$10:$P$654),3)</f>
        <v>0</v>
      </c>
      <c r="E159" s="629">
        <f t="shared" si="1"/>
        <v>0</v>
      </c>
    </row>
    <row r="160" spans="2:5" hidden="1" outlineLevel="2">
      <c r="B160" s="70" t="str">
        <f>+'S1&amp;2 Lists'!C89</f>
        <v>R-422E</v>
      </c>
      <c r="C160" s="629">
        <f>+VLOOKUP(B160,'S1&amp;2 Lists'!$C$9:$G$134,3,FALSE)</f>
        <v>2591.9899999999998</v>
      </c>
      <c r="D160" s="629">
        <f>ROUND(+SUMIF(Refrigerants!$G$10:$G$654,'Scope 1 and 2 Data'!B160,Refrigerants!$P$10:$P$654),3)</f>
        <v>0</v>
      </c>
      <c r="E160" s="629">
        <f t="shared" si="1"/>
        <v>0</v>
      </c>
    </row>
    <row r="161" spans="2:5" hidden="1" outlineLevel="2">
      <c r="B161" s="70" t="str">
        <f>+'S1&amp;2 Lists'!C90</f>
        <v>R-423A</v>
      </c>
      <c r="C161" s="629">
        <f>+VLOOKUP(B161,'S1&amp;2 Lists'!$C$9:$G$134,3,FALSE)</f>
        <v>2280.25</v>
      </c>
      <c r="D161" s="629">
        <f>ROUND(+SUMIF(Refrigerants!$G$10:$G$654,'Scope 1 and 2 Data'!B161,Refrigerants!$P$10:$P$654),3)</f>
        <v>0</v>
      </c>
      <c r="E161" s="629">
        <f t="shared" si="1"/>
        <v>0</v>
      </c>
    </row>
    <row r="162" spans="2:5" hidden="1" outlineLevel="2">
      <c r="B162" s="70" t="str">
        <f>+'S1&amp;2 Lists'!C91</f>
        <v>R-424A</v>
      </c>
      <c r="C162" s="629">
        <f>+VLOOKUP(B162,'S1&amp;2 Lists'!$C$9:$G$134,3,FALSE)</f>
        <v>2439.6</v>
      </c>
      <c r="D162" s="629">
        <f>ROUND(+SUMIF(Refrigerants!$G$10:$G$654,'Scope 1 and 2 Data'!B162,Refrigerants!$P$10:$P$654),3)</f>
        <v>0</v>
      </c>
      <c r="E162" s="629">
        <f t="shared" si="1"/>
        <v>0</v>
      </c>
    </row>
    <row r="163" spans="2:5" hidden="1" outlineLevel="2">
      <c r="B163" s="70" t="str">
        <f>+'S1&amp;2 Lists'!C92</f>
        <v>R-425A</v>
      </c>
      <c r="C163" s="629">
        <f>+VLOOKUP(B163,'S1&amp;2 Lists'!$C$9:$G$134,3,FALSE)</f>
        <v>1505.125</v>
      </c>
      <c r="D163" s="629">
        <f>ROUND(+SUMIF(Refrigerants!$G$10:$G$654,'Scope 1 and 2 Data'!B163,Refrigerants!$P$10:$P$654),3)</f>
        <v>0</v>
      </c>
      <c r="E163" s="629">
        <f t="shared" si="1"/>
        <v>0</v>
      </c>
    </row>
    <row r="164" spans="2:5" hidden="1" outlineLevel="2">
      <c r="B164" s="70" t="str">
        <f>+'S1&amp;2 Lists'!C93</f>
        <v>R-426A</v>
      </c>
      <c r="C164" s="629">
        <f>+VLOOKUP(B164,'S1&amp;2 Lists'!$C$9:$G$134,3,FALSE)</f>
        <v>1508.4</v>
      </c>
      <c r="D164" s="629">
        <f>ROUND(+SUMIF(Refrigerants!$G$10:$G$654,'Scope 1 and 2 Data'!B164,Refrigerants!$P$10:$P$654),3)</f>
        <v>0</v>
      </c>
      <c r="E164" s="629">
        <f t="shared" si="1"/>
        <v>0</v>
      </c>
    </row>
    <row r="165" spans="2:5" hidden="1" outlineLevel="2">
      <c r="B165" s="70" t="str">
        <f>+'S1&amp;2 Lists'!C94</f>
        <v>R-427A</v>
      </c>
      <c r="C165" s="629">
        <f>+VLOOKUP(B165,'S1&amp;2 Lists'!$C$9:$G$134,3,FALSE)</f>
        <v>2138.25</v>
      </c>
      <c r="D165" s="629">
        <f>ROUND(+SUMIF(Refrigerants!$G$10:$G$654,'Scope 1 and 2 Data'!B165,Refrigerants!$P$10:$P$654),3)</f>
        <v>0</v>
      </c>
      <c r="E165" s="629">
        <f t="shared" si="1"/>
        <v>0</v>
      </c>
    </row>
    <row r="166" spans="2:5" hidden="1" outlineLevel="2">
      <c r="B166" s="70" t="str">
        <f>+'S1&amp;2 Lists'!C95</f>
        <v>R-428A</v>
      </c>
      <c r="C166" s="629">
        <f>+VLOOKUP(B166,'S1&amp;2 Lists'!$C$9:$G$134,3,FALSE)</f>
        <v>3606.5</v>
      </c>
      <c r="D166" s="629">
        <f>ROUND(+SUMIF(Refrigerants!$G$10:$G$654,'Scope 1 and 2 Data'!B166,Refrigerants!$P$10:$P$654),3)</f>
        <v>0</v>
      </c>
      <c r="E166" s="629">
        <f t="shared" si="1"/>
        <v>0</v>
      </c>
    </row>
    <row r="167" spans="2:5" hidden="1" outlineLevel="2">
      <c r="B167" s="70" t="str">
        <f>+'S1&amp;2 Lists'!C96</f>
        <v>R-429A</v>
      </c>
      <c r="C167" s="629">
        <f>+VLOOKUP(B167,'S1&amp;2 Lists'!$C$9:$G$134,3,FALSE)</f>
        <v>12.4</v>
      </c>
      <c r="D167" s="629">
        <f>ROUND(+SUMIF(Refrigerants!$G$10:$G$654,'Scope 1 and 2 Data'!B167,Refrigerants!$P$10:$P$654),3)</f>
        <v>0</v>
      </c>
      <c r="E167" s="629">
        <f t="shared" si="1"/>
        <v>0</v>
      </c>
    </row>
    <row r="168" spans="2:5" hidden="1" outlineLevel="2">
      <c r="B168" s="70" t="str">
        <f>+'S1&amp;2 Lists'!C97</f>
        <v>R-430A</v>
      </c>
      <c r="C168" s="629">
        <f>+VLOOKUP(B168,'S1&amp;2 Lists'!$C$9:$G$134,3,FALSE)</f>
        <v>94.24</v>
      </c>
      <c r="D168" s="629">
        <f>ROUND(+SUMIF(Refrigerants!$G$10:$G$654,'Scope 1 and 2 Data'!B168,Refrigerants!$P$10:$P$654),3)</f>
        <v>0</v>
      </c>
      <c r="E168" s="629">
        <f t="shared" si="1"/>
        <v>0</v>
      </c>
    </row>
    <row r="169" spans="2:5" hidden="1" outlineLevel="2">
      <c r="B169" s="70" t="str">
        <f>+'S1&amp;2 Lists'!C98</f>
        <v>R-431A</v>
      </c>
      <c r="C169" s="629">
        <f>+VLOOKUP(B169,'S1&amp;2 Lists'!$C$9:$G$134,3,FALSE)</f>
        <v>35.96</v>
      </c>
      <c r="D169" s="629">
        <f>ROUND(+SUMIF(Refrigerants!$G$10:$G$654,'Scope 1 and 2 Data'!B169,Refrigerants!$P$10:$P$654),3)</f>
        <v>0</v>
      </c>
      <c r="E169" s="629">
        <f t="shared" si="1"/>
        <v>0</v>
      </c>
    </row>
    <row r="170" spans="2:5" hidden="1" outlineLevel="2">
      <c r="B170" s="70" t="str">
        <f>+'S1&amp;2 Lists'!C99</f>
        <v>R-432A</v>
      </c>
      <c r="C170" s="629">
        <f>+VLOOKUP(B170,'S1&amp;2 Lists'!$C$9:$G$134,3,FALSE)</f>
        <v>0</v>
      </c>
      <c r="D170" s="629">
        <f>ROUND(+SUMIF(Refrigerants!$G$10:$G$654,'Scope 1 and 2 Data'!B170,Refrigerants!$P$10:$P$654),3)</f>
        <v>0</v>
      </c>
      <c r="E170" s="629">
        <f t="shared" si="1"/>
        <v>0</v>
      </c>
    </row>
    <row r="171" spans="2:5" hidden="1" outlineLevel="2">
      <c r="B171" s="70" t="str">
        <f>+'S1&amp;2 Lists'!C100</f>
        <v>R-433A</v>
      </c>
      <c r="C171" s="629">
        <f>+VLOOKUP(B171,'S1&amp;2 Lists'!$C$9:$G$134,3,FALSE)</f>
        <v>0</v>
      </c>
      <c r="D171" s="629">
        <f>ROUND(+SUMIF(Refrigerants!$G$10:$G$654,'Scope 1 and 2 Data'!B171,Refrigerants!$P$10:$P$654),3)</f>
        <v>0</v>
      </c>
      <c r="E171" s="629">
        <f t="shared" si="1"/>
        <v>0</v>
      </c>
    </row>
    <row r="172" spans="2:5" hidden="1" outlineLevel="2">
      <c r="B172" s="70" t="str">
        <f>+'S1&amp;2 Lists'!C101</f>
        <v>R-434A</v>
      </c>
      <c r="C172" s="629">
        <f>+VLOOKUP(B172,'S1&amp;2 Lists'!$C$9:$G$134,3,FALSE)</f>
        <v>3245.4</v>
      </c>
      <c r="D172" s="629">
        <f>ROUND(+SUMIF(Refrigerants!$G$10:$G$654,'Scope 1 and 2 Data'!B172,Refrigerants!$P$10:$P$654),3)</f>
        <v>0</v>
      </c>
      <c r="E172" s="629">
        <f t="shared" si="1"/>
        <v>0</v>
      </c>
    </row>
    <row r="173" spans="2:5" hidden="1" outlineLevel="2">
      <c r="B173" s="70" t="str">
        <f>+'S1&amp;2 Lists'!C102</f>
        <v>R-435A</v>
      </c>
      <c r="C173" s="629">
        <f>+VLOOKUP(B173,'S1&amp;2 Lists'!$C$9:$G$134,3,FALSE)</f>
        <v>24.8</v>
      </c>
      <c r="D173" s="629">
        <f>ROUND(+SUMIF(Refrigerants!$G$10:$G$654,'Scope 1 and 2 Data'!B173,Refrigerants!$P$10:$P$654),3)</f>
        <v>0</v>
      </c>
      <c r="E173" s="629">
        <f t="shared" si="1"/>
        <v>0</v>
      </c>
    </row>
    <row r="174" spans="2:5" hidden="1" outlineLevel="2">
      <c r="B174" s="70" t="str">
        <f>+'S1&amp;2 Lists'!C103</f>
        <v>R-436A</v>
      </c>
      <c r="C174" s="629">
        <f>+VLOOKUP(B174,'S1&amp;2 Lists'!$C$9:$G$134,3,FALSE)</f>
        <v>0</v>
      </c>
      <c r="D174" s="629">
        <f>ROUND(+SUMIF(Refrigerants!$G$10:$G$654,'Scope 1 and 2 Data'!B174,Refrigerants!$P$10:$P$654),3)</f>
        <v>0</v>
      </c>
      <c r="E174" s="629">
        <f t="shared" si="1"/>
        <v>0</v>
      </c>
    </row>
    <row r="175" spans="2:5" hidden="1" outlineLevel="2">
      <c r="B175" s="70" t="str">
        <f>+'S1&amp;2 Lists'!C104</f>
        <v>R-436B</v>
      </c>
      <c r="C175" s="629">
        <f>+VLOOKUP(B175,'S1&amp;2 Lists'!$C$9:$G$134,3,FALSE)</f>
        <v>0</v>
      </c>
      <c r="D175" s="629">
        <f>ROUND(+SUMIF(Refrigerants!$G$10:$G$654,'Scope 1 and 2 Data'!B175,Refrigerants!$P$10:$P$654),3)</f>
        <v>0</v>
      </c>
      <c r="E175" s="629">
        <f t="shared" si="1"/>
        <v>0</v>
      </c>
    </row>
    <row r="176" spans="2:5" hidden="1" outlineLevel="2">
      <c r="B176" s="70" t="str">
        <f>+'S1&amp;2 Lists'!C105</f>
        <v>R-437A</v>
      </c>
      <c r="C176" s="629">
        <f>+VLOOKUP(B176,'S1&amp;2 Lists'!$C$9:$G$134,3,FALSE)</f>
        <v>1805.05</v>
      </c>
      <c r="D176" s="629">
        <f>ROUND(+SUMIF(Refrigerants!$G$10:$G$654,'Scope 1 and 2 Data'!B176,Refrigerants!$P$10:$P$654),3)</f>
        <v>0</v>
      </c>
      <c r="E176" s="629">
        <f t="shared" si="1"/>
        <v>0</v>
      </c>
    </row>
    <row r="177" spans="2:5" hidden="1" outlineLevel="2">
      <c r="B177" s="70" t="str">
        <f>+'S1&amp;2 Lists'!C106</f>
        <v>R-438A</v>
      </c>
      <c r="C177" s="629">
        <f>+VLOOKUP(B177,'S1&amp;2 Lists'!$C$9:$G$134,3,FALSE)</f>
        <v>2264.4349999999999</v>
      </c>
      <c r="D177" s="629">
        <f>ROUND(+SUMIF(Refrigerants!$G$10:$G$654,'Scope 1 and 2 Data'!B177,Refrigerants!$P$10:$P$654),3)</f>
        <v>0</v>
      </c>
      <c r="E177" s="629">
        <f t="shared" si="1"/>
        <v>0</v>
      </c>
    </row>
    <row r="178" spans="2:5" hidden="1" outlineLevel="2">
      <c r="B178" s="70" t="str">
        <f>+'S1&amp;2 Lists'!C107</f>
        <v>R-439A</v>
      </c>
      <c r="C178" s="629">
        <f>+VLOOKUP(B178,'S1&amp;2 Lists'!$C$9:$G$134,3,FALSE)</f>
        <v>1982.5</v>
      </c>
      <c r="D178" s="629">
        <f>ROUND(+SUMIF(Refrigerants!$G$10:$G$654,'Scope 1 and 2 Data'!B178,Refrigerants!$P$10:$P$654),3)</f>
        <v>0</v>
      </c>
      <c r="E178" s="629">
        <f t="shared" si="1"/>
        <v>0</v>
      </c>
    </row>
    <row r="179" spans="2:5" hidden="1" outlineLevel="2">
      <c r="B179" s="70" t="str">
        <f>+'S1&amp;2 Lists'!C108</f>
        <v>R-440A</v>
      </c>
      <c r="C179" s="629">
        <f>+VLOOKUP(B179,'S1&amp;2 Lists'!$C$9:$G$134,3,FALSE)</f>
        <v>144.15199999999999</v>
      </c>
      <c r="D179" s="629">
        <f>ROUND(+SUMIF(Refrigerants!$G$10:$G$654,'Scope 1 and 2 Data'!B179,Refrigerants!$P$10:$P$654),3)</f>
        <v>0</v>
      </c>
      <c r="E179" s="629">
        <f t="shared" si="1"/>
        <v>0</v>
      </c>
    </row>
    <row r="180" spans="2:5" hidden="1" outlineLevel="2">
      <c r="B180" s="70" t="str">
        <f>+'S1&amp;2 Lists'!C109</f>
        <v>R-441A</v>
      </c>
      <c r="C180" s="629">
        <f>+VLOOKUP(B180,'S1&amp;2 Lists'!$C$9:$G$134,3,FALSE)</f>
        <v>0</v>
      </c>
      <c r="D180" s="629">
        <f>ROUND(+SUMIF(Refrigerants!$G$10:$G$654,'Scope 1 and 2 Data'!B180,Refrigerants!$P$10:$P$654),3)</f>
        <v>0</v>
      </c>
      <c r="E180" s="629">
        <f t="shared" si="1"/>
        <v>0</v>
      </c>
    </row>
    <row r="181" spans="2:5" hidden="1" outlineLevel="2">
      <c r="B181" s="70" t="str">
        <f>+'S1&amp;2 Lists'!C110</f>
        <v>R-442A</v>
      </c>
      <c r="C181" s="629">
        <f>+VLOOKUP(B181,'S1&amp;2 Lists'!$C$9:$G$134,3,FALSE)</f>
        <v>1887.97</v>
      </c>
      <c r="D181" s="629">
        <f>ROUND(+SUMIF(Refrigerants!$G$10:$G$654,'Scope 1 and 2 Data'!B181,Refrigerants!$P$10:$P$654),3)</f>
        <v>0</v>
      </c>
      <c r="E181" s="629">
        <f t="shared" si="1"/>
        <v>0</v>
      </c>
    </row>
    <row r="182" spans="2:5" hidden="1" outlineLevel="2">
      <c r="B182" s="70" t="str">
        <f>+'S1&amp;2 Lists'!C111</f>
        <v>R-443A</v>
      </c>
      <c r="C182" s="629">
        <f>+VLOOKUP(B182,'S1&amp;2 Lists'!$C$9:$G$134,3,FALSE)</f>
        <v>0</v>
      </c>
      <c r="D182" s="629">
        <f>ROUND(+SUMIF(Refrigerants!$G$10:$G$654,'Scope 1 and 2 Data'!B182,Refrigerants!$P$10:$P$654),3)</f>
        <v>0</v>
      </c>
      <c r="E182" s="629">
        <f t="shared" si="1"/>
        <v>0</v>
      </c>
    </row>
    <row r="183" spans="2:5" hidden="1" outlineLevel="2">
      <c r="B183" s="70" t="str">
        <f>+'S1&amp;2 Lists'!C112</f>
        <v>R-444A</v>
      </c>
      <c r="C183" s="629">
        <f>+VLOOKUP(B183,'S1&amp;2 Lists'!$C$9:$G$134,3,FALSE)</f>
        <v>87.2</v>
      </c>
      <c r="D183" s="629">
        <f>ROUND(+SUMIF(Refrigerants!$G$10:$G$654,'Scope 1 and 2 Data'!B183,Refrigerants!$P$10:$P$654),3)</f>
        <v>0</v>
      </c>
      <c r="E183" s="629">
        <f t="shared" si="1"/>
        <v>0</v>
      </c>
    </row>
    <row r="184" spans="2:5" hidden="1" outlineLevel="2">
      <c r="B184" s="70" t="str">
        <f>+'S1&amp;2 Lists'!C113</f>
        <v>R-445A</v>
      </c>
      <c r="C184" s="629">
        <f>+VLOOKUP(B184,'S1&amp;2 Lists'!$C$9:$G$134,3,FALSE)</f>
        <v>128.69999999999999</v>
      </c>
      <c r="D184" s="629">
        <f>ROUND(+SUMIF(Refrigerants!$G$10:$G$654,'Scope 1 and 2 Data'!B184,Refrigerants!$P$10:$P$654),3)</f>
        <v>0</v>
      </c>
      <c r="E184" s="629">
        <f t="shared" si="1"/>
        <v>0</v>
      </c>
    </row>
    <row r="185" spans="2:5" hidden="1" outlineLevel="2">
      <c r="B185" s="70" t="str">
        <f>+'S1&amp;2 Lists'!C114</f>
        <v>R-500</v>
      </c>
      <c r="C185" s="629">
        <f>+VLOOKUP(B185,'S1&amp;2 Lists'!$C$9:$G$134,3,FALSE)</f>
        <v>32.488</v>
      </c>
      <c r="D185" s="629">
        <f>ROUND(+SUMIF(Refrigerants!$G$10:$G$654,'Scope 1 and 2 Data'!B185,Refrigerants!$P$10:$P$654),3)</f>
        <v>0</v>
      </c>
      <c r="E185" s="629">
        <f t="shared" si="1"/>
        <v>0</v>
      </c>
    </row>
    <row r="186" spans="2:5" hidden="1" outlineLevel="2">
      <c r="B186" s="70" t="str">
        <f>+'S1&amp;2 Lists'!C115</f>
        <v>R-501</v>
      </c>
      <c r="C186" s="629">
        <f>+VLOOKUP(B186,'S1&amp;2 Lists'!$C$9:$G$134,3,FALSE)</f>
        <v>0</v>
      </c>
      <c r="D186" s="629">
        <f>ROUND(+SUMIF(Refrigerants!$G$10:$G$654,'Scope 1 and 2 Data'!B186,Refrigerants!$P$10:$P$654),3)</f>
        <v>0</v>
      </c>
      <c r="E186" s="629">
        <f t="shared" si="1"/>
        <v>0</v>
      </c>
    </row>
    <row r="187" spans="2:5" hidden="1" outlineLevel="2">
      <c r="B187" s="70" t="str">
        <f>+'S1&amp;2 Lists'!C116</f>
        <v>R-502</v>
      </c>
      <c r="C187" s="629">
        <f>+VLOOKUP(B187,'S1&amp;2 Lists'!$C$9:$G$134,3,FALSE)</f>
        <v>0</v>
      </c>
      <c r="D187" s="629">
        <f>ROUND(+SUMIF(Refrigerants!$G$10:$G$654,'Scope 1 and 2 Data'!B187,Refrigerants!$P$10:$P$654),3)</f>
        <v>0</v>
      </c>
      <c r="E187" s="629">
        <f t="shared" si="1"/>
        <v>0</v>
      </c>
    </row>
    <row r="188" spans="2:5" hidden="1" outlineLevel="2">
      <c r="B188" s="70" t="str">
        <f>+'S1&amp;2 Lists'!C117</f>
        <v>R-503</v>
      </c>
      <c r="C188" s="629">
        <f>+VLOOKUP(B188,'S1&amp;2 Lists'!$C$9:$G$134,3,FALSE)</f>
        <v>5934.8</v>
      </c>
      <c r="D188" s="629">
        <f>ROUND(+SUMIF(Refrigerants!$G$10:$G$654,'Scope 1 and 2 Data'!B188,Refrigerants!$P$10:$P$654),3)</f>
        <v>0</v>
      </c>
      <c r="E188" s="629">
        <f t="shared" si="1"/>
        <v>0</v>
      </c>
    </row>
    <row r="189" spans="2:5" hidden="1" outlineLevel="2">
      <c r="B189" s="70" t="str">
        <f>+'S1&amp;2 Lists'!C118</f>
        <v>R-504</v>
      </c>
      <c r="C189" s="629">
        <f>+VLOOKUP(B189,'S1&amp;2 Lists'!$C$9:$G$134,3,FALSE)</f>
        <v>325.34999999999997</v>
      </c>
      <c r="D189" s="629">
        <f>ROUND(+SUMIF(Refrigerants!$G$10:$G$654,'Scope 1 and 2 Data'!B189,Refrigerants!$P$10:$P$654),3)</f>
        <v>0</v>
      </c>
      <c r="E189" s="629">
        <f t="shared" si="1"/>
        <v>0</v>
      </c>
    </row>
    <row r="190" spans="2:5" hidden="1" outlineLevel="2">
      <c r="B190" s="70" t="str">
        <f>+'S1&amp;2 Lists'!C119</f>
        <v>R-505</v>
      </c>
      <c r="C190" s="629">
        <f>+VLOOKUP(B190,'S1&amp;2 Lists'!$C$9:$G$134,3,FALSE)</f>
        <v>0</v>
      </c>
      <c r="D190" s="629">
        <f>ROUND(+SUMIF(Refrigerants!$G$10:$G$654,'Scope 1 and 2 Data'!B190,Refrigerants!$P$10:$P$654),3)</f>
        <v>0</v>
      </c>
      <c r="E190" s="629">
        <f t="shared" si="1"/>
        <v>0</v>
      </c>
    </row>
    <row r="191" spans="2:5" hidden="1" outlineLevel="2">
      <c r="B191" s="70" t="str">
        <f>+'S1&amp;2 Lists'!C120</f>
        <v>R-506</v>
      </c>
      <c r="C191" s="629">
        <f>+VLOOKUP(B191,'S1&amp;2 Lists'!$C$9:$G$134,3,FALSE)</f>
        <v>0</v>
      </c>
      <c r="D191" s="629">
        <f>ROUND(+SUMIF(Refrigerants!$G$10:$G$654,'Scope 1 and 2 Data'!B191,Refrigerants!$P$10:$P$654),3)</f>
        <v>0</v>
      </c>
      <c r="E191" s="629">
        <f t="shared" si="1"/>
        <v>0</v>
      </c>
    </row>
    <row r="192" spans="2:5" hidden="1" outlineLevel="2">
      <c r="B192" s="70" t="str">
        <f>+'S1&amp;2 Lists'!C121</f>
        <v>R-507 o R-507A</v>
      </c>
      <c r="C192" s="629">
        <f>+VLOOKUP(B192,'S1&amp;2 Lists'!$C$9:$G$134,3,FALSE)</f>
        <v>3985</v>
      </c>
      <c r="D192" s="629">
        <f>ROUND(+SUMIF(Refrigerants!$G$10:$G$654,'Scope 1 and 2 Data'!B192,Refrigerants!$P$10:$P$654),3)</f>
        <v>0</v>
      </c>
      <c r="E192" s="629">
        <f t="shared" si="1"/>
        <v>0</v>
      </c>
    </row>
    <row r="193" spans="2:5" hidden="1" outlineLevel="2">
      <c r="B193" s="70" t="str">
        <f>+'S1&amp;2 Lists'!C122</f>
        <v>R-508A</v>
      </c>
      <c r="C193" s="629">
        <f>+VLOOKUP(B193,'S1&amp;2 Lists'!$C$9:$G$134,3,FALSE)</f>
        <v>13214</v>
      </c>
      <c r="D193" s="629">
        <f>ROUND(+SUMIF(Refrigerants!$G$10:$G$654,'Scope 1 and 2 Data'!B193,Refrigerants!$P$10:$P$654),3)</f>
        <v>0</v>
      </c>
      <c r="E193" s="629">
        <f t="shared" si="1"/>
        <v>0</v>
      </c>
    </row>
    <row r="194" spans="2:5" hidden="1" outlineLevel="2">
      <c r="B194" s="70" t="str">
        <f>+'S1&amp;2 Lists'!C123</f>
        <v>R-508B</v>
      </c>
      <c r="C194" s="629">
        <f>+VLOOKUP(B194,'S1&amp;2 Lists'!$C$9:$G$134,3,FALSE)</f>
        <v>13396</v>
      </c>
      <c r="D194" s="629">
        <f>ROUND(+SUMIF(Refrigerants!$G$10:$G$654,'Scope 1 and 2 Data'!B194,Refrigerants!$P$10:$P$654),3)</f>
        <v>0</v>
      </c>
      <c r="E194" s="629">
        <f t="shared" si="1"/>
        <v>0</v>
      </c>
    </row>
    <row r="195" spans="2:5" hidden="1" outlineLevel="2">
      <c r="B195" s="70" t="str">
        <f>+'S1&amp;2 Lists'!C124</f>
        <v>R-509 o R-509A</v>
      </c>
      <c r="C195" s="629">
        <f>+VLOOKUP(B195,'S1&amp;2 Lists'!$C$9:$G$134,3,FALSE)</f>
        <v>4944.8</v>
      </c>
      <c r="D195" s="629">
        <f>ROUND(+SUMIF(Refrigerants!$G$10:$G$654,'Scope 1 and 2 Data'!B195,Refrigerants!$P$10:$P$654),3)</f>
        <v>0</v>
      </c>
      <c r="E195" s="629">
        <f t="shared" si="1"/>
        <v>0</v>
      </c>
    </row>
    <row r="196" spans="2:5" hidden="1" outlineLevel="2">
      <c r="B196" s="70" t="str">
        <f>+'S1&amp;2 Lists'!C125</f>
        <v>R-510A</v>
      </c>
      <c r="C196" s="629">
        <f>+VLOOKUP(B196,'S1&amp;2 Lists'!$C$9:$G$134,3,FALSE)</f>
        <v>0</v>
      </c>
      <c r="D196" s="629">
        <f>ROUND(+SUMIF(Refrigerants!$G$10:$G$654,'Scope 1 and 2 Data'!B196,Refrigerants!$P$10:$P$654),3)</f>
        <v>0</v>
      </c>
      <c r="E196" s="629">
        <f t="shared" si="1"/>
        <v>0</v>
      </c>
    </row>
    <row r="197" spans="2:5" hidden="1" outlineLevel="2">
      <c r="B197" s="70" t="str">
        <f>+'S1&amp;2 Lists'!C126</f>
        <v>R-511A</v>
      </c>
      <c r="C197" s="629">
        <f>+VLOOKUP(B197,'S1&amp;2 Lists'!$C$9:$G$134,3,FALSE)</f>
        <v>0</v>
      </c>
      <c r="D197" s="629">
        <f>ROUND(+SUMIF(Refrigerants!$G$10:$G$654,'Scope 1 and 2 Data'!B197,Refrigerants!$P$10:$P$654),3)</f>
        <v>0</v>
      </c>
      <c r="E197" s="629">
        <f t="shared" si="1"/>
        <v>0</v>
      </c>
    </row>
    <row r="198" spans="2:5" hidden="1" outlineLevel="2">
      <c r="B198" s="70" t="str">
        <f>+'S1&amp;2 Lists'!C127</f>
        <v>R-512A</v>
      </c>
      <c r="C198" s="629">
        <f>+VLOOKUP(B198,'S1&amp;2 Lists'!$C$9:$G$134,3,FALSE)</f>
        <v>189.3</v>
      </c>
      <c r="D198" s="629">
        <f>ROUND(+SUMIF(Refrigerants!$G$10:$G$654,'Scope 1 and 2 Data'!B198,Refrigerants!$P$10:$P$654),3)</f>
        <v>0</v>
      </c>
      <c r="E198" s="629">
        <f t="shared" si="1"/>
        <v>0</v>
      </c>
    </row>
    <row r="199" spans="2:5" hidden="1" outlineLevel="2">
      <c r="B199" s="70" t="str">
        <f>+'S1&amp;2 Lists'!C128</f>
        <v>R-600</v>
      </c>
      <c r="C199" s="629">
        <f>+VLOOKUP(B199,'S1&amp;2 Lists'!$C$9:$G$134,3,FALSE)</f>
        <v>4</v>
      </c>
      <c r="D199" s="629">
        <f>ROUND(+SUMIF(Refrigerants!$G$10:$G$654,'Scope 1 and 2 Data'!B199,Refrigerants!$P$10:$P$654),3)</f>
        <v>0</v>
      </c>
      <c r="E199" s="629">
        <f t="shared" si="1"/>
        <v>0</v>
      </c>
    </row>
    <row r="200" spans="2:5" hidden="1" outlineLevel="2">
      <c r="B200" s="70" t="str">
        <f>+'S1&amp;2 Lists'!C129</f>
        <v>R-600a</v>
      </c>
      <c r="C200" s="629">
        <f>+VLOOKUP(B200,'S1&amp;2 Lists'!$C$9:$G$134,3,FALSE)</f>
        <v>3</v>
      </c>
      <c r="D200" s="629">
        <f>ROUND(+SUMIF(Refrigerants!$G$10:$G$654,'Scope 1 and 2 Data'!B200,Refrigerants!$P$10:$P$654),3)</f>
        <v>0</v>
      </c>
      <c r="E200" s="629">
        <f t="shared" si="1"/>
        <v>0</v>
      </c>
    </row>
    <row r="201" spans="2:5" hidden="1" outlineLevel="2">
      <c r="B201" s="70" t="str">
        <f>+'S1&amp;2 Lists'!C130</f>
        <v>R-717</v>
      </c>
      <c r="C201" s="629">
        <f>+VLOOKUP(B201,'S1&amp;2 Lists'!$C$9:$G$134,3,FALSE)</f>
        <v>0</v>
      </c>
      <c r="D201" s="629">
        <f>ROUND(+SUMIF(Refrigerants!$G$10:$G$654,'Scope 1 and 2 Data'!B201,Refrigerants!$P$10:$P$654),3)</f>
        <v>0</v>
      </c>
      <c r="E201" s="629">
        <f t="shared" si="1"/>
        <v>0</v>
      </c>
    </row>
    <row r="202" spans="2:5" hidden="1" outlineLevel="2">
      <c r="B202" s="70" t="str">
        <f>+'S1&amp;2 Lists'!C131</f>
        <v>R-718</v>
      </c>
      <c r="C202" s="629">
        <f>+VLOOKUP(B202,'S1&amp;2 Lists'!$C$9:$G$134,3,FALSE)</f>
        <v>0</v>
      </c>
      <c r="D202" s="629">
        <f>ROUND(+SUMIF(Refrigerants!$G$10:$G$654,'Scope 1 and 2 Data'!B202,Refrigerants!$P$10:$P$654),3)</f>
        <v>0</v>
      </c>
      <c r="E202" s="629">
        <f t="shared" si="1"/>
        <v>0</v>
      </c>
    </row>
    <row r="203" spans="2:5" hidden="1" outlineLevel="2">
      <c r="B203" s="70" t="str">
        <f>+'S1&amp;2 Lists'!C132</f>
        <v>R-1234YF</v>
      </c>
      <c r="C203" s="629">
        <f>+VLOOKUP(B203,'S1&amp;2 Lists'!$C$9:$G$134,3,FALSE)</f>
        <v>4</v>
      </c>
      <c r="D203" s="629">
        <f>ROUND(+SUMIF(Refrigerants!$G$10:$G$654,'Scope 1 and 2 Data'!B203,Refrigerants!$P$10:$P$654),3)</f>
        <v>0</v>
      </c>
      <c r="E203" s="629">
        <f t="shared" si="1"/>
        <v>0</v>
      </c>
    </row>
    <row r="204" spans="2:5" hidden="1" outlineLevel="2">
      <c r="B204" s="70" t="str">
        <f>+'S1&amp;2 Lists'!C133</f>
        <v>R-1234ZE</v>
      </c>
      <c r="C204" s="629">
        <f>+VLOOKUP(B204,'S1&amp;2 Lists'!$C$9:$G$134,3,FALSE)</f>
        <v>7</v>
      </c>
      <c r="D204" s="629">
        <f>ROUND(+SUMIF(Refrigerants!$G$10:$G$654,'Scope 1 and 2 Data'!B204,Refrigerants!$P$10:$P$654),3)</f>
        <v>0</v>
      </c>
      <c r="E204" s="629">
        <f t="shared" si="1"/>
        <v>0</v>
      </c>
    </row>
    <row r="205" spans="2:5" hidden="1" outlineLevel="2">
      <c r="B205" s="70" t="str">
        <f>+'S1&amp;2 Lists'!C134</f>
        <v>R-1233ZD</v>
      </c>
      <c r="C205" s="629">
        <f>+VLOOKUP(B205,'S1&amp;2 Lists'!$C$9:$G$134,3,FALSE)</f>
        <v>1</v>
      </c>
      <c r="D205" s="629">
        <f>ROUND(+SUMIF(Refrigerants!$G$10:$G$654,'Scope 1 and 2 Data'!B205,Refrigerants!$P$10:$P$654),3)</f>
        <v>0</v>
      </c>
      <c r="E205" s="629">
        <f t="shared" si="1"/>
        <v>0</v>
      </c>
    </row>
    <row r="206" spans="2:5" outlineLevel="1">
      <c r="C206" s="630"/>
      <c r="D206" s="630"/>
      <c r="E206" s="630"/>
    </row>
    <row r="207" spans="2:5" ht="18.75" outlineLevel="1">
      <c r="B207" s="600" t="s">
        <v>4403</v>
      </c>
      <c r="C207" s="613" t="s">
        <v>5716</v>
      </c>
      <c r="D207" s="613" t="s">
        <v>4404</v>
      </c>
    </row>
    <row r="208" spans="2:5" ht="15" outlineLevel="1">
      <c r="B208" s="616" t="s">
        <v>228</v>
      </c>
      <c r="C208" s="628">
        <f>+SUM(C209:C217)</f>
        <v>0</v>
      </c>
      <c r="D208" s="631" t="e">
        <f>+SUM(D209:D217)</f>
        <v>#DIV/0!</v>
      </c>
    </row>
    <row r="209" spans="1:7" outlineLevel="1">
      <c r="B209" s="632" t="str">
        <f>+'S1&amp;2 Lists'!AU3</f>
        <v>Centralized equipment</v>
      </c>
      <c r="C209" s="629">
        <f>+SUMIF(Refrigerants!$B$10:$B$654,'Scope 1 and 2 Data'!B209,Refrigerants!$N$10:$N$654)</f>
        <v>0</v>
      </c>
      <c r="D209" s="633" t="e">
        <f t="shared" ref="D209:D217" si="2">+C209/$C$208</f>
        <v>#DIV/0!</v>
      </c>
    </row>
    <row r="210" spans="1:7" outlineLevel="1">
      <c r="B210" s="632" t="str">
        <f>+'S1&amp;2 Lists'!AU4</f>
        <v>Extinguisher</v>
      </c>
      <c r="C210" s="629">
        <f>+SUMIF(Refrigerants!$B$10:$B$654,'Scope 1 and 2 Data'!B210,Refrigerants!$N$10:$N$654)</f>
        <v>0</v>
      </c>
      <c r="D210" s="633" t="e">
        <f t="shared" si="2"/>
        <v>#DIV/0!</v>
      </c>
    </row>
    <row r="211" spans="1:7" outlineLevel="1">
      <c r="B211" s="632" t="str">
        <f>+'S1&amp;2 Lists'!AU5</f>
        <v>Freezer</v>
      </c>
      <c r="C211" s="629">
        <f>+SUMIF(Refrigerants!$B$10:$B$654,'Scope 1 and 2 Data'!B211,Refrigerants!$N$10:$N$654)</f>
        <v>0</v>
      </c>
      <c r="D211" s="633" t="e">
        <f t="shared" si="2"/>
        <v>#DIV/0!</v>
      </c>
    </row>
    <row r="212" spans="1:7" outlineLevel="1">
      <c r="B212" s="632" t="str">
        <f>+'S1&amp;2 Lists'!AU6</f>
        <v>Freezer / Vaccines</v>
      </c>
      <c r="C212" s="629">
        <f>+SUMIF(Refrigerants!$B$10:$B$654,'Scope 1 and 2 Data'!B212,Refrigerants!$N$10:$N$654)</f>
        <v>0</v>
      </c>
      <c r="D212" s="633" t="e">
        <f t="shared" si="2"/>
        <v>#DIV/0!</v>
      </c>
    </row>
    <row r="213" spans="1:7" outlineLevel="1">
      <c r="B213" s="632" t="str">
        <f>+'S1&amp;2 Lists'!AU7</f>
        <v>Mini split</v>
      </c>
      <c r="C213" s="629">
        <f>+SUMIF(Refrigerants!$B$10:$B$654,'Scope 1 and 2 Data'!B213,Refrigerants!$N$10:$N$654)</f>
        <v>0</v>
      </c>
      <c r="D213" s="633" t="e">
        <f t="shared" si="2"/>
        <v>#DIV/0!</v>
      </c>
    </row>
    <row r="214" spans="1:7" outlineLevel="1">
      <c r="B214" s="632" t="str">
        <f>+'S1&amp;2 Lists'!AU8</f>
        <v>Multi Split</v>
      </c>
      <c r="C214" s="629">
        <f>+SUMIF(Refrigerants!$B$10:$B$654,'Scope 1 and 2 Data'!B214,Refrigerants!$N$10:$N$654)</f>
        <v>0</v>
      </c>
      <c r="D214" s="633" t="e">
        <f t="shared" si="2"/>
        <v>#DIV/0!</v>
      </c>
    </row>
    <row r="215" spans="1:7" outlineLevel="1">
      <c r="B215" s="632" t="str">
        <f>+'S1&amp;2 Lists'!AU9</f>
        <v>Refrigerator</v>
      </c>
      <c r="C215" s="629">
        <f>+SUMIF(Refrigerants!$B$10:$B$654,'Scope 1 and 2 Data'!B215,Refrigerants!$N$10:$N$654)</f>
        <v>0</v>
      </c>
      <c r="D215" s="633" t="e">
        <f t="shared" si="2"/>
        <v>#DIV/0!</v>
      </c>
    </row>
    <row r="216" spans="1:7" outlineLevel="1">
      <c r="B216" s="632" t="str">
        <f>+'S1&amp;2 Lists'!AU10</f>
        <v>Refrigerator / Vaccines</v>
      </c>
      <c r="C216" s="629">
        <f>+SUMIF(Refrigerants!$B$10:$B$654,'Scope 1 and 2 Data'!B216,Refrigerants!$N$10:$N$654)</f>
        <v>0</v>
      </c>
      <c r="D216" s="633" t="e">
        <f t="shared" si="2"/>
        <v>#DIV/0!</v>
      </c>
    </row>
    <row r="217" spans="1:7" outlineLevel="1">
      <c r="B217" s="632" t="str">
        <f>+'S1&amp;2 Lists'!AU11</f>
        <v>Vending machine</v>
      </c>
      <c r="C217" s="629">
        <f>+SUMIF(Refrigerants!$B$10:$B$654,'Scope 1 and 2 Data'!B217,Refrigerants!$N$10:$N$654)</f>
        <v>0</v>
      </c>
      <c r="D217" s="633" t="e">
        <f t="shared" si="2"/>
        <v>#DIV/0!</v>
      </c>
    </row>
    <row r="218" spans="1:7" outlineLevel="1">
      <c r="C218" s="630"/>
      <c r="D218" s="630"/>
      <c r="E218" s="630"/>
    </row>
    <row r="219" spans="1:7" s="595" customFormat="1" ht="17.25" customHeight="1">
      <c r="A219" s="622" t="s">
        <v>4405</v>
      </c>
      <c r="B219" s="623" t="s">
        <v>5709</v>
      </c>
    </row>
    <row r="220" spans="1:7" ht="18" outlineLevel="1">
      <c r="A220" s="624"/>
    </row>
    <row r="221" spans="1:7" ht="14.45" customHeight="1" outlineLevel="1">
      <c r="A221" s="1104" t="s">
        <v>5710</v>
      </c>
      <c r="B221" s="1104"/>
      <c r="C221" s="1104"/>
      <c r="D221" s="1104"/>
      <c r="E221" s="1104"/>
      <c r="F221" s="1104"/>
      <c r="G221" s="1104"/>
    </row>
    <row r="222" spans="1:7" ht="15" customHeight="1" outlineLevel="1">
      <c r="B222" s="611"/>
      <c r="C222" s="611"/>
      <c r="D222" s="611"/>
      <c r="E222" s="611"/>
      <c r="F222" s="611"/>
      <c r="G222" s="611"/>
    </row>
    <row r="223" spans="1:7" ht="15" customHeight="1" outlineLevel="1">
      <c r="A223" s="1123" t="s">
        <v>5685</v>
      </c>
      <c r="B223" s="1124"/>
      <c r="C223" s="1132"/>
      <c r="D223" s="1132"/>
      <c r="E223" s="597"/>
      <c r="F223" s="597"/>
    </row>
    <row r="224" spans="1:7" ht="18" outlineLevel="1">
      <c r="A224" s="624"/>
      <c r="B224" s="596"/>
      <c r="C224" s="596"/>
      <c r="D224" s="596"/>
      <c r="E224" s="596"/>
      <c r="F224" s="596"/>
    </row>
    <row r="225" spans="1:7" ht="15" outlineLevel="1" thickBot="1">
      <c r="A225" s="612" t="s">
        <v>4393</v>
      </c>
      <c r="C225" s="596"/>
      <c r="D225" s="596"/>
      <c r="E225" s="596"/>
      <c r="F225" s="596"/>
    </row>
    <row r="226" spans="1:7" ht="50.25" customHeight="1" outlineLevel="1" thickTop="1" thickBot="1">
      <c r="A226" s="1104" t="s">
        <v>5758</v>
      </c>
      <c r="B226" s="1104"/>
      <c r="C226" s="1104"/>
      <c r="D226" s="1104"/>
      <c r="F226" s="626" t="s">
        <v>5714</v>
      </c>
      <c r="G226" s="635"/>
    </row>
    <row r="227" spans="1:7" ht="15" outlineLevel="1" thickTop="1"/>
    <row r="228" spans="1:7" ht="15" customHeight="1" outlineLevel="1">
      <c r="B228" s="636"/>
      <c r="C228" s="1127" t="s">
        <v>4400</v>
      </c>
      <c r="D228" s="1127" t="s">
        <v>5715</v>
      </c>
      <c r="E228" s="1127" t="s">
        <v>4404</v>
      </c>
    </row>
    <row r="229" spans="1:7" ht="9.9499999999999993" customHeight="1" outlineLevel="1">
      <c r="B229" s="637" t="s">
        <v>4399</v>
      </c>
      <c r="C229" s="1128"/>
      <c r="D229" s="1128"/>
      <c r="E229" s="1128"/>
    </row>
    <row r="230" spans="1:7" outlineLevel="1">
      <c r="B230" s="638"/>
      <c r="C230" s="1129"/>
      <c r="D230" s="1129"/>
      <c r="E230" s="1129"/>
    </row>
    <row r="231" spans="1:7" ht="15" outlineLevel="1">
      <c r="B231" s="616" t="s">
        <v>228</v>
      </c>
      <c r="C231" s="627"/>
      <c r="D231" s="639">
        <f>+ROUND(SUM(D232:D236),3)</f>
        <v>0</v>
      </c>
      <c r="E231" s="631" t="e">
        <f>+SUM(E232:E236)</f>
        <v>#DIV/0!</v>
      </c>
    </row>
    <row r="232" spans="1:7" outlineLevel="1">
      <c r="B232" s="641" t="str">
        <f>+'S1&amp;2 Lists'!C5</f>
        <v>Isoflurane</v>
      </c>
      <c r="C232" s="629">
        <f>IF(B232="","",VLOOKUP(B232,'S1&amp;2 Lists'!$C$3:$G$134,3,FALSE))</f>
        <v>510</v>
      </c>
      <c r="D232" s="640">
        <f>ROUND(+'Anesthetic Gases'!$M$15,3)</f>
        <v>0</v>
      </c>
      <c r="E232" s="633" t="e">
        <f t="shared" ref="E232:E237" si="3">+D232/$D$231</f>
        <v>#DIV/0!</v>
      </c>
    </row>
    <row r="233" spans="1:7" outlineLevel="1">
      <c r="B233" s="641" t="str">
        <f>+'S1&amp;2 Lists'!C6</f>
        <v>Sevoflurane</v>
      </c>
      <c r="C233" s="629">
        <f>IF(B233="","",VLOOKUP(B233,'S1&amp;2 Lists'!$C$3:$G$134,3,FALSE))</f>
        <v>130</v>
      </c>
      <c r="D233" s="640">
        <f>ROUND(+'Anesthetic Gases'!$M$22,3)</f>
        <v>0</v>
      </c>
      <c r="E233" s="633" t="e">
        <f t="shared" si="3"/>
        <v>#DIV/0!</v>
      </c>
    </row>
    <row r="234" spans="1:7" outlineLevel="1">
      <c r="B234" s="641" t="str">
        <f>+'S1&amp;2 Lists'!C7</f>
        <v>Desflurane</v>
      </c>
      <c r="C234" s="629">
        <f>IF(B234="","",VLOOKUP(B234,'S1&amp;2 Lists'!$C$3:$G$134,3,FALSE))</f>
        <v>2540</v>
      </c>
      <c r="D234" s="640">
        <f>ROUND(+'Anesthetic Gases'!$M$29,3)</f>
        <v>0</v>
      </c>
      <c r="E234" s="633" t="e">
        <f t="shared" si="3"/>
        <v>#DIV/0!</v>
      </c>
    </row>
    <row r="235" spans="1:7" outlineLevel="1">
      <c r="B235" s="632" t="str">
        <f>+'S1&amp;2 Lists'!C4</f>
        <v>N2O</v>
      </c>
      <c r="C235" s="629">
        <f>IF(B235="","",VLOOKUP(B235,'S1&amp;2 Lists'!$C$3:$G$134,3,FALSE))</f>
        <v>298</v>
      </c>
      <c r="D235" s="640">
        <f>ROUND('Anesthetic Gases'!$M$32,3)</f>
        <v>0</v>
      </c>
      <c r="E235" s="633" t="e">
        <f t="shared" si="3"/>
        <v>#DIV/0!</v>
      </c>
    </row>
    <row r="236" spans="1:7" outlineLevel="1">
      <c r="B236" s="632" t="s">
        <v>4407</v>
      </c>
      <c r="C236" s="629" t="s">
        <v>4408</v>
      </c>
      <c r="D236" s="640">
        <f>ROUND(+'Anesthetic Gases'!$M$37,3)</f>
        <v>0</v>
      </c>
      <c r="E236" s="633" t="e">
        <f t="shared" si="3"/>
        <v>#DIV/0!</v>
      </c>
    </row>
    <row r="237" spans="1:7" outlineLevel="1">
      <c r="B237" s="632" t="str">
        <f>+'S1&amp;2 Lists'!C8</f>
        <v>CO2</v>
      </c>
      <c r="C237" s="629">
        <f>IF(B237="","",VLOOKUP(B237,'S1&amp;2 Lists'!$C$3:$G$134,3,FALSE))</f>
        <v>1</v>
      </c>
      <c r="D237" s="640">
        <f>ROUND(+'Anesthetic Gases'!$M$40,3)</f>
        <v>0</v>
      </c>
      <c r="E237" s="633" t="e">
        <f t="shared" si="3"/>
        <v>#DIV/0!</v>
      </c>
    </row>
    <row r="239" spans="1:7" s="958" customFormat="1" ht="20.25">
      <c r="A239" s="957" t="s">
        <v>217</v>
      </c>
      <c r="B239" s="999"/>
    </row>
    <row r="240" spans="1:7" ht="38.25" customHeight="1">
      <c r="A240" s="1131" t="s">
        <v>5759</v>
      </c>
      <c r="B240" s="1131"/>
      <c r="C240" s="1131"/>
      <c r="D240" s="1131"/>
      <c r="E240" s="1131"/>
      <c r="F240" s="1131"/>
      <c r="G240" s="1131"/>
    </row>
    <row r="241" spans="1:7" ht="17.25" customHeight="1">
      <c r="A241" s="592"/>
      <c r="B241" s="359"/>
      <c r="C241" s="359"/>
      <c r="D241" s="359"/>
      <c r="E241" s="359"/>
      <c r="F241" s="359"/>
    </row>
    <row r="242" spans="1:7" s="644" customFormat="1" ht="18">
      <c r="A242" s="642" t="s">
        <v>4409</v>
      </c>
      <c r="B242" s="643" t="s">
        <v>5780</v>
      </c>
    </row>
    <row r="243" spans="1:7" outlineLevel="1"/>
    <row r="244" spans="1:7" ht="60.75" customHeight="1" outlineLevel="1">
      <c r="A244" s="1118" t="s">
        <v>5777</v>
      </c>
      <c r="B244" s="1118"/>
      <c r="C244" s="1118"/>
      <c r="D244" s="1118"/>
      <c r="E244" s="596"/>
      <c r="F244" s="596"/>
      <c r="G244" s="596"/>
    </row>
    <row r="245" spans="1:7" ht="15" customHeight="1" outlineLevel="1">
      <c r="B245" s="611"/>
      <c r="C245" s="611"/>
      <c r="D245" s="611"/>
      <c r="E245" s="611"/>
      <c r="F245" s="611"/>
      <c r="G245" s="611"/>
    </row>
    <row r="246" spans="1:7" ht="15" customHeight="1" outlineLevel="1">
      <c r="A246" s="1123" t="s">
        <v>5685</v>
      </c>
      <c r="B246" s="1124"/>
      <c r="C246" s="1132"/>
      <c r="D246" s="1132"/>
      <c r="E246" s="597"/>
      <c r="F246" s="597"/>
    </row>
    <row r="247" spans="1:7" ht="18" outlineLevel="1">
      <c r="A247" s="624"/>
      <c r="B247" s="596"/>
      <c r="C247" s="596"/>
      <c r="D247" s="596"/>
      <c r="E247" s="596"/>
      <c r="F247" s="596"/>
    </row>
    <row r="248" spans="1:7" outlineLevel="1">
      <c r="A248" s="612" t="s">
        <v>4393</v>
      </c>
      <c r="C248" s="596"/>
      <c r="D248" s="596"/>
      <c r="E248" s="596"/>
      <c r="F248" s="596"/>
    </row>
    <row r="249" spans="1:7" ht="30.75" customHeight="1" outlineLevel="1">
      <c r="A249" s="1110" t="s">
        <v>4410</v>
      </c>
      <c r="B249" s="1110"/>
      <c r="C249" s="1110"/>
      <c r="D249" s="1110"/>
      <c r="E249" s="599"/>
      <c r="F249" s="599"/>
      <c r="G249" s="599"/>
    </row>
    <row r="250" spans="1:7" outlineLevel="1"/>
    <row r="251" spans="1:7" ht="27.95" customHeight="1" outlineLevel="1">
      <c r="B251" s="645" t="s">
        <v>4411</v>
      </c>
      <c r="C251" s="645" t="s">
        <v>4412</v>
      </c>
      <c r="D251" s="645" t="s">
        <v>2</v>
      </c>
      <c r="E251" s="646" t="s">
        <v>4402</v>
      </c>
    </row>
    <row r="252" spans="1:7" outlineLevel="1">
      <c r="B252" s="327" t="s">
        <v>4411</v>
      </c>
      <c r="C252" s="974"/>
      <c r="D252" s="185" t="s">
        <v>286</v>
      </c>
      <c r="E252" s="607" t="e">
        <f>ROUND(C252*VLOOKUP(Instructions!$C$5,'S1&amp;2 Lists'!$AW$3:$AZ$280,4,FALSE)/1000,3)</f>
        <v>#N/A</v>
      </c>
    </row>
    <row r="253" spans="1:7" outlineLevel="1">
      <c r="B253" s="647"/>
      <c r="C253" s="647"/>
      <c r="D253" s="92"/>
      <c r="E253" s="104"/>
    </row>
    <row r="254" spans="1:7" outlineLevel="1">
      <c r="B254" s="597"/>
      <c r="C254" s="597"/>
      <c r="D254" s="597"/>
      <c r="E254" s="597"/>
      <c r="F254" s="597"/>
    </row>
    <row r="255" spans="1:7" s="644" customFormat="1" ht="18">
      <c r="A255" s="642" t="s">
        <v>4413</v>
      </c>
      <c r="B255" s="643" t="s">
        <v>5781</v>
      </c>
    </row>
    <row r="256" spans="1:7" outlineLevel="1">
      <c r="B256" s="612"/>
      <c r="C256" s="596"/>
      <c r="D256" s="596"/>
      <c r="E256" s="596"/>
    </row>
    <row r="257" spans="1:8" ht="15" customHeight="1" outlineLevel="1">
      <c r="A257" s="1118" t="s">
        <v>5717</v>
      </c>
      <c r="B257" s="1118"/>
      <c r="C257" s="1118"/>
      <c r="D257" s="1118"/>
      <c r="E257" s="596"/>
      <c r="F257" s="596"/>
      <c r="G257" s="596"/>
    </row>
    <row r="258" spans="1:8" ht="15" customHeight="1" outlineLevel="1">
      <c r="A258" s="596"/>
      <c r="B258" s="596"/>
      <c r="C258" s="596"/>
      <c r="D258" s="596"/>
      <c r="E258" s="596"/>
      <c r="F258" s="596"/>
      <c r="G258" s="596"/>
    </row>
    <row r="259" spans="1:8" ht="15" customHeight="1" outlineLevel="1">
      <c r="A259" s="1123" t="s">
        <v>5685</v>
      </c>
      <c r="B259" s="1124"/>
      <c r="C259" s="1132"/>
      <c r="D259" s="1132"/>
      <c r="E259" s="597"/>
      <c r="F259" s="597"/>
    </row>
    <row r="260" spans="1:8" outlineLevel="1"/>
    <row r="261" spans="1:8" outlineLevel="1">
      <c r="A261" s="612" t="s">
        <v>4393</v>
      </c>
      <c r="C261" s="596"/>
      <c r="D261" s="596"/>
      <c r="E261" s="596"/>
      <c r="F261" s="596"/>
    </row>
    <row r="262" spans="1:8" ht="79.5" customHeight="1" outlineLevel="1">
      <c r="A262" s="1110" t="s">
        <v>5718</v>
      </c>
      <c r="B262" s="1110"/>
      <c r="C262" s="1110"/>
      <c r="D262" s="1110"/>
      <c r="E262" s="599"/>
      <c r="F262" s="599"/>
      <c r="G262" s="599"/>
    </row>
    <row r="263" spans="1:8" ht="12" customHeight="1" outlineLevel="1">
      <c r="A263" s="634"/>
      <c r="B263" s="599"/>
      <c r="C263" s="599"/>
      <c r="D263" s="599"/>
      <c r="E263" s="599"/>
      <c r="F263" s="599"/>
      <c r="G263" s="599"/>
    </row>
    <row r="264" spans="1:8" ht="21.75" customHeight="1" outlineLevel="1">
      <c r="A264" s="634"/>
      <c r="B264" s="648" t="s">
        <v>4414</v>
      </c>
      <c r="C264" s="599"/>
      <c r="D264" s="599"/>
      <c r="E264" s="599"/>
      <c r="F264" s="599"/>
      <c r="G264" s="599"/>
    </row>
    <row r="265" spans="1:8" ht="39.75" customHeight="1" outlineLevel="1">
      <c r="A265" s="634"/>
      <c r="B265" s="599" t="s">
        <v>4415</v>
      </c>
      <c r="C265" s="599"/>
      <c r="D265" s="599"/>
      <c r="E265" s="599"/>
      <c r="F265" s="599"/>
      <c r="G265" s="599"/>
    </row>
    <row r="266" spans="1:8" ht="28.5" outlineLevel="1">
      <c r="A266" s="634"/>
      <c r="B266" s="645" t="s">
        <v>4416</v>
      </c>
      <c r="C266" s="645" t="s">
        <v>4412</v>
      </c>
      <c r="D266" s="645" t="s">
        <v>2</v>
      </c>
      <c r="E266" s="646" t="s">
        <v>4402</v>
      </c>
      <c r="F266" s="599"/>
      <c r="G266" s="645" t="s">
        <v>4383</v>
      </c>
      <c r="H266" s="645" t="s">
        <v>2</v>
      </c>
    </row>
    <row r="267" spans="1:8" ht="15" outlineLevel="1">
      <c r="A267" s="634"/>
      <c r="B267" s="649" t="s">
        <v>228</v>
      </c>
      <c r="C267" s="650"/>
      <c r="D267" s="651"/>
      <c r="E267" s="652" t="e">
        <f>+SUM(E268:E272)</f>
        <v>#N/A</v>
      </c>
      <c r="F267" s="599"/>
      <c r="G267" s="617"/>
      <c r="H267" s="617"/>
    </row>
    <row r="268" spans="1:8" ht="15" customHeight="1" outlineLevel="1">
      <c r="A268" s="928"/>
      <c r="B268" s="653" t="s">
        <v>4417</v>
      </c>
      <c r="C268" s="974"/>
      <c r="D268" s="654" t="s">
        <v>5719</v>
      </c>
      <c r="E268" s="655" t="e">
        <f>$G268*VLOOKUP(Country_region,'S1&amp;2 Lists'!$AW$3:$BV$280,22,TRUE)</f>
        <v>#N/A</v>
      </c>
      <c r="F268" s="656"/>
      <c r="G268" s="607">
        <f>IF($D268="1000 pounds",$C268*1194,
IF($D268="kbtu",$C268,
IF($D268="therms",$C268*100,
IF($D268="ton-hour",$C268*12,0))))</f>
        <v>0</v>
      </c>
      <c r="H268" s="619" t="s">
        <v>4418</v>
      </c>
    </row>
    <row r="269" spans="1:8" ht="15" customHeight="1" outlineLevel="1">
      <c r="A269" s="928"/>
      <c r="B269" s="653" t="s">
        <v>4419</v>
      </c>
      <c r="C269" s="974"/>
      <c r="D269" s="654" t="s">
        <v>4418</v>
      </c>
      <c r="E269" s="655" t="e">
        <f>$G269*VLOOKUP(Country_region,'S1&amp;2 Lists'!$AW$3:$BV$280,23,TRUE)</f>
        <v>#N/A</v>
      </c>
      <c r="F269" s="656"/>
      <c r="G269" s="607">
        <f>IF($D269="1000 pounds",$C269*1000,
IF($D269="kbtu",$C269,
IF($D269="therms",$C269*100,
IF($D269="ton-hour",$C269*12,0))))</f>
        <v>0</v>
      </c>
      <c r="H269" s="619" t="s">
        <v>4418</v>
      </c>
    </row>
    <row r="270" spans="1:8" ht="15" customHeight="1" outlineLevel="1">
      <c r="A270" s="658"/>
      <c r="B270" s="653" t="s">
        <v>4420</v>
      </c>
      <c r="C270" s="974"/>
      <c r="D270" s="654" t="s">
        <v>4418</v>
      </c>
      <c r="E270" s="655" t="e">
        <f>$G270*VLOOKUP(Country_region,'S1&amp;2 Lists'!$AW$3:$BV$280,24,TRUE)</f>
        <v>#N/A</v>
      </c>
      <c r="F270" s="656"/>
      <c r="G270" s="607">
        <f>IF($D270="1000 pounds",$C270*1000,
IF($D270="kbtu",$C270,
IF($D270="therms",$C270*100,
IF($D270="ton-hour",$C270*12,0))))</f>
        <v>0</v>
      </c>
      <c r="H270" s="619" t="s">
        <v>4418</v>
      </c>
    </row>
    <row r="271" spans="1:8" ht="15" customHeight="1" outlineLevel="1">
      <c r="A271" s="658"/>
      <c r="B271" s="653" t="s">
        <v>4421</v>
      </c>
      <c r="C271" s="974"/>
      <c r="D271" s="654" t="s">
        <v>4418</v>
      </c>
      <c r="E271" s="655" t="e">
        <f>$G271*VLOOKUP(Country_region,'S1&amp;2 Lists'!$AW$3:$BV$280,25,TRUE)</f>
        <v>#N/A</v>
      </c>
      <c r="F271" s="656"/>
      <c r="G271" s="607">
        <f>IF($D271="1000 pounds",$C271*1000,
IF($D271="kbtu",$C271,
IF($D271="therms",$C271*100,
IF($D271="ton-hour",$C271*12,0))))</f>
        <v>0</v>
      </c>
      <c r="H271" s="619" t="s">
        <v>4418</v>
      </c>
    </row>
    <row r="272" spans="1:8" ht="15" customHeight="1" outlineLevel="1">
      <c r="A272" s="658"/>
      <c r="B272" s="653" t="s">
        <v>4422</v>
      </c>
      <c r="C272" s="974"/>
      <c r="D272" s="654" t="s">
        <v>4418</v>
      </c>
      <c r="E272" s="655" t="e">
        <f>$G272*VLOOKUP(Country_region,'S1&amp;2 Lists'!$AW$3:$BV$280,26,TRUE)</f>
        <v>#N/A</v>
      </c>
      <c r="F272" s="656"/>
      <c r="G272" s="607">
        <f>IF($D272="1000 pounds",$C272*1000,
IF($D272="kbtu",$C272,
IF($D272="therms",$C272*100,
IF($D272="ton-hour",$C272*12,0))))</f>
        <v>0</v>
      </c>
      <c r="H272" s="619" t="s">
        <v>4418</v>
      </c>
    </row>
    <row r="273" spans="1:10" ht="15" customHeight="1" outlineLevel="1">
      <c r="A273" s="658"/>
      <c r="B273" s="658"/>
      <c r="C273" s="659"/>
      <c r="D273" s="659"/>
      <c r="E273" s="660"/>
      <c r="F273" s="656"/>
      <c r="G273" s="657"/>
    </row>
    <row r="274" spans="1:10" s="894" customFormat="1" ht="15" customHeight="1" outlineLevel="1">
      <c r="A274" s="888"/>
      <c r="B274" s="889"/>
      <c r="C274" s="890"/>
      <c r="D274" s="890"/>
      <c r="E274" s="891"/>
      <c r="F274" s="892"/>
      <c r="G274" s="893"/>
    </row>
    <row r="275" spans="1:10" s="894" customFormat="1" ht="36" customHeight="1" outlineLevel="1">
      <c r="A275" s="895"/>
      <c r="B275" s="925"/>
      <c r="C275" s="926"/>
      <c r="D275" s="926"/>
      <c r="E275" s="961"/>
      <c r="F275" s="926"/>
      <c r="G275" s="927"/>
    </row>
    <row r="276" spans="1:10" s="894" customFormat="1" ht="36" customHeight="1" outlineLevel="1">
      <c r="A276" s="895"/>
      <c r="B276" s="925"/>
      <c r="C276" s="926"/>
      <c r="D276" s="926"/>
      <c r="E276" s="926"/>
      <c r="F276" s="926"/>
      <c r="G276" s="927"/>
    </row>
    <row r="277" spans="1:10" s="894" customFormat="1" ht="19.5" customHeight="1" outlineLevel="1">
      <c r="A277" s="895"/>
      <c r="B277" s="925"/>
      <c r="C277" s="926"/>
      <c r="D277" s="926"/>
      <c r="E277" s="926"/>
      <c r="F277" s="926"/>
      <c r="G277" s="927"/>
    </row>
    <row r="278" spans="1:10" s="894" customFormat="1" ht="19.5" customHeight="1" outlineLevel="1">
      <c r="A278" s="895"/>
      <c r="B278" s="925"/>
      <c r="C278" s="926"/>
      <c r="D278" s="926"/>
      <c r="E278" s="926"/>
      <c r="F278" s="926"/>
      <c r="G278" s="927"/>
    </row>
    <row r="279" spans="1:10" s="894" customFormat="1" ht="28.5" customHeight="1" outlineLevel="1">
      <c r="A279" s="895"/>
      <c r="B279" s="925"/>
      <c r="C279" s="926"/>
      <c r="D279" s="926"/>
      <c r="E279" s="926"/>
      <c r="F279" s="926"/>
      <c r="G279" s="927"/>
    </row>
    <row r="280" spans="1:10" s="894" customFormat="1" ht="36" customHeight="1" outlineLevel="1">
      <c r="A280" s="895"/>
      <c r="B280" s="925"/>
      <c r="C280" s="926"/>
      <c r="D280" s="926"/>
      <c r="E280" s="926"/>
      <c r="F280" s="926"/>
      <c r="G280" s="927"/>
    </row>
    <row r="281" spans="1:10" s="894" customFormat="1" ht="15" customHeight="1" outlineLevel="1">
      <c r="A281" s="895"/>
      <c r="B281" s="896"/>
      <c r="C281" s="896"/>
      <c r="D281" s="896"/>
      <c r="E281" s="896"/>
      <c r="F281" s="896"/>
      <c r="G281" s="896"/>
    </row>
    <row r="282" spans="1:10" s="894" customFormat="1" ht="59.45" customHeight="1" outlineLevel="1">
      <c r="A282" s="895"/>
      <c r="B282" s="897"/>
      <c r="C282" s="897"/>
      <c r="D282" s="898"/>
      <c r="E282" s="898"/>
      <c r="F282" s="898"/>
      <c r="G282" s="898"/>
      <c r="H282" s="898"/>
      <c r="I282" s="898"/>
      <c r="J282" s="898"/>
    </row>
    <row r="283" spans="1:10" s="894" customFormat="1" ht="15" outlineLevel="1">
      <c r="A283" s="895"/>
      <c r="B283" s="1134"/>
      <c r="C283" s="1134"/>
      <c r="D283" s="1134"/>
      <c r="E283" s="1134"/>
      <c r="F283" s="899"/>
      <c r="G283" s="900"/>
      <c r="H283" s="900"/>
      <c r="I283" s="900"/>
      <c r="J283" s="900"/>
    </row>
    <row r="284" spans="1:10" s="894" customFormat="1" ht="21.95" customHeight="1" outlineLevel="1">
      <c r="A284" s="895"/>
      <c r="B284" s="901"/>
      <c r="C284" s="902"/>
      <c r="D284" s="903"/>
      <c r="E284" s="904"/>
      <c r="F284" s="899"/>
      <c r="G284" s="912"/>
      <c r="H284" s="912"/>
      <c r="I284" s="912"/>
      <c r="J284" s="912"/>
    </row>
    <row r="285" spans="1:10" s="894" customFormat="1" ht="21.95" customHeight="1" outlineLevel="1">
      <c r="A285" s="895"/>
      <c r="B285" s="901"/>
      <c r="C285" s="902"/>
      <c r="D285" s="903"/>
      <c r="E285" s="904"/>
      <c r="F285" s="899"/>
      <c r="G285" s="912"/>
      <c r="H285" s="912"/>
      <c r="I285" s="912"/>
      <c r="J285" s="912"/>
    </row>
    <row r="286" spans="1:10" s="894" customFormat="1" ht="21.95" customHeight="1" outlineLevel="1">
      <c r="A286" s="895"/>
      <c r="B286" s="901"/>
      <c r="C286" s="902"/>
      <c r="D286" s="903"/>
      <c r="E286" s="904"/>
      <c r="F286" s="899"/>
      <c r="G286" s="912"/>
      <c r="H286" s="912"/>
      <c r="I286" s="912"/>
      <c r="J286" s="912"/>
    </row>
    <row r="287" spans="1:10" s="894" customFormat="1" outlineLevel="1">
      <c r="A287" s="905"/>
      <c r="B287" s="906"/>
      <c r="C287" s="902"/>
      <c r="D287" s="903"/>
      <c r="E287" s="904"/>
      <c r="F287" s="899"/>
      <c r="G287" s="912"/>
      <c r="H287" s="912"/>
      <c r="I287" s="912"/>
      <c r="J287" s="912"/>
    </row>
    <row r="288" spans="1:10" s="894" customFormat="1"/>
    <row r="290" spans="1:7" ht="15">
      <c r="B290" s="598"/>
      <c r="C290" s="371"/>
    </row>
    <row r="294" spans="1:7" ht="20.25" collapsed="1">
      <c r="A294" s="592"/>
    </row>
    <row r="295" spans="1:7">
      <c r="A295" s="596"/>
      <c r="B295" s="596"/>
      <c r="C295" s="596"/>
      <c r="D295" s="596"/>
      <c r="E295" s="596"/>
      <c r="F295" s="596"/>
      <c r="G295" s="596"/>
    </row>
    <row r="296" spans="1:7" ht="22.5" customHeight="1">
      <c r="A296" s="592"/>
      <c r="B296" s="909"/>
      <c r="C296" s="909"/>
      <c r="D296" s="909"/>
      <c r="E296" s="909"/>
      <c r="F296" s="909"/>
    </row>
    <row r="297" spans="1:7" ht="18">
      <c r="A297" s="934"/>
      <c r="B297" s="624"/>
    </row>
    <row r="298" spans="1:7" ht="19.5" customHeight="1" outlineLevel="1"/>
    <row r="299" spans="1:7" ht="17.25" customHeight="1" outlineLevel="1">
      <c r="A299" s="911"/>
      <c r="B299" s="911"/>
      <c r="C299" s="911"/>
      <c r="D299" s="911"/>
      <c r="E299" s="911"/>
      <c r="F299" s="911"/>
      <c r="G299" s="911"/>
    </row>
    <row r="300" spans="1:7" ht="15" customHeight="1" outlineLevel="1">
      <c r="B300" s="611"/>
      <c r="C300" s="611"/>
      <c r="D300" s="611"/>
      <c r="E300" s="611"/>
      <c r="F300" s="611"/>
      <c r="G300" s="611"/>
    </row>
    <row r="301" spans="1:7" ht="15" customHeight="1" outlineLevel="1">
      <c r="A301" s="404"/>
      <c r="B301" s="404"/>
      <c r="C301" s="1133"/>
      <c r="D301" s="1133"/>
      <c r="E301" s="597"/>
      <c r="F301" s="597"/>
    </row>
    <row r="302" spans="1:7" outlineLevel="1"/>
    <row r="303" spans="1:7" outlineLevel="1">
      <c r="B303" s="612"/>
      <c r="C303" s="596"/>
      <c r="D303" s="596"/>
      <c r="E303" s="596"/>
      <c r="F303" s="596"/>
    </row>
    <row r="304" spans="1:7" ht="16.5" customHeight="1" outlineLevel="1">
      <c r="B304" s="1104"/>
      <c r="C304" s="1104"/>
      <c r="D304" s="1104"/>
      <c r="E304" s="1104"/>
      <c r="F304" s="935"/>
      <c r="G304" s="596"/>
    </row>
    <row r="305" spans="2:5" ht="15" customHeight="1" outlineLevel="1"/>
    <row r="306" spans="2:5" outlineLevel="1">
      <c r="B306" s="323"/>
      <c r="C306" s="647"/>
      <c r="D306" s="647"/>
      <c r="E306" s="647"/>
    </row>
    <row r="307" spans="2:5" ht="15" outlineLevel="1">
      <c r="B307" s="929"/>
      <c r="C307" s="930"/>
      <c r="D307" s="931"/>
      <c r="E307" s="932"/>
    </row>
    <row r="308" spans="2:5" outlineLevel="1">
      <c r="C308" s="92"/>
      <c r="D308" s="104"/>
      <c r="E308" s="933"/>
    </row>
    <row r="309" spans="2:5" outlineLevel="1">
      <c r="C309" s="92"/>
      <c r="D309" s="104"/>
      <c r="E309" s="933"/>
    </row>
    <row r="310" spans="2:5" outlineLevel="1">
      <c r="C310" s="92"/>
      <c r="D310" s="104"/>
      <c r="E310" s="933"/>
    </row>
    <row r="311" spans="2:5" outlineLevel="1">
      <c r="C311" s="92"/>
      <c r="D311" s="104"/>
      <c r="E311" s="933"/>
    </row>
    <row r="312" spans="2:5" outlineLevel="1">
      <c r="C312" s="92"/>
      <c r="D312" s="104"/>
      <c r="E312" s="933"/>
    </row>
    <row r="313" spans="2:5" outlineLevel="1">
      <c r="C313" s="92"/>
      <c r="D313" s="104"/>
      <c r="E313" s="933"/>
    </row>
    <row r="314" spans="2:5" outlineLevel="1">
      <c r="C314" s="92"/>
      <c r="D314" s="104"/>
      <c r="E314" s="933"/>
    </row>
    <row r="315" spans="2:5" outlineLevel="1">
      <c r="C315" s="92"/>
      <c r="D315" s="104"/>
      <c r="E315" s="933"/>
    </row>
    <row r="316" spans="2:5" outlineLevel="1">
      <c r="C316" s="92"/>
      <c r="D316" s="104"/>
      <c r="E316" s="933"/>
    </row>
    <row r="317" spans="2:5" outlineLevel="1">
      <c r="C317" s="92"/>
      <c r="D317" s="104"/>
      <c r="E317" s="933"/>
    </row>
    <row r="318" spans="2:5" outlineLevel="1">
      <c r="C318" s="92"/>
      <c r="D318" s="104"/>
      <c r="E318" s="933"/>
    </row>
    <row r="319" spans="2:5" outlineLevel="1">
      <c r="C319" s="92"/>
      <c r="D319" s="104"/>
      <c r="E319" s="933"/>
    </row>
    <row r="320" spans="2:5" outlineLevel="1">
      <c r="C320" s="92"/>
      <c r="D320" s="104"/>
      <c r="E320" s="933"/>
    </row>
    <row r="321" spans="1:7" outlineLevel="1">
      <c r="C321" s="92"/>
      <c r="D321" s="104"/>
      <c r="E321" s="933"/>
    </row>
    <row r="322" spans="1:7" outlineLevel="1">
      <c r="C322" s="92"/>
      <c r="D322" s="104"/>
      <c r="E322" s="933"/>
    </row>
    <row r="323" spans="1:7" outlineLevel="1"/>
    <row r="324" spans="1:7" s="878" customFormat="1" ht="18">
      <c r="A324" s="876"/>
      <c r="B324" s="877"/>
    </row>
    <row r="325" spans="1:7" outlineLevel="1"/>
    <row r="326" spans="1:7" outlineLevel="1">
      <c r="A326" s="908"/>
      <c r="B326" s="908"/>
      <c r="C326" s="908"/>
      <c r="D326" s="908"/>
      <c r="E326" s="908"/>
      <c r="F326" s="908"/>
      <c r="G326" s="908"/>
    </row>
    <row r="327" spans="1:7" ht="15" customHeight="1" outlineLevel="1">
      <c r="B327" s="611"/>
      <c r="C327" s="611"/>
      <c r="D327" s="611"/>
      <c r="E327" s="611"/>
      <c r="F327" s="611"/>
      <c r="G327" s="611"/>
    </row>
    <row r="328" spans="1:7" ht="15" customHeight="1" outlineLevel="1">
      <c r="A328" s="404"/>
      <c r="B328" s="404"/>
      <c r="C328" s="1133"/>
      <c r="D328" s="1133"/>
      <c r="E328" s="597"/>
      <c r="F328" s="597"/>
    </row>
    <row r="329" spans="1:7" outlineLevel="1"/>
    <row r="330" spans="1:7" outlineLevel="1">
      <c r="B330" s="612"/>
      <c r="C330" s="596"/>
      <c r="D330" s="596"/>
      <c r="E330" s="596"/>
      <c r="F330" s="596"/>
    </row>
    <row r="331" spans="1:7" ht="18" customHeight="1" outlineLevel="1">
      <c r="B331" s="1104"/>
      <c r="C331" s="1104"/>
      <c r="D331" s="1104"/>
      <c r="E331" s="1104"/>
      <c r="F331" s="935"/>
    </row>
    <row r="332" spans="1:7" outlineLevel="1"/>
    <row r="333" spans="1:7" outlineLevel="1">
      <c r="B333" s="323"/>
      <c r="C333" s="647"/>
      <c r="D333" s="647"/>
      <c r="E333" s="647"/>
    </row>
    <row r="334" spans="1:7" ht="15" outlineLevel="1">
      <c r="B334" s="929"/>
      <c r="C334" s="936"/>
      <c r="D334" s="931"/>
      <c r="E334" s="932"/>
    </row>
    <row r="335" spans="1:7" outlineLevel="1">
      <c r="C335" s="92"/>
      <c r="D335" s="104"/>
      <c r="E335" s="933"/>
    </row>
    <row r="336" spans="1:7" outlineLevel="1">
      <c r="C336" s="92"/>
      <c r="D336" s="104"/>
      <c r="E336" s="933"/>
    </row>
    <row r="337" spans="1:7" outlineLevel="1">
      <c r="C337" s="92"/>
      <c r="D337" s="104"/>
      <c r="E337" s="933"/>
    </row>
    <row r="338" spans="1:7" outlineLevel="1">
      <c r="C338" s="92"/>
      <c r="D338" s="104"/>
      <c r="E338" s="933"/>
    </row>
    <row r="339" spans="1:7" outlineLevel="1">
      <c r="C339" s="92"/>
      <c r="D339" s="104"/>
      <c r="E339" s="933"/>
    </row>
    <row r="340" spans="1:7" outlineLevel="1">
      <c r="C340" s="92"/>
      <c r="D340" s="104"/>
      <c r="E340" s="933"/>
    </row>
    <row r="341" spans="1:7" outlineLevel="1">
      <c r="C341" s="92"/>
      <c r="D341" s="104"/>
      <c r="E341" s="933"/>
    </row>
    <row r="342" spans="1:7" outlineLevel="1">
      <c r="C342" s="92"/>
      <c r="D342" s="104"/>
      <c r="E342" s="933"/>
    </row>
    <row r="343" spans="1:7" outlineLevel="1">
      <c r="C343" s="92"/>
      <c r="D343" s="104"/>
      <c r="E343" s="933"/>
    </row>
    <row r="344" spans="1:7" outlineLevel="1">
      <c r="C344" s="92"/>
      <c r="D344" s="104"/>
      <c r="E344" s="933"/>
    </row>
    <row r="345" spans="1:7" outlineLevel="1">
      <c r="C345" s="92"/>
      <c r="D345" s="104"/>
      <c r="E345" s="933"/>
    </row>
    <row r="346" spans="1:7" outlineLevel="1"/>
    <row r="347" spans="1:7" s="878" customFormat="1" ht="18">
      <c r="A347" s="876"/>
      <c r="B347" s="877"/>
    </row>
    <row r="348" spans="1:7" outlineLevel="1"/>
    <row r="349" spans="1:7" outlineLevel="1">
      <c r="A349" s="908"/>
      <c r="B349" s="908"/>
      <c r="C349" s="908"/>
      <c r="D349" s="908"/>
      <c r="E349" s="908"/>
      <c r="F349" s="908"/>
      <c r="G349" s="908"/>
    </row>
    <row r="350" spans="1:7" ht="15" customHeight="1" outlineLevel="1">
      <c r="B350" s="611"/>
      <c r="C350" s="611"/>
      <c r="D350" s="611"/>
      <c r="E350" s="611"/>
      <c r="F350" s="611"/>
      <c r="G350" s="611"/>
    </row>
    <row r="351" spans="1:7" ht="15" customHeight="1" outlineLevel="1">
      <c r="A351" s="404"/>
      <c r="B351" s="404"/>
      <c r="C351" s="1133"/>
      <c r="D351" s="1133"/>
      <c r="E351" s="597"/>
      <c r="F351" s="597"/>
    </row>
    <row r="352" spans="1:7" outlineLevel="1"/>
    <row r="353" spans="2:6" outlineLevel="1">
      <c r="B353" s="612"/>
      <c r="C353" s="596"/>
      <c r="D353" s="596"/>
      <c r="E353" s="596"/>
      <c r="F353" s="596"/>
    </row>
    <row r="354" spans="2:6" ht="57" customHeight="1" outlineLevel="1">
      <c r="B354" s="1104"/>
      <c r="C354" s="1104"/>
      <c r="D354" s="1104"/>
      <c r="E354" s="1104"/>
      <c r="F354" s="935"/>
    </row>
    <row r="355" spans="2:6" outlineLevel="1"/>
    <row r="356" spans="2:6" outlineLevel="1">
      <c r="B356" s="323"/>
      <c r="C356" s="937"/>
    </row>
    <row r="357" spans="2:6" outlineLevel="1"/>
    <row r="358" spans="2:6" outlineLevel="1"/>
    <row r="359" spans="2:6" outlineLevel="1">
      <c r="B359" s="323"/>
      <c r="C359" s="647"/>
      <c r="D359" s="647"/>
      <c r="E359" s="647"/>
    </row>
    <row r="360" spans="2:6" ht="15" outlineLevel="1">
      <c r="B360" s="929"/>
      <c r="C360" s="936"/>
      <c r="D360" s="931"/>
      <c r="E360" s="932"/>
    </row>
    <row r="361" spans="2:6" outlineLevel="1">
      <c r="C361" s="92"/>
      <c r="D361" s="104"/>
      <c r="E361" s="933"/>
    </row>
    <row r="362" spans="2:6" outlineLevel="1">
      <c r="C362" s="92"/>
      <c r="D362" s="104"/>
      <c r="E362" s="933"/>
    </row>
    <row r="363" spans="2:6" outlineLevel="1">
      <c r="C363" s="92"/>
      <c r="D363" s="104"/>
      <c r="E363" s="933"/>
    </row>
    <row r="364" spans="2:6" outlineLevel="1">
      <c r="C364" s="92"/>
      <c r="D364" s="104"/>
      <c r="E364" s="933"/>
    </row>
    <row r="365" spans="2:6" outlineLevel="1">
      <c r="C365" s="92"/>
      <c r="D365" s="104"/>
      <c r="E365" s="933"/>
    </row>
    <row r="366" spans="2:6" outlineLevel="1">
      <c r="C366" s="92"/>
      <c r="D366" s="104"/>
      <c r="E366" s="933"/>
    </row>
    <row r="367" spans="2:6" outlineLevel="1">
      <c r="C367" s="92"/>
      <c r="D367" s="104"/>
      <c r="E367" s="933"/>
    </row>
    <row r="368" spans="2:6" outlineLevel="1">
      <c r="C368" s="92"/>
      <c r="D368" s="104"/>
      <c r="E368" s="933"/>
    </row>
    <row r="369" spans="1:5" outlineLevel="1">
      <c r="C369" s="92"/>
      <c r="D369" s="104"/>
      <c r="E369" s="933"/>
    </row>
    <row r="370" spans="1:5" outlineLevel="1">
      <c r="C370" s="92"/>
      <c r="D370" s="104"/>
      <c r="E370" s="933"/>
    </row>
    <row r="371" spans="1:5" outlineLevel="1">
      <c r="C371" s="92"/>
      <c r="D371" s="104"/>
      <c r="E371" s="933"/>
    </row>
    <row r="372" spans="1:5" outlineLevel="1"/>
    <row r="373" spans="1:5" outlineLevel="1"/>
    <row r="374" spans="1:5" outlineLevel="1">
      <c r="B374" s="323"/>
      <c r="C374" s="647"/>
      <c r="D374" s="647"/>
    </row>
    <row r="375" spans="1:5" ht="15" outlineLevel="1">
      <c r="B375" s="929"/>
      <c r="C375" s="936"/>
      <c r="D375" s="932"/>
    </row>
    <row r="376" spans="1:5" outlineLevel="1">
      <c r="B376" s="844"/>
      <c r="C376" s="92"/>
      <c r="D376" s="938"/>
    </row>
    <row r="377" spans="1:5" outlineLevel="1">
      <c r="B377" s="844"/>
      <c r="C377" s="92"/>
      <c r="D377" s="938"/>
    </row>
    <row r="378" spans="1:5" outlineLevel="1">
      <c r="B378" s="844"/>
      <c r="C378" s="92"/>
      <c r="D378" s="938"/>
    </row>
    <row r="379" spans="1:5" outlineLevel="1">
      <c r="B379" s="844"/>
      <c r="C379" s="92"/>
      <c r="D379" s="938"/>
    </row>
    <row r="380" spans="1:5" outlineLevel="1">
      <c r="B380" s="844"/>
      <c r="C380" s="92"/>
      <c r="D380" s="938"/>
    </row>
    <row r="381" spans="1:5" outlineLevel="1">
      <c r="B381" s="844"/>
      <c r="C381" s="92"/>
      <c r="D381" s="938"/>
    </row>
    <row r="382" spans="1:5" outlineLevel="1">
      <c r="B382" s="844"/>
      <c r="C382" s="92"/>
      <c r="D382" s="938"/>
    </row>
    <row r="383" spans="1:5" outlineLevel="1"/>
    <row r="384" spans="1:5" ht="18">
      <c r="A384" s="934"/>
      <c r="B384" s="624"/>
    </row>
    <row r="385" spans="1:7" outlineLevel="1"/>
    <row r="386" spans="1:7" ht="15" customHeight="1" outlineLevel="1">
      <c r="A386" s="911"/>
      <c r="B386" s="911"/>
      <c r="C386" s="911"/>
      <c r="D386" s="911"/>
      <c r="E386" s="911"/>
      <c r="F386" s="911"/>
      <c r="G386" s="911"/>
    </row>
    <row r="387" spans="1:7" ht="15" customHeight="1" outlineLevel="1">
      <c r="B387" s="611"/>
      <c r="C387" s="611"/>
      <c r="D387" s="611"/>
      <c r="E387" s="611"/>
      <c r="F387" s="611"/>
      <c r="G387" s="611"/>
    </row>
    <row r="388" spans="1:7" ht="15" customHeight="1" outlineLevel="1">
      <c r="A388" s="404"/>
      <c r="B388" s="404"/>
      <c r="C388" s="1133"/>
      <c r="D388" s="1133"/>
      <c r="E388" s="597"/>
      <c r="F388" s="597"/>
    </row>
    <row r="389" spans="1:7" outlineLevel="1"/>
    <row r="390" spans="1:7" outlineLevel="1">
      <c r="B390" s="612"/>
      <c r="C390" s="596"/>
      <c r="D390" s="596"/>
      <c r="E390" s="596"/>
      <c r="F390" s="596"/>
    </row>
    <row r="391" spans="1:7" ht="24" customHeight="1" outlineLevel="1">
      <c r="B391" s="599"/>
      <c r="C391" s="599"/>
      <c r="D391" s="599"/>
      <c r="E391" s="599"/>
      <c r="F391" s="599"/>
      <c r="G391" s="599"/>
    </row>
    <row r="392" spans="1:7" ht="19.5" customHeight="1" outlineLevel="1">
      <c r="B392" s="908"/>
      <c r="C392" s="908"/>
      <c r="D392" s="908"/>
      <c r="E392" s="908"/>
      <c r="F392" s="908"/>
      <c r="G392" s="599"/>
    </row>
    <row r="393" spans="1:7" outlineLevel="1">
      <c r="B393" s="599"/>
      <c r="C393" s="599"/>
      <c r="D393" s="599"/>
      <c r="E393" s="599"/>
      <c r="F393" s="599"/>
      <c r="G393" s="599"/>
    </row>
    <row r="394" spans="1:7" outlineLevel="1">
      <c r="A394" s="879"/>
      <c r="B394" s="880"/>
    </row>
    <row r="395" spans="1:7" outlineLevel="1">
      <c r="A395" s="879"/>
      <c r="B395" s="880"/>
    </row>
    <row r="396" spans="1:7" outlineLevel="1">
      <c r="A396" s="879"/>
      <c r="B396" s="880"/>
    </row>
    <row r="397" spans="1:7" ht="15.95" customHeight="1" outlineLevel="1">
      <c r="A397" s="881"/>
    </row>
    <row r="398" spans="1:7" outlineLevel="1">
      <c r="A398" s="882"/>
      <c r="B398" s="323"/>
      <c r="C398" s="647"/>
      <c r="D398" s="647"/>
      <c r="E398" s="647"/>
    </row>
    <row r="399" spans="1:7" ht="15" outlineLevel="1">
      <c r="B399" s="936"/>
      <c r="C399" s="936"/>
      <c r="D399" s="936"/>
      <c r="E399" s="931"/>
    </row>
    <row r="400" spans="1:7" ht="15" outlineLevel="1">
      <c r="B400" s="936"/>
      <c r="C400" s="936"/>
      <c r="D400" s="936"/>
      <c r="E400" s="931"/>
    </row>
    <row r="401" spans="1:5" ht="15" outlineLevel="1">
      <c r="B401" s="936"/>
      <c r="C401" s="936"/>
      <c r="D401" s="936"/>
      <c r="E401" s="931"/>
    </row>
    <row r="402" spans="1:5" ht="15.95" customHeight="1" outlineLevel="1">
      <c r="B402" s="939"/>
      <c r="C402" s="939"/>
      <c r="D402" s="939"/>
      <c r="E402" s="92"/>
    </row>
    <row r="403" spans="1:5" ht="15.95" customHeight="1" outlineLevel="1">
      <c r="B403" s="939"/>
      <c r="C403" s="939"/>
      <c r="D403" s="939"/>
      <c r="E403" s="92"/>
    </row>
    <row r="404" spans="1:5" ht="15.95" customHeight="1" outlineLevel="1">
      <c r="B404" s="939"/>
      <c r="C404" s="939"/>
      <c r="D404" s="939"/>
      <c r="E404" s="92"/>
    </row>
    <row r="405" spans="1:5" ht="15.95" customHeight="1" outlineLevel="1">
      <c r="B405" s="939"/>
      <c r="C405" s="939"/>
      <c r="D405" s="939"/>
      <c r="E405" s="92"/>
    </row>
    <row r="406" spans="1:5" ht="15.95" customHeight="1" outlineLevel="1">
      <c r="B406" s="939"/>
      <c r="C406" s="939"/>
      <c r="D406" s="939"/>
      <c r="E406" s="92"/>
    </row>
    <row r="407" spans="1:5" ht="15.95" customHeight="1" outlineLevel="1">
      <c r="B407" s="939"/>
      <c r="C407" s="939"/>
      <c r="D407" s="939"/>
      <c r="E407" s="92"/>
    </row>
    <row r="408" spans="1:5" ht="15.95" customHeight="1" outlineLevel="1">
      <c r="B408" s="939"/>
      <c r="C408" s="939"/>
      <c r="D408" s="939"/>
      <c r="E408" s="92"/>
    </row>
    <row r="409" spans="1:5" ht="15.95" customHeight="1" outlineLevel="1">
      <c r="B409" s="939"/>
      <c r="C409" s="939"/>
      <c r="D409" s="939"/>
      <c r="E409" s="92"/>
    </row>
    <row r="410" spans="1:5" ht="15.95" customHeight="1" outlineLevel="1">
      <c r="B410" s="939"/>
      <c r="C410" s="939"/>
      <c r="D410" s="939"/>
      <c r="E410" s="92"/>
    </row>
    <row r="411" spans="1:5" ht="15.95" customHeight="1" outlineLevel="1">
      <c r="B411" s="939"/>
      <c r="C411" s="939"/>
      <c r="D411" s="939"/>
      <c r="E411" s="92"/>
    </row>
    <row r="412" spans="1:5" ht="15.95" customHeight="1" outlineLevel="1"/>
    <row r="413" spans="1:5" outlineLevel="1">
      <c r="A413" s="883"/>
    </row>
    <row r="414" spans="1:5" outlineLevel="1">
      <c r="B414" s="323"/>
      <c r="C414" s="647"/>
      <c r="D414" s="647"/>
      <c r="E414" s="647"/>
    </row>
    <row r="415" spans="1:5" ht="15" outlineLevel="1">
      <c r="B415" s="936"/>
      <c r="C415" s="936"/>
      <c r="D415" s="936"/>
      <c r="E415" s="931"/>
    </row>
    <row r="416" spans="1:5" ht="15" outlineLevel="1">
      <c r="B416" s="936"/>
      <c r="C416" s="936"/>
      <c r="D416" s="936"/>
      <c r="E416" s="931"/>
    </row>
    <row r="417" spans="1:5" ht="15" outlineLevel="1">
      <c r="B417" s="936"/>
      <c r="C417" s="936"/>
      <c r="D417" s="936"/>
      <c r="E417" s="931"/>
    </row>
    <row r="418" spans="1:5" ht="15.95" customHeight="1" outlineLevel="1">
      <c r="B418" s="939"/>
      <c r="C418" s="939"/>
      <c r="D418" s="939"/>
      <c r="E418" s="92"/>
    </row>
    <row r="419" spans="1:5" ht="15.95" customHeight="1" outlineLevel="1">
      <c r="B419" s="939"/>
      <c r="C419" s="939"/>
      <c r="D419" s="939"/>
      <c r="E419" s="92"/>
    </row>
    <row r="420" spans="1:5" ht="15.95" customHeight="1" outlineLevel="1">
      <c r="B420" s="939"/>
      <c r="C420" s="939"/>
      <c r="D420" s="939"/>
      <c r="E420" s="92"/>
    </row>
    <row r="421" spans="1:5" ht="15.95" customHeight="1" outlineLevel="1">
      <c r="B421" s="939"/>
      <c r="C421" s="939"/>
      <c r="D421" s="939"/>
      <c r="E421" s="92"/>
    </row>
    <row r="422" spans="1:5" ht="15.95" customHeight="1" outlineLevel="1">
      <c r="B422" s="939"/>
      <c r="C422" s="939"/>
      <c r="D422" s="939"/>
      <c r="E422" s="92"/>
    </row>
    <row r="423" spans="1:5" ht="15.95" customHeight="1" outlineLevel="1">
      <c r="B423" s="939"/>
      <c r="C423" s="939"/>
      <c r="D423" s="939"/>
      <c r="E423" s="92"/>
    </row>
    <row r="424" spans="1:5" ht="15.95" customHeight="1" outlineLevel="1">
      <c r="B424" s="939"/>
      <c r="C424" s="939"/>
      <c r="D424" s="939"/>
      <c r="E424" s="92"/>
    </row>
    <row r="425" spans="1:5" ht="15.95" customHeight="1" outlineLevel="1">
      <c r="B425" s="939"/>
      <c r="C425" s="939"/>
      <c r="D425" s="939"/>
      <c r="E425" s="92"/>
    </row>
    <row r="426" spans="1:5" ht="15.95" customHeight="1" outlineLevel="1">
      <c r="B426" s="939"/>
      <c r="C426" s="939"/>
      <c r="D426" s="939"/>
      <c r="E426" s="92"/>
    </row>
    <row r="427" spans="1:5" ht="15.95" customHeight="1" outlineLevel="1">
      <c r="B427" s="939"/>
      <c r="C427" s="939"/>
      <c r="D427" s="939"/>
      <c r="E427" s="92"/>
    </row>
    <row r="428" spans="1:5" outlineLevel="1"/>
    <row r="429" spans="1:5" outlineLevel="1">
      <c r="A429" s="883"/>
    </row>
    <row r="430" spans="1:5" outlineLevel="1">
      <c r="B430" s="323"/>
      <c r="C430" s="647"/>
      <c r="D430" s="647"/>
      <c r="E430" s="647"/>
    </row>
    <row r="431" spans="1:5" ht="15" outlineLevel="1">
      <c r="B431" s="936"/>
      <c r="C431" s="936"/>
      <c r="D431" s="936"/>
      <c r="E431" s="931"/>
    </row>
    <row r="432" spans="1:5" ht="15" outlineLevel="1">
      <c r="B432" s="936"/>
      <c r="C432" s="936"/>
      <c r="D432" s="936"/>
      <c r="E432" s="931"/>
    </row>
    <row r="433" spans="1:5" ht="15" outlineLevel="1">
      <c r="B433" s="936"/>
      <c r="C433" s="936"/>
      <c r="D433" s="936"/>
      <c r="E433" s="931"/>
    </row>
    <row r="434" spans="1:5" ht="15.95" customHeight="1" outlineLevel="1">
      <c r="B434" s="939"/>
      <c r="C434" s="939"/>
      <c r="D434" s="939"/>
      <c r="E434" s="92"/>
    </row>
    <row r="435" spans="1:5" ht="15.95" customHeight="1" outlineLevel="1">
      <c r="B435" s="939"/>
      <c r="C435" s="939"/>
      <c r="D435" s="939"/>
      <c r="E435" s="92"/>
    </row>
    <row r="436" spans="1:5" ht="15.95" customHeight="1" outlineLevel="1">
      <c r="B436" s="939"/>
      <c r="C436" s="939"/>
      <c r="D436" s="939"/>
      <c r="E436" s="92"/>
    </row>
    <row r="437" spans="1:5" ht="15.95" customHeight="1" outlineLevel="1">
      <c r="B437" s="939"/>
      <c r="C437" s="939"/>
      <c r="D437" s="939"/>
      <c r="E437" s="92"/>
    </row>
    <row r="438" spans="1:5" ht="15.95" customHeight="1" outlineLevel="1">
      <c r="B438" s="939"/>
      <c r="C438" s="939"/>
      <c r="D438" s="939"/>
      <c r="E438" s="92"/>
    </row>
    <row r="439" spans="1:5" ht="15.95" customHeight="1" outlineLevel="1">
      <c r="B439" s="939"/>
      <c r="C439" s="939"/>
      <c r="D439" s="939"/>
      <c r="E439" s="92"/>
    </row>
    <row r="440" spans="1:5" ht="15.95" customHeight="1" outlineLevel="1">
      <c r="B440" s="939"/>
      <c r="C440" s="939"/>
      <c r="D440" s="939"/>
      <c r="E440" s="92"/>
    </row>
    <row r="441" spans="1:5" ht="15.95" customHeight="1" outlineLevel="1">
      <c r="B441" s="939"/>
      <c r="C441" s="939"/>
      <c r="D441" s="939"/>
      <c r="E441" s="92"/>
    </row>
    <row r="442" spans="1:5" ht="15.95" customHeight="1" outlineLevel="1">
      <c r="B442" s="939"/>
      <c r="C442" s="939"/>
      <c r="D442" s="939"/>
      <c r="E442" s="92"/>
    </row>
    <row r="443" spans="1:5" ht="15.95" customHeight="1" outlineLevel="1">
      <c r="B443" s="939"/>
      <c r="C443" s="939"/>
      <c r="D443" s="939"/>
      <c r="E443" s="92"/>
    </row>
    <row r="444" spans="1:5" ht="15.95" customHeight="1" outlineLevel="1">
      <c r="B444" s="92"/>
      <c r="C444" s="92"/>
      <c r="D444" s="92"/>
      <c r="E444" s="92"/>
    </row>
    <row r="445" spans="1:5" ht="15.95" customHeight="1" outlineLevel="1">
      <c r="B445" s="883"/>
      <c r="C445" s="940"/>
      <c r="D445" s="92"/>
      <c r="E445" s="92"/>
    </row>
    <row r="446" spans="1:5" ht="15.95" customHeight="1" outlineLevel="1">
      <c r="B446" s="884"/>
      <c r="C446" s="92"/>
      <c r="D446" s="92"/>
      <c r="E446" s="92"/>
    </row>
    <row r="447" spans="1:5" ht="15.95" customHeight="1" outlineLevel="1">
      <c r="B447" s="883"/>
      <c r="C447" s="941"/>
      <c r="D447" s="92"/>
      <c r="E447" s="92"/>
    </row>
    <row r="448" spans="1:5" outlineLevel="1">
      <c r="A448" s="879"/>
      <c r="B448" s="1136"/>
      <c r="C448" s="1136"/>
      <c r="D448" s="1136"/>
      <c r="E448" s="1136"/>
    </row>
    <row r="449" spans="1:7" outlineLevel="1">
      <c r="A449" s="647"/>
      <c r="B449" s="647"/>
      <c r="C449" s="647"/>
      <c r="D449" s="647"/>
      <c r="E449" s="647"/>
    </row>
    <row r="450" spans="1:7" ht="15" outlineLevel="1">
      <c r="A450" s="929"/>
      <c r="B450" s="92"/>
      <c r="C450" s="92"/>
      <c r="D450" s="92"/>
      <c r="E450" s="92"/>
    </row>
    <row r="451" spans="1:7" ht="15" outlineLevel="1">
      <c r="A451" s="929"/>
      <c r="B451" s="92"/>
      <c r="C451" s="92"/>
      <c r="D451" s="92"/>
      <c r="E451" s="92"/>
    </row>
    <row r="452" spans="1:7" ht="15" outlineLevel="1">
      <c r="A452" s="929"/>
      <c r="B452" s="92"/>
      <c r="C452" s="92"/>
      <c r="D452" s="92"/>
      <c r="E452" s="92"/>
    </row>
    <row r="453" spans="1:7" ht="15" outlineLevel="1">
      <c r="A453" s="929"/>
      <c r="B453" s="92"/>
      <c r="C453" s="92"/>
      <c r="D453" s="92"/>
      <c r="E453" s="92"/>
    </row>
    <row r="454" spans="1:7" outlineLevel="1">
      <c r="A454" s="879"/>
      <c r="B454" s="1136"/>
      <c r="C454" s="1136"/>
      <c r="D454" s="1136"/>
      <c r="E454" s="1136"/>
    </row>
    <row r="455" spans="1:7" outlineLevel="1">
      <c r="A455" s="647"/>
      <c r="B455" s="647"/>
      <c r="C455" s="647"/>
      <c r="D455" s="647"/>
      <c r="E455" s="647"/>
    </row>
    <row r="456" spans="1:7" ht="15" outlineLevel="1">
      <c r="A456" s="929"/>
      <c r="B456" s="92"/>
      <c r="C456" s="92"/>
      <c r="D456" s="92"/>
      <c r="E456" s="92"/>
    </row>
    <row r="457" spans="1:7" ht="15" outlineLevel="1">
      <c r="A457" s="929"/>
      <c r="B457" s="92"/>
      <c r="C457" s="92"/>
      <c r="D457" s="92"/>
      <c r="E457" s="92"/>
    </row>
    <row r="458" spans="1:7" ht="15.95" customHeight="1" outlineLevel="1">
      <c r="A458" s="929"/>
      <c r="B458" s="92"/>
      <c r="C458" s="92"/>
      <c r="D458" s="92"/>
      <c r="E458" s="92"/>
    </row>
    <row r="459" spans="1:7" ht="15.95" customHeight="1" outlineLevel="1">
      <c r="A459" s="929"/>
      <c r="B459" s="92"/>
      <c r="C459" s="92"/>
      <c r="D459" s="92"/>
      <c r="E459" s="92"/>
    </row>
    <row r="460" spans="1:7" outlineLevel="1"/>
    <row r="461" spans="1:7" s="878" customFormat="1" ht="18">
      <c r="A461" s="934"/>
      <c r="B461" s="624"/>
      <c r="C461"/>
      <c r="D461"/>
      <c r="E461"/>
    </row>
    <row r="462" spans="1:7" outlineLevel="1"/>
    <row r="463" spans="1:7" ht="30.95" customHeight="1" outlineLevel="1">
      <c r="A463" s="596"/>
      <c r="B463" s="596"/>
      <c r="C463" s="596"/>
      <c r="D463" s="596"/>
      <c r="E463" s="596"/>
      <c r="F463" s="596"/>
      <c r="G463" s="596"/>
    </row>
    <row r="464" spans="1:7" outlineLevel="1"/>
    <row r="465" spans="1:7" ht="15" outlineLevel="1">
      <c r="A465" s="404"/>
      <c r="B465" s="404"/>
      <c r="C465" s="1138"/>
      <c r="D465" s="1138"/>
    </row>
    <row r="466" spans="1:7" outlineLevel="1"/>
    <row r="467" spans="1:7" outlineLevel="1">
      <c r="B467" s="323"/>
      <c r="C467" s="323"/>
      <c r="D467" s="323"/>
      <c r="E467" s="647"/>
    </row>
    <row r="468" spans="1:7" outlineLevel="1">
      <c r="B468" s="647"/>
      <c r="C468" s="92"/>
      <c r="D468" s="92"/>
      <c r="E468" s="104"/>
    </row>
    <row r="469" spans="1:7" outlineLevel="1">
      <c r="B469" s="647"/>
      <c r="C469" s="92"/>
      <c r="D469" s="92"/>
      <c r="E469" s="104"/>
    </row>
    <row r="470" spans="1:7" outlineLevel="1"/>
    <row r="471" spans="1:7" ht="15" customHeight="1">
      <c r="A471" s="934"/>
      <c r="B471" s="624"/>
    </row>
    <row r="472" spans="1:7" ht="12" customHeight="1"/>
    <row r="473" spans="1:7" ht="14.45" customHeight="1">
      <c r="A473" s="911"/>
      <c r="B473" s="911"/>
      <c r="C473" s="911"/>
      <c r="D473" s="911"/>
      <c r="E473" s="911"/>
      <c r="F473" s="911"/>
      <c r="G473" s="911"/>
    </row>
    <row r="474" spans="1:7">
      <c r="B474" s="611"/>
      <c r="C474" s="611"/>
      <c r="D474" s="611"/>
      <c r="E474" s="611"/>
      <c r="F474" s="611"/>
      <c r="G474" s="611"/>
    </row>
    <row r="475" spans="1:7" ht="15">
      <c r="A475" s="404"/>
      <c r="B475" s="404"/>
      <c r="C475" s="1133"/>
      <c r="D475" s="1133"/>
      <c r="E475" s="597"/>
      <c r="F475" s="597"/>
    </row>
    <row r="477" spans="1:7">
      <c r="B477" s="612"/>
      <c r="C477" s="596"/>
      <c r="D477" s="596"/>
      <c r="E477" s="596"/>
      <c r="F477" s="596"/>
    </row>
    <row r="478" spans="1:7" ht="15">
      <c r="B478" s="1104"/>
      <c r="C478" s="1104"/>
      <c r="D478" s="1104"/>
      <c r="E478" s="1104"/>
      <c r="F478" s="935"/>
      <c r="G478" s="596"/>
    </row>
    <row r="479" spans="1:7">
      <c r="B479" s="908"/>
      <c r="C479" s="908"/>
      <c r="D479" s="908"/>
      <c r="E479" s="908"/>
      <c r="F479" s="596"/>
      <c r="G479" s="596"/>
    </row>
    <row r="480" spans="1:7" ht="23.25" customHeight="1">
      <c r="C480" s="647"/>
      <c r="D480" s="323"/>
      <c r="E480" s="647"/>
    </row>
    <row r="481" spans="1:7">
      <c r="C481" s="942"/>
      <c r="D481" s="943"/>
      <c r="E481" s="942"/>
    </row>
    <row r="483" spans="1:7" ht="15">
      <c r="B483" s="598"/>
      <c r="C483" s="944"/>
    </row>
    <row r="484" spans="1:7" ht="15">
      <c r="B484" s="598"/>
      <c r="C484" s="944"/>
    </row>
    <row r="486" spans="1:7" ht="20.25" collapsed="1">
      <c r="A486" s="592"/>
    </row>
    <row r="487" spans="1:7">
      <c r="A487" s="596"/>
      <c r="B487" s="596"/>
      <c r="C487" s="596"/>
      <c r="D487" s="596"/>
      <c r="E487" s="596"/>
      <c r="F487" s="596"/>
      <c r="G487" s="596"/>
    </row>
    <row r="488" spans="1:7">
      <c r="A488" s="596"/>
      <c r="B488" s="596"/>
      <c r="C488" s="596"/>
      <c r="D488" s="596"/>
      <c r="E488" s="596"/>
      <c r="F488" s="596"/>
      <c r="G488" s="596"/>
    </row>
    <row r="489" spans="1:7" ht="16.5">
      <c r="A489" s="951"/>
    </row>
    <row r="490" spans="1:7" ht="24" customHeight="1" outlineLevel="1">
      <c r="B490" s="612"/>
      <c r="C490" s="596"/>
      <c r="D490" s="596"/>
      <c r="E490" s="596"/>
      <c r="F490" s="596"/>
      <c r="G490" s="596"/>
    </row>
    <row r="491" spans="1:7" ht="17.25" customHeight="1" outlineLevel="1">
      <c r="A491" s="596"/>
      <c r="B491" s="599"/>
      <c r="C491" s="599"/>
      <c r="D491" s="599"/>
      <c r="E491" s="599"/>
      <c r="F491" s="599"/>
      <c r="G491" s="599"/>
    </row>
    <row r="492" spans="1:7" outlineLevel="1">
      <c r="A492" s="596"/>
      <c r="B492" s="596"/>
      <c r="C492" s="596"/>
      <c r="D492" s="596"/>
      <c r="E492" s="596"/>
      <c r="F492" s="596"/>
      <c r="G492" s="596"/>
    </row>
    <row r="493" spans="1:7" ht="15" outlineLevel="1">
      <c r="A493" s="596"/>
      <c r="B493" s="647"/>
      <c r="C493" s="945"/>
      <c r="D493" s="596"/>
      <c r="E493" s="596"/>
      <c r="F493" s="596"/>
      <c r="G493" s="596"/>
    </row>
    <row r="494" spans="1:7" ht="20.25" outlineLevel="1">
      <c r="A494" s="592"/>
      <c r="B494" s="946"/>
      <c r="C494" s="944"/>
      <c r="D494" s="948"/>
    </row>
    <row r="495" spans="1:7" ht="20.25" outlineLevel="1">
      <c r="A495" s="592"/>
      <c r="B495" s="946"/>
      <c r="C495" s="944"/>
      <c r="D495" s="948"/>
    </row>
    <row r="496" spans="1:7" ht="20.25" outlineLevel="1">
      <c r="A496" s="592"/>
      <c r="B496" s="946"/>
      <c r="C496" s="944"/>
      <c r="D496" s="948"/>
    </row>
    <row r="497" spans="1:7" ht="20.25" outlineLevel="1">
      <c r="A497" s="592"/>
      <c r="B497" s="946"/>
      <c r="C497" s="944"/>
      <c r="D497" s="948"/>
    </row>
    <row r="498" spans="1:7" ht="20.25" outlineLevel="1">
      <c r="A498" s="592"/>
      <c r="B498" s="946"/>
      <c r="C498" s="944"/>
      <c r="D498" s="948"/>
    </row>
    <row r="499" spans="1:7" ht="20.25" outlineLevel="1">
      <c r="A499" s="592"/>
      <c r="B499" s="946"/>
      <c r="C499" s="944"/>
      <c r="D499" s="948"/>
    </row>
    <row r="500" spans="1:7" ht="20.25" outlineLevel="1">
      <c r="A500" s="592"/>
      <c r="B500" s="946"/>
      <c r="C500" s="944"/>
      <c r="D500" s="948"/>
    </row>
    <row r="501" spans="1:7" ht="20.25" outlineLevel="1">
      <c r="A501" s="592"/>
      <c r="B501" s="946"/>
      <c r="C501" s="944"/>
      <c r="D501" s="948"/>
    </row>
    <row r="502" spans="1:7" ht="20.25" outlineLevel="1">
      <c r="A502" s="592"/>
      <c r="B502" s="946"/>
      <c r="C502" s="947"/>
    </row>
    <row r="504" spans="1:7" s="885" customFormat="1" ht="16.5">
      <c r="A504" s="886"/>
      <c r="B504"/>
      <c r="C504"/>
      <c r="D504"/>
    </row>
    <row r="505" spans="1:7" outlineLevel="1"/>
    <row r="506" spans="1:7" outlineLevel="1">
      <c r="A506" s="3"/>
      <c r="B506" s="3"/>
      <c r="C506" s="3"/>
      <c r="D506" s="3"/>
      <c r="E506" s="3"/>
      <c r="F506" s="3"/>
      <c r="G506" s="3"/>
    </row>
    <row r="507" spans="1:7" ht="15" customHeight="1" outlineLevel="1">
      <c r="B507" s="611"/>
      <c r="C507" s="611"/>
      <c r="D507" s="611"/>
      <c r="E507" s="611"/>
      <c r="F507" s="611"/>
      <c r="G507" s="611"/>
    </row>
    <row r="508" spans="1:7" ht="15" customHeight="1" outlineLevel="1">
      <c r="A508" s="404"/>
      <c r="B508" s="404"/>
      <c r="C508" s="1133"/>
      <c r="D508" s="1133"/>
      <c r="E508" s="597"/>
      <c r="F508" s="597"/>
    </row>
    <row r="509" spans="1:7" ht="16.5" outlineLevel="1">
      <c r="A509" s="887"/>
    </row>
    <row r="510" spans="1:7" ht="15" outlineLevel="1">
      <c r="A510" s="404"/>
      <c r="B510" s="404"/>
      <c r="C510" s="1133"/>
      <c r="D510" s="1133"/>
    </row>
    <row r="511" spans="1:7" ht="15" outlineLevel="1">
      <c r="A511" s="910"/>
      <c r="B511" s="910"/>
    </row>
    <row r="512" spans="1:7" ht="16.5" outlineLevel="1">
      <c r="A512" s="887"/>
    </row>
    <row r="513" spans="1:11" ht="18" outlineLevel="1">
      <c r="A513" s="624"/>
      <c r="B513" s="612"/>
      <c r="C513" s="596"/>
      <c r="D513" s="596"/>
      <c r="E513" s="596"/>
      <c r="F513" s="596"/>
    </row>
    <row r="514" spans="1:11" outlineLevel="1">
      <c r="A514" s="634"/>
      <c r="B514" s="599"/>
      <c r="C514" s="599"/>
      <c r="D514" s="599"/>
      <c r="E514" s="599"/>
      <c r="F514" s="599"/>
      <c r="G514" s="599"/>
    </row>
    <row r="515" spans="1:11" ht="14.45" customHeight="1" outlineLevel="1">
      <c r="A515" s="634"/>
      <c r="B515" s="596"/>
      <c r="C515" s="596"/>
      <c r="D515" s="596"/>
      <c r="E515" s="596"/>
      <c r="F515" s="596"/>
      <c r="G515" s="596"/>
    </row>
    <row r="516" spans="1:11" outlineLevel="1">
      <c r="A516" s="634"/>
      <c r="B516" s="599"/>
      <c r="C516" s="599"/>
      <c r="D516" s="599"/>
      <c r="E516" s="599"/>
      <c r="F516" s="599"/>
      <c r="G516" s="599"/>
    </row>
    <row r="517" spans="1:11" outlineLevel="1">
      <c r="A517" s="634"/>
      <c r="B517" s="599"/>
      <c r="C517" s="599"/>
      <c r="D517" s="599"/>
      <c r="E517" s="599"/>
      <c r="F517" s="599"/>
      <c r="G517" s="599"/>
    </row>
    <row r="518" spans="1:11" ht="21.75" customHeight="1" outlineLevel="1">
      <c r="B518" s="647"/>
      <c r="C518" s="647"/>
      <c r="J518" s="647"/>
      <c r="K518" s="647"/>
    </row>
    <row r="519" spans="1:11" ht="21.75" customHeight="1" outlineLevel="1">
      <c r="B519" s="937"/>
      <c r="C519" s="937"/>
      <c r="J519" s="949"/>
      <c r="K519" s="323"/>
    </row>
    <row r="520" spans="1:11" ht="21.75" customHeight="1" outlineLevel="1"/>
    <row r="521" spans="1:11" ht="21.75" customHeight="1" outlineLevel="1">
      <c r="B521" s="647"/>
      <c r="C521" s="937"/>
      <c r="D521" s="550"/>
    </row>
    <row r="522" spans="1:11" ht="21.75" customHeight="1" outlineLevel="1">
      <c r="C522" s="945"/>
      <c r="D522" s="550"/>
    </row>
    <row r="523" spans="1:11" ht="21.75" customHeight="1" outlineLevel="1">
      <c r="C523" s="937"/>
      <c r="D523" s="550"/>
    </row>
    <row r="524" spans="1:11" ht="21.75" customHeight="1" outlineLevel="1"/>
    <row r="525" spans="1:11" ht="21.75" customHeight="1" outlineLevel="1">
      <c r="B525" s="647"/>
      <c r="C525" s="950"/>
    </row>
    <row r="526" spans="1:11" ht="21.75" customHeight="1" outlineLevel="1">
      <c r="B526" s="647"/>
      <c r="C526" s="950"/>
    </row>
    <row r="527" spans="1:11" ht="21.75" customHeight="1" outlineLevel="1"/>
    <row r="528" spans="1:11" ht="21.75" customHeight="1">
      <c r="A528" s="951"/>
    </row>
    <row r="529" spans="1:11" ht="21.75" customHeight="1" outlineLevel="1">
      <c r="A529" s="952"/>
    </row>
    <row r="530" spans="1:11" ht="21.75" customHeight="1" outlineLevel="1">
      <c r="A530" s="328"/>
      <c r="B530" s="328"/>
      <c r="C530" s="328"/>
      <c r="D530" s="328"/>
      <c r="E530" s="328"/>
      <c r="F530" s="328"/>
      <c r="G530" s="328"/>
      <c r="H530" s="663"/>
    </row>
    <row r="531" spans="1:11" ht="21.75" customHeight="1" outlineLevel="1">
      <c r="B531" s="611"/>
      <c r="C531" s="611"/>
      <c r="D531" s="611"/>
      <c r="E531" s="611"/>
      <c r="F531" s="611"/>
      <c r="G531" s="611"/>
    </row>
    <row r="532" spans="1:11" ht="21.75" customHeight="1" outlineLevel="1">
      <c r="A532" s="404"/>
      <c r="B532" s="404"/>
      <c r="C532" s="1137"/>
      <c r="D532" s="1137"/>
      <c r="E532" s="597"/>
      <c r="F532" s="597"/>
    </row>
    <row r="533" spans="1:11" ht="21.75" customHeight="1" outlineLevel="1">
      <c r="A533" s="887"/>
    </row>
    <row r="534" spans="1:11" ht="21.75" customHeight="1" outlineLevel="1">
      <c r="A534" s="404"/>
      <c r="B534" s="404"/>
      <c r="C534" s="1133"/>
      <c r="D534" s="1133"/>
    </row>
    <row r="535" spans="1:11" ht="21.75" customHeight="1" outlineLevel="1">
      <c r="A535" s="910"/>
      <c r="B535" s="910"/>
    </row>
    <row r="536" spans="1:11" ht="21.75" customHeight="1" outlineLevel="1">
      <c r="A536" s="952"/>
    </row>
    <row r="537" spans="1:11" ht="21.75" customHeight="1" outlineLevel="1">
      <c r="A537" s="952"/>
      <c r="B537" s="612"/>
      <c r="C537" s="596"/>
      <c r="D537" s="596"/>
      <c r="E537" s="596"/>
      <c r="F537" s="596"/>
    </row>
    <row r="538" spans="1:11" ht="21.75" customHeight="1" outlineLevel="1">
      <c r="A538" s="952"/>
      <c r="B538" s="596"/>
      <c r="C538" s="596"/>
      <c r="D538" s="596"/>
      <c r="E538" s="596"/>
      <c r="F538" s="596"/>
      <c r="G538" s="596"/>
    </row>
    <row r="539" spans="1:11" ht="21.75" customHeight="1" outlineLevel="1">
      <c r="A539" s="952"/>
      <c r="B539" s="596"/>
      <c r="C539" s="596"/>
      <c r="D539" s="596"/>
      <c r="E539" s="596"/>
      <c r="F539" s="596"/>
      <c r="G539" s="596"/>
    </row>
    <row r="540" spans="1:11" ht="21.75" customHeight="1" outlineLevel="1">
      <c r="A540" s="952"/>
    </row>
    <row r="541" spans="1:11" ht="21.75" customHeight="1" outlineLevel="1">
      <c r="C541" s="1136"/>
      <c r="D541" s="1136"/>
      <c r="E541" s="1136"/>
    </row>
    <row r="542" spans="1:11" ht="21.75" customHeight="1" outlineLevel="1">
      <c r="A542" s="647"/>
      <c r="B542" s="647"/>
      <c r="C542" s="647"/>
      <c r="D542" s="647"/>
      <c r="E542" s="647"/>
      <c r="J542" s="647"/>
      <c r="K542" s="647"/>
    </row>
    <row r="543" spans="1:11" ht="21.75" customHeight="1" outlineLevel="1">
      <c r="A543" s="939"/>
      <c r="B543" s="939"/>
      <c r="C543" s="104"/>
      <c r="D543" s="104"/>
      <c r="E543" s="104"/>
      <c r="J543" s="92"/>
      <c r="K543" s="92"/>
    </row>
    <row r="544" spans="1:11" ht="21.75" customHeight="1" outlineLevel="1">
      <c r="A544" s="952"/>
    </row>
    <row r="545" spans="1:12" s="878" customFormat="1" ht="16.5">
      <c r="A545" s="886"/>
    </row>
    <row r="546" spans="1:12" outlineLevel="1"/>
    <row r="547" spans="1:12" ht="35.25" customHeight="1" outlineLevel="1">
      <c r="A547" s="328"/>
      <c r="B547" s="328"/>
      <c r="C547" s="328"/>
      <c r="D547" s="328"/>
      <c r="E547" s="328"/>
      <c r="F547" s="328"/>
      <c r="G547" s="328"/>
      <c r="H547" s="663"/>
    </row>
    <row r="548" spans="1:12" ht="15" customHeight="1" outlineLevel="1">
      <c r="B548" s="611"/>
      <c r="C548" s="611"/>
      <c r="D548" s="611"/>
      <c r="E548" s="611"/>
      <c r="F548" s="611"/>
      <c r="G548" s="611"/>
    </row>
    <row r="549" spans="1:12" ht="15" customHeight="1" outlineLevel="1">
      <c r="A549" s="404"/>
      <c r="B549" s="404"/>
      <c r="C549" s="1133"/>
      <c r="D549" s="1133"/>
      <c r="E549" s="597"/>
      <c r="F549" s="597"/>
    </row>
    <row r="550" spans="1:12" ht="16.5" outlineLevel="1">
      <c r="A550" s="887"/>
    </row>
    <row r="551" spans="1:12" ht="15" outlineLevel="1">
      <c r="A551" s="404"/>
      <c r="B551" s="404"/>
      <c r="C551" s="1133"/>
      <c r="D551" s="1133"/>
    </row>
    <row r="552" spans="1:12" ht="15" outlineLevel="1">
      <c r="A552" s="910"/>
      <c r="B552" s="910"/>
    </row>
    <row r="553" spans="1:12" outlineLevel="1"/>
    <row r="554" spans="1:12" outlineLevel="1">
      <c r="B554" s="612"/>
      <c r="C554" s="596"/>
      <c r="D554" s="596"/>
      <c r="E554" s="596"/>
      <c r="F554" s="596"/>
    </row>
    <row r="555" spans="1:12" ht="15" customHeight="1" outlineLevel="1">
      <c r="B555" s="599"/>
      <c r="C555" s="599"/>
      <c r="D555" s="599"/>
      <c r="E555" s="599"/>
      <c r="F555" s="599"/>
      <c r="G555" s="635"/>
    </row>
    <row r="556" spans="1:12" ht="15" customHeight="1" outlineLevel="1">
      <c r="B556" s="596"/>
      <c r="C556" s="596"/>
      <c r="D556" s="596"/>
      <c r="E556" s="596"/>
      <c r="F556" s="596"/>
    </row>
    <row r="557" spans="1:12" outlineLevel="1">
      <c r="K557" s="664"/>
    </row>
    <row r="558" spans="1:12" outlineLevel="1">
      <c r="A558" s="647"/>
      <c r="B558" s="647"/>
      <c r="C558" s="647"/>
      <c r="D558" s="953"/>
      <c r="E558" s="953"/>
      <c r="F558" s="953"/>
      <c r="G558" s="953"/>
      <c r="H558" s="954"/>
      <c r="I558" s="647"/>
      <c r="K558" s="647"/>
      <c r="L558" s="647"/>
    </row>
    <row r="559" spans="1:12" ht="15" outlineLevel="1">
      <c r="A559" s="955"/>
      <c r="B559" s="955"/>
      <c r="C559" s="955"/>
      <c r="D559" s="955"/>
      <c r="E559" s="955"/>
      <c r="F559" s="955"/>
      <c r="G559" s="955"/>
      <c r="H559" s="955"/>
      <c r="I559" s="104"/>
      <c r="K559" s="955"/>
      <c r="L559" s="955"/>
    </row>
    <row r="560" spans="1:12" ht="15" outlineLevel="1">
      <c r="A560" s="92"/>
      <c r="B560" s="937"/>
      <c r="C560" s="937"/>
      <c r="D560" s="955"/>
      <c r="E560" s="955"/>
      <c r="F560" s="955"/>
      <c r="G560" s="955"/>
      <c r="H560" s="955"/>
      <c r="I560" s="949"/>
      <c r="K560" s="104"/>
      <c r="L560" s="92"/>
    </row>
    <row r="561" spans="1:12" outlineLevel="1">
      <c r="A561" s="92"/>
      <c r="B561" s="937"/>
      <c r="C561" s="937"/>
      <c r="D561" s="92"/>
      <c r="E561" s="92"/>
      <c r="F561" s="92"/>
      <c r="G561" s="92"/>
      <c r="H561" s="956"/>
      <c r="I561" s="949"/>
      <c r="K561" s="104"/>
      <c r="L561" s="92"/>
    </row>
    <row r="562" spans="1:12" outlineLevel="1">
      <c r="A562" s="92"/>
      <c r="B562" s="937"/>
      <c r="C562" s="937"/>
      <c r="D562" s="92"/>
      <c r="E562" s="92"/>
      <c r="F562" s="92"/>
      <c r="G562" s="92"/>
      <c r="H562" s="956"/>
      <c r="I562" s="949"/>
      <c r="J562" s="92"/>
      <c r="K562" s="104"/>
      <c r="L562" s="92"/>
    </row>
    <row r="563" spans="1:12" outlineLevel="1"/>
    <row r="564" spans="1:12" outlineLevel="1"/>
    <row r="566" spans="1:12" ht="20.25">
      <c r="A566" s="592"/>
      <c r="B566" s="909"/>
      <c r="C566" s="909"/>
      <c r="D566" s="909"/>
      <c r="E566" s="909"/>
      <c r="F566" s="909"/>
    </row>
    <row r="568" spans="1:12">
      <c r="B568" s="1135"/>
      <c r="C568" s="1135"/>
      <c r="D568" s="1135"/>
      <c r="E568" s="1135"/>
    </row>
    <row r="569" spans="1:12">
      <c r="B569" s="1135"/>
      <c r="C569" s="1135"/>
      <c r="D569" s="1135"/>
      <c r="E569" s="1135"/>
    </row>
    <row r="570" spans="1:12">
      <c r="B570" s="1135"/>
      <c r="C570" s="1135"/>
      <c r="D570" s="1135"/>
      <c r="E570" s="1135"/>
    </row>
  </sheetData>
  <sheetProtection algorithmName="SHA-512" hashValue="BbYuUC3EkinVIsqWewC6I368zW6KUtxQT44gfL+XZl1obRND9cLRCnZX/gsuQ7NKh//9u5BX2fRTW3PqjOpFxQ==" saltValue="9bLuLkJqLFW/zmms9fKfhw==" spinCount="100000" sheet="1" objects="1" scenarios="1"/>
  <mergeCells count="59">
    <mergeCell ref="A244:D244"/>
    <mergeCell ref="A257:D257"/>
    <mergeCell ref="A249:D249"/>
    <mergeCell ref="B568:E570"/>
    <mergeCell ref="C549:D549"/>
    <mergeCell ref="C551:D551"/>
    <mergeCell ref="C534:D534"/>
    <mergeCell ref="C541:E541"/>
    <mergeCell ref="C532:D532"/>
    <mergeCell ref="C508:D508"/>
    <mergeCell ref="C510:D510"/>
    <mergeCell ref="C475:D475"/>
    <mergeCell ref="B478:E478"/>
    <mergeCell ref="B448:E448"/>
    <mergeCell ref="B454:E454"/>
    <mergeCell ref="C465:D465"/>
    <mergeCell ref="C351:D351"/>
    <mergeCell ref="B354:E354"/>
    <mergeCell ref="C388:D388"/>
    <mergeCell ref="B304:E304"/>
    <mergeCell ref="C328:D328"/>
    <mergeCell ref="B331:E331"/>
    <mergeCell ref="C301:D301"/>
    <mergeCell ref="B283:E283"/>
    <mergeCell ref="A262:D262"/>
    <mergeCell ref="A246:B246"/>
    <mergeCell ref="C246:D246"/>
    <mergeCell ref="A259:B259"/>
    <mergeCell ref="C259:D259"/>
    <mergeCell ref="A240:G240"/>
    <mergeCell ref="A72:B72"/>
    <mergeCell ref="C72:D72"/>
    <mergeCell ref="A75:D75"/>
    <mergeCell ref="A221:G221"/>
    <mergeCell ref="A223:B223"/>
    <mergeCell ref="C223:D223"/>
    <mergeCell ref="A226:D226"/>
    <mergeCell ref="A70:H70"/>
    <mergeCell ref="A45:B45"/>
    <mergeCell ref="C45:D45"/>
    <mergeCell ref="C228:C230"/>
    <mergeCell ref="D228:D230"/>
    <mergeCell ref="E228:E230"/>
    <mergeCell ref="B68:C68"/>
    <mergeCell ref="A49:D49"/>
    <mergeCell ref="A50:D50"/>
    <mergeCell ref="A51:D51"/>
    <mergeCell ref="A52:D52"/>
    <mergeCell ref="A23:B23"/>
    <mergeCell ref="A4:E4"/>
    <mergeCell ref="A13:G13"/>
    <mergeCell ref="A17:G17"/>
    <mergeCell ref="A19:G19"/>
    <mergeCell ref="C21:D21"/>
    <mergeCell ref="A24:G24"/>
    <mergeCell ref="A25:G25"/>
    <mergeCell ref="D27:G27"/>
    <mergeCell ref="A42:G42"/>
    <mergeCell ref="A43:G43"/>
  </mergeCells>
  <conditionalFormatting sqref="A27:D27">
    <cfRule type="expression" dxfId="11" priority="24">
      <formula>$C$21&lt;&gt;$B$6</formula>
    </cfRule>
  </conditionalFormatting>
  <conditionalFormatting sqref="A28:G38">
    <cfRule type="expression" dxfId="10" priority="14">
      <formula>$C$21&lt;&gt;$B$6</formula>
    </cfRule>
  </conditionalFormatting>
  <conditionalFormatting sqref="A55:H57 A58:E58 J58:K65 A59:H65">
    <cfRule type="expression" dxfId="9" priority="38">
      <formula>$C$45&lt;&gt;$B$6</formula>
    </cfRule>
  </conditionalFormatting>
  <conditionalFormatting sqref="A264:U265 A266:F272 I266:U272">
    <cfRule type="expression" dxfId="8" priority="9">
      <formula>AND(LEFT(Country_region,3)&lt;&gt;"US-",LEFT(Country_region,6)&lt;&gt;"Canada")</formula>
    </cfRule>
  </conditionalFormatting>
  <conditionalFormatting sqref="B77:E217">
    <cfRule type="expression" dxfId="7" priority="37">
      <formula>$C$72&lt;&gt;$B$6</formula>
    </cfRule>
  </conditionalFormatting>
  <conditionalFormatting sqref="B228:E228 B229:C230 E229:E230 B231:E237">
    <cfRule type="expression" dxfId="6" priority="36">
      <formula>$C$223&lt;&gt;$B$6</formula>
    </cfRule>
  </conditionalFormatting>
  <conditionalFormatting sqref="G266:H272">
    <cfRule type="expression" dxfId="5" priority="1">
      <formula>$C$45&lt;&gt;$B$6</formula>
    </cfRule>
  </conditionalFormatting>
  <conditionalFormatting sqref="I27:J28">
    <cfRule type="expression" dxfId="4" priority="12">
      <formula>$C$21&lt;&gt;$B$6</formula>
    </cfRule>
  </conditionalFormatting>
  <conditionalFormatting sqref="I30:J38">
    <cfRule type="expression" dxfId="3" priority="44">
      <formula>$C$21&lt;&gt;$B$6</formula>
    </cfRule>
  </conditionalFormatting>
  <dataValidations count="6">
    <dataValidation type="list" allowBlank="1" showInputMessage="1" showErrorMessage="1" sqref="C328:D328 C21:D21 C301:D301 C351:D351 C549:D549 C508:D508 C246:D246 C223:D223 C45:D45 C72:D72 C532:D532 C388:D388 C475:D475 C259:D259" xr:uid="{00000000-0002-0000-0300-000000000000}">
      <formula1>$B$6:$B$9</formula1>
    </dataValidation>
    <dataValidation type="decimal" operator="greaterThanOrEqual" allowBlank="1" showInputMessage="1" showErrorMessage="1" error="Solo puede ingresar números en esta celda." sqref="C39 B560:B562 B519 A543 C468:C469 C260 C253:C254 C256" xr:uid="{00000000-0002-0000-0300-000001000000}">
      <formula1>0</formula1>
    </dataValidation>
    <dataValidation type="decimal" operator="greaterThan" allowBlank="1" showInputMessage="1" showErrorMessage="1" error="Solo puede ingresar números en esta celda." sqref="C494:C501" xr:uid="{00000000-0002-0000-0300-000002000000}">
      <formula1>0</formula1>
    </dataValidation>
    <dataValidation type="list" allowBlank="1" showInputMessage="1" showErrorMessage="1" sqref="C521:C523" xr:uid="{00000000-0002-0000-0300-000003000000}">
      <formula1>"X"</formula1>
    </dataValidation>
    <dataValidation type="decimal" operator="greaterThanOrEqual" allowBlank="1" showInputMessage="1" showErrorMessage="1" error="You can only enter numbers in this cell." sqref="C252 C269:C272 B30:B38" xr:uid="{00000000-0002-0000-0300-000004000000}">
      <formula1>0</formula1>
    </dataValidation>
    <dataValidation type="decimal" operator="greaterThanOrEqual" allowBlank="1" showInputMessage="1" showErrorMessage="1" error="You can only enter numbers in this cell" sqref="C268" xr:uid="{00000000-0002-0000-0300-000005000000}">
      <formula1>0</formula1>
    </dataValidation>
  </dataValidations>
  <hyperlinks>
    <hyperlink ref="F75" location="Refrigerants!A1" display="Complete &quot;Refrigerants&quot; sheet" xr:uid="{00000000-0004-0000-0300-000000000000}"/>
    <hyperlink ref="F226" location="'Anesthetic Gases'!A1" display="Completar planilla &quot;Gases medicinales&quot;" xr:uid="{00000000-0004-0000-0300-000001000000}"/>
  </hyperlinks>
  <pageMargins left="0.25" right="0.25" top="0.75" bottom="0.75" header="0.3" footer="0.3"/>
  <pageSetup paperSize="9" scale="47" orientation="landscape" r:id="rId1"/>
  <rowBreaks count="2" manualBreakCount="2">
    <brk id="38" max="16383" man="1"/>
    <brk id="217" max="16383" man="1"/>
  </rowBreaks>
  <ignoredErrors>
    <ignoredError sqref="I34 J63" formula="1"/>
  </ignoredErrors>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6000000}">
          <x14:formula1>
            <xm:f>'S1&amp;2 Lists'!$DQ$3:$DQ$9</xm:f>
          </x14:formula1>
          <xm:sqref>D288:D292 C284:C287</xm:sqref>
        </x14:dataValidation>
        <x14:dataValidation type="list" allowBlank="1" showInputMessage="1" showErrorMessage="1" xr:uid="{00000000-0002-0000-0300-000007000000}">
          <x14:formula1>
            <xm:f>'S1&amp;2 Lists'!$DB$3:$DB$4</xm:f>
          </x14:formula1>
          <xm:sqref>C402:C411 C434:C444 C418:C427</xm:sqref>
        </x14:dataValidation>
        <x14:dataValidation type="list" allowBlank="1" showInputMessage="1" showErrorMessage="1" xr:uid="{00000000-0002-0000-0300-000008000000}">
          <x14:formula1>
            <xm:f>'S1&amp;2 Lists'!$CZ$3:$CZ$4</xm:f>
          </x14:formula1>
          <xm:sqref>C534:D534 C551:D551 C510:D510</xm:sqref>
        </x14:dataValidation>
        <x14:dataValidation type="list" allowBlank="1" showInputMessage="1" showErrorMessage="1" xr:uid="{00000000-0002-0000-0300-000009000000}">
          <x14:formula1>
            <xm:f>'S1&amp;2 Lists'!$CX$3:$CX$5</xm:f>
          </x14:formula1>
          <xm:sqref>C36:C37 B543 C519 C560:C562</xm:sqref>
        </x14:dataValidation>
        <x14:dataValidation type="list" allowBlank="1" showInputMessage="1" showErrorMessage="1" xr:uid="{00000000-0002-0000-0300-00000A000000}">
          <x14:formula1>
            <xm:f>'S1&amp;2 Lists'!$CW$3:$CW$4</xm:f>
          </x14:formula1>
          <xm:sqref>C38 C35 C31:C33 D61:D62</xm:sqref>
        </x14:dataValidation>
        <x14:dataValidation type="list" allowBlank="1" showInputMessage="1" showErrorMessage="1" xr:uid="{00000000-0002-0000-0300-00000B000000}">
          <x14:formula1>
            <xm:f>'S1&amp;2 Lists'!$CV$3:$CV$6</xm:f>
          </x14:formula1>
          <xm:sqref>C34</xm:sqref>
        </x14:dataValidation>
        <x14:dataValidation type="list" allowBlank="1" showInputMessage="1" showErrorMessage="1" xr:uid="{00000000-0002-0000-0300-00000C000000}">
          <x14:formula1>
            <xm:f>'S1&amp;2 Lists'!$CU$3:$CU$6</xm:f>
          </x14:formula1>
          <xm:sqref>D63 C30:C32</xm:sqref>
        </x14:dataValidation>
        <x14:dataValidation type="list" allowBlank="1" showInputMessage="1" showErrorMessage="1" xr:uid="{00000000-0002-0000-0300-00000D000000}">
          <x14:formula1>
            <xm:f>'S1&amp;2 Lists'!$AR$3:$AR$5</xm:f>
          </x14:formula1>
          <xm:sqref>C356</xm:sqref>
        </x14:dataValidation>
        <x14:dataValidation type="list" allowBlank="1" showInputMessage="1" showErrorMessage="1" xr:uid="{00000000-0002-0000-0300-00000E000000}">
          <x14:formula1>
            <xm:f>'S1&amp;2 Lists'!$CM$3:$CM$4</xm:f>
          </x14:formula1>
          <xm:sqref>C493 C483:C484</xm:sqref>
        </x14:dataValidation>
        <x14:dataValidation type="list" allowBlank="1" showInputMessage="1" showErrorMessage="1" xr:uid="{00000000-0002-0000-0300-00000F000000}">
          <x14:formula1>
            <xm:f>'S1&amp;2 Lists'!$DS$3:$DS$6</xm:f>
          </x14:formula1>
          <xm:sqref>D268:D272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theme="3" tint="0.59999389629810485"/>
  </sheetPr>
  <dimension ref="C1:E85"/>
  <sheetViews>
    <sheetView zoomScaleNormal="100" workbookViewId="0">
      <pane xSplit="2" ySplit="1" topLeftCell="C2" activePane="bottomRight" state="frozen"/>
      <selection activeCell="E25" sqref="E25"/>
      <selection pane="topRight" activeCell="E25" sqref="E25"/>
      <selection pane="bottomLeft" activeCell="E25" sqref="E25"/>
      <selection pane="bottomRight" activeCell="E25" sqref="E25"/>
    </sheetView>
  </sheetViews>
  <sheetFormatPr defaultRowHeight="14.25"/>
  <cols>
    <col min="3" max="3" width="39.75" style="328" customWidth="1"/>
    <col min="4" max="4" width="10.625" style="323" customWidth="1"/>
    <col min="5" max="5" width="123.75" style="324" customWidth="1"/>
  </cols>
  <sheetData>
    <row r="1" spans="3:5" ht="52.5" customHeight="1" thickBot="1">
      <c r="C1" s="329" t="s">
        <v>28</v>
      </c>
      <c r="D1" s="330" t="s">
        <v>3478</v>
      </c>
      <c r="E1" s="331" t="s">
        <v>3453</v>
      </c>
    </row>
    <row r="2" spans="3:5" ht="54.75" customHeight="1">
      <c r="C2" s="332" t="s">
        <v>147</v>
      </c>
      <c r="D2" s="333">
        <v>721</v>
      </c>
      <c r="E2" s="334" t="s">
        <v>3463</v>
      </c>
    </row>
    <row r="3" spans="3:5" ht="74.25" customHeight="1">
      <c r="C3" s="335" t="s">
        <v>130</v>
      </c>
      <c r="D3" s="326">
        <v>561</v>
      </c>
      <c r="E3" s="336" t="s">
        <v>3462</v>
      </c>
    </row>
    <row r="4" spans="3:5" ht="74.25" customHeight="1">
      <c r="C4" s="335" t="s">
        <v>87</v>
      </c>
      <c r="D4" s="326">
        <v>481</v>
      </c>
      <c r="E4" s="336" t="s">
        <v>3461</v>
      </c>
    </row>
    <row r="5" spans="3:5" ht="46.5" customHeight="1">
      <c r="C5" s="335" t="s">
        <v>136</v>
      </c>
      <c r="D5" s="326">
        <v>621</v>
      </c>
      <c r="E5" s="336" t="s">
        <v>3460</v>
      </c>
    </row>
    <row r="6" spans="3:5" ht="51">
      <c r="C6" s="335" t="s">
        <v>145</v>
      </c>
      <c r="D6" s="326">
        <v>713</v>
      </c>
      <c r="E6" s="336" t="s">
        <v>3459</v>
      </c>
    </row>
    <row r="7" spans="3:5" ht="81.75" customHeight="1">
      <c r="C7" s="1242" t="s">
        <v>48</v>
      </c>
      <c r="D7" s="327">
        <v>315</v>
      </c>
      <c r="E7" s="336" t="s">
        <v>3456</v>
      </c>
    </row>
    <row r="8" spans="3:5" ht="66.75" customHeight="1">
      <c r="C8" s="1242"/>
      <c r="D8" s="327">
        <v>316</v>
      </c>
      <c r="E8" s="336" t="s">
        <v>3457</v>
      </c>
    </row>
    <row r="9" spans="3:5" ht="92.25" customHeight="1">
      <c r="C9" s="1242" t="s">
        <v>109</v>
      </c>
      <c r="D9" s="327">
        <v>515</v>
      </c>
      <c r="E9" s="336" t="s">
        <v>3455</v>
      </c>
    </row>
    <row r="10" spans="3:5" ht="153">
      <c r="C10" s="1242"/>
      <c r="D10" s="327">
        <v>517</v>
      </c>
      <c r="E10" s="336" t="s">
        <v>3454</v>
      </c>
    </row>
    <row r="11" spans="3:5" ht="127.5">
      <c r="C11" s="335" t="s">
        <v>58</v>
      </c>
      <c r="D11" s="326">
        <v>325</v>
      </c>
      <c r="E11" s="336" t="s">
        <v>3458</v>
      </c>
    </row>
    <row r="12" spans="3:5" ht="165.75">
      <c r="C12" s="335" t="s">
        <v>70</v>
      </c>
      <c r="D12" s="326">
        <v>334</v>
      </c>
      <c r="E12" s="336" t="s">
        <v>3464</v>
      </c>
    </row>
    <row r="13" spans="3:5" ht="51">
      <c r="C13" s="335" t="s">
        <v>126</v>
      </c>
      <c r="D13" s="326">
        <v>54151</v>
      </c>
      <c r="E13" s="336" t="s">
        <v>3465</v>
      </c>
    </row>
    <row r="14" spans="3:5" ht="38.25">
      <c r="C14" s="335" t="s">
        <v>42</v>
      </c>
      <c r="D14" s="326">
        <v>23</v>
      </c>
      <c r="E14" s="336" t="s">
        <v>3466</v>
      </c>
    </row>
    <row r="15" spans="3:5" ht="25.5">
      <c r="C15" s="1242" t="s">
        <v>111</v>
      </c>
      <c r="D15" s="326">
        <v>518</v>
      </c>
      <c r="E15" s="336" t="s">
        <v>3467</v>
      </c>
    </row>
    <row r="16" spans="3:5" ht="51">
      <c r="C16" s="1242"/>
      <c r="D16" s="326">
        <v>519</v>
      </c>
      <c r="E16" s="336" t="s">
        <v>3468</v>
      </c>
    </row>
    <row r="17" spans="3:5" ht="30" customHeight="1">
      <c r="C17" s="335" t="s">
        <v>134</v>
      </c>
      <c r="D17" s="326">
        <v>611</v>
      </c>
      <c r="E17" s="336" t="s">
        <v>3469</v>
      </c>
    </row>
    <row r="18" spans="3:5" ht="69.75" customHeight="1">
      <c r="C18" s="335" t="s">
        <v>72</v>
      </c>
      <c r="D18" s="326">
        <v>335</v>
      </c>
      <c r="E18" s="336" t="s">
        <v>3470</v>
      </c>
    </row>
    <row r="19" spans="3:5" ht="55.5" customHeight="1">
      <c r="C19" s="335" t="s">
        <v>66</v>
      </c>
      <c r="D19" s="326">
        <v>332</v>
      </c>
      <c r="E19" s="336" t="s">
        <v>3471</v>
      </c>
    </row>
    <row r="20" spans="3:5" ht="33.75" customHeight="1">
      <c r="C20" s="335" t="s">
        <v>30</v>
      </c>
      <c r="D20" s="326">
        <v>331</v>
      </c>
      <c r="E20" s="336" t="s">
        <v>3472</v>
      </c>
    </row>
    <row r="21" spans="3:5" ht="43.5" customHeight="1">
      <c r="C21" s="1242" t="s">
        <v>113</v>
      </c>
      <c r="D21" s="326">
        <v>521</v>
      </c>
      <c r="E21" s="336" t="s">
        <v>3474</v>
      </c>
    </row>
    <row r="22" spans="3:5" ht="44.25" customHeight="1">
      <c r="C22" s="1242"/>
      <c r="D22" s="326">
        <v>522</v>
      </c>
      <c r="E22" s="336" t="s">
        <v>3473</v>
      </c>
    </row>
    <row r="23" spans="3:5" ht="56.25" customHeight="1">
      <c r="C23" s="1242" t="s">
        <v>44</v>
      </c>
      <c r="D23" s="326">
        <v>311</v>
      </c>
      <c r="E23" s="336" t="s">
        <v>3475</v>
      </c>
    </row>
    <row r="24" spans="3:5" ht="69.75" customHeight="1">
      <c r="C24" s="1242"/>
      <c r="D24" s="326">
        <v>312</v>
      </c>
      <c r="E24" s="336" t="s">
        <v>3476</v>
      </c>
    </row>
    <row r="25" spans="3:5" ht="46.5" customHeight="1">
      <c r="C25" s="335" t="s">
        <v>19</v>
      </c>
      <c r="D25" s="326">
        <v>445</v>
      </c>
      <c r="E25" s="336" t="s">
        <v>3477</v>
      </c>
    </row>
    <row r="26" spans="3:5" ht="68.25" customHeight="1">
      <c r="C26" s="335" t="s">
        <v>149</v>
      </c>
      <c r="D26" s="326">
        <v>722</v>
      </c>
      <c r="E26" s="336" t="s">
        <v>3480</v>
      </c>
    </row>
    <row r="27" spans="3:5" ht="54.75" customHeight="1">
      <c r="C27" s="1239" t="s">
        <v>32</v>
      </c>
      <c r="D27" s="326">
        <v>113</v>
      </c>
      <c r="E27" s="336" t="s">
        <v>3481</v>
      </c>
    </row>
    <row r="28" spans="3:5" ht="43.5" customHeight="1">
      <c r="C28" s="1240"/>
      <c r="D28" s="326">
        <v>114</v>
      </c>
      <c r="E28" s="336" t="s">
        <v>3482</v>
      </c>
    </row>
    <row r="29" spans="3:5" ht="59.25" customHeight="1">
      <c r="C29" s="1241"/>
      <c r="D29" s="326">
        <v>115</v>
      </c>
      <c r="E29" s="336" t="s">
        <v>3483</v>
      </c>
    </row>
    <row r="30" spans="3:5" ht="60" customHeight="1">
      <c r="C30" s="335" t="s">
        <v>119</v>
      </c>
      <c r="D30" s="326">
        <v>525</v>
      </c>
      <c r="E30" s="336" t="s">
        <v>3484</v>
      </c>
    </row>
    <row r="31" spans="3:5" ht="76.5">
      <c r="C31" s="335" t="s">
        <v>77</v>
      </c>
      <c r="D31" s="326">
        <v>337</v>
      </c>
      <c r="E31" s="336" t="s">
        <v>3485</v>
      </c>
    </row>
    <row r="32" spans="3:5" ht="38.25">
      <c r="C32" s="335" t="s">
        <v>20</v>
      </c>
      <c r="D32" s="326">
        <v>452</v>
      </c>
      <c r="E32" s="336" t="s">
        <v>3486</v>
      </c>
    </row>
    <row r="33" spans="3:5" ht="60" customHeight="1">
      <c r="C33" s="335" t="s">
        <v>23</v>
      </c>
      <c r="D33" s="326">
        <v>622</v>
      </c>
      <c r="E33" s="336" t="s">
        <v>3487</v>
      </c>
    </row>
    <row r="34" spans="3:5" ht="48" customHeight="1">
      <c r="C34" s="335" t="s">
        <v>153</v>
      </c>
      <c r="D34" s="326" t="s">
        <v>3488</v>
      </c>
      <c r="E34" s="336" t="s">
        <v>3489</v>
      </c>
    </row>
    <row r="35" spans="3:5" ht="46.5" customHeight="1">
      <c r="C35" s="335" t="s">
        <v>117</v>
      </c>
      <c r="D35" s="326">
        <v>524</v>
      </c>
      <c r="E35" s="336" t="s">
        <v>3490</v>
      </c>
    </row>
    <row r="36" spans="3:5" ht="33.75" customHeight="1">
      <c r="C36" s="335" t="s">
        <v>22</v>
      </c>
      <c r="D36" s="326">
        <v>541</v>
      </c>
      <c r="E36" s="336" t="s">
        <v>3491</v>
      </c>
    </row>
    <row r="37" spans="3:5" ht="72" customHeight="1">
      <c r="C37" s="335" t="s">
        <v>68</v>
      </c>
      <c r="D37" s="326">
        <v>333</v>
      </c>
      <c r="E37" s="336" t="s">
        <v>3492</v>
      </c>
    </row>
    <row r="38" spans="3:5" ht="56.25" customHeight="1">
      <c r="C38" s="335" t="s">
        <v>128</v>
      </c>
      <c r="D38" s="326">
        <v>55</v>
      </c>
      <c r="E38" s="336" t="s">
        <v>3493</v>
      </c>
    </row>
    <row r="39" spans="3:5" ht="43.5" customHeight="1">
      <c r="C39" s="335" t="s">
        <v>36</v>
      </c>
      <c r="D39" s="326">
        <v>212</v>
      </c>
      <c r="E39" s="336" t="s">
        <v>3494</v>
      </c>
    </row>
    <row r="40" spans="3:5" ht="68.25" customHeight="1">
      <c r="C40" s="335" t="s">
        <v>79</v>
      </c>
      <c r="D40" s="326">
        <v>339</v>
      </c>
      <c r="E40" s="336" t="s">
        <v>3495</v>
      </c>
    </row>
    <row r="41" spans="3:5" ht="48" customHeight="1">
      <c r="C41" s="335" t="s">
        <v>124</v>
      </c>
      <c r="D41" s="326">
        <v>541</v>
      </c>
      <c r="E41" s="336" t="s">
        <v>3496</v>
      </c>
    </row>
    <row r="42" spans="3:5" ht="101.25" customHeight="1">
      <c r="C42" s="335" t="s">
        <v>107</v>
      </c>
      <c r="D42" s="326">
        <v>512</v>
      </c>
      <c r="E42" s="336" t="s">
        <v>3497</v>
      </c>
    </row>
    <row r="43" spans="3:5" ht="63.75">
      <c r="C43" s="335" t="s">
        <v>83</v>
      </c>
      <c r="D43" s="326">
        <v>441</v>
      </c>
      <c r="E43" s="336" t="s">
        <v>3498</v>
      </c>
    </row>
    <row r="44" spans="3:5" ht="35.25" customHeight="1">
      <c r="C44" s="1239" t="s">
        <v>74</v>
      </c>
      <c r="D44" s="326">
        <v>3361</v>
      </c>
      <c r="E44" s="336" t="s">
        <v>3499</v>
      </c>
    </row>
    <row r="45" spans="3:5" ht="61.5" customHeight="1">
      <c r="C45" s="1240"/>
      <c r="D45" s="326">
        <v>33621</v>
      </c>
      <c r="E45" s="336" t="s">
        <v>3500</v>
      </c>
    </row>
    <row r="46" spans="3:5" ht="61.5" customHeight="1">
      <c r="C46" s="1241"/>
      <c r="D46" s="326">
        <v>3363</v>
      </c>
      <c r="E46" s="336" t="s">
        <v>3501</v>
      </c>
    </row>
    <row r="47" spans="3:5" ht="72" customHeight="1">
      <c r="C47" s="335" t="s">
        <v>62</v>
      </c>
      <c r="D47" s="326">
        <v>327</v>
      </c>
      <c r="E47" s="336" t="s">
        <v>3502</v>
      </c>
    </row>
    <row r="48" spans="3:5" ht="50.25" customHeight="1">
      <c r="C48" s="335" t="s">
        <v>139</v>
      </c>
      <c r="D48" s="326">
        <v>623</v>
      </c>
      <c r="E48" s="336" t="s">
        <v>3503</v>
      </c>
    </row>
    <row r="49" spans="3:5" ht="63.75">
      <c r="C49" s="335" t="s">
        <v>34</v>
      </c>
      <c r="D49" s="326">
        <v>211</v>
      </c>
      <c r="E49" s="336" t="s">
        <v>3504</v>
      </c>
    </row>
    <row r="50" spans="3:5" ht="38.25">
      <c r="C50" s="335" t="s">
        <v>21</v>
      </c>
      <c r="D50" s="326">
        <v>531</v>
      </c>
      <c r="E50" s="336" t="s">
        <v>3505</v>
      </c>
    </row>
    <row r="51" spans="3:5" ht="44.25" customHeight="1">
      <c r="C51" s="335" t="s">
        <v>103</v>
      </c>
      <c r="D51" s="326" t="s">
        <v>3508</v>
      </c>
      <c r="E51" s="336" t="s">
        <v>3507</v>
      </c>
    </row>
    <row r="52" spans="3:5" ht="76.5">
      <c r="C52" s="335" t="s">
        <v>151</v>
      </c>
      <c r="D52" s="326">
        <v>81</v>
      </c>
      <c r="E52" s="336" t="s">
        <v>3506</v>
      </c>
    </row>
    <row r="53" spans="3:5" ht="56.25" customHeight="1">
      <c r="C53" s="1239" t="s">
        <v>99</v>
      </c>
      <c r="D53" s="326">
        <v>487</v>
      </c>
      <c r="E53" s="336" t="s">
        <v>3510</v>
      </c>
    </row>
    <row r="54" spans="3:5" ht="102">
      <c r="C54" s="1241"/>
      <c r="D54" s="326">
        <v>492</v>
      </c>
      <c r="E54" s="336" t="s">
        <v>3509</v>
      </c>
    </row>
    <row r="55" spans="3:5" ht="69.75" customHeight="1">
      <c r="C55" s="335" t="s">
        <v>18</v>
      </c>
      <c r="D55" s="326">
        <v>336</v>
      </c>
      <c r="E55" s="336" t="s">
        <v>3511</v>
      </c>
    </row>
    <row r="56" spans="3:5" ht="63.75">
      <c r="C56" s="335" t="s">
        <v>52</v>
      </c>
      <c r="D56" s="326">
        <v>322</v>
      </c>
      <c r="E56" s="336" t="s">
        <v>3512</v>
      </c>
    </row>
    <row r="57" spans="3:5" ht="63.75">
      <c r="C57" s="335" t="s">
        <v>143</v>
      </c>
      <c r="D57" s="326">
        <v>71</v>
      </c>
      <c r="E57" s="336" t="s">
        <v>3513</v>
      </c>
    </row>
    <row r="58" spans="3:5" ht="63.75">
      <c r="C58" s="335" t="s">
        <v>56</v>
      </c>
      <c r="D58" s="326">
        <v>324</v>
      </c>
      <c r="E58" s="336" t="s">
        <v>3514</v>
      </c>
    </row>
    <row r="59" spans="3:5" ht="58.5" customHeight="1">
      <c r="C59" s="335" t="s">
        <v>97</v>
      </c>
      <c r="D59" s="326">
        <v>486</v>
      </c>
      <c r="E59" s="336" t="s">
        <v>3515</v>
      </c>
    </row>
    <row r="60" spans="3:5" ht="60" customHeight="1">
      <c r="C60" s="335" t="s">
        <v>60</v>
      </c>
      <c r="D60" s="326">
        <v>326</v>
      </c>
      <c r="E60" s="336" t="s">
        <v>3516</v>
      </c>
    </row>
    <row r="61" spans="3:5" ht="57.75" customHeight="1">
      <c r="C61" s="335" t="s">
        <v>64</v>
      </c>
      <c r="D61" s="326">
        <v>331</v>
      </c>
      <c r="E61" s="336" t="s">
        <v>3517</v>
      </c>
    </row>
    <row r="62" spans="3:5" ht="54.75" customHeight="1">
      <c r="C62" s="1239" t="s">
        <v>54</v>
      </c>
      <c r="D62" s="326">
        <v>32311</v>
      </c>
      <c r="E62" s="336" t="s">
        <v>3518</v>
      </c>
    </row>
    <row r="63" spans="3:5" ht="44.25" customHeight="1">
      <c r="C63" s="1241"/>
      <c r="D63" s="326">
        <v>323120</v>
      </c>
      <c r="E63" s="336" t="s">
        <v>3519</v>
      </c>
    </row>
    <row r="64" spans="3:5" ht="63.75">
      <c r="C64" s="335" t="s">
        <v>105</v>
      </c>
      <c r="D64" s="326">
        <v>511</v>
      </c>
      <c r="E64" s="336" t="s">
        <v>3520</v>
      </c>
    </row>
    <row r="65" spans="3:5" ht="98.25" customHeight="1">
      <c r="C65" s="335" t="s">
        <v>89</v>
      </c>
      <c r="D65" s="326">
        <v>482</v>
      </c>
      <c r="E65" s="336" t="s">
        <v>3521</v>
      </c>
    </row>
    <row r="66" spans="3:5" ht="114.75">
      <c r="C66" s="1239" t="s">
        <v>121</v>
      </c>
      <c r="D66" s="326">
        <v>532</v>
      </c>
      <c r="E66" s="336" t="s">
        <v>3522</v>
      </c>
    </row>
    <row r="67" spans="3:5" ht="58.5" customHeight="1">
      <c r="C67" s="1241"/>
      <c r="D67" s="326">
        <v>533</v>
      </c>
      <c r="E67" s="336" t="s">
        <v>3523</v>
      </c>
    </row>
    <row r="68" spans="3:5" ht="58.5" customHeight="1">
      <c r="C68" s="335" t="s">
        <v>115</v>
      </c>
      <c r="D68" s="326">
        <v>523</v>
      </c>
      <c r="E68" s="336" t="s">
        <v>3524</v>
      </c>
    </row>
    <row r="69" spans="3:5" ht="25.5">
      <c r="C69" s="335" t="s">
        <v>141</v>
      </c>
      <c r="D69" s="326">
        <v>624</v>
      </c>
      <c r="E69" s="336" t="s">
        <v>3525</v>
      </c>
    </row>
    <row r="70" spans="3:5" ht="38.25">
      <c r="C70" s="335" t="s">
        <v>38</v>
      </c>
      <c r="D70" s="326">
        <v>21311</v>
      </c>
      <c r="E70" s="336" t="s">
        <v>3526</v>
      </c>
    </row>
    <row r="71" spans="3:5" ht="51">
      <c r="C71" s="1239" t="s">
        <v>46</v>
      </c>
      <c r="D71" s="326">
        <v>313</v>
      </c>
      <c r="E71" s="336" t="s">
        <v>3527</v>
      </c>
    </row>
    <row r="72" spans="3:5" ht="25.5">
      <c r="C72" s="1241"/>
      <c r="D72" s="326">
        <v>314</v>
      </c>
      <c r="E72" s="336" t="s">
        <v>3528</v>
      </c>
    </row>
    <row r="73" spans="3:5" ht="102">
      <c r="C73" s="335" t="s">
        <v>95</v>
      </c>
      <c r="D73" s="326">
        <v>485</v>
      </c>
      <c r="E73" s="336" t="s">
        <v>3529</v>
      </c>
    </row>
    <row r="74" spans="3:5" ht="70.5" customHeight="1">
      <c r="C74" s="335" t="s">
        <v>93</v>
      </c>
      <c r="D74" s="326">
        <v>484</v>
      </c>
      <c r="E74" s="336" t="s">
        <v>3530</v>
      </c>
    </row>
    <row r="75" spans="3:5" ht="35.25" customHeight="1">
      <c r="C75" s="335" t="s">
        <v>40</v>
      </c>
      <c r="D75" s="326">
        <v>221</v>
      </c>
      <c r="E75" s="336" t="s">
        <v>3531</v>
      </c>
    </row>
    <row r="76" spans="3:5" ht="89.25">
      <c r="C76" s="335" t="s">
        <v>101</v>
      </c>
      <c r="D76" s="326">
        <v>493</v>
      </c>
      <c r="E76" s="336" t="s">
        <v>3532</v>
      </c>
    </row>
    <row r="77" spans="3:5" ht="70.5" customHeight="1">
      <c r="C77" s="335" t="s">
        <v>132</v>
      </c>
      <c r="D77" s="326">
        <v>562</v>
      </c>
      <c r="E77" s="336" t="s">
        <v>3533</v>
      </c>
    </row>
    <row r="78" spans="3:5" ht="43.5" customHeight="1">
      <c r="C78" s="335" t="s">
        <v>91</v>
      </c>
      <c r="D78" s="326">
        <v>483</v>
      </c>
      <c r="E78" s="336" t="s">
        <v>3534</v>
      </c>
    </row>
    <row r="79" spans="3:5" ht="72.75" customHeight="1">
      <c r="C79" s="335" t="s">
        <v>81</v>
      </c>
      <c r="D79" s="326">
        <v>42</v>
      </c>
      <c r="E79" s="336" t="s">
        <v>3535</v>
      </c>
    </row>
    <row r="80" spans="3:5" ht="94.5" customHeight="1" thickBot="1">
      <c r="C80" s="337" t="s">
        <v>50</v>
      </c>
      <c r="D80" s="338">
        <v>321</v>
      </c>
      <c r="E80" s="339" t="s">
        <v>3536</v>
      </c>
    </row>
    <row r="83" spans="3:3" ht="15">
      <c r="C83" s="340" t="s">
        <v>3479</v>
      </c>
    </row>
    <row r="84" spans="3:3">
      <c r="C84" s="3" t="s">
        <v>3537</v>
      </c>
    </row>
    <row r="85" spans="3:3">
      <c r="C85" s="325" t="s">
        <v>3452</v>
      </c>
    </row>
  </sheetData>
  <sheetProtection algorithmName="SHA-512" hashValue="Ce9iHvNFOCXXhFpo2M9Dq9wHa0uiSgAJuTfMQHNOv+kkletPM90Y7nn34YOP69YJqEQdAyEQ0dxRol70Umqt5g==" saltValue="/uXwK6i2XCBGZ6N1fVPxSg==" spinCount="100000" sheet="1" objects="1" scenarios="1"/>
  <autoFilter ref="C1:E80" xr:uid="{00000000-0009-0000-0000-000027000000}"/>
  <mergeCells count="11">
    <mergeCell ref="C27:C29"/>
    <mergeCell ref="C9:C10"/>
    <mergeCell ref="C7:C8"/>
    <mergeCell ref="C15:C16"/>
    <mergeCell ref="C21:C22"/>
    <mergeCell ref="C23:C24"/>
    <mergeCell ref="C44:C46"/>
    <mergeCell ref="C66:C67"/>
    <mergeCell ref="C71:C72"/>
    <mergeCell ref="C62:C63"/>
    <mergeCell ref="C53:C54"/>
  </mergeCells>
  <hyperlinks>
    <hyperlink ref="C85" r:id="rId1" xr:uid="{00000000-0004-0000-2700-000000000000}"/>
  </hyperlinks>
  <pageMargins left="0.7" right="0.7" top="0.75" bottom="0.75" header="0.3" footer="0.3"/>
  <pageSetup orientation="portrait"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theme="3" tint="0.59999389629810485"/>
  </sheetPr>
  <dimension ref="A1:P34"/>
  <sheetViews>
    <sheetView showGridLines="0" workbookViewId="0">
      <selection activeCell="E25" sqref="E25"/>
    </sheetView>
  </sheetViews>
  <sheetFormatPr defaultColWidth="8.875" defaultRowHeight="14.25"/>
  <cols>
    <col min="3" max="3" width="15" customWidth="1"/>
  </cols>
  <sheetData>
    <row r="1" spans="1:16" ht="27.6" customHeight="1">
      <c r="A1" s="198" t="s">
        <v>1380</v>
      </c>
      <c r="B1" s="199"/>
      <c r="C1" s="199"/>
      <c r="D1" s="199"/>
      <c r="E1" s="199"/>
      <c r="F1" s="199"/>
      <c r="G1" s="199"/>
      <c r="H1" s="207"/>
      <c r="I1" s="207"/>
      <c r="J1" s="207"/>
      <c r="K1" s="207"/>
      <c r="L1" s="207"/>
      <c r="M1" s="207"/>
      <c r="N1" s="207"/>
      <c r="O1" s="207"/>
      <c r="P1" s="207"/>
    </row>
    <row r="3" spans="1:16" ht="15">
      <c r="B3" s="10" t="s">
        <v>1354</v>
      </c>
      <c r="D3" s="188"/>
    </row>
    <row r="4" spans="1:16" ht="15">
      <c r="B4" s="10" t="s">
        <v>1355</v>
      </c>
    </row>
    <row r="5" spans="1:16" ht="15">
      <c r="B5" s="10" t="s">
        <v>1357</v>
      </c>
    </row>
    <row r="6" spans="1:16" ht="15">
      <c r="B6" s="10" t="s">
        <v>304</v>
      </c>
    </row>
    <row r="7" spans="1:16" ht="15">
      <c r="B7" s="10" t="s">
        <v>1098</v>
      </c>
    </row>
    <row r="8" spans="1:16" ht="15">
      <c r="B8" s="10"/>
      <c r="C8" s="176" t="s">
        <v>1383</v>
      </c>
    </row>
    <row r="9" spans="1:16" ht="15">
      <c r="B9" s="10"/>
    </row>
    <row r="10" spans="1:16" ht="15">
      <c r="B10" s="10" t="s">
        <v>1356</v>
      </c>
    </row>
    <row r="11" spans="1:16" ht="15">
      <c r="B11" s="10"/>
      <c r="C11" s="176" t="s">
        <v>3608</v>
      </c>
    </row>
    <row r="12" spans="1:16" ht="15">
      <c r="B12" s="10"/>
      <c r="C12" s="176" t="s">
        <v>3602</v>
      </c>
    </row>
    <row r="13" spans="1:16" ht="15">
      <c r="B13" s="10"/>
      <c r="C13" s="377" t="s">
        <v>3601</v>
      </c>
    </row>
    <row r="14" spans="1:16" ht="15">
      <c r="B14" s="10"/>
      <c r="C14" s="380" t="s">
        <v>3605</v>
      </c>
    </row>
    <row r="15" spans="1:16" ht="15">
      <c r="B15" s="10"/>
      <c r="C15" s="380" t="s">
        <v>3606</v>
      </c>
    </row>
    <row r="16" spans="1:16" ht="15">
      <c r="B16" s="10"/>
      <c r="C16" s="176" t="s">
        <v>3607</v>
      </c>
    </row>
    <row r="18" spans="2:4" ht="15">
      <c r="B18" s="10" t="s">
        <v>303</v>
      </c>
    </row>
    <row r="19" spans="2:4">
      <c r="C19" s="176" t="s">
        <v>1377</v>
      </c>
    </row>
    <row r="20" spans="2:4">
      <c r="D20" s="176"/>
    </row>
    <row r="21" spans="2:4" ht="15">
      <c r="B21" s="10" t="s">
        <v>1358</v>
      </c>
      <c r="D21" s="176"/>
    </row>
    <row r="22" spans="2:4" ht="15">
      <c r="B22" s="10" t="s">
        <v>1360</v>
      </c>
    </row>
    <row r="23" spans="2:4" ht="15">
      <c r="B23" s="10"/>
      <c r="C23" s="176" t="s">
        <v>1384</v>
      </c>
    </row>
    <row r="24" spans="2:4" ht="15">
      <c r="B24" s="10"/>
      <c r="C24" s="176" t="s">
        <v>1385</v>
      </c>
    </row>
    <row r="25" spans="2:4" ht="15">
      <c r="B25" s="10"/>
      <c r="C25" s="176" t="s">
        <v>1377</v>
      </c>
    </row>
    <row r="26" spans="2:4" ht="15">
      <c r="B26" s="10"/>
      <c r="C26" s="176"/>
    </row>
    <row r="27" spans="2:4" ht="15">
      <c r="B27" s="10" t="s">
        <v>1359</v>
      </c>
      <c r="C27" s="176"/>
    </row>
    <row r="28" spans="2:4" ht="15">
      <c r="B28" s="10" t="s">
        <v>1361</v>
      </c>
      <c r="C28" s="176"/>
    </row>
    <row r="29" spans="2:4" ht="15">
      <c r="B29" s="10"/>
      <c r="C29" s="176" t="s">
        <v>3627</v>
      </c>
    </row>
    <row r="30" spans="2:4">
      <c r="C30" s="176" t="s">
        <v>1377</v>
      </c>
    </row>
    <row r="31" spans="2:4">
      <c r="C31" s="176"/>
    </row>
    <row r="32" spans="2:4" ht="15">
      <c r="B32" s="10" t="s">
        <v>1388</v>
      </c>
    </row>
    <row r="33" spans="3:3">
      <c r="C33" s="176" t="s">
        <v>1379</v>
      </c>
    </row>
    <row r="34" spans="3:3">
      <c r="C34" s="176" t="s">
        <v>1378</v>
      </c>
    </row>
  </sheetData>
  <sheetProtection algorithmName="SHA-512" hashValue="y8UuFHYOLx71N2vTcyVCjrsqQglmxi+cT3olqikDHgJ1KBCuB1R2o75ioiLVKQ0dFmLtURT5OeR3oekQN/lFOg==" saltValue="Qqubw5ya7rlveX/yHIXRHA==" spinCount="100000" sheet="1" objects="1" scenarios="1"/>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dimension ref="A2:G25"/>
  <sheetViews>
    <sheetView showGridLines="0" workbookViewId="0">
      <selection activeCell="C5" sqref="C5"/>
    </sheetView>
  </sheetViews>
  <sheetFormatPr defaultColWidth="8.875" defaultRowHeight="14.25"/>
  <cols>
    <col min="1" max="1" width="25.125" customWidth="1"/>
    <col min="2" max="2" width="11.5" customWidth="1"/>
    <col min="3" max="3" width="10.5" customWidth="1"/>
    <col min="4" max="5" width="11.5" customWidth="1"/>
    <col min="6" max="6" width="10.5" customWidth="1"/>
    <col min="7" max="7" width="9.625" customWidth="1"/>
  </cols>
  <sheetData>
    <row r="2" spans="1:7">
      <c r="A2" s="21" t="s">
        <v>263</v>
      </c>
      <c r="B2" s="22"/>
      <c r="C2" s="22"/>
      <c r="D2" s="22"/>
      <c r="E2" s="22"/>
      <c r="F2" s="22"/>
      <c r="G2" s="22"/>
    </row>
    <row r="3" spans="1:7" ht="15" thickBot="1">
      <c r="A3" s="22"/>
      <c r="B3" s="22"/>
      <c r="C3" s="22"/>
      <c r="D3" s="22"/>
      <c r="E3" s="22"/>
      <c r="F3" s="22"/>
      <c r="G3" s="22"/>
    </row>
    <row r="4" spans="1:7" ht="16.5" thickTop="1" thickBot="1">
      <c r="A4" s="23"/>
      <c r="B4" s="24" t="s">
        <v>264</v>
      </c>
      <c r="C4" s="24" t="s">
        <v>265</v>
      </c>
      <c r="D4" s="24" t="s">
        <v>266</v>
      </c>
      <c r="E4" s="24" t="s">
        <v>267</v>
      </c>
      <c r="F4" s="24" t="s">
        <v>268</v>
      </c>
      <c r="G4" s="22"/>
    </row>
    <row r="5" spans="1:7" ht="15.75" thickTop="1" thickBot="1">
      <c r="A5" s="25" t="s">
        <v>269</v>
      </c>
      <c r="B5" s="26"/>
      <c r="C5" s="27">
        <v>1E-3</v>
      </c>
      <c r="D5" s="28">
        <v>9.8420699999999996E-4</v>
      </c>
      <c r="E5" s="28">
        <v>1.1023109999999999E-3</v>
      </c>
      <c r="F5" s="29">
        <v>2.2046236800000001</v>
      </c>
      <c r="G5" s="22"/>
    </row>
    <row r="6" spans="1:7" ht="15.75" thickTop="1" thickBot="1">
      <c r="A6" s="25" t="s">
        <v>270</v>
      </c>
      <c r="B6" s="30">
        <v>1000</v>
      </c>
      <c r="C6" s="31"/>
      <c r="D6" s="32">
        <v>0.98420699999999994</v>
      </c>
      <c r="E6" s="32">
        <v>1.1023109999999998</v>
      </c>
      <c r="F6" s="33">
        <v>2204.6236800000001</v>
      </c>
      <c r="G6" s="22"/>
    </row>
    <row r="7" spans="1:7" ht="15.75" thickTop="1" thickBot="1">
      <c r="A7" s="25" t="s">
        <v>271</v>
      </c>
      <c r="B7" s="34">
        <v>1016.0464211288886</v>
      </c>
      <c r="C7" s="32">
        <v>1.0160464211288887</v>
      </c>
      <c r="D7" s="31"/>
      <c r="E7" s="32">
        <v>1.1199991465210062</v>
      </c>
      <c r="F7" s="35">
        <v>2240</v>
      </c>
      <c r="G7" s="22"/>
    </row>
    <row r="8" spans="1:7" ht="15.75" thickTop="1" thickBot="1">
      <c r="A8" s="25" t="s">
        <v>272</v>
      </c>
      <c r="B8" s="36">
        <v>907.18499588591612</v>
      </c>
      <c r="C8" s="32">
        <v>0.90718499588591617</v>
      </c>
      <c r="D8" s="32">
        <v>0.8928578232458898</v>
      </c>
      <c r="E8" s="31"/>
      <c r="F8" s="35">
        <v>2000.0015240707933</v>
      </c>
      <c r="G8" s="22"/>
    </row>
    <row r="9" spans="1:7" ht="15.75" thickTop="1" thickBot="1">
      <c r="A9" s="25" t="s">
        <v>273</v>
      </c>
      <c r="B9" s="37">
        <v>0.45359215228968236</v>
      </c>
      <c r="C9" s="38">
        <v>4.5359215228968239E-4</v>
      </c>
      <c r="D9" s="38">
        <v>4.4642857142857141E-4</v>
      </c>
      <c r="E9" s="39">
        <v>4.9999961898259206E-4</v>
      </c>
      <c r="F9" s="40"/>
      <c r="G9" s="22"/>
    </row>
    <row r="10" spans="1:7" ht="15.75" thickTop="1" thickBot="1">
      <c r="A10" s="22"/>
      <c r="B10" s="22"/>
      <c r="C10" s="22"/>
      <c r="D10" s="22"/>
      <c r="E10" s="22"/>
      <c r="F10" s="22"/>
      <c r="G10" s="22"/>
    </row>
    <row r="11" spans="1:7" ht="18.75" thickTop="1" thickBot="1">
      <c r="A11" s="41"/>
      <c r="B11" s="24" t="s">
        <v>274</v>
      </c>
      <c r="C11" s="24" t="s">
        <v>275</v>
      </c>
      <c r="D11" s="24" t="s">
        <v>276</v>
      </c>
      <c r="E11" s="24" t="s">
        <v>277</v>
      </c>
      <c r="F11" s="24" t="s">
        <v>278</v>
      </c>
      <c r="G11" s="24" t="s">
        <v>279</v>
      </c>
    </row>
    <row r="12" spans="1:7" ht="15.75" thickTop="1" thickBot="1">
      <c r="A12" s="25" t="s">
        <v>280</v>
      </c>
      <c r="B12" s="26"/>
      <c r="C12" s="27">
        <v>1E-3</v>
      </c>
      <c r="D12" s="28">
        <v>3.5314667000000001E-2</v>
      </c>
      <c r="E12" s="28">
        <v>0.21996924800000001</v>
      </c>
      <c r="F12" s="28">
        <v>0.26417205100000002</v>
      </c>
      <c r="G12" s="42">
        <v>6.2898110000000002E-3</v>
      </c>
    </row>
    <row r="13" spans="1:7" ht="18.75" thickTop="1" thickBot="1">
      <c r="A13" s="25" t="s">
        <v>281</v>
      </c>
      <c r="B13" s="30">
        <v>1000</v>
      </c>
      <c r="C13" s="31"/>
      <c r="D13" s="43">
        <v>35.314667</v>
      </c>
      <c r="E13" s="44">
        <v>219.96924799999999</v>
      </c>
      <c r="F13" s="44">
        <v>264.17205100000001</v>
      </c>
      <c r="G13" s="45">
        <v>6.2898110000000003</v>
      </c>
    </row>
    <row r="14" spans="1:7" ht="15.75" thickTop="1" thickBot="1">
      <c r="A14" s="25" t="s">
        <v>282</v>
      </c>
      <c r="B14" s="46">
        <v>28.316846368677353</v>
      </c>
      <c r="C14" s="32">
        <v>2.8316846368677356E-2</v>
      </c>
      <c r="D14" s="31"/>
      <c r="E14" s="47">
        <v>6.228835401449488</v>
      </c>
      <c r="F14" s="32">
        <v>7.4805193830653991</v>
      </c>
      <c r="G14" s="33">
        <v>0.17810761177501688</v>
      </c>
    </row>
    <row r="15" spans="1:7" ht="15.75" thickTop="1" thickBot="1">
      <c r="A15" s="25" t="s">
        <v>283</v>
      </c>
      <c r="B15" s="48">
        <v>4.5460900061812275</v>
      </c>
      <c r="C15" s="32">
        <v>4.5460900061812274E-3</v>
      </c>
      <c r="D15" s="32">
        <v>0.16054365472031801</v>
      </c>
      <c r="E15" s="31"/>
      <c r="F15" s="32">
        <v>1.2009499209634977</v>
      </c>
      <c r="G15" s="49">
        <v>2.8594046927868752E-2</v>
      </c>
    </row>
    <row r="16" spans="1:7" ht="15.75" thickTop="1" thickBot="1">
      <c r="A16" s="25" t="s">
        <v>278</v>
      </c>
      <c r="B16" s="48">
        <v>3.7854118034613733</v>
      </c>
      <c r="C16" s="50">
        <v>3.7854118034613732E-3</v>
      </c>
      <c r="D16" s="32">
        <v>0.13368055729710784</v>
      </c>
      <c r="E16" s="32">
        <v>0.83267418777772206</v>
      </c>
      <c r="F16" s="31"/>
      <c r="G16" s="49">
        <v>2.3809524800941183E-2</v>
      </c>
    </row>
    <row r="17" spans="1:7" ht="15.75" thickTop="1" thickBot="1">
      <c r="A17" s="25" t="s">
        <v>284</v>
      </c>
      <c r="B17" s="51">
        <v>158.98728912522174</v>
      </c>
      <c r="C17" s="39">
        <v>0.15898728912522173</v>
      </c>
      <c r="D17" s="52">
        <v>5.6145831726899269</v>
      </c>
      <c r="E17" s="53">
        <v>34.972314430433606</v>
      </c>
      <c r="F17" s="54">
        <v>41.999998251139822</v>
      </c>
      <c r="G17" s="40"/>
    </row>
    <row r="18" spans="1:7" ht="15.75" thickTop="1" thickBot="1">
      <c r="A18" s="22"/>
      <c r="B18" s="22"/>
      <c r="C18" s="22"/>
      <c r="D18" s="22"/>
      <c r="E18" s="22"/>
      <c r="F18" s="22"/>
      <c r="G18" s="22"/>
    </row>
    <row r="19" spans="1:7" ht="15.75" thickTop="1" thickBot="1">
      <c r="A19" s="41"/>
      <c r="B19" s="24" t="s">
        <v>285</v>
      </c>
      <c r="C19" s="24" t="s">
        <v>286</v>
      </c>
      <c r="D19" s="24" t="s">
        <v>287</v>
      </c>
      <c r="E19" s="24" t="s">
        <v>288</v>
      </c>
      <c r="F19" s="24" t="s">
        <v>289</v>
      </c>
      <c r="G19" s="22"/>
    </row>
    <row r="20" spans="1:7" ht="15.75" thickTop="1" thickBot="1">
      <c r="A20" s="25" t="s">
        <v>290</v>
      </c>
      <c r="B20" s="26"/>
      <c r="C20" s="55">
        <v>277.77777777799997</v>
      </c>
      <c r="D20" s="56">
        <v>9.4781707770000008</v>
      </c>
      <c r="E20" s="56">
        <v>2.3884590000000001E-2</v>
      </c>
      <c r="F20" s="57">
        <v>238902.95761861501</v>
      </c>
      <c r="G20" s="22"/>
    </row>
    <row r="21" spans="1:7" ht="15.75" thickTop="1" thickBot="1">
      <c r="A21" s="25" t="s">
        <v>291</v>
      </c>
      <c r="B21" s="58">
        <v>3.5999999999971203E-3</v>
      </c>
      <c r="C21" s="31"/>
      <c r="D21" s="59">
        <v>3.4121414797172706E-2</v>
      </c>
      <c r="E21" s="59">
        <v>8.5984523999931223E-5</v>
      </c>
      <c r="F21" s="60">
        <v>860.05064742632601</v>
      </c>
      <c r="G21" s="22"/>
    </row>
    <row r="22" spans="1:7" ht="15.75" thickTop="1" thickBot="1">
      <c r="A22" s="25" t="s">
        <v>292</v>
      </c>
      <c r="B22" s="61">
        <v>0.10550559000547115</v>
      </c>
      <c r="C22" s="62">
        <v>29.307108334876538</v>
      </c>
      <c r="D22" s="31"/>
      <c r="E22" s="59">
        <v>2.5199577599887761E-3</v>
      </c>
      <c r="F22" s="63">
        <v>25205.597497604045</v>
      </c>
      <c r="G22" s="22"/>
    </row>
    <row r="23" spans="1:7" ht="15.75" thickTop="1" thickBot="1">
      <c r="A23" s="25" t="s">
        <v>293</v>
      </c>
      <c r="B23" s="64">
        <v>41.867999408823849</v>
      </c>
      <c r="C23" s="65">
        <v>11629.999835793706</v>
      </c>
      <c r="D23" s="66">
        <v>396.83204848816752</v>
      </c>
      <c r="E23" s="31"/>
      <c r="F23" s="63">
        <v>10002388.888342442</v>
      </c>
      <c r="G23" s="22"/>
    </row>
    <row r="24" spans="1:7" ht="15.75" thickTop="1" thickBot="1">
      <c r="A24" s="25" t="s">
        <v>294</v>
      </c>
      <c r="B24" s="67">
        <v>4.1858000000000057E-6</v>
      </c>
      <c r="C24" s="68">
        <v>1.1627222222231539E-3</v>
      </c>
      <c r="D24" s="69">
        <v>3.9673727238366659E-5</v>
      </c>
      <c r="E24" s="69">
        <v>9.9976116822000138E-8</v>
      </c>
      <c r="F24" s="40"/>
      <c r="G24" s="22"/>
    </row>
    <row r="25" spans="1:7" ht="15" thickTop="1"/>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1"/>
  <dimension ref="A1:C14"/>
  <sheetViews>
    <sheetView workbookViewId="0"/>
  </sheetViews>
  <sheetFormatPr defaultColWidth="8.875" defaultRowHeight="14.25"/>
  <cols>
    <col min="2" max="2" width="28.625" customWidth="1"/>
    <col min="3" max="3" width="26.875" customWidth="1"/>
  </cols>
  <sheetData>
    <row r="1" spans="1:3" ht="45">
      <c r="A1" s="5" t="s">
        <v>24</v>
      </c>
      <c r="B1" s="5" t="s">
        <v>25</v>
      </c>
      <c r="C1" s="6" t="s">
        <v>26</v>
      </c>
    </row>
    <row r="2" spans="1:3">
      <c r="A2">
        <v>2010</v>
      </c>
      <c r="B2" s="7">
        <v>0.152</v>
      </c>
      <c r="C2" s="8">
        <f>1+Inflation!$B2</f>
        <v>1.1519999999999999</v>
      </c>
    </row>
    <row r="3" spans="1:3">
      <c r="A3">
        <v>2011</v>
      </c>
      <c r="B3" s="7">
        <v>0.11600000000000001</v>
      </c>
      <c r="C3" s="8">
        <f>1+Inflation!$B3</f>
        <v>1.1160000000000001</v>
      </c>
    </row>
    <row r="4" spans="1:3">
      <c r="A4">
        <v>2012</v>
      </c>
      <c r="B4" s="7">
        <v>9.4E-2</v>
      </c>
      <c r="C4" s="8">
        <f>1+Inflation!$B4</f>
        <v>1.0940000000000001</v>
      </c>
    </row>
    <row r="5" spans="1:3">
      <c r="A5">
        <v>2013</v>
      </c>
      <c r="B5" s="7">
        <v>7.8E-2</v>
      </c>
      <c r="C5" s="8">
        <f>1+Inflation!$B5</f>
        <v>1.0780000000000001</v>
      </c>
    </row>
    <row r="6" spans="1:3">
      <c r="A6">
        <v>2014</v>
      </c>
      <c r="B6" s="7">
        <v>6.0999999999999999E-2</v>
      </c>
      <c r="C6" s="8">
        <f>1+Inflation!$B6</f>
        <v>1.0609999999999999</v>
      </c>
    </row>
    <row r="7" spans="1:3">
      <c r="A7">
        <v>2015</v>
      </c>
      <c r="B7" s="7">
        <v>5.8999999999999997E-2</v>
      </c>
      <c r="C7" s="8">
        <f>1+Inflation!$B7</f>
        <v>1.0589999999999999</v>
      </c>
    </row>
    <row r="8" spans="1:3">
      <c r="A8">
        <v>2016</v>
      </c>
      <c r="B8" s="7">
        <v>4.5999999999999999E-2</v>
      </c>
      <c r="C8" s="8">
        <f>1+Inflation!$B8</f>
        <v>1.046</v>
      </c>
    </row>
    <row r="9" spans="1:3">
      <c r="A9">
        <v>2017</v>
      </c>
      <c r="B9" s="7">
        <v>2.4E-2</v>
      </c>
      <c r="C9" s="8">
        <f>1+Inflation!$B9</f>
        <v>1.024</v>
      </c>
    </row>
    <row r="10" spans="1:3">
      <c r="A10">
        <v>2018</v>
      </c>
      <c r="B10" s="7">
        <v>0</v>
      </c>
      <c r="C10" s="8">
        <f>1+Inflation!$B10</f>
        <v>1</v>
      </c>
    </row>
    <row r="11" spans="1:3">
      <c r="A11">
        <v>2019</v>
      </c>
      <c r="B11" s="7">
        <v>-1.7999999999999999E-2</v>
      </c>
      <c r="C11" s="8">
        <f>1+Inflation!$B11</f>
        <v>0.98199999999999998</v>
      </c>
    </row>
    <row r="12" spans="1:3">
      <c r="A12">
        <v>2020</v>
      </c>
      <c r="B12" s="7">
        <v>-3.4000000000000002E-2</v>
      </c>
      <c r="C12" s="8">
        <f>1+Inflation!$B12</f>
        <v>0.96599999999999997</v>
      </c>
    </row>
    <row r="14" spans="1:3">
      <c r="A14" s="9" t="s">
        <v>27</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9"/>
  <dimension ref="A1:Y395"/>
  <sheetViews>
    <sheetView zoomScale="80" zoomScaleNormal="80" workbookViewId="0">
      <pane ySplit="1" topLeftCell="A2" activePane="bottomLeft" state="frozen"/>
      <selection activeCell="A42" sqref="A42"/>
      <selection pane="bottomLeft" activeCell="D1" sqref="D1:D1048576"/>
    </sheetView>
  </sheetViews>
  <sheetFormatPr defaultColWidth="8.875" defaultRowHeight="14.25"/>
  <cols>
    <col min="1" max="1" width="158.875" bestFit="1" customWidth="1"/>
    <col min="4" max="4" width="35.5" customWidth="1"/>
    <col min="5" max="5" width="33.5" customWidth="1"/>
    <col min="6" max="6" width="8" customWidth="1"/>
    <col min="7" max="7" width="33.5" customWidth="1"/>
    <col min="8" max="8" width="29.875" customWidth="1"/>
    <col min="9" max="9" width="33.5" customWidth="1"/>
    <col min="10" max="10" width="69.5" customWidth="1"/>
    <col min="11" max="11" width="33.5" customWidth="1"/>
    <col min="13" max="14" width="62.875" customWidth="1"/>
    <col min="18" max="18" width="14.375" customWidth="1"/>
    <col min="19" max="19" width="13" customWidth="1"/>
    <col min="21" max="21" width="14.5" customWidth="1"/>
    <col min="23" max="23" width="24.375" customWidth="1"/>
    <col min="25" max="25" width="23.625" customWidth="1"/>
    <col min="27" max="27" width="16.375" customWidth="1"/>
  </cols>
  <sheetData>
    <row r="1" spans="1:25" ht="15">
      <c r="A1" s="232" t="s">
        <v>1505</v>
      </c>
      <c r="D1" s="439" t="s">
        <v>163</v>
      </c>
      <c r="F1" s="10"/>
      <c r="G1" s="10" t="s">
        <v>183</v>
      </c>
      <c r="H1" s="439" t="s">
        <v>205</v>
      </c>
      <c r="I1" s="10"/>
      <c r="J1" s="439" t="s">
        <v>1091</v>
      </c>
      <c r="K1" s="10"/>
      <c r="M1" s="423" t="s">
        <v>1090</v>
      </c>
      <c r="N1" s="425" t="s">
        <v>182</v>
      </c>
      <c r="P1" s="439" t="s">
        <v>161</v>
      </c>
      <c r="R1" s="423" t="s">
        <v>178</v>
      </c>
      <c r="S1" s="425" t="s">
        <v>179</v>
      </c>
      <c r="W1" s="439" t="s">
        <v>185</v>
      </c>
      <c r="Y1" s="439" t="s">
        <v>195</v>
      </c>
    </row>
    <row r="2" spans="1:25">
      <c r="A2" s="230" t="s">
        <v>1434</v>
      </c>
      <c r="D2" s="440" t="s">
        <v>232</v>
      </c>
      <c r="E2" t="s">
        <v>173</v>
      </c>
      <c r="F2" t="s">
        <v>184</v>
      </c>
      <c r="G2" t="s">
        <v>164</v>
      </c>
      <c r="H2" s="440" t="s">
        <v>231</v>
      </c>
      <c r="J2" s="442" t="s">
        <v>564</v>
      </c>
      <c r="M2" s="432" t="s">
        <v>172</v>
      </c>
      <c r="N2" s="428"/>
      <c r="P2" s="440">
        <v>2010</v>
      </c>
      <c r="R2" s="432" t="s">
        <v>11</v>
      </c>
      <c r="S2" s="428">
        <v>1</v>
      </c>
      <c r="W2" s="440" t="s">
        <v>186</v>
      </c>
      <c r="Y2" s="440" t="s">
        <v>189</v>
      </c>
    </row>
    <row r="3" spans="1:25">
      <c r="A3" s="234" t="s">
        <v>1451</v>
      </c>
      <c r="D3" s="441" t="s">
        <v>233</v>
      </c>
      <c r="E3" t="s">
        <v>173</v>
      </c>
      <c r="F3" t="s">
        <v>184</v>
      </c>
      <c r="G3" t="s">
        <v>165</v>
      </c>
      <c r="H3" s="438" t="s">
        <v>230</v>
      </c>
      <c r="J3" s="443" t="s">
        <v>966</v>
      </c>
      <c r="M3" s="433" t="s">
        <v>147</v>
      </c>
      <c r="N3" s="431"/>
      <c r="P3" s="441">
        <v>2011</v>
      </c>
      <c r="R3" s="433" t="s">
        <v>13</v>
      </c>
      <c r="S3" s="431">
        <v>28</v>
      </c>
      <c r="W3" s="438" t="s">
        <v>187</v>
      </c>
      <c r="Y3" s="441" t="s">
        <v>190</v>
      </c>
    </row>
    <row r="4" spans="1:25">
      <c r="A4" s="234" t="s">
        <v>1452</v>
      </c>
      <c r="D4" s="440" t="s">
        <v>234</v>
      </c>
      <c r="E4" t="s">
        <v>174</v>
      </c>
      <c r="J4" s="442" t="s">
        <v>520</v>
      </c>
      <c r="M4" s="432" t="s">
        <v>130</v>
      </c>
      <c r="N4" s="428"/>
      <c r="P4" s="440">
        <v>2012</v>
      </c>
      <c r="R4" s="432" t="s">
        <v>14</v>
      </c>
      <c r="S4" s="428">
        <v>265</v>
      </c>
      <c r="Y4" s="440" t="s">
        <v>191</v>
      </c>
    </row>
    <row r="5" spans="1:25">
      <c r="A5" s="234" t="s">
        <v>1453</v>
      </c>
      <c r="D5" s="441" t="s">
        <v>231</v>
      </c>
      <c r="E5" t="s">
        <v>175</v>
      </c>
      <c r="J5" s="443" t="s">
        <v>984</v>
      </c>
      <c r="M5" s="433" t="s">
        <v>87</v>
      </c>
      <c r="N5" s="431"/>
      <c r="P5" s="441">
        <v>2013</v>
      </c>
      <c r="R5" s="422" t="s">
        <v>15</v>
      </c>
      <c r="S5" s="445">
        <v>1</v>
      </c>
      <c r="Y5" s="441" t="s">
        <v>192</v>
      </c>
    </row>
    <row r="6" spans="1:25">
      <c r="A6" s="234" t="s">
        <v>1454</v>
      </c>
      <c r="D6" s="440" t="s">
        <v>204</v>
      </c>
      <c r="E6" t="s">
        <v>176</v>
      </c>
      <c r="J6" s="442" t="s">
        <v>335</v>
      </c>
      <c r="M6" s="446" t="s">
        <v>136</v>
      </c>
      <c r="N6" s="428"/>
      <c r="P6" s="440">
        <v>2014</v>
      </c>
      <c r="Y6" s="440" t="s">
        <v>193</v>
      </c>
    </row>
    <row r="7" spans="1:25">
      <c r="A7" s="234" t="s">
        <v>1455</v>
      </c>
      <c r="D7" s="441" t="s">
        <v>235</v>
      </c>
      <c r="J7" s="443" t="s">
        <v>672</v>
      </c>
      <c r="M7" s="433" t="s">
        <v>145</v>
      </c>
      <c r="N7" s="431"/>
      <c r="P7" s="441">
        <v>2015</v>
      </c>
      <c r="Y7" s="441" t="s">
        <v>194</v>
      </c>
    </row>
    <row r="8" spans="1:25">
      <c r="A8" s="234" t="s">
        <v>1456</v>
      </c>
      <c r="D8" s="440" t="s">
        <v>236</v>
      </c>
      <c r="J8" s="442" t="s">
        <v>654</v>
      </c>
      <c r="M8" s="432" t="s">
        <v>48</v>
      </c>
      <c r="N8" s="428"/>
      <c r="P8" s="440">
        <v>2016</v>
      </c>
      <c r="Y8" s="437"/>
    </row>
    <row r="9" spans="1:25">
      <c r="A9" s="230" t="s">
        <v>1435</v>
      </c>
      <c r="D9" s="441" t="s">
        <v>237</v>
      </c>
      <c r="J9" s="443" t="s">
        <v>884</v>
      </c>
      <c r="M9" s="433" t="s">
        <v>109</v>
      </c>
      <c r="N9" s="431"/>
      <c r="P9" s="441">
        <v>2017</v>
      </c>
    </row>
    <row r="10" spans="1:25">
      <c r="A10" s="234" t="s">
        <v>1457</v>
      </c>
      <c r="D10" s="440" t="s">
        <v>230</v>
      </c>
      <c r="E10" t="s">
        <v>175</v>
      </c>
      <c r="J10" s="442" t="s">
        <v>17</v>
      </c>
      <c r="M10" s="446" t="s">
        <v>58</v>
      </c>
      <c r="N10" s="428"/>
      <c r="P10" s="440">
        <v>2018</v>
      </c>
    </row>
    <row r="11" spans="1:25">
      <c r="A11" s="230" t="s">
        <v>1436</v>
      </c>
      <c r="D11" s="441" t="s">
        <v>166</v>
      </c>
      <c r="J11" s="443" t="s">
        <v>791</v>
      </c>
      <c r="M11" s="433" t="s">
        <v>70</v>
      </c>
      <c r="N11" s="431"/>
      <c r="P11" s="441">
        <v>2019</v>
      </c>
    </row>
    <row r="12" spans="1:25">
      <c r="A12" s="234" t="s">
        <v>1458</v>
      </c>
      <c r="D12" s="440" t="s">
        <v>167</v>
      </c>
      <c r="J12" s="442" t="s">
        <v>478</v>
      </c>
      <c r="M12" s="432" t="s">
        <v>126</v>
      </c>
      <c r="N12" s="428"/>
      <c r="P12" s="437">
        <v>2020</v>
      </c>
    </row>
    <row r="13" spans="1:25">
      <c r="A13" s="234" t="s">
        <v>1459</v>
      </c>
      <c r="D13" s="441" t="s">
        <v>168</v>
      </c>
      <c r="E13" t="s">
        <v>176</v>
      </c>
      <c r="J13" s="443" t="s">
        <v>1065</v>
      </c>
      <c r="M13" s="433" t="s">
        <v>42</v>
      </c>
      <c r="N13" s="431"/>
    </row>
    <row r="14" spans="1:25">
      <c r="A14" s="234" t="s">
        <v>1460</v>
      </c>
      <c r="D14" s="440" t="s">
        <v>169</v>
      </c>
      <c r="J14" s="442" t="s">
        <v>428</v>
      </c>
      <c r="M14" s="432" t="s">
        <v>111</v>
      </c>
      <c r="N14" s="428"/>
    </row>
    <row r="15" spans="1:25">
      <c r="A15" s="234" t="s">
        <v>1461</v>
      </c>
      <c r="D15" s="441" t="s">
        <v>170</v>
      </c>
      <c r="J15" s="443" t="s">
        <v>596</v>
      </c>
      <c r="M15" s="433" t="s">
        <v>134</v>
      </c>
      <c r="N15" s="431"/>
    </row>
    <row r="16" spans="1:25">
      <c r="A16" s="234" t="s">
        <v>1462</v>
      </c>
      <c r="D16" s="437" t="s">
        <v>171</v>
      </c>
      <c r="J16" s="442" t="s">
        <v>904</v>
      </c>
      <c r="M16" s="432" t="s">
        <v>72</v>
      </c>
      <c r="N16" s="428"/>
    </row>
    <row r="17" spans="1:14">
      <c r="A17" s="234" t="s">
        <v>1463</v>
      </c>
      <c r="J17" s="443" t="s">
        <v>578</v>
      </c>
      <c r="M17" s="433" t="s">
        <v>66</v>
      </c>
      <c r="N17" s="431"/>
    </row>
    <row r="18" spans="1:14">
      <c r="A18" s="234" t="s">
        <v>1464</v>
      </c>
      <c r="J18" s="442" t="s">
        <v>580</v>
      </c>
      <c r="M18" s="432" t="s">
        <v>30</v>
      </c>
      <c r="N18" s="428"/>
    </row>
    <row r="19" spans="1:14">
      <c r="A19" t="s">
        <v>1465</v>
      </c>
      <c r="J19" s="443" t="s">
        <v>1030</v>
      </c>
      <c r="M19" s="433" t="s">
        <v>113</v>
      </c>
      <c r="N19" s="431"/>
    </row>
    <row r="20" spans="1:14">
      <c r="A20" t="s">
        <v>1466</v>
      </c>
      <c r="J20" s="442" t="s">
        <v>630</v>
      </c>
      <c r="M20" s="432" t="s">
        <v>44</v>
      </c>
      <c r="N20" s="428"/>
    </row>
    <row r="21" spans="1:14">
      <c r="A21" t="s">
        <v>1467</v>
      </c>
      <c r="J21" s="443" t="s">
        <v>1053</v>
      </c>
      <c r="M21" s="433" t="s">
        <v>19</v>
      </c>
      <c r="N21" s="431"/>
    </row>
    <row r="22" spans="1:14">
      <c r="A22" t="s">
        <v>1468</v>
      </c>
      <c r="J22" s="442" t="s">
        <v>720</v>
      </c>
      <c r="M22" s="432" t="s">
        <v>149</v>
      </c>
      <c r="N22" s="428"/>
    </row>
    <row r="23" spans="1:14">
      <c r="A23" s="242" t="s">
        <v>1437</v>
      </c>
      <c r="J23" s="443" t="s">
        <v>329</v>
      </c>
      <c r="M23" s="433" t="s">
        <v>32</v>
      </c>
      <c r="N23" s="431"/>
    </row>
    <row r="24" spans="1:14">
      <c r="A24" t="s">
        <v>1469</v>
      </c>
      <c r="J24" s="442" t="s">
        <v>968</v>
      </c>
      <c r="M24" s="432" t="s">
        <v>119</v>
      </c>
      <c r="N24" s="428"/>
    </row>
    <row r="25" spans="1:14">
      <c r="A25" t="s">
        <v>1470</v>
      </c>
      <c r="J25" s="443" t="s">
        <v>486</v>
      </c>
      <c r="M25" s="433" t="s">
        <v>77</v>
      </c>
      <c r="N25" s="431"/>
    </row>
    <row r="26" spans="1:14">
      <c r="A26" t="s">
        <v>1471</v>
      </c>
      <c r="J26" s="442" t="s">
        <v>488</v>
      </c>
      <c r="M26" s="432" t="s">
        <v>20</v>
      </c>
      <c r="N26" s="428"/>
    </row>
    <row r="27" spans="1:14">
      <c r="A27" t="s">
        <v>1472</v>
      </c>
      <c r="J27" s="443" t="s">
        <v>700</v>
      </c>
      <c r="M27" s="433" t="s">
        <v>23</v>
      </c>
      <c r="N27" s="431"/>
    </row>
    <row r="28" spans="1:14">
      <c r="A28" t="s">
        <v>1473</v>
      </c>
      <c r="J28" s="442" t="s">
        <v>712</v>
      </c>
      <c r="M28" s="432" t="s">
        <v>153</v>
      </c>
      <c r="N28" s="428"/>
    </row>
    <row r="29" spans="1:14">
      <c r="A29" t="s">
        <v>1474</v>
      </c>
      <c r="J29" s="443" t="s">
        <v>762</v>
      </c>
      <c r="M29" s="433" t="s">
        <v>117</v>
      </c>
      <c r="N29" s="431"/>
    </row>
    <row r="30" spans="1:14">
      <c r="A30" t="s">
        <v>1475</v>
      </c>
      <c r="J30" s="442" t="s">
        <v>624</v>
      </c>
      <c r="M30" s="432" t="s">
        <v>22</v>
      </c>
      <c r="N30" s="428"/>
    </row>
    <row r="31" spans="1:14">
      <c r="A31" t="s">
        <v>1476</v>
      </c>
      <c r="J31" s="443" t="s">
        <v>514</v>
      </c>
      <c r="M31" s="433" t="s">
        <v>68</v>
      </c>
      <c r="N31" s="431"/>
    </row>
    <row r="32" spans="1:14">
      <c r="A32" t="s">
        <v>1477</v>
      </c>
      <c r="J32" s="442" t="s">
        <v>803</v>
      </c>
      <c r="M32" s="432" t="s">
        <v>128</v>
      </c>
      <c r="N32" s="428"/>
    </row>
    <row r="33" spans="1:14">
      <c r="A33" s="242" t="s">
        <v>1438</v>
      </c>
      <c r="J33" s="443" t="s">
        <v>910</v>
      </c>
      <c r="M33" s="433" t="s">
        <v>36</v>
      </c>
      <c r="N33" s="431"/>
    </row>
    <row r="34" spans="1:14">
      <c r="A34" t="s">
        <v>1478</v>
      </c>
      <c r="J34" s="442" t="s">
        <v>480</v>
      </c>
      <c r="M34" s="446" t="s">
        <v>79</v>
      </c>
      <c r="N34" s="428"/>
    </row>
    <row r="35" spans="1:14">
      <c r="A35" t="s">
        <v>1479</v>
      </c>
      <c r="J35" s="443" t="s">
        <v>416</v>
      </c>
      <c r="M35" s="433" t="s">
        <v>124</v>
      </c>
      <c r="N35" s="431"/>
    </row>
    <row r="36" spans="1:14">
      <c r="A36" t="s">
        <v>1480</v>
      </c>
      <c r="J36" s="442" t="s">
        <v>394</v>
      </c>
      <c r="M36" s="432" t="s">
        <v>107</v>
      </c>
      <c r="N36" s="428"/>
    </row>
    <row r="37" spans="1:14">
      <c r="A37" s="242" t="s">
        <v>1439</v>
      </c>
      <c r="J37" s="443" t="s">
        <v>432</v>
      </c>
      <c r="M37" s="433" t="s">
        <v>83</v>
      </c>
      <c r="N37" s="431"/>
    </row>
    <row r="38" spans="1:14">
      <c r="A38" t="s">
        <v>1481</v>
      </c>
      <c r="J38" s="442" t="s">
        <v>872</v>
      </c>
      <c r="M38" s="432" t="s">
        <v>74</v>
      </c>
      <c r="N38" s="428"/>
    </row>
    <row r="39" spans="1:14">
      <c r="A39" s="242" t="s">
        <v>1440</v>
      </c>
      <c r="J39" s="443" t="s">
        <v>1006</v>
      </c>
      <c r="M39" s="433" t="s">
        <v>62</v>
      </c>
      <c r="N39" s="431"/>
    </row>
    <row r="40" spans="1:14">
      <c r="A40" t="s">
        <v>1482</v>
      </c>
      <c r="J40" s="442" t="s">
        <v>1000</v>
      </c>
      <c r="M40" s="446" t="s">
        <v>139</v>
      </c>
      <c r="N40" s="428"/>
    </row>
    <row r="41" spans="1:14">
      <c r="A41" s="350" t="s">
        <v>3541</v>
      </c>
      <c r="J41" s="443" t="s">
        <v>922</v>
      </c>
      <c r="M41" s="433" t="s">
        <v>34</v>
      </c>
      <c r="N41" s="431"/>
    </row>
    <row r="42" spans="1:14">
      <c r="A42" s="342" t="s">
        <v>3568</v>
      </c>
      <c r="J42" s="442" t="s">
        <v>758</v>
      </c>
      <c r="M42" s="432" t="s">
        <v>21</v>
      </c>
      <c r="N42" s="428"/>
    </row>
    <row r="43" spans="1:14">
      <c r="A43" s="345" t="s">
        <v>3542</v>
      </c>
      <c r="J43" s="443" t="s">
        <v>468</v>
      </c>
      <c r="M43" s="433" t="s">
        <v>103</v>
      </c>
      <c r="N43" s="431"/>
    </row>
    <row r="44" spans="1:14">
      <c r="A44" s="342" t="s">
        <v>3543</v>
      </c>
      <c r="J44" s="442" t="s">
        <v>470</v>
      </c>
      <c r="M44" s="432" t="s">
        <v>151</v>
      </c>
      <c r="N44" s="428"/>
    </row>
    <row r="45" spans="1:14">
      <c r="A45" s="345" t="s">
        <v>3544</v>
      </c>
      <c r="J45" s="443" t="s">
        <v>446</v>
      </c>
      <c r="M45" s="433" t="s">
        <v>99</v>
      </c>
      <c r="N45" s="431"/>
    </row>
    <row r="46" spans="1:14">
      <c r="A46" s="342" t="s">
        <v>3545</v>
      </c>
      <c r="J46" s="442" t="s">
        <v>588</v>
      </c>
      <c r="M46" s="432" t="s">
        <v>18</v>
      </c>
      <c r="N46" s="428"/>
    </row>
    <row r="47" spans="1:14">
      <c r="A47" s="345" t="s">
        <v>3546</v>
      </c>
      <c r="J47" s="443" t="s">
        <v>325</v>
      </c>
      <c r="M47" s="433" t="s">
        <v>52</v>
      </c>
      <c r="N47" s="431"/>
    </row>
    <row r="48" spans="1:14">
      <c r="A48" s="342" t="s">
        <v>3547</v>
      </c>
      <c r="J48" s="442" t="s">
        <v>554</v>
      </c>
      <c r="M48" s="432" t="s">
        <v>143</v>
      </c>
      <c r="N48" s="428"/>
    </row>
    <row r="49" spans="1:14">
      <c r="A49" s="342" t="s">
        <v>3548</v>
      </c>
      <c r="J49" s="443" t="s">
        <v>402</v>
      </c>
      <c r="M49" s="433" t="s">
        <v>56</v>
      </c>
      <c r="N49" s="431"/>
    </row>
    <row r="50" spans="1:14">
      <c r="A50" s="342" t="s">
        <v>3549</v>
      </c>
      <c r="J50" s="442" t="s">
        <v>528</v>
      </c>
      <c r="M50" s="432" t="s">
        <v>97</v>
      </c>
      <c r="N50" s="428"/>
    </row>
    <row r="51" spans="1:14">
      <c r="A51" s="342" t="s">
        <v>3550</v>
      </c>
      <c r="J51" s="443" t="s">
        <v>1039</v>
      </c>
      <c r="M51" s="433" t="s">
        <v>60</v>
      </c>
      <c r="N51" s="431"/>
    </row>
    <row r="52" spans="1:14">
      <c r="A52" s="342" t="s">
        <v>3551</v>
      </c>
      <c r="J52" s="442" t="s">
        <v>1087</v>
      </c>
      <c r="M52" s="432" t="s">
        <v>64</v>
      </c>
      <c r="N52" s="428"/>
    </row>
    <row r="53" spans="1:14">
      <c r="A53" s="342" t="s">
        <v>3552</v>
      </c>
      <c r="J53" s="443" t="s">
        <v>550</v>
      </c>
      <c r="M53" s="433" t="s">
        <v>54</v>
      </c>
      <c r="N53" s="431"/>
    </row>
    <row r="54" spans="1:14">
      <c r="A54" s="342" t="s">
        <v>3553</v>
      </c>
      <c r="J54" s="442" t="s">
        <v>452</v>
      </c>
      <c r="M54" s="432" t="s">
        <v>105</v>
      </c>
      <c r="N54" s="428"/>
    </row>
    <row r="55" spans="1:14">
      <c r="A55" s="342" t="s">
        <v>3554</v>
      </c>
      <c r="J55" s="443" t="s">
        <v>879</v>
      </c>
      <c r="M55" s="433" t="s">
        <v>89</v>
      </c>
      <c r="N55" s="431"/>
    </row>
    <row r="56" spans="1:14">
      <c r="A56" s="342" t="s">
        <v>3555</v>
      </c>
      <c r="J56" s="442" t="s">
        <v>339</v>
      </c>
      <c r="M56" s="432" t="s">
        <v>121</v>
      </c>
      <c r="N56" s="428"/>
    </row>
    <row r="57" spans="1:14">
      <c r="A57" s="342" t="s">
        <v>3556</v>
      </c>
      <c r="J57" s="443" t="s">
        <v>422</v>
      </c>
      <c r="M57" s="433" t="s">
        <v>115</v>
      </c>
      <c r="N57" s="431"/>
    </row>
    <row r="58" spans="1:14">
      <c r="A58" s="342" t="s">
        <v>3557</v>
      </c>
      <c r="J58" s="442" t="s">
        <v>1014</v>
      </c>
      <c r="M58" s="432" t="s">
        <v>141</v>
      </c>
      <c r="N58" s="428"/>
    </row>
    <row r="59" spans="1:14">
      <c r="A59" s="355" t="s">
        <v>3569</v>
      </c>
      <c r="J59" s="443" t="s">
        <v>959</v>
      </c>
      <c r="M59" s="433" t="s">
        <v>38</v>
      </c>
      <c r="N59" s="431"/>
    </row>
    <row r="60" spans="1:14">
      <c r="A60" s="355" t="s">
        <v>3570</v>
      </c>
      <c r="J60" s="442" t="s">
        <v>1071</v>
      </c>
      <c r="M60" s="432" t="s">
        <v>46</v>
      </c>
      <c r="N60" s="428"/>
    </row>
    <row r="61" spans="1:14">
      <c r="A61" s="357" t="s">
        <v>3571</v>
      </c>
      <c r="J61" s="443" t="s">
        <v>370</v>
      </c>
      <c r="M61" s="433" t="s">
        <v>95</v>
      </c>
      <c r="N61" s="431"/>
    </row>
    <row r="62" spans="1:14">
      <c r="A62" s="356" t="s">
        <v>3572</v>
      </c>
      <c r="J62" s="442" t="s">
        <v>754</v>
      </c>
      <c r="M62" s="432" t="s">
        <v>93</v>
      </c>
      <c r="N62" s="428"/>
    </row>
    <row r="63" spans="1:14">
      <c r="A63" s="242" t="s">
        <v>1442</v>
      </c>
      <c r="J63" s="443" t="s">
        <v>698</v>
      </c>
      <c r="M63" s="433" t="s">
        <v>40</v>
      </c>
      <c r="N63" s="431"/>
    </row>
    <row r="64" spans="1:14">
      <c r="A64" t="s">
        <v>1484</v>
      </c>
      <c r="J64" s="442" t="s">
        <v>1041</v>
      </c>
      <c r="M64" s="432" t="s">
        <v>101</v>
      </c>
      <c r="N64" s="428"/>
    </row>
    <row r="65" spans="1:14">
      <c r="A65" t="s">
        <v>1485</v>
      </c>
      <c r="J65" s="443" t="s">
        <v>992</v>
      </c>
      <c r="M65" s="433" t="s">
        <v>132</v>
      </c>
      <c r="N65" s="431"/>
    </row>
    <row r="66" spans="1:14">
      <c r="A66" s="242" t="s">
        <v>1443</v>
      </c>
      <c r="J66" s="442" t="s">
        <v>494</v>
      </c>
      <c r="M66" s="432" t="s">
        <v>91</v>
      </c>
      <c r="N66" s="428"/>
    </row>
    <row r="67" spans="1:14">
      <c r="A67" t="s">
        <v>1486</v>
      </c>
      <c r="J67" s="443" t="s">
        <v>690</v>
      </c>
      <c r="M67" s="446" t="s">
        <v>81</v>
      </c>
      <c r="N67" s="431"/>
    </row>
    <row r="68" spans="1:14">
      <c r="A68" t="s">
        <v>1487</v>
      </c>
      <c r="J68" s="442" t="s">
        <v>974</v>
      </c>
      <c r="M68" s="261" t="s">
        <v>50</v>
      </c>
      <c r="N68" s="15"/>
    </row>
    <row r="69" spans="1:14">
      <c r="A69" t="s">
        <v>1488</v>
      </c>
      <c r="J69" s="443" t="s">
        <v>692</v>
      </c>
    </row>
    <row r="70" spans="1:14">
      <c r="A70" s="242" t="s">
        <v>1444</v>
      </c>
      <c r="J70" s="442" t="s">
        <v>688</v>
      </c>
    </row>
    <row r="71" spans="1:14">
      <c r="A71" t="s">
        <v>1489</v>
      </c>
      <c r="J71" s="443" t="s">
        <v>558</v>
      </c>
    </row>
    <row r="72" spans="1:14">
      <c r="A72" t="s">
        <v>1490</v>
      </c>
      <c r="J72" s="442" t="s">
        <v>636</v>
      </c>
    </row>
    <row r="73" spans="1:14">
      <c r="A73" t="s">
        <v>1491</v>
      </c>
      <c r="J73" s="443" t="s">
        <v>961</v>
      </c>
    </row>
    <row r="74" spans="1:14">
      <c r="A74" s="242" t="s">
        <v>1445</v>
      </c>
      <c r="J74" s="442" t="s">
        <v>418</v>
      </c>
    </row>
    <row r="75" spans="1:14">
      <c r="A75" t="s">
        <v>1492</v>
      </c>
      <c r="J75" s="443" t="s">
        <v>341</v>
      </c>
    </row>
    <row r="76" spans="1:14">
      <c r="A76" t="s">
        <v>1493</v>
      </c>
      <c r="J76" s="442" t="s">
        <v>388</v>
      </c>
    </row>
    <row r="77" spans="1:14">
      <c r="A77" s="242" t="s">
        <v>1446</v>
      </c>
      <c r="J77" s="443" t="s">
        <v>900</v>
      </c>
    </row>
    <row r="78" spans="1:14">
      <c r="A78" t="s">
        <v>1494</v>
      </c>
      <c r="J78" s="442" t="s">
        <v>448</v>
      </c>
    </row>
    <row r="79" spans="1:14">
      <c r="A79" t="s">
        <v>1495</v>
      </c>
      <c r="J79" s="443" t="s">
        <v>972</v>
      </c>
    </row>
    <row r="80" spans="1:14">
      <c r="A80" t="s">
        <v>1496</v>
      </c>
      <c r="J80" s="442" t="s">
        <v>592</v>
      </c>
    </row>
    <row r="81" spans="1:10">
      <c r="A81" s="242" t="s">
        <v>1447</v>
      </c>
      <c r="J81" s="443" t="s">
        <v>848</v>
      </c>
    </row>
    <row r="82" spans="1:10">
      <c r="A82" t="s">
        <v>1498</v>
      </c>
      <c r="J82" s="442" t="s">
        <v>566</v>
      </c>
    </row>
    <row r="83" spans="1:10">
      <c r="A83" t="s">
        <v>1499</v>
      </c>
      <c r="J83" s="443" t="s">
        <v>598</v>
      </c>
    </row>
    <row r="84" spans="1:10">
      <c r="A84" t="s">
        <v>1497</v>
      </c>
      <c r="J84" s="442" t="s">
        <v>662</v>
      </c>
    </row>
    <row r="85" spans="1:10">
      <c r="A85" s="242" t="s">
        <v>1448</v>
      </c>
      <c r="J85" s="443" t="s">
        <v>323</v>
      </c>
    </row>
    <row r="86" spans="1:10">
      <c r="A86" t="s">
        <v>1500</v>
      </c>
      <c r="J86" s="442" t="s">
        <v>930</v>
      </c>
    </row>
    <row r="87" spans="1:10">
      <c r="A87" s="242" t="s">
        <v>1449</v>
      </c>
      <c r="J87" s="443" t="s">
        <v>830</v>
      </c>
    </row>
    <row r="88" spans="1:10">
      <c r="A88" t="s">
        <v>1501</v>
      </c>
      <c r="J88" s="442" t="s">
        <v>834</v>
      </c>
    </row>
    <row r="89" spans="1:10">
      <c r="A89" t="s">
        <v>1502</v>
      </c>
      <c r="J89" s="443" t="s">
        <v>1020</v>
      </c>
    </row>
    <row r="90" spans="1:10">
      <c r="A90" t="s">
        <v>1503</v>
      </c>
      <c r="J90" s="442" t="s">
        <v>345</v>
      </c>
    </row>
    <row r="91" spans="1:10">
      <c r="A91" t="s">
        <v>1504</v>
      </c>
      <c r="J91" s="443" t="s">
        <v>942</v>
      </c>
    </row>
    <row r="92" spans="1:10">
      <c r="A92" t="s">
        <v>132</v>
      </c>
      <c r="J92" s="442" t="s">
        <v>912</v>
      </c>
    </row>
    <row r="93" spans="1:10">
      <c r="J93" s="443" t="s">
        <v>436</v>
      </c>
    </row>
    <row r="94" spans="1:10">
      <c r="J94" s="442" t="s">
        <v>382</v>
      </c>
    </row>
    <row r="95" spans="1:10">
      <c r="J95" s="443" t="s">
        <v>840</v>
      </c>
    </row>
    <row r="96" spans="1:10">
      <c r="A96" s="242" t="s">
        <v>1450</v>
      </c>
      <c r="J96" s="442" t="s">
        <v>356</v>
      </c>
    </row>
    <row r="97" spans="1:10">
      <c r="A97" s="82" t="s">
        <v>1433</v>
      </c>
      <c r="J97" s="443" t="s">
        <v>860</v>
      </c>
    </row>
    <row r="98" spans="1:10">
      <c r="A98" s="82" t="s">
        <v>1514</v>
      </c>
      <c r="J98" s="442" t="s">
        <v>404</v>
      </c>
    </row>
    <row r="99" spans="1:10">
      <c r="J99" s="443" t="s">
        <v>1079</v>
      </c>
    </row>
    <row r="100" spans="1:10">
      <c r="J100" s="442" t="s">
        <v>368</v>
      </c>
    </row>
    <row r="101" spans="1:10">
      <c r="J101" s="443" t="s">
        <v>353</v>
      </c>
    </row>
    <row r="102" spans="1:10">
      <c r="J102" s="442" t="s">
        <v>708</v>
      </c>
    </row>
    <row r="103" spans="1:10">
      <c r="J103" s="443" t="s">
        <v>1069</v>
      </c>
    </row>
    <row r="104" spans="1:10">
      <c r="J104" s="442" t="s">
        <v>706</v>
      </c>
    </row>
    <row r="105" spans="1:10">
      <c r="J105" s="443" t="s">
        <v>1012</v>
      </c>
    </row>
    <row r="106" spans="1:10">
      <c r="J106" s="442" t="s">
        <v>998</v>
      </c>
    </row>
    <row r="107" spans="1:10">
      <c r="J107" s="443" t="s">
        <v>980</v>
      </c>
    </row>
    <row r="108" spans="1:10">
      <c r="J108" s="442" t="s">
        <v>726</v>
      </c>
    </row>
    <row r="109" spans="1:10">
      <c r="J109" s="443" t="s">
        <v>442</v>
      </c>
    </row>
    <row r="110" spans="1:10">
      <c r="J110" s="442" t="s">
        <v>626</v>
      </c>
    </row>
    <row r="111" spans="1:10">
      <c r="J111" s="443" t="s">
        <v>996</v>
      </c>
    </row>
    <row r="112" spans="1:10">
      <c r="J112" s="442" t="s">
        <v>632</v>
      </c>
    </row>
    <row r="113" spans="10:10">
      <c r="J113" s="443" t="s">
        <v>506</v>
      </c>
    </row>
    <row r="114" spans="10:10">
      <c r="J114" s="442" t="s">
        <v>440</v>
      </c>
    </row>
    <row r="115" spans="10:10">
      <c r="J115" s="443" t="s">
        <v>444</v>
      </c>
    </row>
    <row r="116" spans="10:10">
      <c r="J116" s="442" t="s">
        <v>424</v>
      </c>
    </row>
    <row r="117" spans="10:10">
      <c r="J117" s="443" t="s">
        <v>386</v>
      </c>
    </row>
    <row r="118" spans="10:10">
      <c r="J118" s="442" t="s">
        <v>716</v>
      </c>
    </row>
    <row r="119" spans="10:10">
      <c r="J119" s="443" t="s">
        <v>406</v>
      </c>
    </row>
    <row r="120" spans="10:10">
      <c r="J120" s="442" t="s">
        <v>19</v>
      </c>
    </row>
    <row r="121" spans="10:10">
      <c r="J121" s="443" t="s">
        <v>317</v>
      </c>
    </row>
    <row r="122" spans="10:10">
      <c r="J122" s="442" t="s">
        <v>311</v>
      </c>
    </row>
    <row r="123" spans="10:10">
      <c r="J123" s="443" t="s">
        <v>315</v>
      </c>
    </row>
    <row r="124" spans="10:10">
      <c r="J124" s="442" t="s">
        <v>313</v>
      </c>
    </row>
    <row r="125" spans="10:10">
      <c r="J125" s="443" t="s">
        <v>398</v>
      </c>
    </row>
    <row r="126" spans="10:10">
      <c r="J126" s="442" t="s">
        <v>400</v>
      </c>
    </row>
    <row r="127" spans="10:10">
      <c r="J127" s="443" t="s">
        <v>1061</v>
      </c>
    </row>
    <row r="128" spans="10:10">
      <c r="J128" s="442" t="s">
        <v>948</v>
      </c>
    </row>
    <row r="129" spans="10:10">
      <c r="J129" s="443" t="s">
        <v>1077</v>
      </c>
    </row>
    <row r="130" spans="10:10">
      <c r="J130" s="442" t="s">
        <v>1055</v>
      </c>
    </row>
    <row r="131" spans="10:10">
      <c r="J131" s="443" t="s">
        <v>846</v>
      </c>
    </row>
    <row r="132" spans="10:10">
      <c r="J132" s="442" t="s">
        <v>877</v>
      </c>
    </row>
    <row r="133" spans="10:10">
      <c r="J133" s="443" t="s">
        <v>484</v>
      </c>
    </row>
    <row r="134" spans="10:10">
      <c r="J134" s="442" t="s">
        <v>20</v>
      </c>
    </row>
    <row r="135" spans="10:10">
      <c r="J135" s="443" t="s">
        <v>552</v>
      </c>
    </row>
    <row r="136" spans="10:10">
      <c r="J136" s="442" t="s">
        <v>1057</v>
      </c>
    </row>
    <row r="137" spans="10:10">
      <c r="J137" s="443" t="s">
        <v>1085</v>
      </c>
    </row>
    <row r="138" spans="10:10">
      <c r="J138" s="442" t="s">
        <v>319</v>
      </c>
    </row>
    <row r="139" spans="10:10">
      <c r="J139" s="443" t="s">
        <v>862</v>
      </c>
    </row>
    <row r="140" spans="10:10">
      <c r="J140" s="442" t="s">
        <v>568</v>
      </c>
    </row>
    <row r="141" spans="10:10">
      <c r="J141" s="443" t="s">
        <v>795</v>
      </c>
    </row>
    <row r="142" spans="10:10">
      <c r="J142" s="442" t="s">
        <v>875</v>
      </c>
    </row>
    <row r="143" spans="10:10">
      <c r="J143" s="443" t="s">
        <v>362</v>
      </c>
    </row>
    <row r="144" spans="10:10">
      <c r="J144" s="442" t="s">
        <v>1022</v>
      </c>
    </row>
    <row r="145" spans="10:10">
      <c r="J145" s="443" t="s">
        <v>652</v>
      </c>
    </row>
    <row r="146" spans="10:10">
      <c r="J146" s="442" t="s">
        <v>766</v>
      </c>
    </row>
    <row r="147" spans="10:10">
      <c r="J147" s="443" t="s">
        <v>606</v>
      </c>
    </row>
    <row r="148" spans="10:10">
      <c r="J148" s="442" t="s">
        <v>734</v>
      </c>
    </row>
    <row r="149" spans="10:10">
      <c r="J149" s="443" t="s">
        <v>812</v>
      </c>
    </row>
    <row r="150" spans="10:10">
      <c r="J150" s="442" t="s">
        <v>814</v>
      </c>
    </row>
    <row r="151" spans="10:10">
      <c r="J151" s="443" t="s">
        <v>1028</v>
      </c>
    </row>
    <row r="152" spans="10:10">
      <c r="J152" s="442" t="s">
        <v>738</v>
      </c>
    </row>
    <row r="153" spans="10:10">
      <c r="J153" s="443" t="s">
        <v>736</v>
      </c>
    </row>
    <row r="154" spans="10:10">
      <c r="J154" s="442" t="s">
        <v>23</v>
      </c>
    </row>
    <row r="155" spans="10:10">
      <c r="J155" s="443" t="s">
        <v>1059</v>
      </c>
    </row>
    <row r="156" spans="10:10">
      <c r="J156" s="442" t="s">
        <v>854</v>
      </c>
    </row>
    <row r="157" spans="10:10">
      <c r="J157" s="443" t="s">
        <v>1089</v>
      </c>
    </row>
    <row r="158" spans="10:10">
      <c r="J158" s="442" t="s">
        <v>1073</v>
      </c>
    </row>
    <row r="159" spans="10:10">
      <c r="J159" s="443" t="s">
        <v>686</v>
      </c>
    </row>
    <row r="160" spans="10:10">
      <c r="J160" s="442" t="s">
        <v>408</v>
      </c>
    </row>
    <row r="161" spans="10:10">
      <c r="J161" s="443" t="s">
        <v>1047</v>
      </c>
    </row>
    <row r="162" spans="10:10">
      <c r="J162" s="442" t="s">
        <v>1037</v>
      </c>
    </row>
    <row r="163" spans="10:10">
      <c r="J163" s="443" t="s">
        <v>650</v>
      </c>
    </row>
    <row r="164" spans="10:10">
      <c r="J164" s="442" t="s">
        <v>656</v>
      </c>
    </row>
    <row r="165" spans="10:10">
      <c r="J165" s="443" t="s">
        <v>682</v>
      </c>
    </row>
    <row r="166" spans="10:10">
      <c r="J166" s="442" t="s">
        <v>714</v>
      </c>
    </row>
    <row r="167" spans="10:10">
      <c r="J167" s="443" t="s">
        <v>526</v>
      </c>
    </row>
    <row r="168" spans="10:10">
      <c r="J168" s="442" t="s">
        <v>816</v>
      </c>
    </row>
    <row r="169" spans="10:10">
      <c r="J169" s="443" t="s">
        <v>946</v>
      </c>
    </row>
    <row r="170" spans="10:10">
      <c r="J170" s="442" t="s">
        <v>944</v>
      </c>
    </row>
    <row r="171" spans="10:10">
      <c r="J171" s="443" t="s">
        <v>932</v>
      </c>
    </row>
    <row r="172" spans="10:10">
      <c r="J172" s="442" t="s">
        <v>1004</v>
      </c>
    </row>
    <row r="173" spans="10:10">
      <c r="J173" s="443" t="s">
        <v>938</v>
      </c>
    </row>
    <row r="174" spans="10:10">
      <c r="J174" s="442" t="s">
        <v>343</v>
      </c>
    </row>
    <row r="175" spans="10:10">
      <c r="J175" s="443" t="s">
        <v>722</v>
      </c>
    </row>
    <row r="176" spans="10:10">
      <c r="J176" s="442" t="s">
        <v>836</v>
      </c>
    </row>
    <row r="177" spans="10:10">
      <c r="J177" s="443" t="s">
        <v>534</v>
      </c>
    </row>
    <row r="178" spans="10:10">
      <c r="J178" s="442" t="s">
        <v>634</v>
      </c>
    </row>
    <row r="179" spans="10:10">
      <c r="J179" s="443" t="s">
        <v>454</v>
      </c>
    </row>
    <row r="180" spans="10:10">
      <c r="J180" s="442" t="s">
        <v>22</v>
      </c>
    </row>
    <row r="181" spans="10:10">
      <c r="J181" s="443" t="s">
        <v>963</v>
      </c>
    </row>
    <row r="182" spans="10:10">
      <c r="J182" s="442" t="s">
        <v>728</v>
      </c>
    </row>
    <row r="183" spans="10:10">
      <c r="J183" s="443" t="s">
        <v>730</v>
      </c>
    </row>
    <row r="184" spans="10:10">
      <c r="J184" s="442" t="s">
        <v>608</v>
      </c>
    </row>
    <row r="185" spans="10:10">
      <c r="J185" s="443" t="s">
        <v>562</v>
      </c>
    </row>
    <row r="186" spans="10:10">
      <c r="J186" s="442" t="s">
        <v>1063</v>
      </c>
    </row>
    <row r="187" spans="10:10">
      <c r="J187" s="443" t="s">
        <v>456</v>
      </c>
    </row>
    <row r="188" spans="10:10">
      <c r="J188" s="442" t="s">
        <v>614</v>
      </c>
    </row>
    <row r="189" spans="10:10">
      <c r="J189" s="443" t="s">
        <v>660</v>
      </c>
    </row>
    <row r="190" spans="10:10">
      <c r="J190" s="442" t="s">
        <v>642</v>
      </c>
    </row>
    <row r="191" spans="10:10">
      <c r="J191" s="443" t="s">
        <v>856</v>
      </c>
    </row>
    <row r="192" spans="10:10">
      <c r="J192" s="442" t="s">
        <v>908</v>
      </c>
    </row>
    <row r="193" spans="10:10">
      <c r="J193" s="443" t="s">
        <v>740</v>
      </c>
    </row>
    <row r="194" spans="10:10">
      <c r="J194" s="442" t="s">
        <v>978</v>
      </c>
    </row>
    <row r="195" spans="10:10">
      <c r="J195" s="443" t="s">
        <v>364</v>
      </c>
    </row>
    <row r="196" spans="10:10">
      <c r="J196" s="442" t="s">
        <v>990</v>
      </c>
    </row>
    <row r="197" spans="10:10">
      <c r="J197" s="443" t="s">
        <v>676</v>
      </c>
    </row>
    <row r="198" spans="10:10">
      <c r="J198" s="442" t="s">
        <v>824</v>
      </c>
    </row>
    <row r="199" spans="10:10">
      <c r="J199" s="443" t="s">
        <v>668</v>
      </c>
    </row>
    <row r="200" spans="10:10">
      <c r="J200" s="442" t="s">
        <v>1026</v>
      </c>
    </row>
    <row r="201" spans="10:10">
      <c r="J201" s="443" t="s">
        <v>510</v>
      </c>
    </row>
    <row r="202" spans="10:10">
      <c r="J202" s="442" t="s">
        <v>618</v>
      </c>
    </row>
    <row r="203" spans="10:10">
      <c r="J203" s="443" t="s">
        <v>594</v>
      </c>
    </row>
    <row r="204" spans="10:10">
      <c r="J204" s="442" t="s">
        <v>610</v>
      </c>
    </row>
    <row r="205" spans="10:10">
      <c r="J205" s="443" t="s">
        <v>620</v>
      </c>
    </row>
    <row r="206" spans="10:10">
      <c r="J206" s="442" t="s">
        <v>600</v>
      </c>
    </row>
    <row r="207" spans="10:10">
      <c r="J207" s="443" t="s">
        <v>602</v>
      </c>
    </row>
    <row r="208" spans="10:10">
      <c r="J208" s="442" t="s">
        <v>807</v>
      </c>
    </row>
    <row r="209" spans="10:10">
      <c r="J209" s="443" t="s">
        <v>570</v>
      </c>
    </row>
    <row r="210" spans="10:10">
      <c r="J210" s="442" t="s">
        <v>638</v>
      </c>
    </row>
    <row r="211" spans="10:10">
      <c r="J211" s="443" t="s">
        <v>950</v>
      </c>
    </row>
    <row r="212" spans="10:10">
      <c r="J212" s="442" t="s">
        <v>772</v>
      </c>
    </row>
    <row r="213" spans="10:10">
      <c r="J213" s="443" t="s">
        <v>850</v>
      </c>
    </row>
    <row r="214" spans="10:10">
      <c r="J214" s="442" t="s">
        <v>788</v>
      </c>
    </row>
    <row r="215" spans="10:10">
      <c r="J215" s="443" t="s">
        <v>805</v>
      </c>
    </row>
    <row r="216" spans="10:10">
      <c r="J216" s="442" t="s">
        <v>744</v>
      </c>
    </row>
    <row r="217" spans="10:10">
      <c r="J217" s="443" t="s">
        <v>916</v>
      </c>
    </row>
    <row r="218" spans="10:10">
      <c r="J218" s="442" t="s">
        <v>378</v>
      </c>
    </row>
    <row r="219" spans="10:10">
      <c r="J219" s="443" t="s">
        <v>1051</v>
      </c>
    </row>
    <row r="220" spans="10:10">
      <c r="J220" s="442" t="s">
        <v>249</v>
      </c>
    </row>
    <row r="221" spans="10:10">
      <c r="J221" s="443" t="s">
        <v>710</v>
      </c>
    </row>
    <row r="222" spans="10:10">
      <c r="J222" s="442" t="s">
        <v>934</v>
      </c>
    </row>
    <row r="223" spans="10:10">
      <c r="J223" s="443" t="s">
        <v>906</v>
      </c>
    </row>
    <row r="224" spans="10:10">
      <c r="J224" s="442" t="s">
        <v>936</v>
      </c>
    </row>
    <row r="225" spans="10:10">
      <c r="J225" s="443" t="s">
        <v>582</v>
      </c>
    </row>
    <row r="226" spans="10:10">
      <c r="J226" s="442" t="s">
        <v>590</v>
      </c>
    </row>
    <row r="227" spans="10:10">
      <c r="J227" s="443" t="s">
        <v>358</v>
      </c>
    </row>
    <row r="228" spans="10:10">
      <c r="J228" s="442" t="s">
        <v>882</v>
      </c>
    </row>
    <row r="229" spans="10:10">
      <c r="J229" s="443" t="s">
        <v>1033</v>
      </c>
    </row>
    <row r="230" spans="10:10">
      <c r="J230" s="442" t="s">
        <v>994</v>
      </c>
    </row>
    <row r="231" spans="10:10">
      <c r="J231" s="443" t="s">
        <v>822</v>
      </c>
    </row>
    <row r="232" spans="10:10">
      <c r="J232" s="442" t="s">
        <v>842</v>
      </c>
    </row>
    <row r="233" spans="10:10">
      <c r="J233" s="443" t="s">
        <v>832</v>
      </c>
    </row>
    <row r="234" spans="10:10">
      <c r="J234" s="442" t="s">
        <v>644</v>
      </c>
    </row>
    <row r="235" spans="10:10">
      <c r="J235" s="443" t="s">
        <v>793</v>
      </c>
    </row>
    <row r="236" spans="10:10">
      <c r="J236" s="442" t="s">
        <v>384</v>
      </c>
    </row>
    <row r="237" spans="10:10">
      <c r="J237" s="443" t="s">
        <v>498</v>
      </c>
    </row>
    <row r="238" spans="10:10">
      <c r="J238" s="442" t="s">
        <v>500</v>
      </c>
    </row>
    <row r="239" spans="10:10">
      <c r="J239" s="443" t="s">
        <v>648</v>
      </c>
    </row>
    <row r="240" spans="10:10">
      <c r="J240" s="442" t="s">
        <v>976</v>
      </c>
    </row>
    <row r="241" spans="10:10">
      <c r="J241" s="443" t="s">
        <v>560</v>
      </c>
    </row>
    <row r="242" spans="10:10">
      <c r="J242" s="442" t="s">
        <v>858</v>
      </c>
    </row>
    <row r="243" spans="10:10">
      <c r="J243" s="443" t="s">
        <v>1016</v>
      </c>
    </row>
    <row r="244" spans="10:10">
      <c r="J244" s="442" t="s">
        <v>670</v>
      </c>
    </row>
    <row r="245" spans="10:10">
      <c r="J245" s="443" t="s">
        <v>628</v>
      </c>
    </row>
    <row r="246" spans="10:10">
      <c r="J246" s="442" t="s">
        <v>818</v>
      </c>
    </row>
    <row r="247" spans="10:10">
      <c r="J247" s="443" t="s">
        <v>760</v>
      </c>
    </row>
    <row r="248" spans="10:10">
      <c r="J248" s="442" t="s">
        <v>866</v>
      </c>
    </row>
    <row r="249" spans="10:10">
      <c r="J249" s="443" t="s">
        <v>572</v>
      </c>
    </row>
    <row r="250" spans="10:10">
      <c r="J250" s="442" t="s">
        <v>374</v>
      </c>
    </row>
    <row r="251" spans="10:10">
      <c r="J251" s="443" t="s">
        <v>490</v>
      </c>
    </row>
    <row r="252" spans="10:10">
      <c r="J252" s="442" t="s">
        <v>542</v>
      </c>
    </row>
    <row r="253" spans="10:10">
      <c r="J253" s="443" t="s">
        <v>21</v>
      </c>
    </row>
    <row r="254" spans="10:10">
      <c r="J254" s="442" t="s">
        <v>380</v>
      </c>
    </row>
    <row r="255" spans="10:10">
      <c r="J255" s="443" t="s">
        <v>548</v>
      </c>
    </row>
    <row r="256" spans="10:10">
      <c r="J256" s="442" t="s">
        <v>586</v>
      </c>
    </row>
    <row r="257" spans="10:10">
      <c r="J257" s="443" t="s">
        <v>351</v>
      </c>
    </row>
    <row r="258" spans="10:10">
      <c r="J258" s="442" t="s">
        <v>1008</v>
      </c>
    </row>
    <row r="259" spans="10:10">
      <c r="J259" s="443" t="s">
        <v>450</v>
      </c>
    </row>
    <row r="260" spans="10:10">
      <c r="J260" s="442" t="s">
        <v>18</v>
      </c>
    </row>
    <row r="261" spans="10:10">
      <c r="J261" s="443" t="s">
        <v>786</v>
      </c>
    </row>
    <row r="262" spans="10:10">
      <c r="J262" s="442" t="s">
        <v>1024</v>
      </c>
    </row>
    <row r="263" spans="10:10">
      <c r="J263" s="443" t="s">
        <v>952</v>
      </c>
    </row>
    <row r="264" spans="10:10">
      <c r="J264" s="442" t="s">
        <v>412</v>
      </c>
    </row>
    <row r="265" spans="10:10">
      <c r="J265" s="443" t="s">
        <v>410</v>
      </c>
    </row>
    <row r="266" spans="10:10">
      <c r="J266" s="442" t="s">
        <v>680</v>
      </c>
    </row>
    <row r="267" spans="10:10">
      <c r="J267" s="443" t="s">
        <v>518</v>
      </c>
    </row>
    <row r="268" spans="10:10">
      <c r="J268" s="442" t="s">
        <v>466</v>
      </c>
    </row>
    <row r="269" spans="10:10">
      <c r="J269" s="443" t="s">
        <v>472</v>
      </c>
    </row>
    <row r="270" spans="10:10">
      <c r="J270" s="442" t="s">
        <v>892</v>
      </c>
    </row>
    <row r="271" spans="10:10">
      <c r="J271" s="443" t="s">
        <v>1043</v>
      </c>
    </row>
    <row r="272" spans="10:10">
      <c r="J272" s="442" t="s">
        <v>508</v>
      </c>
    </row>
    <row r="273" spans="10:10">
      <c r="J273" s="443" t="s">
        <v>1081</v>
      </c>
    </row>
    <row r="274" spans="10:10">
      <c r="J274" s="442" t="s">
        <v>492</v>
      </c>
    </row>
    <row r="275" spans="10:10">
      <c r="J275" s="443" t="s">
        <v>864</v>
      </c>
    </row>
    <row r="276" spans="10:10">
      <c r="J276" s="442" t="s">
        <v>512</v>
      </c>
    </row>
    <row r="277" spans="10:10">
      <c r="J277" s="443" t="s">
        <v>986</v>
      </c>
    </row>
    <row r="278" spans="10:10">
      <c r="J278" s="442" t="s">
        <v>646</v>
      </c>
    </row>
    <row r="279" spans="10:10">
      <c r="J279" s="443" t="s">
        <v>1018</v>
      </c>
    </row>
    <row r="280" spans="10:10">
      <c r="J280" s="442" t="s">
        <v>764</v>
      </c>
    </row>
    <row r="281" spans="10:10">
      <c r="J281" s="443" t="s">
        <v>894</v>
      </c>
    </row>
    <row r="282" spans="10:10">
      <c r="J282" s="442" t="s">
        <v>530</v>
      </c>
    </row>
    <row r="283" spans="10:10">
      <c r="J283" s="443" t="s">
        <v>540</v>
      </c>
    </row>
    <row r="284" spans="10:10">
      <c r="J284" s="442" t="s">
        <v>532</v>
      </c>
    </row>
    <row r="285" spans="10:10">
      <c r="J285" s="443" t="s">
        <v>502</v>
      </c>
    </row>
    <row r="286" spans="10:10">
      <c r="J286" s="442" t="s">
        <v>458</v>
      </c>
    </row>
    <row r="287" spans="10:10">
      <c r="J287" s="443" t="s">
        <v>536</v>
      </c>
    </row>
    <row r="288" spans="10:10">
      <c r="J288" s="442" t="s">
        <v>898</v>
      </c>
    </row>
    <row r="289" spans="10:10">
      <c r="J289" s="443" t="s">
        <v>327</v>
      </c>
    </row>
    <row r="290" spans="10:10">
      <c r="J290" s="442" t="s">
        <v>366</v>
      </c>
    </row>
    <row r="291" spans="10:10">
      <c r="J291" s="443" t="s">
        <v>604</v>
      </c>
    </row>
    <row r="292" spans="10:10">
      <c r="J292" s="442" t="s">
        <v>678</v>
      </c>
    </row>
    <row r="293" spans="10:10">
      <c r="J293" s="443" t="s">
        <v>752</v>
      </c>
    </row>
    <row r="294" spans="10:10">
      <c r="J294" s="442" t="s">
        <v>574</v>
      </c>
    </row>
    <row r="295" spans="10:10">
      <c r="J295" s="443" t="s">
        <v>704</v>
      </c>
    </row>
    <row r="296" spans="10:10">
      <c r="J296" s="442" t="s">
        <v>482</v>
      </c>
    </row>
    <row r="297" spans="10:10">
      <c r="J297" s="443" t="s">
        <v>852</v>
      </c>
    </row>
    <row r="298" spans="10:10">
      <c r="J298" s="442" t="s">
        <v>1049</v>
      </c>
    </row>
    <row r="299" spans="10:10">
      <c r="J299" s="443" t="s">
        <v>797</v>
      </c>
    </row>
    <row r="300" spans="10:10">
      <c r="J300" s="442" t="s">
        <v>674</v>
      </c>
    </row>
    <row r="301" spans="10:10">
      <c r="J301" s="443" t="s">
        <v>920</v>
      </c>
    </row>
    <row r="302" spans="10:10">
      <c r="J302" s="442" t="s">
        <v>886</v>
      </c>
    </row>
    <row r="303" spans="10:10">
      <c r="J303" s="443" t="s">
        <v>799</v>
      </c>
    </row>
    <row r="304" spans="10:10">
      <c r="J304" s="442" t="s">
        <v>556</v>
      </c>
    </row>
    <row r="305" spans="10:10">
      <c r="J305" s="443" t="s">
        <v>392</v>
      </c>
    </row>
    <row r="306" spans="10:10">
      <c r="J306" s="442" t="s">
        <v>748</v>
      </c>
    </row>
    <row r="307" spans="10:10">
      <c r="J307" s="443" t="s">
        <v>1083</v>
      </c>
    </row>
    <row r="308" spans="10:10">
      <c r="J308" s="442" t="s">
        <v>360</v>
      </c>
    </row>
    <row r="309" spans="10:10">
      <c r="J309" s="443" t="s">
        <v>1035</v>
      </c>
    </row>
    <row r="310" spans="10:10">
      <c r="J310" s="442" t="s">
        <v>546</v>
      </c>
    </row>
    <row r="311" spans="10:10">
      <c r="J311" s="443" t="s">
        <v>544</v>
      </c>
    </row>
    <row r="312" spans="10:10">
      <c r="J312" s="442" t="s">
        <v>1075</v>
      </c>
    </row>
    <row r="313" spans="10:10">
      <c r="J313" s="443" t="s">
        <v>347</v>
      </c>
    </row>
    <row r="314" spans="10:10">
      <c r="J314" s="442" t="s">
        <v>476</v>
      </c>
    </row>
    <row r="315" spans="10:10">
      <c r="J315" s="443" t="s">
        <v>928</v>
      </c>
    </row>
    <row r="316" spans="10:10">
      <c r="J316" s="442" t="s">
        <v>896</v>
      </c>
    </row>
    <row r="317" spans="10:10">
      <c r="J317" s="443" t="s">
        <v>982</v>
      </c>
    </row>
    <row r="318" spans="10:10">
      <c r="J318" s="442" t="s">
        <v>616</v>
      </c>
    </row>
    <row r="319" spans="10:10">
      <c r="J319" s="443" t="s">
        <v>414</v>
      </c>
    </row>
    <row r="320" spans="10:10">
      <c r="J320" s="442" t="s">
        <v>426</v>
      </c>
    </row>
    <row r="321" spans="10:10">
      <c r="J321" s="443" t="s">
        <v>584</v>
      </c>
    </row>
    <row r="322" spans="10:10">
      <c r="J322" s="442" t="s">
        <v>576</v>
      </c>
    </row>
    <row r="323" spans="10:10">
      <c r="J323" s="443" t="s">
        <v>940</v>
      </c>
    </row>
    <row r="324" spans="10:10">
      <c r="J324" s="442" t="s">
        <v>640</v>
      </c>
    </row>
    <row r="325" spans="10:10">
      <c r="J325" s="443" t="s">
        <v>702</v>
      </c>
    </row>
    <row r="326" spans="10:10">
      <c r="J326" s="442" t="s">
        <v>820</v>
      </c>
    </row>
    <row r="327" spans="10:10">
      <c r="J327" s="443" t="s">
        <v>801</v>
      </c>
    </row>
    <row r="328" spans="10:10">
      <c r="J328" s="442" t="s">
        <v>718</v>
      </c>
    </row>
    <row r="329" spans="10:10">
      <c r="J329" s="443" t="s">
        <v>844</v>
      </c>
    </row>
    <row r="330" spans="10:10">
      <c r="J330" s="442" t="s">
        <v>376</v>
      </c>
    </row>
    <row r="331" spans="10:10">
      <c r="J331" s="443" t="s">
        <v>732</v>
      </c>
    </row>
    <row r="332" spans="10:10">
      <c r="J332" s="442" t="s">
        <v>420</v>
      </c>
    </row>
    <row r="333" spans="10:10">
      <c r="J333" s="443" t="s">
        <v>522</v>
      </c>
    </row>
    <row r="334" spans="10:10">
      <c r="J334" s="442" t="s">
        <v>430</v>
      </c>
    </row>
    <row r="335" spans="10:10">
      <c r="J335" s="443" t="s">
        <v>914</v>
      </c>
    </row>
    <row r="336" spans="10:10">
      <c r="J336" s="442" t="s">
        <v>918</v>
      </c>
    </row>
    <row r="337" spans="10:10">
      <c r="J337" s="443" t="s">
        <v>390</v>
      </c>
    </row>
    <row r="338" spans="10:10">
      <c r="J338" s="442" t="s">
        <v>658</v>
      </c>
    </row>
    <row r="339" spans="10:10">
      <c r="J339" s="443" t="s">
        <v>970</v>
      </c>
    </row>
    <row r="340" spans="10:10">
      <c r="J340" s="442" t="s">
        <v>742</v>
      </c>
    </row>
    <row r="341" spans="10:10">
      <c r="J341" s="443" t="s">
        <v>666</v>
      </c>
    </row>
    <row r="342" spans="10:10">
      <c r="J342" s="442" t="s">
        <v>838</v>
      </c>
    </row>
    <row r="343" spans="10:10">
      <c r="J343" s="443" t="s">
        <v>1045</v>
      </c>
    </row>
    <row r="344" spans="10:10">
      <c r="J344" s="442" t="s">
        <v>612</v>
      </c>
    </row>
    <row r="345" spans="10:10">
      <c r="J345" s="443" t="s">
        <v>474</v>
      </c>
    </row>
    <row r="346" spans="10:10">
      <c r="J346" s="442" t="s">
        <v>750</v>
      </c>
    </row>
    <row r="347" spans="10:10">
      <c r="J347" s="443" t="s">
        <v>396</v>
      </c>
    </row>
    <row r="348" spans="10:10">
      <c r="J348" s="442" t="s">
        <v>826</v>
      </c>
    </row>
    <row r="349" spans="10:10">
      <c r="J349" s="443" t="s">
        <v>828</v>
      </c>
    </row>
    <row r="350" spans="10:10">
      <c r="J350" s="442" t="s">
        <v>746</v>
      </c>
    </row>
    <row r="351" spans="10:10">
      <c r="J351" s="443" t="s">
        <v>496</v>
      </c>
    </row>
    <row r="352" spans="10:10">
      <c r="J352" s="442" t="s">
        <v>504</v>
      </c>
    </row>
    <row r="353" spans="10:10">
      <c r="J353" s="443" t="s">
        <v>924</v>
      </c>
    </row>
    <row r="354" spans="10:10">
      <c r="J354" s="442" t="s">
        <v>694</v>
      </c>
    </row>
    <row r="355" spans="10:10">
      <c r="J355" s="443" t="s">
        <v>954</v>
      </c>
    </row>
    <row r="356" spans="10:10">
      <c r="J356" s="442" t="s">
        <v>331</v>
      </c>
    </row>
    <row r="357" spans="10:10">
      <c r="J357" s="443" t="s">
        <v>438</v>
      </c>
    </row>
    <row r="358" spans="10:10">
      <c r="J358" s="442" t="s">
        <v>321</v>
      </c>
    </row>
    <row r="359" spans="10:10">
      <c r="J359" s="443" t="s">
        <v>524</v>
      </c>
    </row>
    <row r="360" spans="10:10">
      <c r="J360" s="442" t="s">
        <v>780</v>
      </c>
    </row>
    <row r="361" spans="10:10">
      <c r="J361" s="443" t="s">
        <v>372</v>
      </c>
    </row>
    <row r="362" spans="10:10">
      <c r="J362" s="442" t="s">
        <v>1002</v>
      </c>
    </row>
    <row r="363" spans="10:10">
      <c r="J363" s="443" t="s">
        <v>774</v>
      </c>
    </row>
    <row r="364" spans="10:10">
      <c r="J364" s="442" t="s">
        <v>770</v>
      </c>
    </row>
    <row r="365" spans="10:10">
      <c r="J365" s="443" t="s">
        <v>890</v>
      </c>
    </row>
    <row r="366" spans="10:10">
      <c r="J366" s="442" t="s">
        <v>664</v>
      </c>
    </row>
    <row r="367" spans="10:10">
      <c r="J367" s="443" t="s">
        <v>337</v>
      </c>
    </row>
    <row r="368" spans="10:10">
      <c r="J368" s="442" t="s">
        <v>538</v>
      </c>
    </row>
    <row r="369" spans="10:10">
      <c r="J369" s="443" t="s">
        <v>516</v>
      </c>
    </row>
    <row r="370" spans="10:10">
      <c r="J370" s="442" t="s">
        <v>622</v>
      </c>
    </row>
    <row r="371" spans="10:10">
      <c r="J371" s="443" t="s">
        <v>768</v>
      </c>
    </row>
    <row r="372" spans="10:10">
      <c r="J372" s="442" t="s">
        <v>778</v>
      </c>
    </row>
    <row r="373" spans="10:10">
      <c r="J373" s="443" t="s">
        <v>776</v>
      </c>
    </row>
    <row r="374" spans="10:10">
      <c r="J374" s="442" t="s">
        <v>784</v>
      </c>
    </row>
    <row r="375" spans="10:10">
      <c r="J375" s="443" t="s">
        <v>957</v>
      </c>
    </row>
    <row r="376" spans="10:10">
      <c r="J376" s="442" t="s">
        <v>1067</v>
      </c>
    </row>
    <row r="377" spans="10:10">
      <c r="J377" s="443" t="s">
        <v>782</v>
      </c>
    </row>
    <row r="378" spans="10:10">
      <c r="J378" s="442" t="s">
        <v>870</v>
      </c>
    </row>
    <row r="379" spans="10:10">
      <c r="J379" s="443" t="s">
        <v>462</v>
      </c>
    </row>
    <row r="380" spans="10:10">
      <c r="J380" s="442" t="s">
        <v>988</v>
      </c>
    </row>
    <row r="381" spans="10:10">
      <c r="J381" s="443" t="s">
        <v>902</v>
      </c>
    </row>
    <row r="382" spans="10:10">
      <c r="J382" s="442" t="s">
        <v>1010</v>
      </c>
    </row>
    <row r="383" spans="10:10">
      <c r="J383" s="443" t="s">
        <v>724</v>
      </c>
    </row>
    <row r="384" spans="10:10">
      <c r="J384" s="442" t="s">
        <v>888</v>
      </c>
    </row>
    <row r="385" spans="10:10">
      <c r="J385" s="443" t="s">
        <v>684</v>
      </c>
    </row>
    <row r="386" spans="10:10">
      <c r="J386" s="442" t="s">
        <v>349</v>
      </c>
    </row>
    <row r="387" spans="10:10">
      <c r="J387" s="443" t="s">
        <v>868</v>
      </c>
    </row>
    <row r="388" spans="10:10">
      <c r="J388" s="442" t="s">
        <v>333</v>
      </c>
    </row>
    <row r="389" spans="10:10">
      <c r="J389" s="443" t="s">
        <v>434</v>
      </c>
    </row>
    <row r="390" spans="10:10">
      <c r="J390" s="442" t="s">
        <v>696</v>
      </c>
    </row>
    <row r="391" spans="10:10">
      <c r="J391" s="443" t="s">
        <v>926</v>
      </c>
    </row>
    <row r="392" spans="10:10">
      <c r="J392" s="442" t="s">
        <v>756</v>
      </c>
    </row>
    <row r="393" spans="10:10">
      <c r="J393" s="443" t="s">
        <v>810</v>
      </c>
    </row>
    <row r="394" spans="10:10">
      <c r="J394" s="442" t="s">
        <v>464</v>
      </c>
    </row>
    <row r="395" spans="10:10">
      <c r="J395" s="444" t="s">
        <v>460</v>
      </c>
    </row>
  </sheetData>
  <sortState xmlns:xlrd2="http://schemas.microsoft.com/office/spreadsheetml/2017/richdata2" ref="A3:A93">
    <sortCondition ref="A3:A93"/>
  </sortState>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rgb="FFFFFF00"/>
  </sheetPr>
  <dimension ref="C2:G28"/>
  <sheetViews>
    <sheetView zoomScaleNormal="100" workbookViewId="0">
      <pane ySplit="2" topLeftCell="A21" activePane="bottomLeft" state="frozen"/>
      <selection activeCell="F47" sqref="F47"/>
      <selection pane="bottomLeft" activeCell="E24" sqref="E24:E25"/>
    </sheetView>
  </sheetViews>
  <sheetFormatPr defaultRowHeight="14.25"/>
  <cols>
    <col min="3" max="3" width="33" bestFit="1" customWidth="1"/>
    <col min="4" max="4" width="12.75" customWidth="1"/>
    <col min="5" max="5" width="94" customWidth="1"/>
    <col min="6" max="6" width="16" customWidth="1"/>
  </cols>
  <sheetData>
    <row r="2" spans="3:6" ht="30">
      <c r="C2" s="246" t="s">
        <v>3436</v>
      </c>
      <c r="D2" s="246" t="s">
        <v>3427</v>
      </c>
      <c r="E2" s="246" t="s">
        <v>1521</v>
      </c>
      <c r="F2" s="303" t="s">
        <v>1257</v>
      </c>
    </row>
    <row r="3" spans="3:6" ht="28.5">
      <c r="C3" s="70" t="s">
        <v>382</v>
      </c>
      <c r="D3" s="227">
        <v>311111</v>
      </c>
      <c r="E3" s="226" t="s">
        <v>2608</v>
      </c>
      <c r="F3" s="70">
        <v>0.7390000000000001</v>
      </c>
    </row>
    <row r="4" spans="3:6" ht="42.75">
      <c r="C4" s="70" t="s">
        <v>384</v>
      </c>
      <c r="D4" s="227">
        <v>311119</v>
      </c>
      <c r="E4" s="226" t="s">
        <v>2610</v>
      </c>
      <c r="F4" s="70">
        <v>0.59500000000000008</v>
      </c>
    </row>
    <row r="5" spans="3:6" ht="57">
      <c r="C5" s="70" t="s">
        <v>386</v>
      </c>
      <c r="D5" s="227">
        <v>311210</v>
      </c>
      <c r="E5" s="226" t="s">
        <v>3428</v>
      </c>
      <c r="F5" s="70">
        <v>0.74600000000000011</v>
      </c>
    </row>
    <row r="6" spans="3:6" ht="42.75">
      <c r="C6" s="342" t="s">
        <v>388</v>
      </c>
      <c r="D6" s="343">
        <v>311221</v>
      </c>
      <c r="E6" s="344" t="s">
        <v>2614</v>
      </c>
      <c r="F6" s="342">
        <v>0.877</v>
      </c>
    </row>
    <row r="7" spans="3:6" ht="57">
      <c r="C7" s="345" t="s">
        <v>392</v>
      </c>
      <c r="D7" s="346">
        <v>311225</v>
      </c>
      <c r="E7" s="347" t="s">
        <v>3429</v>
      </c>
      <c r="F7" s="345">
        <v>0.71</v>
      </c>
    </row>
    <row r="8" spans="3:6" ht="57">
      <c r="C8" s="348" t="s">
        <v>1398</v>
      </c>
      <c r="D8" s="349">
        <v>311224</v>
      </c>
      <c r="E8" s="289" t="s">
        <v>2618</v>
      </c>
      <c r="F8" s="348">
        <v>6.2E-2</v>
      </c>
    </row>
    <row r="9" spans="3:6" ht="28.5">
      <c r="C9" s="342" t="s">
        <v>394</v>
      </c>
      <c r="D9" s="343">
        <v>311230</v>
      </c>
      <c r="E9" s="344" t="s">
        <v>2620</v>
      </c>
      <c r="F9" s="342">
        <v>0.80600000000000005</v>
      </c>
    </row>
    <row r="10" spans="3:6" ht="42.75">
      <c r="C10" s="345" t="s">
        <v>396</v>
      </c>
      <c r="D10" s="346">
        <v>311300</v>
      </c>
      <c r="E10" s="347" t="s">
        <v>2622</v>
      </c>
      <c r="F10" s="345">
        <v>0.60699999999999998</v>
      </c>
    </row>
    <row r="11" spans="3:6" ht="57">
      <c r="C11" s="342" t="s">
        <v>398</v>
      </c>
      <c r="D11" s="343">
        <v>311410</v>
      </c>
      <c r="E11" s="344" t="s">
        <v>2624</v>
      </c>
      <c r="F11" s="342">
        <v>0.97199999999999998</v>
      </c>
    </row>
    <row r="12" spans="3:6" ht="85.5">
      <c r="C12" s="345" t="s">
        <v>400</v>
      </c>
      <c r="D12" s="346">
        <v>311420</v>
      </c>
      <c r="E12" s="347" t="s">
        <v>2626</v>
      </c>
      <c r="F12" s="345">
        <v>0.54100000000000004</v>
      </c>
    </row>
    <row r="13" spans="3:6" ht="42.75">
      <c r="C13" s="342" t="s">
        <v>402</v>
      </c>
      <c r="D13" s="343">
        <v>311513</v>
      </c>
      <c r="E13" s="344" t="s">
        <v>2628</v>
      </c>
      <c r="F13" s="342">
        <v>1.7510000000000001</v>
      </c>
    </row>
    <row r="14" spans="3:6" ht="28.5">
      <c r="C14" s="342" t="s">
        <v>404</v>
      </c>
      <c r="D14" s="343">
        <v>311514</v>
      </c>
      <c r="E14" s="344" t="s">
        <v>2630</v>
      </c>
      <c r="F14" s="342">
        <v>1.468</v>
      </c>
    </row>
    <row r="15" spans="3:6" ht="28.5">
      <c r="C15" s="342" t="s">
        <v>406</v>
      </c>
      <c r="D15" s="343" t="s">
        <v>405</v>
      </c>
      <c r="E15" s="344" t="s">
        <v>3430</v>
      </c>
      <c r="F15" s="342">
        <v>1.61</v>
      </c>
    </row>
    <row r="16" spans="3:6" ht="42.75">
      <c r="C16" s="342" t="s">
        <v>408</v>
      </c>
      <c r="D16" s="343">
        <v>311520</v>
      </c>
      <c r="E16" s="344" t="s">
        <v>2635</v>
      </c>
      <c r="F16" s="342">
        <v>0.75600000000000001</v>
      </c>
    </row>
    <row r="17" spans="3:7" ht="28.5">
      <c r="C17" s="342" t="s">
        <v>410</v>
      </c>
      <c r="D17" s="343">
        <v>311615</v>
      </c>
      <c r="E17" s="344" t="s">
        <v>2637</v>
      </c>
      <c r="F17" s="342">
        <v>0.96600000000000008</v>
      </c>
    </row>
    <row r="18" spans="3:7" ht="71.25">
      <c r="C18" s="342" t="s">
        <v>412</v>
      </c>
      <c r="D18" s="343" t="s">
        <v>411</v>
      </c>
      <c r="E18" s="344" t="s">
        <v>3431</v>
      </c>
      <c r="F18" s="342">
        <v>2.1510000000000002</v>
      </c>
    </row>
    <row r="19" spans="3:7" ht="85.5">
      <c r="C19" s="342" t="s">
        <v>414</v>
      </c>
      <c r="D19" s="343">
        <v>311700</v>
      </c>
      <c r="E19" s="344" t="s">
        <v>3432</v>
      </c>
      <c r="F19" s="342">
        <v>0.44900000000000001</v>
      </c>
    </row>
    <row r="20" spans="3:7" ht="28.5">
      <c r="C20" s="342" t="s">
        <v>416</v>
      </c>
      <c r="D20" s="343">
        <v>311810</v>
      </c>
      <c r="E20" s="344" t="s">
        <v>2644</v>
      </c>
      <c r="F20" s="342">
        <v>0.30499999999999999</v>
      </c>
    </row>
    <row r="21" spans="3:7" ht="71.25">
      <c r="C21" s="342" t="s">
        <v>418</v>
      </c>
      <c r="D21" s="343" t="s">
        <v>417</v>
      </c>
      <c r="E21" s="344" t="s">
        <v>3433</v>
      </c>
      <c r="F21" s="342">
        <v>0.86599999999999999</v>
      </c>
    </row>
    <row r="22" spans="3:7" ht="85.5">
      <c r="C22" s="342" t="s">
        <v>420</v>
      </c>
      <c r="D22" s="343">
        <v>311910</v>
      </c>
      <c r="E22" s="344" t="s">
        <v>2649</v>
      </c>
      <c r="F22" s="342">
        <v>0.249</v>
      </c>
    </row>
    <row r="23" spans="3:7" ht="42.75">
      <c r="C23" s="342" t="s">
        <v>422</v>
      </c>
      <c r="D23" s="343">
        <v>311920</v>
      </c>
      <c r="E23" s="344" t="s">
        <v>3434</v>
      </c>
      <c r="F23" s="342">
        <v>0.255</v>
      </c>
    </row>
    <row r="24" spans="3:7" ht="42.75">
      <c r="C24" s="70" t="s">
        <v>424</v>
      </c>
      <c r="D24" s="227">
        <v>311930</v>
      </c>
      <c r="E24" s="226" t="s">
        <v>2653</v>
      </c>
      <c r="F24" s="70">
        <v>0.129</v>
      </c>
    </row>
    <row r="25" spans="3:7" ht="85.5">
      <c r="C25" s="70" t="s">
        <v>426</v>
      </c>
      <c r="D25" s="227">
        <v>311940</v>
      </c>
      <c r="E25" s="226" t="s">
        <v>3435</v>
      </c>
      <c r="F25" s="70">
        <v>0.252</v>
      </c>
    </row>
    <row r="26" spans="3:7" ht="85.5">
      <c r="C26" s="70" t="s">
        <v>428</v>
      </c>
      <c r="D26" s="227">
        <v>311990</v>
      </c>
      <c r="E26" s="226" t="s">
        <v>2657</v>
      </c>
      <c r="F26" s="70">
        <v>0.25</v>
      </c>
    </row>
    <row r="28" spans="3:7" ht="99.75">
      <c r="C28" t="s">
        <v>3539</v>
      </c>
      <c r="D28" s="11">
        <v>311</v>
      </c>
      <c r="E28" s="4" t="s">
        <v>3540</v>
      </c>
      <c r="F28" s="13">
        <f>AVERAGE(F7,F9:F23)</f>
        <v>0.90387499999999998</v>
      </c>
      <c r="G28" t="s">
        <v>3538</v>
      </c>
    </row>
  </sheetData>
  <autoFilter ref="C2:F26" xr:uid="{00000000-0009-0000-0000-00002C00000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E75"/>
  <sheetViews>
    <sheetView zoomScale="80" zoomScaleNormal="80" workbookViewId="0">
      <pane ySplit="1" topLeftCell="A68" activePane="bottomLeft" state="frozen"/>
      <selection activeCell="B69" sqref="B69"/>
      <selection pane="bottomLeft" activeCell="B69" sqref="B69"/>
    </sheetView>
  </sheetViews>
  <sheetFormatPr defaultColWidth="8.875" defaultRowHeight="14.25"/>
  <cols>
    <col min="1" max="1" width="81" style="4" customWidth="1"/>
    <col min="2" max="2" width="100" style="4" customWidth="1"/>
    <col min="5" max="5" width="35.5" customWidth="1"/>
    <col min="6" max="6" width="33.5" customWidth="1"/>
    <col min="7" max="7" width="8" customWidth="1"/>
    <col min="8" max="8" width="33.5" customWidth="1"/>
    <col min="9" max="9" width="29.875" customWidth="1"/>
    <col min="10" max="10" width="33.5" customWidth="1"/>
    <col min="11" max="11" width="69.5" customWidth="1"/>
    <col min="12" max="12" width="33.5" customWidth="1"/>
    <col min="14" max="15" width="62.875" customWidth="1"/>
    <col min="19" max="19" width="14.375" customWidth="1"/>
    <col min="20" max="20" width="13" customWidth="1"/>
    <col min="22" max="22" width="14.5" customWidth="1"/>
    <col min="24" max="24" width="24.375" customWidth="1"/>
    <col min="26" max="26" width="23.625" customWidth="1"/>
    <col min="28" max="28" width="16.375" customWidth="1"/>
  </cols>
  <sheetData>
    <row r="1" spans="1:5" ht="15">
      <c r="A1" s="287" t="s">
        <v>3384</v>
      </c>
      <c r="B1" s="287" t="s">
        <v>3385</v>
      </c>
    </row>
    <row r="2" spans="1:5" ht="21.75" customHeight="1">
      <c r="A2" s="288" t="s">
        <v>1434</v>
      </c>
      <c r="B2" s="226" t="s">
        <v>3412</v>
      </c>
    </row>
    <row r="3" spans="1:5" ht="52.5" customHeight="1">
      <c r="A3" s="289" t="s">
        <v>1451</v>
      </c>
      <c r="B3" s="226" t="e">
        <f ca="1">_xlfn.XLOOKUP(C3,commodities_meta!$H$26:$H$395,commodities_meta!$I$26:$I$395)</f>
        <v>#NAME?</v>
      </c>
      <c r="C3" s="224">
        <v>621900</v>
      </c>
      <c r="D3" s="298" t="e">
        <f ca="1">_xlfn.XLOOKUP(E3,'2016_Detail_Commodity_v1.0'!C:C,'2016_Detail_Commodity_v1.0'!B:B,FALSE)</f>
        <v>#NAME?</v>
      </c>
      <c r="E3" s="238" t="s">
        <v>1030</v>
      </c>
    </row>
    <row r="4" spans="1:5" ht="42.75" customHeight="1">
      <c r="A4" s="289" t="s">
        <v>1452</v>
      </c>
      <c r="B4" s="226" t="e">
        <f ca="1">_xlfn.XLOOKUP(C4,commodities_meta!$H$26:$H$395,commodities_meta!$I$26:$I$395)</f>
        <v>#NAME?</v>
      </c>
      <c r="C4" s="224">
        <v>621300</v>
      </c>
      <c r="D4" s="224" t="e">
        <f ca="1">_xlfn.XLOOKUP(E4,'2016_Detail_Commodity_v1.0'!C:C,'2016_Detail_Commodity_v1.0'!B:B,FALSE)</f>
        <v>#NAME?</v>
      </c>
      <c r="E4" s="238" t="s">
        <v>1022</v>
      </c>
    </row>
    <row r="5" spans="1:5" ht="38.25" customHeight="1">
      <c r="A5" s="289" t="s">
        <v>1453</v>
      </c>
      <c r="B5" s="226" t="e">
        <f ca="1">_xlfn.XLOOKUP(C5,commodities_meta!$H$26:$H$395,commodities_meta!$I$26:$I$395)</f>
        <v>#NAME?</v>
      </c>
      <c r="C5" s="224">
        <v>621600</v>
      </c>
      <c r="D5" s="224" t="e">
        <f ca="1">_xlfn.XLOOKUP(E5,'2016_Detail_Commodity_v1.0'!C:C,'2016_Detail_Commodity_v1.0'!B:B,FALSE)</f>
        <v>#NAME?</v>
      </c>
      <c r="E5" s="239" t="s">
        <v>1028</v>
      </c>
    </row>
    <row r="6" spans="1:5" ht="52.5" customHeight="1">
      <c r="A6" s="289" t="s">
        <v>1454</v>
      </c>
      <c r="B6" s="226" t="e">
        <f ca="1">_xlfn.XLOOKUP(C6,commodities_meta!$H$26:$H$395,commodities_meta!$I$26:$I$395)</f>
        <v>#NAME?</v>
      </c>
      <c r="C6" s="224">
        <v>621500</v>
      </c>
      <c r="D6" s="224" t="e">
        <f ca="1">_xlfn.XLOOKUP(E6,'2016_Detail_Commodity_v1.0'!C:C,'2016_Detail_Commodity_v1.0'!B:B,FALSE)</f>
        <v>#NAME?</v>
      </c>
      <c r="E6" s="238" t="s">
        <v>1026</v>
      </c>
    </row>
    <row r="7" spans="1:5" ht="39" customHeight="1">
      <c r="A7" s="289" t="s">
        <v>1455</v>
      </c>
      <c r="B7" s="226" t="e">
        <f ca="1">_xlfn.XLOOKUP(C7,commodities_meta!$H$26:$H$395,commodities_meta!$I$26:$I$395)</f>
        <v>#NAME?</v>
      </c>
      <c r="C7" s="224">
        <v>621400</v>
      </c>
      <c r="D7" s="224" t="e">
        <f ca="1">_xlfn.XLOOKUP(E7,'2016_Detail_Commodity_v1.0'!C:C,'2016_Detail_Commodity_v1.0'!B:B,FALSE)</f>
        <v>#NAME?</v>
      </c>
      <c r="E7" s="239" t="s">
        <v>1024</v>
      </c>
    </row>
    <row r="8" spans="1:5" ht="80.25" customHeight="1">
      <c r="A8" s="289" t="s">
        <v>1456</v>
      </c>
      <c r="B8" s="226" t="e">
        <f ca="1">_xlfn.XLOOKUP(C8,commodities_meta!$H$26:$H$395,commodities_meta!$I$26:$I$395)</f>
        <v>#NAME?</v>
      </c>
      <c r="C8" s="224">
        <v>621100</v>
      </c>
      <c r="D8" s="224" t="e">
        <f ca="1">_xlfn.XLOOKUP(E8,'2016_Detail_Commodity_v1.0'!C:C,'2016_Detail_Commodity_v1.0'!B:B,FALSE)</f>
        <v>#NAME?</v>
      </c>
      <c r="E8" s="238" t="s">
        <v>1018</v>
      </c>
    </row>
    <row r="9" spans="1:5">
      <c r="A9" s="288" t="s">
        <v>1435</v>
      </c>
      <c r="B9" s="226" t="s">
        <v>3413</v>
      </c>
    </row>
    <row r="10" spans="1:5" ht="129" customHeight="1">
      <c r="A10" s="289" t="s">
        <v>1457</v>
      </c>
      <c r="B10" s="226" t="e">
        <f ca="1">_xlfn.XLOOKUP(C10,commodities_meta!$H$26:$H$395,commodities_meta!$I$26:$I$395)</f>
        <v>#NAME?</v>
      </c>
      <c r="C10" s="224">
        <v>315000</v>
      </c>
      <c r="D10" s="224" t="e">
        <f ca="1">_xlfn.XLOOKUP(E10,'2016_Detail_Commodity_v1.0'!C:C,'2016_Detail_Commodity_v1.0'!B:B,FALSE)</f>
        <v>#NAME?</v>
      </c>
      <c r="E10" s="290" t="s">
        <v>452</v>
      </c>
    </row>
    <row r="11" spans="1:5">
      <c r="A11" s="288" t="s">
        <v>1436</v>
      </c>
      <c r="B11" s="226" t="s">
        <v>3414</v>
      </c>
    </row>
    <row r="12" spans="1:5">
      <c r="A12" s="289" t="s">
        <v>1458</v>
      </c>
      <c r="B12" s="226" t="e">
        <f ca="1">_xlfn.XLOOKUP(C12,commodities_meta!$H$26:$H$395,commodities_meta!$I$26:$I$395)</f>
        <v>#NAME?</v>
      </c>
      <c r="C12" s="224">
        <v>325520</v>
      </c>
      <c r="D12" s="224" t="e">
        <f ca="1">_xlfn.XLOOKUP(E12,'2016_Detail_Commodity_v1.0'!C:C,'2016_Detail_Commodity_v1.0'!B:B,FALSE)</f>
        <v>#NAME?</v>
      </c>
      <c r="E12" s="228" t="s">
        <v>520</v>
      </c>
    </row>
    <row r="13" spans="1:5">
      <c r="A13" s="289" t="s">
        <v>1459</v>
      </c>
      <c r="B13" s="226" t="e">
        <f ca="1">_xlfn.XLOOKUP(C13,commodities_meta!$H$26:$H$395,commodities_meta!$I$26:$I$395)</f>
        <v>#NAME?</v>
      </c>
      <c r="C13" s="224">
        <v>325413</v>
      </c>
      <c r="D13" s="224" t="e">
        <f ca="1">_xlfn.XLOOKUP(E13,'2016_Detail_Commodity_v1.0'!C:C,'2016_Detail_Commodity_v1.0'!B:B,FALSE)</f>
        <v>#NAME?</v>
      </c>
      <c r="E13" s="290" t="s">
        <v>514</v>
      </c>
    </row>
    <row r="14" spans="1:5" ht="28.5">
      <c r="A14" s="289" t="s">
        <v>1460</v>
      </c>
      <c r="B14" s="226" t="e">
        <f ca="1">_xlfn.XLOOKUP(C14,commodities_meta!$H$26:$H$395,commodities_meta!$I$26:$I$395)</f>
        <v>#NAME?</v>
      </c>
      <c r="C14" s="224" t="s">
        <v>527</v>
      </c>
      <c r="D14" s="224" t="e">
        <f ca="1">_xlfn.XLOOKUP(E14,'2016_Detail_Commodity_v1.0'!C:C,'2016_Detail_Commodity_v1.0'!B:B,FALSE)</f>
        <v>#NAME?</v>
      </c>
      <c r="E14" s="228" t="s">
        <v>528</v>
      </c>
    </row>
    <row r="15" spans="1:5">
      <c r="A15" s="289" t="s">
        <v>1461</v>
      </c>
      <c r="B15" s="226" t="e">
        <f ca="1">_xlfn.XLOOKUP(C15,commodities_meta!$H$26:$H$395,commodities_meta!$I$26:$I$395)</f>
        <v>#NAME?</v>
      </c>
      <c r="C15" s="224">
        <v>325120</v>
      </c>
      <c r="D15" s="224" t="e">
        <f ca="1">_xlfn.XLOOKUP(E15,'2016_Detail_Commodity_v1.0'!C:C,'2016_Detail_Commodity_v1.0'!B:B,FALSE)</f>
        <v>#NAME?</v>
      </c>
      <c r="E15" s="290" t="s">
        <v>494</v>
      </c>
    </row>
    <row r="16" spans="1:5">
      <c r="A16" s="289" t="s">
        <v>1462</v>
      </c>
      <c r="B16" s="226" t="e">
        <f ca="1">_xlfn.XLOOKUP(C16,commodities_meta!$H$26:$H$395,commodities_meta!$I$26:$I$395)</f>
        <v>#NAME?</v>
      </c>
      <c r="C16" s="224">
        <v>325411</v>
      </c>
      <c r="D16" s="224" t="e">
        <f ca="1">_xlfn.XLOOKUP(E16,'2016_Detail_Commodity_v1.0'!C:C,'2016_Detail_Commodity_v1.0'!B:B,FALSE)</f>
        <v>#NAME?</v>
      </c>
      <c r="E16" s="228" t="s">
        <v>510</v>
      </c>
    </row>
    <row r="17" spans="1:5">
      <c r="A17" s="289" t="s">
        <v>1463</v>
      </c>
      <c r="B17" s="226" t="e">
        <f ca="1">_xlfn.XLOOKUP(C17,commodities_meta!$H$26:$H$395,commodities_meta!$I$26:$I$395)</f>
        <v>#NAME?</v>
      </c>
      <c r="C17" s="224">
        <v>325180</v>
      </c>
      <c r="D17" s="224" t="e">
        <f ca="1">_xlfn.XLOOKUP(E17,'2016_Detail_Commodity_v1.0'!C:C,'2016_Detail_Commodity_v1.0'!B:B,FALSE)</f>
        <v>#NAME?</v>
      </c>
      <c r="E17" s="290" t="s">
        <v>498</v>
      </c>
    </row>
    <row r="18" spans="1:5">
      <c r="A18" s="289" t="s">
        <v>1464</v>
      </c>
      <c r="B18" s="226" t="e">
        <f ca="1">_xlfn.XLOOKUP(C18,commodities_meta!$H$26:$H$395,commodities_meta!$I$26:$I$395)</f>
        <v>#NAME?</v>
      </c>
      <c r="C18" s="224">
        <v>325190</v>
      </c>
      <c r="D18" s="224" t="e">
        <f ca="1">_xlfn.XLOOKUP(E18,'2016_Detail_Commodity_v1.0'!C:C,'2016_Detail_Commodity_v1.0'!B:B,FALSE)</f>
        <v>#NAME?</v>
      </c>
      <c r="E18" s="228" t="s">
        <v>500</v>
      </c>
    </row>
    <row r="19" spans="1:5">
      <c r="A19" s="289" t="s">
        <v>1465</v>
      </c>
      <c r="B19" s="226" t="e">
        <f ca="1">_xlfn.XLOOKUP(C19,commodities_meta!$H$26:$H$395,commodities_meta!$I$26:$I$395)</f>
        <v>#NAME?</v>
      </c>
      <c r="C19" s="224">
        <v>325412</v>
      </c>
      <c r="D19" s="224" t="e">
        <f ca="1">_xlfn.XLOOKUP(E19,'2016_Detail_Commodity_v1.0'!C:C,'2016_Detail_Commodity_v1.0'!B:B,FALSE)</f>
        <v>#NAME?</v>
      </c>
      <c r="E19" s="290" t="s">
        <v>512</v>
      </c>
    </row>
    <row r="20" spans="1:5">
      <c r="A20" s="294" t="s">
        <v>1433</v>
      </c>
      <c r="B20" s="226" t="e">
        <f ca="1">_xlfn.XLOOKUP(C20,commodities_meta!$H$26:$H$395,commodities_meta!$I$26:$I$395)</f>
        <v>#NAME?</v>
      </c>
    </row>
    <row r="21" spans="1:5">
      <c r="A21" s="289" t="s">
        <v>1466</v>
      </c>
      <c r="B21" s="226" t="e">
        <f ca="1">_xlfn.XLOOKUP(C21,commodities_meta!$H$26:$H$395,commodities_meta!$I$26:$I$395)</f>
        <v>#NAME?</v>
      </c>
      <c r="C21" s="224">
        <v>325610</v>
      </c>
      <c r="D21" s="224" t="e">
        <f ca="1">_xlfn.XLOOKUP(E21,'2016_Detail_Commodity_v1.0'!C:C,'2016_Detail_Commodity_v1.0'!B:B,FALSE)</f>
        <v>#NAME?</v>
      </c>
      <c r="E21" s="228" t="s">
        <v>522</v>
      </c>
    </row>
    <row r="22" spans="1:5">
      <c r="A22" s="289" t="s">
        <v>1467</v>
      </c>
      <c r="B22" s="226" t="e">
        <f ca="1">_xlfn.XLOOKUP(C22,commodities_meta!$H$26:$H$395,commodities_meta!$I$26:$I$395)</f>
        <v>#NAME?</v>
      </c>
      <c r="C22" s="224">
        <v>325620</v>
      </c>
      <c r="D22" s="224" t="e">
        <f ca="1">_xlfn.XLOOKUP(E22,'2016_Detail_Commodity_v1.0'!C:C,'2016_Detail_Commodity_v1.0'!B:B,FALSE)</f>
        <v>#NAME?</v>
      </c>
      <c r="E22" s="290" t="s">
        <v>524</v>
      </c>
    </row>
    <row r="23" spans="1:5">
      <c r="A23" s="289" t="s">
        <v>1468</v>
      </c>
      <c r="B23" s="226" t="e">
        <f ca="1">_xlfn.XLOOKUP(C23,commodities_meta!$H$26:$H$395,commodities_meta!$I$26:$I$395)</f>
        <v>#NAME?</v>
      </c>
      <c r="C23" s="224">
        <v>325414</v>
      </c>
      <c r="D23" s="224" t="e">
        <f ca="1">_xlfn.XLOOKUP(E23,'2016_Detail_Commodity_v1.0'!C:C,'2016_Detail_Commodity_v1.0'!B:B,FALSE)</f>
        <v>#NAME?</v>
      </c>
      <c r="E23" s="228" t="s">
        <v>516</v>
      </c>
    </row>
    <row r="24" spans="1:5">
      <c r="A24" s="288" t="s">
        <v>1437</v>
      </c>
      <c r="B24" s="226" t="e">
        <f ca="1">_xlfn.XLOOKUP(C24,commodities_meta!$H$26:$H$395,commodities_meta!$I$26:$I$395)</f>
        <v>#NAME?</v>
      </c>
    </row>
    <row r="25" spans="1:5">
      <c r="A25" s="289" t="s">
        <v>1469</v>
      </c>
      <c r="B25" s="226" t="e">
        <f ca="1">_xlfn.XLOOKUP(C25,commodities_meta!$H$26:$H$395,commodities_meta!$I$26:$I$395)</f>
        <v>#NAME?</v>
      </c>
      <c r="C25" s="224">
        <v>334516</v>
      </c>
      <c r="D25" s="224" t="e">
        <f ca="1">_xlfn.XLOOKUP(E25,'2016_Detail_Commodity_v1.0'!C:C,'2016_Detail_Commodity_v1.0'!B:B,FALSE)</f>
        <v>#NAME?</v>
      </c>
      <c r="E25" s="290" t="s">
        <v>720</v>
      </c>
    </row>
    <row r="26" spans="1:5">
      <c r="A26" s="289" t="s">
        <v>1470</v>
      </c>
      <c r="B26" s="226" t="e">
        <f ca="1">_xlfn.XLOOKUP(C26,commodities_meta!$H$26:$H$395,commodities_meta!$I$26:$I$395)</f>
        <v>#NAME?</v>
      </c>
      <c r="C26" s="224">
        <v>334300</v>
      </c>
      <c r="D26" s="224" t="e">
        <f ca="1">_xlfn.XLOOKUP(E26,'2016_Detail_Commodity_v1.0'!C:C,'2016_Detail_Commodity_v1.0'!B:B,FALSE)</f>
        <v>#NAME?</v>
      </c>
      <c r="E26" s="228" t="s">
        <v>700</v>
      </c>
    </row>
    <row r="27" spans="1:5">
      <c r="A27" s="289" t="s">
        <v>1471</v>
      </c>
      <c r="B27" s="226" t="e">
        <f ca="1">_xlfn.XLOOKUP(C27,commodities_meta!$H$26:$H$395,commodities_meta!$I$26:$I$395)</f>
        <v>#NAME?</v>
      </c>
      <c r="C27" s="224">
        <v>334112</v>
      </c>
      <c r="D27" s="224" t="e">
        <f ca="1">_xlfn.XLOOKUP(E27,'2016_Detail_Commodity_v1.0'!C:C,'2016_Detail_Commodity_v1.0'!B:B,FALSE)</f>
        <v>#NAME?</v>
      </c>
      <c r="E27" s="290" t="s">
        <v>690</v>
      </c>
    </row>
    <row r="28" spans="1:5" ht="28.5">
      <c r="A28" s="289" t="s">
        <v>1472</v>
      </c>
      <c r="B28" s="226" t="e">
        <f ca="1">_xlfn.XLOOKUP(C28,commodities_meta!$H$26:$H$395,commodities_meta!$I$26:$I$395)</f>
        <v>#NAME?</v>
      </c>
      <c r="C28" s="224">
        <v>334118</v>
      </c>
      <c r="D28" s="224" t="e">
        <f ca="1">_xlfn.XLOOKUP(E28,'2016_Detail_Commodity_v1.0'!C:C,'2016_Detail_Commodity_v1.0'!B:B,FALSE)</f>
        <v>#NAME?</v>
      </c>
      <c r="E28" s="228" t="s">
        <v>692</v>
      </c>
    </row>
    <row r="29" spans="1:5" ht="168.75" customHeight="1">
      <c r="A29" s="289" t="s">
        <v>1473</v>
      </c>
      <c r="B29" s="226" t="e">
        <f ca="1">_xlfn.XLOOKUP(C29,commodities_meta!$H$26:$H$395,commodities_meta!$I$26:$I$395)</f>
        <v>#NAME?</v>
      </c>
      <c r="C29" s="224">
        <v>334111</v>
      </c>
      <c r="D29" s="224" t="e">
        <f ca="1">_xlfn.XLOOKUP(E29,'2016_Detail_Commodity_v1.0'!C:C,'2016_Detail_Commodity_v1.0'!B:B,FALSE)</f>
        <v>#NAME?</v>
      </c>
      <c r="E29" s="290" t="s">
        <v>688</v>
      </c>
    </row>
    <row r="30" spans="1:5">
      <c r="A30" s="289" t="s">
        <v>1474</v>
      </c>
      <c r="B30" s="226" t="e">
        <f ca="1">_xlfn.XLOOKUP(C30,commodities_meta!$H$26:$H$395,commodities_meta!$I$26:$I$395)</f>
        <v>#NAME?</v>
      </c>
      <c r="C30" s="224">
        <v>334510</v>
      </c>
      <c r="D30" s="224" t="e">
        <f ca="1">_xlfn.XLOOKUP(E30,'2016_Detail_Commodity_v1.0'!C:C,'2016_Detail_Commodity_v1.0'!B:B,FALSE)</f>
        <v>#NAME?</v>
      </c>
      <c r="E30" s="228" t="s">
        <v>708</v>
      </c>
    </row>
    <row r="31" spans="1:5" ht="28.5">
      <c r="A31" s="289" t="s">
        <v>1475</v>
      </c>
      <c r="B31" s="226" t="e">
        <f ca="1">_xlfn.XLOOKUP(C31,commodities_meta!$H$26:$H$395,commodities_meta!$I$26:$I$395)</f>
        <v>#NAME?</v>
      </c>
      <c r="C31" s="224" t="s">
        <v>705</v>
      </c>
      <c r="D31" s="224" t="e">
        <f ca="1">_xlfn.XLOOKUP(E31,'2016_Detail_Commodity_v1.0'!C:C,'2016_Detail_Commodity_v1.0'!B:B,FALSE)</f>
        <v>#NAME?</v>
      </c>
      <c r="E31" s="290" t="s">
        <v>706</v>
      </c>
    </row>
    <row r="32" spans="1:5">
      <c r="A32" s="289" t="s">
        <v>1476</v>
      </c>
      <c r="B32" s="226" t="e">
        <f ca="1">_xlfn.XLOOKUP(C32,commodities_meta!$H$26:$H$395,commodities_meta!$I$26:$I$395)</f>
        <v>#NAME?</v>
      </c>
      <c r="C32" s="224">
        <v>334517</v>
      </c>
      <c r="D32" s="224" t="e">
        <f ca="1">_xlfn.XLOOKUP(E32,'2016_Detail_Commodity_v1.0'!C:C,'2016_Detail_Commodity_v1.0'!B:B,FALSE)</f>
        <v>#NAME?</v>
      </c>
      <c r="E32" s="228" t="s">
        <v>722</v>
      </c>
    </row>
    <row r="33" spans="1:5">
      <c r="A33" s="289" t="s">
        <v>1477</v>
      </c>
      <c r="B33" s="226" t="e">
        <f ca="1">_xlfn.XLOOKUP(C33,commodities_meta!$H$26:$H$395,commodities_meta!$I$26:$I$395)</f>
        <v>#NAME?</v>
      </c>
      <c r="C33" s="224">
        <v>334210</v>
      </c>
      <c r="D33" s="224" t="e">
        <f ca="1">_xlfn.XLOOKUP(E33,'2016_Detail_Commodity_v1.0'!C:C,'2016_Detail_Commodity_v1.0'!B:B,FALSE)</f>
        <v>#NAME?</v>
      </c>
      <c r="E33" s="290" t="s">
        <v>694</v>
      </c>
    </row>
    <row r="34" spans="1:5">
      <c r="A34" s="288" t="s">
        <v>1438</v>
      </c>
      <c r="B34" s="226" t="e">
        <f ca="1">_xlfn.XLOOKUP(C34,commodities_meta!$H$26:$H$395,commodities_meta!$I$26:$I$395)</f>
        <v>#NAME?</v>
      </c>
    </row>
    <row r="35" spans="1:5">
      <c r="A35" s="289" t="s">
        <v>1478</v>
      </c>
      <c r="B35" s="226" t="e">
        <f ca="1">_xlfn.XLOOKUP(C35,commodities_meta!$H$26:$H$395,commodities_meta!$I$26:$I$395)</f>
        <v>#NAME?</v>
      </c>
      <c r="C35" s="224">
        <v>541512</v>
      </c>
      <c r="D35" s="224" t="e">
        <f ca="1">_xlfn.XLOOKUP(E35,'2016_Detail_Commodity_v1.0'!C:C,'2016_Detail_Commodity_v1.0'!B:B,FALSE)</f>
        <v>#NAME?</v>
      </c>
      <c r="E35" s="228" t="s">
        <v>974</v>
      </c>
    </row>
    <row r="36" spans="1:5">
      <c r="A36" s="289" t="s">
        <v>1479</v>
      </c>
      <c r="B36" s="226" t="e">
        <f ca="1">_xlfn.XLOOKUP(C36,commodities_meta!$H$26:$H$395,commodities_meta!$I$26:$I$395)</f>
        <v>#NAME?</v>
      </c>
      <c r="C36" s="224">
        <v>541511</v>
      </c>
      <c r="D36" s="224" t="e">
        <f ca="1">_xlfn.XLOOKUP(E36,'2016_Detail_Commodity_v1.0'!C:C,'2016_Detail_Commodity_v1.0'!B:B,FALSE)</f>
        <v>#NAME?</v>
      </c>
      <c r="E36" s="290" t="s">
        <v>972</v>
      </c>
    </row>
    <row r="37" spans="1:5" ht="97.5" customHeight="1">
      <c r="A37" s="289" t="s">
        <v>1480</v>
      </c>
      <c r="B37" s="226" t="e">
        <f ca="1">_xlfn.XLOOKUP(C37,commodities_meta!$H$26:$H$395,commodities_meta!$I$26:$I$395)</f>
        <v>#NAME?</v>
      </c>
      <c r="C37" s="224" t="s">
        <v>975</v>
      </c>
      <c r="D37" s="224" t="e">
        <f ca="1">_xlfn.XLOOKUP(E37,'2016_Detail_Commodity_v1.0'!C:C,'2016_Detail_Commodity_v1.0'!B:B,FALSE)</f>
        <v>#NAME?</v>
      </c>
      <c r="E37" s="228" t="s">
        <v>976</v>
      </c>
    </row>
    <row r="38" spans="1:5">
      <c r="A38" s="288" t="s">
        <v>1439</v>
      </c>
      <c r="B38" s="226" t="s">
        <v>3415</v>
      </c>
    </row>
    <row r="39" spans="1:5">
      <c r="A39" s="289" t="s">
        <v>1481</v>
      </c>
      <c r="B39" s="226" t="s">
        <v>3093</v>
      </c>
    </row>
    <row r="40" spans="1:5" ht="38.25" customHeight="1">
      <c r="A40" s="288" t="s">
        <v>1440</v>
      </c>
      <c r="B40" s="226" t="s">
        <v>3386</v>
      </c>
    </row>
    <row r="41" spans="1:5" ht="98.25" customHeight="1">
      <c r="A41" s="289" t="s">
        <v>1482</v>
      </c>
      <c r="B41" s="226" t="e">
        <f ca="1">_xlfn.XLOOKUP(C41,commodities_meta!$H$26:$H$395,commodities_meta!$I$26:$I$395)</f>
        <v>#NAME?</v>
      </c>
      <c r="C41" s="224">
        <v>518200</v>
      </c>
      <c r="D41" s="224" t="e">
        <f ca="1">_xlfn.XLOOKUP(E41,'2016_Detail_Commodity_v1.0'!C:C,'2016_Detail_Commodity_v1.0'!B:B,FALSE)</f>
        <v>#NAME?</v>
      </c>
      <c r="E41" s="228" t="s">
        <v>930</v>
      </c>
    </row>
    <row r="42" spans="1:5">
      <c r="A42" s="289" t="s">
        <v>1483</v>
      </c>
      <c r="B42" s="299" t="s">
        <v>3094</v>
      </c>
    </row>
    <row r="43" spans="1:5">
      <c r="A43" s="288" t="s">
        <v>1441</v>
      </c>
      <c r="B43" s="299" t="s">
        <v>3094</v>
      </c>
    </row>
    <row r="44" spans="1:5" ht="114">
      <c r="A44" s="288" t="s">
        <v>1442</v>
      </c>
      <c r="B44" s="226" t="s">
        <v>3411</v>
      </c>
    </row>
    <row r="45" spans="1:5">
      <c r="A45" s="289" t="s">
        <v>1484</v>
      </c>
      <c r="B45" s="226" t="e">
        <f ca="1">_xlfn.XLOOKUP(C45,commodities_meta!$H$26:$H$395,commodities_meta!$I$26:$I$395)</f>
        <v>#NAME?</v>
      </c>
      <c r="C45" s="224">
        <v>337127</v>
      </c>
      <c r="D45" s="224" t="e">
        <f ca="1">_xlfn.XLOOKUP(E45,'2016_Detail_Commodity_v1.0'!C:C,'2016_Detail_Commodity_v1.0'!B:B,FALSE)</f>
        <v>#NAME?</v>
      </c>
      <c r="E45" s="228" t="s">
        <v>816</v>
      </c>
    </row>
    <row r="46" spans="1:5">
      <c r="A46" s="289" t="s">
        <v>1485</v>
      </c>
      <c r="B46" s="226" t="e">
        <f ca="1">_xlfn.XLOOKUP(C46,commodities_meta!$H$26:$H$395,commodities_meta!$I$26:$I$395)</f>
        <v>#NAME?</v>
      </c>
      <c r="C46" s="224" t="s">
        <v>821</v>
      </c>
      <c r="D46" s="224" t="e">
        <f ca="1">_xlfn.XLOOKUP(E46,'2016_Detail_Commodity_v1.0'!C:C,'2016_Detail_Commodity_v1.0'!B:B,FALSE)</f>
        <v>#NAME?</v>
      </c>
      <c r="E46" s="290" t="s">
        <v>822</v>
      </c>
    </row>
    <row r="47" spans="1:5">
      <c r="A47" s="288" t="s">
        <v>1443</v>
      </c>
      <c r="B47" s="226"/>
    </row>
    <row r="48" spans="1:5">
      <c r="A48" s="289" t="s">
        <v>1486</v>
      </c>
      <c r="B48" s="226" t="e">
        <f ca="1">_xlfn.XLOOKUP(C48,commodities_meta!$H$26:$H$395,commodities_meta!$I$26:$I$395)</f>
        <v>#NAME?</v>
      </c>
      <c r="C48">
        <v>339940</v>
      </c>
      <c r="D48" s="224" t="e">
        <f ca="1">_xlfn.XLOOKUP(E48,'2016_Detail_Commodity_v1.0'!C:C,'2016_Detail_Commodity_v1.0'!B:B,FALSE)</f>
        <v>#NAME?</v>
      </c>
      <c r="E48" s="228" t="s">
        <v>842</v>
      </c>
    </row>
    <row r="49" spans="1:5">
      <c r="A49" s="289" t="s">
        <v>1487</v>
      </c>
      <c r="B49" s="226" t="e">
        <f ca="1">_xlfn.XLOOKUP(C49,commodities_meta!$H$26:$H$395,commodities_meta!$I$26:$I$395)</f>
        <v>#NAME?</v>
      </c>
      <c r="C49">
        <v>339112</v>
      </c>
      <c r="D49" s="224" t="e">
        <f ca="1">_xlfn.XLOOKUP(E49,'2016_Detail_Commodity_v1.0'!C:C,'2016_Detail_Commodity_v1.0'!B:B,FALSE)</f>
        <v>#NAME?</v>
      </c>
      <c r="E49" s="290" t="s">
        <v>826</v>
      </c>
    </row>
    <row r="50" spans="1:5">
      <c r="A50" s="289" t="s">
        <v>1488</v>
      </c>
      <c r="B50" s="226" t="e">
        <f ca="1">_xlfn.XLOOKUP(C50,commodities_meta!$H$26:$H$395,commodities_meta!$I$26:$I$395)</f>
        <v>#NAME?</v>
      </c>
      <c r="C50">
        <v>339113</v>
      </c>
      <c r="D50" s="224" t="e">
        <f ca="1">_xlfn.XLOOKUP(E50,'2016_Detail_Commodity_v1.0'!C:C,'2016_Detail_Commodity_v1.0'!B:B,FALSE)</f>
        <v>#NAME?</v>
      </c>
      <c r="E50" s="233" t="s">
        <v>828</v>
      </c>
    </row>
    <row r="51" spans="1:5">
      <c r="A51" s="294" t="s">
        <v>1514</v>
      </c>
      <c r="B51" s="226"/>
    </row>
    <row r="52" spans="1:5">
      <c r="A52" s="288" t="s">
        <v>1444</v>
      </c>
      <c r="B52" s="226"/>
    </row>
    <row r="53" spans="1:5" ht="28.5">
      <c r="A53" s="289" t="s">
        <v>1489</v>
      </c>
      <c r="B53" s="226" t="e">
        <f ca="1">_xlfn.XLOOKUP(C53,commodities_meta!$H$26:$H$395,commodities_meta!$I$26:$I$395)</f>
        <v>#NAME?</v>
      </c>
      <c r="C53" s="224">
        <v>541300</v>
      </c>
      <c r="D53" s="224" t="e">
        <f ca="1">_xlfn.XLOOKUP(E53,'2016_Detail_Commodity_v1.0'!C:C,'2016_Detail_Commodity_v1.0'!B:B,FALSE)</f>
        <v>#NAME?</v>
      </c>
      <c r="E53" s="290" t="s">
        <v>968</v>
      </c>
    </row>
    <row r="54" spans="1:5" ht="28.5">
      <c r="A54" s="289" t="s">
        <v>1490</v>
      </c>
      <c r="B54" s="226" t="e">
        <f ca="1">_xlfn.XLOOKUP(C54,commodities_meta!$H$26:$H$395,commodities_meta!$I$26:$I$395)</f>
        <v>#NAME?</v>
      </c>
      <c r="C54" s="224" t="s">
        <v>979</v>
      </c>
      <c r="D54" s="224" t="e">
        <f ca="1">_xlfn.XLOOKUP(E54,'2016_Detail_Commodity_v1.0'!C:C,'2016_Detail_Commodity_v1.0'!B:B,FALSE)</f>
        <v>#NAME?</v>
      </c>
      <c r="E54" s="228" t="s">
        <v>980</v>
      </c>
    </row>
    <row r="55" spans="1:5" ht="28.5">
      <c r="A55" s="289" t="s">
        <v>1491</v>
      </c>
      <c r="B55" s="226" t="e">
        <f ca="1">_xlfn.XLOOKUP(C55,commodities_meta!$H$26:$H$395,commodities_meta!$I$26:$I$395)</f>
        <v>#NAME?</v>
      </c>
      <c r="C55" s="224">
        <v>541700</v>
      </c>
      <c r="D55" s="224" t="e">
        <f ca="1">_xlfn.XLOOKUP(E55,'2016_Detail_Commodity_v1.0'!C:C,'2016_Detail_Commodity_v1.0'!B:B,FALSE)</f>
        <v>#NAME?</v>
      </c>
      <c r="E55" s="290" t="s">
        <v>982</v>
      </c>
    </row>
    <row r="56" spans="1:5">
      <c r="A56" s="288" t="s">
        <v>1445</v>
      </c>
      <c r="B56" s="226"/>
    </row>
    <row r="57" spans="1:5">
      <c r="A57" s="289" t="s">
        <v>1492</v>
      </c>
      <c r="B57" s="226" t="e">
        <f ca="1">_xlfn.XLOOKUP(C57,commodities_meta!$H$26:$H$395,commodities_meta!$I$26:$I$395)</f>
        <v>#NAME?</v>
      </c>
      <c r="C57" s="224" t="s">
        <v>1032</v>
      </c>
      <c r="D57" s="224" t="e">
        <f ca="1">_xlfn.XLOOKUP(E57,'2016_Detail_Commodity_v1.0'!C:C,'2016_Detail_Commodity_v1.0'!B:B,FALSE)</f>
        <v>#NAME?</v>
      </c>
      <c r="E57" s="228" t="s">
        <v>1033</v>
      </c>
    </row>
    <row r="58" spans="1:5" ht="28.5">
      <c r="A58" s="289" t="s">
        <v>1493</v>
      </c>
      <c r="B58" s="226" t="e">
        <f ca="1">_xlfn.XLOOKUP(C58,commodities_meta!$H$26:$H$395,commodities_meta!$I$26:$I$395)</f>
        <v>#NAME?</v>
      </c>
      <c r="C58" s="224" t="s">
        <v>1034</v>
      </c>
      <c r="D58" s="224" t="e">
        <f ca="1">_xlfn.XLOOKUP(E58,'2016_Detail_Commodity_v1.0'!C:C,'2016_Detail_Commodity_v1.0'!B:B,FALSE)</f>
        <v>#NAME?</v>
      </c>
      <c r="E58" s="290" t="s">
        <v>1035</v>
      </c>
    </row>
    <row r="59" spans="1:5">
      <c r="A59" s="288" t="s">
        <v>1446</v>
      </c>
      <c r="B59" s="226"/>
    </row>
    <row r="60" spans="1:5">
      <c r="A60" s="289" t="s">
        <v>1494</v>
      </c>
      <c r="B60" s="226" t="e">
        <f ca="1">_xlfn.XLOOKUP(C60,commodities_meta!$H$26:$H$395,commodities_meta!$I$26:$I$395)</f>
        <v>#NAME?</v>
      </c>
      <c r="C60" s="224">
        <v>811300</v>
      </c>
      <c r="D60" s="224" t="e">
        <f ca="1">_xlfn.XLOOKUP(E60,'2016_Detail_Commodity_v1.0'!C:C,'2016_Detail_Commodity_v1.0'!B:B,FALSE)</f>
        <v>#NAME?</v>
      </c>
      <c r="E60" s="228" t="s">
        <v>1071</v>
      </c>
    </row>
    <row r="61" spans="1:5">
      <c r="A61" s="289" t="s">
        <v>1495</v>
      </c>
      <c r="B61" s="226" t="e">
        <f ca="1">_xlfn.XLOOKUP(C61,commodities_meta!$H$26:$H$395,commodities_meta!$I$26:$I$395)</f>
        <v>#NAME?</v>
      </c>
      <c r="C61" s="224">
        <v>812300</v>
      </c>
      <c r="D61" s="224" t="e">
        <f ca="1">_xlfn.XLOOKUP(E61,'2016_Detail_Commodity_v1.0'!C:C,'2016_Detail_Commodity_v1.0'!B:B,FALSE)</f>
        <v>#NAME?</v>
      </c>
      <c r="E61" s="290" t="s">
        <v>1079</v>
      </c>
    </row>
    <row r="62" spans="1:5">
      <c r="A62" s="289" t="s">
        <v>1496</v>
      </c>
      <c r="B62" s="226" t="e">
        <f ca="1">_xlfn.XLOOKUP(C62,commodities_meta!$H$26:$H$395,commodities_meta!$I$26:$I$395)</f>
        <v>#NAME?</v>
      </c>
      <c r="C62" s="224">
        <v>811200</v>
      </c>
      <c r="D62" s="224" t="e">
        <f ca="1">_xlfn.XLOOKUP(E62,'2016_Detail_Commodity_v1.0'!C:C,'2016_Detail_Commodity_v1.0'!B:B,FALSE)</f>
        <v>#NAME?</v>
      </c>
      <c r="E62" s="228" t="s">
        <v>1069</v>
      </c>
    </row>
    <row r="63" spans="1:5">
      <c r="A63" s="288" t="s">
        <v>1447</v>
      </c>
      <c r="B63" s="226"/>
    </row>
    <row r="64" spans="1:5">
      <c r="A64" s="289" t="s">
        <v>1498</v>
      </c>
      <c r="B64" s="226" t="e">
        <f ca="1">_xlfn.XLOOKUP(C64,commodities_meta!$H$26:$H$395,commodities_meta!$I$26:$I$395)</f>
        <v>#NAME?</v>
      </c>
      <c r="C64" s="224">
        <v>322120</v>
      </c>
      <c r="D64" s="224" t="e">
        <f ca="1">_xlfn.XLOOKUP(E64,'2016_Detail_Commodity_v1.0'!C:C,'2016_Detail_Commodity_v1.0'!B:B,FALSE)</f>
        <v>#NAME?</v>
      </c>
      <c r="E64" s="228" t="s">
        <v>466</v>
      </c>
    </row>
    <row r="65" spans="1:5">
      <c r="A65" s="289" t="s">
        <v>1499</v>
      </c>
      <c r="B65" s="226" t="e">
        <f ca="1">_xlfn.XLOOKUP(C65,commodities_meta!$H$26:$H$395,commodities_meta!$I$26:$I$395)</f>
        <v>#NAME?</v>
      </c>
      <c r="C65" s="224">
        <v>322291</v>
      </c>
      <c r="D65" s="224" t="e">
        <f ca="1">_xlfn.XLOOKUP(E65,'2016_Detail_Commodity_v1.0'!C:C,'2016_Detail_Commodity_v1.0'!B:B,FALSE)</f>
        <v>#NAME?</v>
      </c>
      <c r="E65" s="290" t="s">
        <v>476</v>
      </c>
    </row>
    <row r="66" spans="1:5">
      <c r="A66" s="289" t="s">
        <v>1497</v>
      </c>
      <c r="B66" s="226" t="e">
        <f ca="1">_xlfn.XLOOKUP(C66,commodities_meta!$H$26:$H$395,commodities_meta!$I$26:$I$395)</f>
        <v>#NAME?</v>
      </c>
      <c r="C66" s="224">
        <v>322299</v>
      </c>
      <c r="D66" s="224" t="e">
        <f ca="1">_xlfn.XLOOKUP(E66,'2016_Detail_Commodity_v1.0'!C:C,'2016_Detail_Commodity_v1.0'!B:B,FALSE)</f>
        <v>#NAME?</v>
      </c>
      <c r="E66" s="290" t="s">
        <v>478</v>
      </c>
    </row>
    <row r="67" spans="1:5">
      <c r="A67" s="288" t="s">
        <v>1448</v>
      </c>
      <c r="B67" s="226"/>
    </row>
    <row r="68" spans="1:5">
      <c r="A68" s="289" t="s">
        <v>1500</v>
      </c>
      <c r="B68" s="226" t="e">
        <f ca="1">_xlfn.XLOOKUP(C68,commodities_meta!$H$26:$H$395,commodities_meta!$I$26:$I$395)</f>
        <v>#NAME?</v>
      </c>
      <c r="C68" s="224">
        <v>511120</v>
      </c>
      <c r="D68" s="224" t="e">
        <f ca="1">_xlfn.XLOOKUP(E68,'2016_Detail_Commodity_v1.0'!C:C,'2016_Detail_Commodity_v1.0'!B:B,FALSE)</f>
        <v>#NAME?</v>
      </c>
      <c r="E68" s="228" t="s">
        <v>908</v>
      </c>
    </row>
    <row r="69" spans="1:5" ht="57.75" customHeight="1">
      <c r="A69" s="288" t="s">
        <v>1449</v>
      </c>
      <c r="B69" s="226"/>
    </row>
    <row r="70" spans="1:5">
      <c r="A70" s="289" t="s">
        <v>1501</v>
      </c>
      <c r="B70" s="226" t="e">
        <f ca="1">_xlfn.XLOOKUP(C70,commodities_meta!$H$26:$H$395,commodities_meta!$I$26:$I$395)</f>
        <v>#NAME?</v>
      </c>
      <c r="C70" s="224">
        <v>314110</v>
      </c>
      <c r="D70" s="224" t="e">
        <f ca="1">_xlfn.XLOOKUP(E70,'2016_Detail_Commodity_v1.0'!C:C,'2016_Detail_Commodity_v1.0'!B:B,FALSE)</f>
        <v>#NAME?</v>
      </c>
      <c r="E70" s="290" t="s">
        <v>446</v>
      </c>
    </row>
    <row r="71" spans="1:5">
      <c r="A71" s="289" t="s">
        <v>1502</v>
      </c>
      <c r="B71" s="226" t="e">
        <f ca="1">_xlfn.XLOOKUP(C71,commodities_meta!$H$26:$H$395,commodities_meta!$I$26:$I$395)</f>
        <v>#NAME?</v>
      </c>
      <c r="C71" s="224">
        <v>314120</v>
      </c>
      <c r="D71" s="224" t="e">
        <f ca="1">_xlfn.XLOOKUP(E71,'2016_Detail_Commodity_v1.0'!C:C,'2016_Detail_Commodity_v1.0'!B:B,FALSE)</f>
        <v>#NAME?</v>
      </c>
      <c r="E71" s="228" t="s">
        <v>448</v>
      </c>
    </row>
    <row r="72" spans="1:5">
      <c r="A72" s="289" t="s">
        <v>1503</v>
      </c>
      <c r="B72" s="226" t="e">
        <f ca="1">_xlfn.XLOOKUP(C72,commodities_meta!$H$26:$H$395,commodities_meta!$I$26:$I$395)</f>
        <v>#NAME?</v>
      </c>
      <c r="C72" s="224">
        <v>313200</v>
      </c>
      <c r="D72" s="224" t="e">
        <f ca="1">_xlfn.XLOOKUP(E72,'2016_Detail_Commodity_v1.0'!C:C,'2016_Detail_Commodity_v1.0'!B:B,FALSE)</f>
        <v>#NAME?</v>
      </c>
      <c r="E72" s="290" t="s">
        <v>442</v>
      </c>
    </row>
    <row r="73" spans="1:5">
      <c r="A73" s="289" t="s">
        <v>1504</v>
      </c>
      <c r="B73" s="226" t="e">
        <f ca="1">_xlfn.XLOOKUP(C73,commodities_meta!$H$26:$H$395,commodities_meta!$I$26:$I$395)</f>
        <v>#NAME?</v>
      </c>
      <c r="C73" s="224">
        <v>314900</v>
      </c>
      <c r="D73" s="224" t="e">
        <f ca="1">_xlfn.XLOOKUP(E73,'2016_Detail_Commodity_v1.0'!C:C,'2016_Detail_Commodity_v1.0'!B:B,FALSE)</f>
        <v>#NAME?</v>
      </c>
      <c r="E73" s="228" t="s">
        <v>450</v>
      </c>
    </row>
    <row r="74" spans="1:5" ht="99.75">
      <c r="A74" s="289" t="s">
        <v>132</v>
      </c>
      <c r="B74" s="226" t="s">
        <v>3383</v>
      </c>
      <c r="C74" s="224">
        <v>562000</v>
      </c>
      <c r="D74" s="224" t="e">
        <f ca="1">_xlfn.XLOOKUP(E74,'2016_Detail_Commodity_v1.0'!C:C,'2016_Detail_Commodity_v1.0'!B:B,FALSE)</f>
        <v>#NAME?</v>
      </c>
      <c r="E74" s="228" t="s">
        <v>1010</v>
      </c>
    </row>
    <row r="75" spans="1:5" ht="126.75" customHeight="1">
      <c r="A75" s="288" t="s">
        <v>1450</v>
      </c>
      <c r="B75" s="226" t="s">
        <v>3407</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filterMode="1"/>
  <dimension ref="A1:L412"/>
  <sheetViews>
    <sheetView zoomScale="70" zoomScaleNormal="70" workbookViewId="0">
      <pane ySplit="1" topLeftCell="A26" activePane="bottomLeft" state="frozen"/>
      <selection activeCell="B69" sqref="B69"/>
      <selection pane="bottomLeft" activeCell="F112" sqref="F112"/>
    </sheetView>
  </sheetViews>
  <sheetFormatPr defaultColWidth="75.875" defaultRowHeight="14.25"/>
  <cols>
    <col min="1" max="1" width="7.25" bestFit="1" customWidth="1"/>
    <col min="2" max="2" width="11" bestFit="1" customWidth="1"/>
    <col min="3" max="3" width="40.625" customWidth="1"/>
    <col min="4" max="4" width="8" bestFit="1" customWidth="1"/>
    <col min="5" max="5" width="9.875" bestFit="1" customWidth="1"/>
    <col min="7" max="7" width="42.375" customWidth="1"/>
    <col min="8" max="8" width="75.875" style="295"/>
    <col min="9" max="10" width="75.875" style="226"/>
  </cols>
  <sheetData>
    <row r="1" spans="1:11">
      <c r="A1" t="s">
        <v>1522</v>
      </c>
      <c r="B1" t="s">
        <v>1523</v>
      </c>
      <c r="C1" t="s">
        <v>1524</v>
      </c>
      <c r="D1" t="s">
        <v>1525</v>
      </c>
      <c r="E1" t="s">
        <v>1526</v>
      </c>
      <c r="F1" t="s">
        <v>156</v>
      </c>
      <c r="G1" t="s">
        <v>1521</v>
      </c>
      <c r="H1" s="295" t="s">
        <v>1521</v>
      </c>
    </row>
    <row r="2" spans="1:11" ht="42.75" hidden="1">
      <c r="A2">
        <v>0</v>
      </c>
      <c r="B2" t="s">
        <v>1527</v>
      </c>
      <c r="C2" t="s">
        <v>311</v>
      </c>
      <c r="D2" t="s">
        <v>310</v>
      </c>
      <c r="E2" t="s">
        <v>1528</v>
      </c>
      <c r="F2" t="s">
        <v>1529</v>
      </c>
      <c r="G2" t="s">
        <v>2183</v>
      </c>
      <c r="H2" s="92" t="s">
        <v>310</v>
      </c>
      <c r="I2" s="4" t="s">
        <v>2184</v>
      </c>
      <c r="J2" s="4" t="s">
        <v>2184</v>
      </c>
      <c r="K2" t="s">
        <v>2185</v>
      </c>
    </row>
    <row r="3" spans="1:11" ht="42.75" hidden="1">
      <c r="A3">
        <v>1</v>
      </c>
      <c r="B3" t="s">
        <v>1530</v>
      </c>
      <c r="C3" t="s">
        <v>313</v>
      </c>
      <c r="D3" t="s">
        <v>312</v>
      </c>
      <c r="E3" t="s">
        <v>1528</v>
      </c>
      <c r="F3" t="s">
        <v>1529</v>
      </c>
      <c r="G3" t="s">
        <v>2186</v>
      </c>
      <c r="H3" s="291" t="s">
        <v>312</v>
      </c>
      <c r="I3" s="4" t="s">
        <v>3096</v>
      </c>
      <c r="J3" s="4" t="s">
        <v>2187</v>
      </c>
      <c r="K3" t="s">
        <v>2188</v>
      </c>
    </row>
    <row r="4" spans="1:11" ht="85.5" hidden="1">
      <c r="A4">
        <v>2</v>
      </c>
      <c r="B4" t="s">
        <v>1531</v>
      </c>
      <c r="C4" t="s">
        <v>315</v>
      </c>
      <c r="D4" t="s">
        <v>314</v>
      </c>
      <c r="E4" t="s">
        <v>1528</v>
      </c>
      <c r="F4" t="s">
        <v>1532</v>
      </c>
      <c r="G4" t="s">
        <v>2189</v>
      </c>
      <c r="H4" s="92">
        <v>111200</v>
      </c>
      <c r="I4" s="4" t="s">
        <v>2190</v>
      </c>
      <c r="J4" s="4" t="s">
        <v>2190</v>
      </c>
    </row>
    <row r="5" spans="1:11" ht="42.75" hidden="1">
      <c r="A5">
        <v>3</v>
      </c>
      <c r="B5" t="s">
        <v>1533</v>
      </c>
      <c r="C5" t="s">
        <v>317</v>
      </c>
      <c r="D5" t="s">
        <v>316</v>
      </c>
      <c r="E5" t="s">
        <v>1528</v>
      </c>
      <c r="F5" t="s">
        <v>1534</v>
      </c>
      <c r="G5" t="s">
        <v>2191</v>
      </c>
      <c r="H5" s="92">
        <v>111300</v>
      </c>
      <c r="I5" s="4" t="s">
        <v>2192</v>
      </c>
      <c r="J5" s="4" t="s">
        <v>2192</v>
      </c>
    </row>
    <row r="6" spans="1:11" ht="85.5" hidden="1">
      <c r="A6">
        <v>4</v>
      </c>
      <c r="B6" t="s">
        <v>1535</v>
      </c>
      <c r="C6" t="s">
        <v>319</v>
      </c>
      <c r="D6" t="s">
        <v>318</v>
      </c>
      <c r="E6" t="s">
        <v>1528</v>
      </c>
      <c r="F6" t="s">
        <v>1536</v>
      </c>
      <c r="G6" t="s">
        <v>2193</v>
      </c>
      <c r="H6" s="291" t="s">
        <v>318</v>
      </c>
      <c r="I6" s="4" t="s">
        <v>3097</v>
      </c>
      <c r="J6" s="4" t="s">
        <v>2194</v>
      </c>
    </row>
    <row r="7" spans="1:11" ht="85.5" hidden="1">
      <c r="A7">
        <v>5</v>
      </c>
      <c r="B7" t="s">
        <v>1537</v>
      </c>
      <c r="C7" t="s">
        <v>321</v>
      </c>
      <c r="D7" t="s">
        <v>320</v>
      </c>
      <c r="E7" t="s">
        <v>1528</v>
      </c>
      <c r="F7" t="s">
        <v>1538</v>
      </c>
      <c r="G7" t="s">
        <v>2195</v>
      </c>
      <c r="H7" s="291" t="s">
        <v>320</v>
      </c>
      <c r="I7" s="4" t="s">
        <v>3098</v>
      </c>
      <c r="J7" s="4" t="s">
        <v>2196</v>
      </c>
    </row>
    <row r="8" spans="1:11" ht="28.5" hidden="1">
      <c r="A8">
        <v>6</v>
      </c>
      <c r="B8" t="s">
        <v>1539</v>
      </c>
      <c r="C8" t="s">
        <v>323</v>
      </c>
      <c r="D8" t="s">
        <v>322</v>
      </c>
      <c r="E8" t="s">
        <v>1528</v>
      </c>
      <c r="F8" t="s">
        <v>1540</v>
      </c>
      <c r="G8" t="s">
        <v>2197</v>
      </c>
      <c r="H8" s="92">
        <v>112120</v>
      </c>
      <c r="I8" s="4" t="s">
        <v>2198</v>
      </c>
      <c r="J8" s="4" t="s">
        <v>2198</v>
      </c>
    </row>
    <row r="9" spans="1:11" ht="42.75" hidden="1">
      <c r="A9">
        <v>7</v>
      </c>
      <c r="B9" t="s">
        <v>1541</v>
      </c>
      <c r="C9" t="s">
        <v>325</v>
      </c>
      <c r="D9" t="s">
        <v>324</v>
      </c>
      <c r="E9" t="s">
        <v>1528</v>
      </c>
      <c r="F9" t="s">
        <v>1540</v>
      </c>
      <c r="G9" t="s">
        <v>2199</v>
      </c>
      <c r="H9" s="291" t="s">
        <v>324</v>
      </c>
      <c r="I9" s="4" t="s">
        <v>3099</v>
      </c>
      <c r="J9" s="4" t="s">
        <v>2200</v>
      </c>
      <c r="K9" t="s">
        <v>2201</v>
      </c>
    </row>
    <row r="10" spans="1:11" ht="28.5" hidden="1">
      <c r="A10">
        <v>8</v>
      </c>
      <c r="B10" t="s">
        <v>1542</v>
      </c>
      <c r="C10" t="s">
        <v>327</v>
      </c>
      <c r="D10" t="s">
        <v>326</v>
      </c>
      <c r="E10" t="s">
        <v>1528</v>
      </c>
      <c r="F10" t="s">
        <v>1543</v>
      </c>
      <c r="G10" t="s">
        <v>2202</v>
      </c>
      <c r="H10" s="291" t="s">
        <v>326</v>
      </c>
      <c r="I10" s="4" t="s">
        <v>3100</v>
      </c>
      <c r="J10" s="4" t="s">
        <v>2203</v>
      </c>
    </row>
    <row r="11" spans="1:11" ht="242.25" hidden="1">
      <c r="A11">
        <v>9</v>
      </c>
      <c r="B11" t="s">
        <v>1544</v>
      </c>
      <c r="C11" t="s">
        <v>329</v>
      </c>
      <c r="D11" t="s">
        <v>328</v>
      </c>
      <c r="E11" t="s">
        <v>1528</v>
      </c>
      <c r="F11" t="s">
        <v>1545</v>
      </c>
      <c r="G11" t="s">
        <v>2204</v>
      </c>
      <c r="H11" s="291" t="s">
        <v>328</v>
      </c>
      <c r="I11" s="4" t="s">
        <v>3101</v>
      </c>
      <c r="J11" s="4" t="s">
        <v>2205</v>
      </c>
      <c r="K11" t="s">
        <v>2206</v>
      </c>
    </row>
    <row r="12" spans="1:11" ht="213.75" hidden="1">
      <c r="A12">
        <v>10</v>
      </c>
      <c r="B12" t="s">
        <v>1546</v>
      </c>
      <c r="C12" t="s">
        <v>331</v>
      </c>
      <c r="D12" t="s">
        <v>330</v>
      </c>
      <c r="E12" t="s">
        <v>1528</v>
      </c>
      <c r="F12" t="s">
        <v>1547</v>
      </c>
      <c r="G12" t="s">
        <v>2207</v>
      </c>
      <c r="H12" s="291" t="s">
        <v>330</v>
      </c>
      <c r="I12" s="4" t="s">
        <v>3102</v>
      </c>
      <c r="J12" s="4" t="s">
        <v>2208</v>
      </c>
    </row>
    <row r="13" spans="1:11" ht="128.25" hidden="1">
      <c r="A13">
        <v>11</v>
      </c>
      <c r="B13" t="s">
        <v>1548</v>
      </c>
      <c r="C13" t="s">
        <v>333</v>
      </c>
      <c r="D13" t="s">
        <v>332</v>
      </c>
      <c r="E13" t="s">
        <v>1528</v>
      </c>
      <c r="F13" t="s">
        <v>1549</v>
      </c>
      <c r="G13" t="s">
        <v>2209</v>
      </c>
      <c r="H13" s="291" t="s">
        <v>332</v>
      </c>
      <c r="I13" s="4" t="s">
        <v>3103</v>
      </c>
      <c r="J13" s="4" t="s">
        <v>2210</v>
      </c>
    </row>
    <row r="14" spans="1:11" ht="99.75" hidden="1">
      <c r="A14">
        <v>12</v>
      </c>
      <c r="B14" t="s">
        <v>1550</v>
      </c>
      <c r="C14" t="s">
        <v>335</v>
      </c>
      <c r="D14" t="s">
        <v>334</v>
      </c>
      <c r="E14" t="s">
        <v>1528</v>
      </c>
      <c r="F14" t="s">
        <v>1551</v>
      </c>
      <c r="G14" t="s">
        <v>2211</v>
      </c>
      <c r="H14" s="291" t="s">
        <v>334</v>
      </c>
      <c r="I14" s="4" t="s">
        <v>3104</v>
      </c>
      <c r="J14" s="4" t="s">
        <v>2212</v>
      </c>
    </row>
    <row r="15" spans="1:11" ht="199.5" hidden="1">
      <c r="A15">
        <v>13</v>
      </c>
      <c r="B15" t="s">
        <v>1552</v>
      </c>
      <c r="C15" t="s">
        <v>337</v>
      </c>
      <c r="D15" t="s">
        <v>336</v>
      </c>
      <c r="E15" t="s">
        <v>1528</v>
      </c>
      <c r="F15" t="s">
        <v>1553</v>
      </c>
      <c r="G15" t="s">
        <v>2213</v>
      </c>
      <c r="H15" s="291" t="s">
        <v>336</v>
      </c>
      <c r="I15" s="4" t="s">
        <v>3105</v>
      </c>
      <c r="J15" s="4" t="s">
        <v>2214</v>
      </c>
    </row>
    <row r="16" spans="1:11" ht="28.5" hidden="1">
      <c r="A16">
        <v>14</v>
      </c>
      <c r="B16" t="s">
        <v>1554</v>
      </c>
      <c r="C16" t="s">
        <v>339</v>
      </c>
      <c r="D16" t="s">
        <v>338</v>
      </c>
      <c r="E16" t="s">
        <v>1528</v>
      </c>
      <c r="F16" t="s">
        <v>1555</v>
      </c>
      <c r="G16" t="s">
        <v>2215</v>
      </c>
      <c r="H16" s="291" t="s">
        <v>338</v>
      </c>
      <c r="I16" s="4" t="s">
        <v>3106</v>
      </c>
      <c r="J16" s="4" t="s">
        <v>2216</v>
      </c>
      <c r="K16" t="s">
        <v>2217</v>
      </c>
    </row>
    <row r="17" spans="1:11" ht="57" hidden="1">
      <c r="A17">
        <v>15</v>
      </c>
      <c r="B17" t="s">
        <v>1556</v>
      </c>
      <c r="C17" t="s">
        <v>341</v>
      </c>
      <c r="D17" t="s">
        <v>340</v>
      </c>
      <c r="E17" t="s">
        <v>1528</v>
      </c>
      <c r="F17" t="s">
        <v>1557</v>
      </c>
      <c r="G17" t="s">
        <v>2218</v>
      </c>
      <c r="H17" s="291" t="s">
        <v>340</v>
      </c>
      <c r="I17" s="4" t="s">
        <v>3107</v>
      </c>
      <c r="J17" s="4" t="s">
        <v>2219</v>
      </c>
    </row>
    <row r="18" spans="1:11" ht="99.75" hidden="1">
      <c r="A18">
        <v>16</v>
      </c>
      <c r="B18" t="s">
        <v>1558</v>
      </c>
      <c r="C18" t="s">
        <v>343</v>
      </c>
      <c r="D18" t="s">
        <v>342</v>
      </c>
      <c r="E18" t="s">
        <v>1528</v>
      </c>
      <c r="F18" t="s">
        <v>1557</v>
      </c>
      <c r="G18" t="s">
        <v>2220</v>
      </c>
      <c r="H18" s="291" t="s">
        <v>342</v>
      </c>
      <c r="I18" s="4" t="s">
        <v>3108</v>
      </c>
      <c r="J18" s="4" t="s">
        <v>2221</v>
      </c>
      <c r="K18" t="s">
        <v>2222</v>
      </c>
    </row>
    <row r="19" spans="1:11" ht="71.25" hidden="1">
      <c r="A19">
        <v>17</v>
      </c>
      <c r="B19" t="s">
        <v>1559</v>
      </c>
      <c r="C19" t="s">
        <v>345</v>
      </c>
      <c r="D19" t="s">
        <v>344</v>
      </c>
      <c r="E19" t="s">
        <v>1528</v>
      </c>
      <c r="F19" t="s">
        <v>1560</v>
      </c>
      <c r="G19" t="s">
        <v>2223</v>
      </c>
      <c r="H19" s="291" t="s">
        <v>344</v>
      </c>
      <c r="I19" s="4" t="s">
        <v>3109</v>
      </c>
      <c r="J19" s="4" t="s">
        <v>2224</v>
      </c>
    </row>
    <row r="20" spans="1:11" ht="228" hidden="1">
      <c r="A20">
        <v>18</v>
      </c>
      <c r="B20" t="s">
        <v>1561</v>
      </c>
      <c r="C20" t="s">
        <v>347</v>
      </c>
      <c r="D20" t="s">
        <v>346</v>
      </c>
      <c r="E20" t="s">
        <v>1528</v>
      </c>
      <c r="F20" t="s">
        <v>1560</v>
      </c>
      <c r="G20" t="s">
        <v>2225</v>
      </c>
      <c r="H20" s="291" t="s">
        <v>346</v>
      </c>
      <c r="I20" s="4" t="s">
        <v>3110</v>
      </c>
      <c r="J20" s="4" t="s">
        <v>2226</v>
      </c>
      <c r="K20" t="s">
        <v>2227</v>
      </c>
    </row>
    <row r="21" spans="1:11" ht="42.75" hidden="1">
      <c r="A21">
        <v>19</v>
      </c>
      <c r="B21" t="s">
        <v>1562</v>
      </c>
      <c r="C21" t="s">
        <v>349</v>
      </c>
      <c r="D21" t="s">
        <v>348</v>
      </c>
      <c r="E21" t="s">
        <v>1528</v>
      </c>
      <c r="F21" t="s">
        <v>1563</v>
      </c>
      <c r="G21" t="s">
        <v>2228</v>
      </c>
      <c r="H21" s="291" t="s">
        <v>348</v>
      </c>
      <c r="I21" s="4" t="s">
        <v>3111</v>
      </c>
      <c r="J21" s="4" t="s">
        <v>2229</v>
      </c>
    </row>
    <row r="22" spans="1:11" ht="85.5" hidden="1">
      <c r="A22">
        <v>20</v>
      </c>
      <c r="B22" t="s">
        <v>1564</v>
      </c>
      <c r="C22" t="s">
        <v>351</v>
      </c>
      <c r="D22" t="s">
        <v>350</v>
      </c>
      <c r="E22" t="s">
        <v>1528</v>
      </c>
      <c r="F22" t="s">
        <v>1563</v>
      </c>
      <c r="G22" t="s">
        <v>2230</v>
      </c>
      <c r="H22" s="291" t="s">
        <v>350</v>
      </c>
      <c r="I22" s="4" t="s">
        <v>3112</v>
      </c>
      <c r="J22" s="4" t="s">
        <v>2231</v>
      </c>
      <c r="K22" t="s">
        <v>2232</v>
      </c>
    </row>
    <row r="23" spans="1:11" ht="57" hidden="1">
      <c r="A23">
        <v>21</v>
      </c>
      <c r="B23" t="s">
        <v>1565</v>
      </c>
      <c r="C23" t="s">
        <v>353</v>
      </c>
      <c r="D23" t="s">
        <v>352</v>
      </c>
      <c r="E23" t="s">
        <v>1528</v>
      </c>
      <c r="F23" t="s">
        <v>1566</v>
      </c>
      <c r="G23" t="s">
        <v>2233</v>
      </c>
      <c r="H23" s="291" t="s">
        <v>352</v>
      </c>
      <c r="I23" s="4" t="s">
        <v>3113</v>
      </c>
      <c r="J23" s="4" t="s">
        <v>2234</v>
      </c>
      <c r="K23" t="s">
        <v>2235</v>
      </c>
    </row>
    <row r="24" spans="1:11" hidden="1">
      <c r="A24">
        <v>22</v>
      </c>
      <c r="B24" t="s">
        <v>1567</v>
      </c>
      <c r="C24" t="s">
        <v>249</v>
      </c>
      <c r="D24" t="s">
        <v>354</v>
      </c>
      <c r="E24" t="s">
        <v>1528</v>
      </c>
      <c r="F24" t="s">
        <v>1568</v>
      </c>
      <c r="G24" t="s">
        <v>2236</v>
      </c>
      <c r="H24" s="291" t="s">
        <v>354</v>
      </c>
      <c r="I24" s="4" t="s">
        <v>3114</v>
      </c>
      <c r="J24" s="4" t="s">
        <v>2237</v>
      </c>
      <c r="K24" t="s">
        <v>2238</v>
      </c>
    </row>
    <row r="25" spans="1:11" ht="57" hidden="1">
      <c r="A25">
        <v>23</v>
      </c>
      <c r="B25" t="s">
        <v>1569</v>
      </c>
      <c r="C25" t="s">
        <v>356</v>
      </c>
      <c r="D25" t="s">
        <v>355</v>
      </c>
      <c r="E25" t="s">
        <v>1528</v>
      </c>
      <c r="F25" t="s">
        <v>1570</v>
      </c>
      <c r="G25" t="s">
        <v>2239</v>
      </c>
      <c r="H25" s="291" t="s">
        <v>355</v>
      </c>
      <c r="I25" s="4" t="s">
        <v>3115</v>
      </c>
      <c r="J25" s="4" t="s">
        <v>2240</v>
      </c>
    </row>
    <row r="26" spans="1:11" s="229" customFormat="1">
      <c r="A26" s="229">
        <v>24</v>
      </c>
      <c r="B26" s="229" t="s">
        <v>1571</v>
      </c>
      <c r="C26" s="229" t="s">
        <v>1391</v>
      </c>
      <c r="D26" s="229" t="s">
        <v>361</v>
      </c>
      <c r="E26" s="229" t="s">
        <v>1528</v>
      </c>
      <c r="F26" s="229" t="s">
        <v>1572</v>
      </c>
      <c r="G26" s="229" t="s">
        <v>2241</v>
      </c>
      <c r="H26" s="296">
        <v>233210</v>
      </c>
      <c r="I26" s="299" t="s">
        <v>2242</v>
      </c>
      <c r="J26" s="299" t="s">
        <v>2242</v>
      </c>
    </row>
    <row r="27" spans="1:11" ht="28.5" hidden="1">
      <c r="A27">
        <v>25</v>
      </c>
      <c r="B27" t="s">
        <v>1573</v>
      </c>
      <c r="C27" t="s">
        <v>1394</v>
      </c>
      <c r="D27" t="s">
        <v>367</v>
      </c>
      <c r="E27" t="s">
        <v>1528</v>
      </c>
      <c r="F27" t="s">
        <v>1572</v>
      </c>
      <c r="G27" t="s">
        <v>2243</v>
      </c>
      <c r="H27" s="92">
        <v>233262</v>
      </c>
      <c r="I27" s="4" t="s">
        <v>2244</v>
      </c>
      <c r="J27" s="4" t="s">
        <v>2244</v>
      </c>
    </row>
    <row r="28" spans="1:11" ht="28.5" hidden="1">
      <c r="A28">
        <v>26</v>
      </c>
      <c r="B28" t="s">
        <v>1574</v>
      </c>
      <c r="C28" t="s">
        <v>1389</v>
      </c>
      <c r="D28" t="s">
        <v>357</v>
      </c>
      <c r="E28" t="s">
        <v>1528</v>
      </c>
      <c r="F28" t="s">
        <v>1572</v>
      </c>
      <c r="G28" t="s">
        <v>2245</v>
      </c>
      <c r="H28" s="92">
        <v>230301</v>
      </c>
      <c r="I28" s="4" t="s">
        <v>2246</v>
      </c>
      <c r="J28" s="4" t="s">
        <v>2246</v>
      </c>
    </row>
    <row r="29" spans="1:11" ht="28.5" hidden="1">
      <c r="A29">
        <v>27</v>
      </c>
      <c r="B29" t="s">
        <v>1575</v>
      </c>
      <c r="C29" t="s">
        <v>1390</v>
      </c>
      <c r="D29" t="s">
        <v>359</v>
      </c>
      <c r="E29" t="s">
        <v>1528</v>
      </c>
      <c r="F29" t="s">
        <v>1576</v>
      </c>
      <c r="G29" t="s">
        <v>2247</v>
      </c>
      <c r="H29" s="92">
        <v>230302</v>
      </c>
      <c r="I29" s="4" t="s">
        <v>2248</v>
      </c>
      <c r="J29" s="4" t="s">
        <v>2248</v>
      </c>
    </row>
    <row r="30" spans="1:11" ht="28.5" hidden="1">
      <c r="A30">
        <v>28</v>
      </c>
      <c r="B30" t="s">
        <v>1577</v>
      </c>
      <c r="C30" t="s">
        <v>370</v>
      </c>
      <c r="D30" t="s">
        <v>369</v>
      </c>
      <c r="E30" t="s">
        <v>1528</v>
      </c>
      <c r="F30" t="s">
        <v>1572</v>
      </c>
      <c r="G30" t="s">
        <v>2249</v>
      </c>
      <c r="H30" s="291" t="s">
        <v>369</v>
      </c>
      <c r="I30" s="4" t="s">
        <v>3116</v>
      </c>
      <c r="J30" s="4" t="s">
        <v>2250</v>
      </c>
      <c r="K30">
        <v>23</v>
      </c>
    </row>
    <row r="31" spans="1:11" ht="28.5" hidden="1">
      <c r="A31">
        <v>29</v>
      </c>
      <c r="B31" t="s">
        <v>1578</v>
      </c>
      <c r="C31" t="s">
        <v>1397</v>
      </c>
      <c r="D31" t="s">
        <v>377</v>
      </c>
      <c r="E31" t="s">
        <v>1528</v>
      </c>
      <c r="F31" t="s">
        <v>1576</v>
      </c>
      <c r="G31" t="s">
        <v>2251</v>
      </c>
      <c r="H31" s="92">
        <v>233412</v>
      </c>
      <c r="I31" s="4" t="s">
        <v>2252</v>
      </c>
      <c r="J31" s="4" t="s">
        <v>2252</v>
      </c>
    </row>
    <row r="32" spans="1:11" ht="28.5" hidden="1">
      <c r="A32">
        <v>30</v>
      </c>
      <c r="B32" t="s">
        <v>1579</v>
      </c>
      <c r="C32" t="s">
        <v>380</v>
      </c>
      <c r="D32" t="s">
        <v>379</v>
      </c>
      <c r="E32" t="s">
        <v>1528</v>
      </c>
      <c r="F32" t="s">
        <v>1576</v>
      </c>
      <c r="G32" t="s">
        <v>2253</v>
      </c>
      <c r="H32" s="92" t="s">
        <v>379</v>
      </c>
      <c r="I32" s="4" t="s">
        <v>2254</v>
      </c>
      <c r="J32" s="4" t="s">
        <v>2254</v>
      </c>
      <c r="K32">
        <v>23</v>
      </c>
    </row>
    <row r="33" spans="1:11" ht="28.5" hidden="1">
      <c r="A33">
        <v>31</v>
      </c>
      <c r="B33" t="s">
        <v>1580</v>
      </c>
      <c r="C33" t="s">
        <v>1392</v>
      </c>
      <c r="D33" t="s">
        <v>363</v>
      </c>
      <c r="E33" t="s">
        <v>1528</v>
      </c>
      <c r="F33" t="s">
        <v>1572</v>
      </c>
      <c r="G33" t="s">
        <v>2255</v>
      </c>
      <c r="H33" s="92">
        <v>233230</v>
      </c>
      <c r="I33" s="4" t="s">
        <v>2256</v>
      </c>
      <c r="J33" s="4" t="s">
        <v>2256</v>
      </c>
    </row>
    <row r="34" spans="1:11" ht="28.5" hidden="1">
      <c r="A34">
        <v>32</v>
      </c>
      <c r="B34" t="s">
        <v>1581</v>
      </c>
      <c r="C34" t="s">
        <v>374</v>
      </c>
      <c r="D34" t="s">
        <v>373</v>
      </c>
      <c r="E34" t="s">
        <v>1528</v>
      </c>
      <c r="F34" t="s">
        <v>1572</v>
      </c>
      <c r="G34" t="s">
        <v>2257</v>
      </c>
      <c r="H34" s="92" t="s">
        <v>373</v>
      </c>
      <c r="I34" s="4" t="s">
        <v>2258</v>
      </c>
      <c r="J34" s="4" t="s">
        <v>2258</v>
      </c>
      <c r="K34">
        <v>23</v>
      </c>
    </row>
    <row r="35" spans="1:11" ht="28.5" hidden="1">
      <c r="A35">
        <v>33</v>
      </c>
      <c r="B35" t="s">
        <v>1582</v>
      </c>
      <c r="C35" t="s">
        <v>1393</v>
      </c>
      <c r="D35" t="s">
        <v>365</v>
      </c>
      <c r="E35" t="s">
        <v>1528</v>
      </c>
      <c r="F35" t="s">
        <v>1583</v>
      </c>
      <c r="G35" t="s">
        <v>2259</v>
      </c>
      <c r="H35" s="92">
        <v>233240</v>
      </c>
      <c r="I35" s="4" t="s">
        <v>2260</v>
      </c>
      <c r="J35" s="4" t="s">
        <v>2260</v>
      </c>
    </row>
    <row r="36" spans="1:11" ht="28.5" hidden="1">
      <c r="A36">
        <v>34</v>
      </c>
      <c r="B36" t="s">
        <v>1584</v>
      </c>
      <c r="C36" t="s">
        <v>1396</v>
      </c>
      <c r="D36" t="s">
        <v>375</v>
      </c>
      <c r="E36" t="s">
        <v>1528</v>
      </c>
      <c r="F36" t="s">
        <v>1576</v>
      </c>
      <c r="G36" t="s">
        <v>2261</v>
      </c>
      <c r="H36" s="92">
        <v>233411</v>
      </c>
      <c r="I36" s="4" t="s">
        <v>2262</v>
      </c>
      <c r="J36" s="4" t="s">
        <v>2262</v>
      </c>
    </row>
    <row r="37" spans="1:11" ht="42.75" hidden="1">
      <c r="A37">
        <v>35</v>
      </c>
      <c r="B37" t="s">
        <v>1585</v>
      </c>
      <c r="C37" t="s">
        <v>1395</v>
      </c>
      <c r="D37" t="s">
        <v>371</v>
      </c>
      <c r="E37" t="s">
        <v>1528</v>
      </c>
      <c r="F37" t="s">
        <v>1586</v>
      </c>
      <c r="G37" t="s">
        <v>2263</v>
      </c>
      <c r="H37" s="291" t="s">
        <v>371</v>
      </c>
      <c r="I37" s="4" t="s">
        <v>3117</v>
      </c>
      <c r="J37" s="4" t="s">
        <v>2264</v>
      </c>
      <c r="K37">
        <v>23</v>
      </c>
    </row>
    <row r="38" spans="1:11" ht="85.5" hidden="1">
      <c r="A38">
        <v>36</v>
      </c>
      <c r="B38" t="s">
        <v>1587</v>
      </c>
      <c r="C38" t="s">
        <v>456</v>
      </c>
      <c r="D38" t="s">
        <v>455</v>
      </c>
      <c r="E38" t="s">
        <v>1528</v>
      </c>
      <c r="F38" t="s">
        <v>1588</v>
      </c>
      <c r="G38" t="s">
        <v>2265</v>
      </c>
      <c r="H38" s="291" t="s">
        <v>455</v>
      </c>
      <c r="I38" s="4" t="s">
        <v>3118</v>
      </c>
      <c r="J38" s="4" t="s">
        <v>2266</v>
      </c>
    </row>
    <row r="39" spans="1:11" ht="28.5" hidden="1">
      <c r="A39">
        <v>37</v>
      </c>
      <c r="B39" t="s">
        <v>1589</v>
      </c>
      <c r="C39" t="s">
        <v>458</v>
      </c>
      <c r="D39" t="s">
        <v>457</v>
      </c>
      <c r="E39" t="s">
        <v>1528</v>
      </c>
      <c r="F39" t="s">
        <v>1590</v>
      </c>
      <c r="G39" t="s">
        <v>2267</v>
      </c>
      <c r="H39" s="291" t="s">
        <v>457</v>
      </c>
      <c r="I39" s="4" t="s">
        <v>3106</v>
      </c>
      <c r="J39" s="4" t="s">
        <v>2268</v>
      </c>
      <c r="K39" t="s">
        <v>2269</v>
      </c>
    </row>
    <row r="40" spans="1:11" ht="85.5" hidden="1">
      <c r="A40">
        <v>38</v>
      </c>
      <c r="B40" t="s">
        <v>1591</v>
      </c>
      <c r="C40" t="s">
        <v>460</v>
      </c>
      <c r="D40" t="s">
        <v>459</v>
      </c>
      <c r="E40" t="s">
        <v>1528</v>
      </c>
      <c r="F40" t="s">
        <v>1592</v>
      </c>
      <c r="G40" t="s">
        <v>2270</v>
      </c>
      <c r="H40" s="291" t="s">
        <v>459</v>
      </c>
      <c r="I40" s="4" t="s">
        <v>3119</v>
      </c>
      <c r="J40" s="4" t="s">
        <v>2271</v>
      </c>
    </row>
    <row r="41" spans="1:11" ht="57" hidden="1">
      <c r="A41">
        <v>39</v>
      </c>
      <c r="B41" t="s">
        <v>1593</v>
      </c>
      <c r="C41" t="s">
        <v>462</v>
      </c>
      <c r="D41" t="s">
        <v>461</v>
      </c>
      <c r="E41" t="s">
        <v>1528</v>
      </c>
      <c r="F41" t="s">
        <v>1592</v>
      </c>
      <c r="G41" t="s">
        <v>2272</v>
      </c>
      <c r="H41" s="291" t="s">
        <v>461</v>
      </c>
      <c r="I41" s="4" t="s">
        <v>3120</v>
      </c>
      <c r="J41" s="4" t="s">
        <v>2273</v>
      </c>
      <c r="K41" t="s">
        <v>2274</v>
      </c>
    </row>
    <row r="42" spans="1:11" ht="42.75" hidden="1">
      <c r="A42">
        <v>40</v>
      </c>
      <c r="B42" t="s">
        <v>1594</v>
      </c>
      <c r="C42" t="s">
        <v>550</v>
      </c>
      <c r="D42" t="s">
        <v>549</v>
      </c>
      <c r="E42" t="s">
        <v>1528</v>
      </c>
      <c r="F42" t="s">
        <v>1595</v>
      </c>
      <c r="G42" t="s">
        <v>2275</v>
      </c>
      <c r="H42" s="291" t="s">
        <v>549</v>
      </c>
      <c r="I42" s="4" t="s">
        <v>3121</v>
      </c>
      <c r="J42" s="4" t="s">
        <v>2276</v>
      </c>
    </row>
    <row r="43" spans="1:11" ht="57" hidden="1">
      <c r="A43">
        <v>41</v>
      </c>
      <c r="B43" t="s">
        <v>1596</v>
      </c>
      <c r="C43" t="s">
        <v>552</v>
      </c>
      <c r="D43" t="s">
        <v>551</v>
      </c>
      <c r="E43" t="s">
        <v>1528</v>
      </c>
      <c r="F43" t="s">
        <v>1597</v>
      </c>
      <c r="G43" t="s">
        <v>2277</v>
      </c>
      <c r="H43" s="291" t="s">
        <v>551</v>
      </c>
      <c r="I43" s="4" t="s">
        <v>3122</v>
      </c>
      <c r="J43" s="4" t="s">
        <v>2278</v>
      </c>
    </row>
    <row r="44" spans="1:11" ht="57" hidden="1">
      <c r="A44">
        <v>42</v>
      </c>
      <c r="B44" t="s">
        <v>1598</v>
      </c>
      <c r="C44" t="s">
        <v>554</v>
      </c>
      <c r="D44" t="s">
        <v>553</v>
      </c>
      <c r="E44" t="s">
        <v>1528</v>
      </c>
      <c r="F44" t="s">
        <v>1599</v>
      </c>
      <c r="G44" t="s">
        <v>2279</v>
      </c>
      <c r="H44" s="291" t="s">
        <v>553</v>
      </c>
      <c r="I44" s="4" t="s">
        <v>3123</v>
      </c>
      <c r="J44" s="4" t="s">
        <v>2280</v>
      </c>
    </row>
    <row r="45" spans="1:11" ht="57" hidden="1">
      <c r="A45">
        <v>43</v>
      </c>
      <c r="B45" t="s">
        <v>1600</v>
      </c>
      <c r="C45" t="s">
        <v>556</v>
      </c>
      <c r="D45" t="s">
        <v>555</v>
      </c>
      <c r="E45" t="s">
        <v>1528</v>
      </c>
      <c r="F45" t="s">
        <v>1599</v>
      </c>
      <c r="G45" t="s">
        <v>2281</v>
      </c>
      <c r="H45" s="291" t="s">
        <v>555</v>
      </c>
      <c r="I45" s="4" t="s">
        <v>3124</v>
      </c>
      <c r="J45" s="4" t="s">
        <v>2282</v>
      </c>
    </row>
    <row r="46" spans="1:11" ht="28.5" hidden="1">
      <c r="A46">
        <v>44</v>
      </c>
      <c r="B46" t="s">
        <v>1601</v>
      </c>
      <c r="C46" t="s">
        <v>558</v>
      </c>
      <c r="D46" t="s">
        <v>557</v>
      </c>
      <c r="E46" t="s">
        <v>1528</v>
      </c>
      <c r="F46" t="s">
        <v>1599</v>
      </c>
      <c r="G46" t="s">
        <v>2283</v>
      </c>
      <c r="H46" s="291" t="s">
        <v>557</v>
      </c>
      <c r="I46" s="4" t="s">
        <v>3125</v>
      </c>
      <c r="J46" s="4" t="s">
        <v>2284</v>
      </c>
    </row>
    <row r="47" spans="1:11" ht="28.5" hidden="1">
      <c r="A47">
        <v>45</v>
      </c>
      <c r="B47" t="s">
        <v>1602</v>
      </c>
      <c r="C47" t="s">
        <v>560</v>
      </c>
      <c r="D47" t="s">
        <v>559</v>
      </c>
      <c r="E47" t="s">
        <v>1528</v>
      </c>
      <c r="F47" t="s">
        <v>1599</v>
      </c>
      <c r="G47" t="s">
        <v>2285</v>
      </c>
      <c r="H47" s="291" t="s">
        <v>559</v>
      </c>
      <c r="I47" s="4" t="s">
        <v>3126</v>
      </c>
      <c r="J47" s="4" t="s">
        <v>2286</v>
      </c>
    </row>
    <row r="48" spans="1:11" ht="28.5" hidden="1">
      <c r="A48">
        <v>46</v>
      </c>
      <c r="B48" t="s">
        <v>1603</v>
      </c>
      <c r="C48" t="s">
        <v>562</v>
      </c>
      <c r="D48" t="s">
        <v>561</v>
      </c>
      <c r="E48" t="s">
        <v>1528</v>
      </c>
      <c r="F48" t="s">
        <v>1604</v>
      </c>
      <c r="G48" t="s">
        <v>2287</v>
      </c>
      <c r="H48" s="291" t="s">
        <v>561</v>
      </c>
      <c r="I48" s="4" t="s">
        <v>3127</v>
      </c>
      <c r="J48" s="4" t="s">
        <v>2288</v>
      </c>
    </row>
    <row r="49" spans="1:12" ht="42.75" hidden="1">
      <c r="A49">
        <v>47</v>
      </c>
      <c r="B49" t="s">
        <v>1605</v>
      </c>
      <c r="C49" t="s">
        <v>564</v>
      </c>
      <c r="D49" t="s">
        <v>563</v>
      </c>
      <c r="E49" t="s">
        <v>1528</v>
      </c>
      <c r="F49" t="s">
        <v>1606</v>
      </c>
      <c r="G49" t="s">
        <v>2289</v>
      </c>
      <c r="H49" s="291" t="s">
        <v>563</v>
      </c>
      <c r="I49" s="4" t="s">
        <v>3128</v>
      </c>
      <c r="J49" s="4" t="s">
        <v>2290</v>
      </c>
    </row>
    <row r="50" spans="1:12" ht="57" hidden="1">
      <c r="A50">
        <v>48</v>
      </c>
      <c r="B50" t="s">
        <v>1607</v>
      </c>
      <c r="C50" t="s">
        <v>566</v>
      </c>
      <c r="D50" t="s">
        <v>565</v>
      </c>
      <c r="E50" t="s">
        <v>1528</v>
      </c>
      <c r="F50" t="s">
        <v>1606</v>
      </c>
      <c r="G50" t="s">
        <v>2291</v>
      </c>
      <c r="H50" s="291" t="s">
        <v>565</v>
      </c>
      <c r="I50" s="4" t="s">
        <v>3129</v>
      </c>
      <c r="J50" s="4" t="s">
        <v>2292</v>
      </c>
    </row>
    <row r="51" spans="1:12" ht="57" hidden="1">
      <c r="A51">
        <v>49</v>
      </c>
      <c r="B51" t="s">
        <v>1608</v>
      </c>
      <c r="C51" t="s">
        <v>568</v>
      </c>
      <c r="D51" t="s">
        <v>567</v>
      </c>
      <c r="E51" t="s">
        <v>1528</v>
      </c>
      <c r="F51" t="s">
        <v>1606</v>
      </c>
      <c r="G51" t="s">
        <v>2293</v>
      </c>
      <c r="H51" s="291" t="s">
        <v>567</v>
      </c>
      <c r="I51" s="4" t="s">
        <v>3130</v>
      </c>
      <c r="J51" s="4" t="s">
        <v>2294</v>
      </c>
    </row>
    <row r="52" spans="1:12" ht="57" hidden="1">
      <c r="A52">
        <v>50</v>
      </c>
      <c r="B52" t="s">
        <v>1609</v>
      </c>
      <c r="C52" t="s">
        <v>570</v>
      </c>
      <c r="D52" t="s">
        <v>569</v>
      </c>
      <c r="E52" t="s">
        <v>1528</v>
      </c>
      <c r="F52" t="s">
        <v>1606</v>
      </c>
      <c r="G52" t="s">
        <v>2295</v>
      </c>
      <c r="H52" s="291" t="s">
        <v>569</v>
      </c>
      <c r="I52" s="4" t="s">
        <v>3131</v>
      </c>
      <c r="J52" s="4" t="s">
        <v>2296</v>
      </c>
    </row>
    <row r="53" spans="1:12" ht="85.5" hidden="1">
      <c r="A53">
        <v>51</v>
      </c>
      <c r="B53" t="s">
        <v>1610</v>
      </c>
      <c r="C53" t="s">
        <v>572</v>
      </c>
      <c r="D53" t="s">
        <v>571</v>
      </c>
      <c r="E53" t="s">
        <v>1528</v>
      </c>
      <c r="F53" t="s">
        <v>1606</v>
      </c>
      <c r="G53" t="s">
        <v>2297</v>
      </c>
      <c r="H53" s="291" t="s">
        <v>571</v>
      </c>
      <c r="I53" s="4" t="s">
        <v>3132</v>
      </c>
      <c r="J53" s="4" t="s">
        <v>2298</v>
      </c>
    </row>
    <row r="54" spans="1:12" ht="28.5" hidden="1">
      <c r="A54">
        <v>52</v>
      </c>
      <c r="B54" t="s">
        <v>1611</v>
      </c>
      <c r="C54" t="s">
        <v>574</v>
      </c>
      <c r="D54" t="s">
        <v>573</v>
      </c>
      <c r="E54" t="s">
        <v>1528</v>
      </c>
      <c r="F54" t="s">
        <v>1612</v>
      </c>
      <c r="G54" t="s">
        <v>2299</v>
      </c>
      <c r="H54" s="291" t="s">
        <v>573</v>
      </c>
      <c r="I54" s="4" t="s">
        <v>3106</v>
      </c>
      <c r="J54" s="4" t="s">
        <v>2300</v>
      </c>
      <c r="K54" t="s">
        <v>2301</v>
      </c>
    </row>
    <row r="55" spans="1:12" ht="42.75" hidden="1">
      <c r="A55">
        <v>53</v>
      </c>
      <c r="B55" t="s">
        <v>1613</v>
      </c>
      <c r="C55" t="s">
        <v>576</v>
      </c>
      <c r="D55" t="s">
        <v>575</v>
      </c>
      <c r="E55" t="s">
        <v>1528</v>
      </c>
      <c r="F55" t="s">
        <v>1614</v>
      </c>
      <c r="G55" t="s">
        <v>2302</v>
      </c>
      <c r="H55" s="291" t="s">
        <v>575</v>
      </c>
      <c r="I55" s="4" t="s">
        <v>3133</v>
      </c>
      <c r="J55" s="4" t="s">
        <v>2303</v>
      </c>
    </row>
    <row r="56" spans="1:12" ht="85.5" hidden="1">
      <c r="A56">
        <v>54</v>
      </c>
      <c r="B56" t="s">
        <v>1615</v>
      </c>
      <c r="C56" t="s">
        <v>1616</v>
      </c>
      <c r="D56" t="s">
        <v>577</v>
      </c>
      <c r="E56" t="s">
        <v>1528</v>
      </c>
      <c r="F56" t="s">
        <v>1617</v>
      </c>
      <c r="G56" t="s">
        <v>2304</v>
      </c>
      <c r="H56" s="291" t="s">
        <v>577</v>
      </c>
      <c r="I56" s="4" t="s">
        <v>3134</v>
      </c>
      <c r="J56" s="4" t="s">
        <v>2305</v>
      </c>
    </row>
    <row r="57" spans="1:12" ht="28.5" hidden="1">
      <c r="A57">
        <v>55</v>
      </c>
      <c r="B57" t="s">
        <v>1618</v>
      </c>
      <c r="C57" t="s">
        <v>1619</v>
      </c>
      <c r="D57" t="s">
        <v>579</v>
      </c>
      <c r="E57" t="s">
        <v>1528</v>
      </c>
      <c r="F57" t="s">
        <v>1617</v>
      </c>
      <c r="G57" t="s">
        <v>2306</v>
      </c>
      <c r="H57" s="291" t="s">
        <v>579</v>
      </c>
      <c r="I57" s="4" t="s">
        <v>3106</v>
      </c>
      <c r="J57" s="4" t="s">
        <v>2307</v>
      </c>
      <c r="K57" t="s">
        <v>2308</v>
      </c>
      <c r="L57" t="s">
        <v>2309</v>
      </c>
    </row>
    <row r="58" spans="1:12" ht="57" hidden="1">
      <c r="A58">
        <v>56</v>
      </c>
      <c r="B58" t="s">
        <v>1620</v>
      </c>
      <c r="C58" t="s">
        <v>1621</v>
      </c>
      <c r="D58" t="s">
        <v>581</v>
      </c>
      <c r="E58" t="s">
        <v>1528</v>
      </c>
      <c r="F58" t="s">
        <v>1622</v>
      </c>
      <c r="G58" t="s">
        <v>2310</v>
      </c>
      <c r="H58" s="92">
        <v>331410</v>
      </c>
      <c r="I58" s="4" t="s">
        <v>2311</v>
      </c>
      <c r="J58" s="4" t="s">
        <v>2311</v>
      </c>
    </row>
    <row r="59" spans="1:12" ht="28.5" hidden="1">
      <c r="A59">
        <v>57</v>
      </c>
      <c r="B59" t="s">
        <v>1623</v>
      </c>
      <c r="C59" t="s">
        <v>584</v>
      </c>
      <c r="D59" t="s">
        <v>583</v>
      </c>
      <c r="E59" t="s">
        <v>1528</v>
      </c>
      <c r="F59" t="s">
        <v>1622</v>
      </c>
      <c r="G59" t="s">
        <v>2312</v>
      </c>
      <c r="H59" s="291" t="s">
        <v>583</v>
      </c>
      <c r="I59" s="4" t="s">
        <v>3106</v>
      </c>
      <c r="J59" s="4" t="s">
        <v>2313</v>
      </c>
      <c r="K59" t="s">
        <v>2314</v>
      </c>
    </row>
    <row r="60" spans="1:12" ht="28.5" hidden="1">
      <c r="A60">
        <v>58</v>
      </c>
      <c r="B60" t="s">
        <v>1624</v>
      </c>
      <c r="C60" t="s">
        <v>586</v>
      </c>
      <c r="D60" t="s">
        <v>585</v>
      </c>
      <c r="E60" t="s">
        <v>1528</v>
      </c>
      <c r="F60" t="s">
        <v>1622</v>
      </c>
      <c r="G60" t="s">
        <v>2315</v>
      </c>
      <c r="H60" s="291" t="s">
        <v>585</v>
      </c>
      <c r="I60" s="4" t="s">
        <v>3106</v>
      </c>
      <c r="J60" s="4" t="s">
        <v>2316</v>
      </c>
      <c r="K60" t="s">
        <v>2317</v>
      </c>
    </row>
    <row r="61" spans="1:12" ht="42.75" hidden="1">
      <c r="A61">
        <v>59</v>
      </c>
      <c r="B61" t="s">
        <v>1625</v>
      </c>
      <c r="C61" t="s">
        <v>588</v>
      </c>
      <c r="D61" t="s">
        <v>587</v>
      </c>
      <c r="E61" t="s">
        <v>1528</v>
      </c>
      <c r="F61" t="s">
        <v>1626</v>
      </c>
      <c r="G61" t="s">
        <v>2318</v>
      </c>
      <c r="H61" s="92">
        <v>331510</v>
      </c>
      <c r="I61" s="4" t="s">
        <v>2319</v>
      </c>
      <c r="J61" s="4" t="s">
        <v>2319</v>
      </c>
    </row>
    <row r="62" spans="1:12" ht="57" hidden="1">
      <c r="A62">
        <v>60</v>
      </c>
      <c r="B62" t="s">
        <v>1627</v>
      </c>
      <c r="C62" t="s">
        <v>590</v>
      </c>
      <c r="D62" t="s">
        <v>589</v>
      </c>
      <c r="E62" t="s">
        <v>1528</v>
      </c>
      <c r="F62" t="s">
        <v>1626</v>
      </c>
      <c r="G62" t="s">
        <v>2320</v>
      </c>
      <c r="H62" s="291" t="s">
        <v>589</v>
      </c>
      <c r="I62" s="4" t="s">
        <v>3135</v>
      </c>
      <c r="J62" s="4" t="s">
        <v>2321</v>
      </c>
    </row>
    <row r="63" spans="1:12" ht="42.75" hidden="1">
      <c r="A63">
        <v>61</v>
      </c>
      <c r="B63" t="s">
        <v>1628</v>
      </c>
      <c r="C63" t="s">
        <v>592</v>
      </c>
      <c r="D63" t="s">
        <v>591</v>
      </c>
      <c r="E63" t="s">
        <v>1528</v>
      </c>
      <c r="F63" t="s">
        <v>1629</v>
      </c>
      <c r="G63" t="s">
        <v>2322</v>
      </c>
      <c r="H63" s="92">
        <v>332114</v>
      </c>
      <c r="I63" s="4" t="s">
        <v>2323</v>
      </c>
      <c r="J63" s="4" t="s">
        <v>2323</v>
      </c>
    </row>
    <row r="64" spans="1:12" ht="28.5" hidden="1">
      <c r="A64">
        <v>62</v>
      </c>
      <c r="B64" t="s">
        <v>1630</v>
      </c>
      <c r="C64" t="s">
        <v>596</v>
      </c>
      <c r="D64" t="s">
        <v>595</v>
      </c>
      <c r="E64" t="s">
        <v>1528</v>
      </c>
      <c r="F64" t="s">
        <v>1629</v>
      </c>
      <c r="G64" t="s">
        <v>2324</v>
      </c>
      <c r="H64" s="291" t="s">
        <v>595</v>
      </c>
      <c r="I64" s="4" t="s">
        <v>3106</v>
      </c>
      <c r="J64" s="4" t="s">
        <v>2325</v>
      </c>
      <c r="K64" t="s">
        <v>2326</v>
      </c>
      <c r="L64" t="s">
        <v>2327</v>
      </c>
    </row>
    <row r="65" spans="1:11" ht="28.5" hidden="1">
      <c r="A65">
        <v>63</v>
      </c>
      <c r="B65" t="s">
        <v>1631</v>
      </c>
      <c r="C65" t="s">
        <v>1399</v>
      </c>
      <c r="D65" t="s">
        <v>593</v>
      </c>
      <c r="E65" t="s">
        <v>1528</v>
      </c>
      <c r="F65" t="s">
        <v>1629</v>
      </c>
      <c r="G65" t="s">
        <v>2328</v>
      </c>
      <c r="H65" s="291" t="s">
        <v>593</v>
      </c>
      <c r="I65" s="4" t="s">
        <v>3106</v>
      </c>
      <c r="J65" s="4" t="s">
        <v>2329</v>
      </c>
      <c r="K65" t="s">
        <v>2330</v>
      </c>
    </row>
    <row r="66" spans="1:11" ht="28.5" hidden="1">
      <c r="A66">
        <v>64</v>
      </c>
      <c r="B66" t="s">
        <v>1632</v>
      </c>
      <c r="C66" t="s">
        <v>598</v>
      </c>
      <c r="D66" t="s">
        <v>597</v>
      </c>
      <c r="E66" t="s">
        <v>1528</v>
      </c>
      <c r="F66" t="s">
        <v>1633</v>
      </c>
      <c r="G66" t="s">
        <v>2331</v>
      </c>
      <c r="H66" s="291" t="s">
        <v>597</v>
      </c>
      <c r="I66" s="4" t="s">
        <v>3106</v>
      </c>
      <c r="J66" s="4" t="s">
        <v>2332</v>
      </c>
      <c r="K66" t="s">
        <v>2333</v>
      </c>
    </row>
    <row r="67" spans="1:11" ht="28.5" hidden="1">
      <c r="A67">
        <v>65</v>
      </c>
      <c r="B67" t="s">
        <v>1634</v>
      </c>
      <c r="C67" t="s">
        <v>600</v>
      </c>
      <c r="D67" t="s">
        <v>599</v>
      </c>
      <c r="E67" t="s">
        <v>1528</v>
      </c>
      <c r="F67" t="s">
        <v>1635</v>
      </c>
      <c r="G67" t="s">
        <v>2334</v>
      </c>
      <c r="H67" s="291" t="s">
        <v>599</v>
      </c>
      <c r="I67" s="4" t="s">
        <v>3136</v>
      </c>
      <c r="J67" s="4" t="s">
        <v>2335</v>
      </c>
      <c r="K67" t="s">
        <v>2336</v>
      </c>
    </row>
    <row r="68" spans="1:11" ht="28.5" hidden="1">
      <c r="A68">
        <v>66</v>
      </c>
      <c r="B68" t="s">
        <v>1636</v>
      </c>
      <c r="C68" t="s">
        <v>602</v>
      </c>
      <c r="D68" t="s">
        <v>601</v>
      </c>
      <c r="E68" t="s">
        <v>1528</v>
      </c>
      <c r="F68" t="s">
        <v>1635</v>
      </c>
      <c r="G68" t="s">
        <v>2337</v>
      </c>
      <c r="H68" s="291" t="s">
        <v>601</v>
      </c>
      <c r="I68" s="4" t="s">
        <v>3136</v>
      </c>
      <c r="J68" s="4" t="s">
        <v>2338</v>
      </c>
      <c r="K68" t="s">
        <v>2339</v>
      </c>
    </row>
    <row r="69" spans="1:11" ht="57" hidden="1">
      <c r="A69">
        <v>67</v>
      </c>
      <c r="B69" t="s">
        <v>1637</v>
      </c>
      <c r="C69" t="s">
        <v>604</v>
      </c>
      <c r="D69" t="s">
        <v>603</v>
      </c>
      <c r="E69" t="s">
        <v>1528</v>
      </c>
      <c r="F69" t="s">
        <v>1638</v>
      </c>
      <c r="G69" t="s">
        <v>2340</v>
      </c>
      <c r="H69" s="92">
        <v>332410</v>
      </c>
      <c r="I69" s="4" t="s">
        <v>2341</v>
      </c>
      <c r="J69" s="4" t="s">
        <v>2341</v>
      </c>
    </row>
    <row r="70" spans="1:11" ht="42.75" hidden="1">
      <c r="A70">
        <v>68</v>
      </c>
      <c r="B70" t="s">
        <v>1639</v>
      </c>
      <c r="C70" t="s">
        <v>606</v>
      </c>
      <c r="D70" t="s">
        <v>605</v>
      </c>
      <c r="E70" t="s">
        <v>1528</v>
      </c>
      <c r="F70" t="s">
        <v>1638</v>
      </c>
      <c r="G70" t="s">
        <v>2342</v>
      </c>
      <c r="H70" s="291" t="s">
        <v>605</v>
      </c>
      <c r="I70" s="4" t="s">
        <v>3137</v>
      </c>
      <c r="J70" s="4" t="s">
        <v>2343</v>
      </c>
    </row>
    <row r="71" spans="1:11" ht="28.5" hidden="1">
      <c r="A71">
        <v>69</v>
      </c>
      <c r="B71" t="s">
        <v>1640</v>
      </c>
      <c r="C71" t="s">
        <v>608</v>
      </c>
      <c r="D71" t="s">
        <v>607</v>
      </c>
      <c r="E71" t="s">
        <v>1528</v>
      </c>
      <c r="F71" t="s">
        <v>1638</v>
      </c>
      <c r="G71" t="s">
        <v>2344</v>
      </c>
      <c r="H71" s="291" t="s">
        <v>607</v>
      </c>
      <c r="I71" s="4" t="s">
        <v>3138</v>
      </c>
      <c r="J71" s="4" t="s">
        <v>2345</v>
      </c>
    </row>
    <row r="72" spans="1:11" ht="42.75" hidden="1">
      <c r="A72">
        <v>70</v>
      </c>
      <c r="B72" t="s">
        <v>1641</v>
      </c>
      <c r="C72" t="s">
        <v>610</v>
      </c>
      <c r="D72" t="s">
        <v>609</v>
      </c>
      <c r="E72" t="s">
        <v>1528</v>
      </c>
      <c r="F72" t="s">
        <v>1642</v>
      </c>
      <c r="G72" t="s">
        <v>2346</v>
      </c>
      <c r="H72" s="291" t="s">
        <v>609</v>
      </c>
      <c r="I72" s="4" t="s">
        <v>3139</v>
      </c>
      <c r="J72" s="4" t="s">
        <v>2347</v>
      </c>
    </row>
    <row r="73" spans="1:11" ht="57" hidden="1">
      <c r="A73">
        <v>71</v>
      </c>
      <c r="B73" t="s">
        <v>1643</v>
      </c>
      <c r="C73" t="s">
        <v>612</v>
      </c>
      <c r="D73" t="s">
        <v>611</v>
      </c>
      <c r="E73" t="s">
        <v>1528</v>
      </c>
      <c r="F73" t="s">
        <v>1644</v>
      </c>
      <c r="G73" t="s">
        <v>2348</v>
      </c>
      <c r="H73" s="291" t="s">
        <v>611</v>
      </c>
      <c r="I73" s="4" t="s">
        <v>3140</v>
      </c>
      <c r="J73" s="4" t="s">
        <v>2349</v>
      </c>
    </row>
    <row r="74" spans="1:11" ht="71.25" hidden="1">
      <c r="A74">
        <v>72</v>
      </c>
      <c r="B74" t="s">
        <v>1645</v>
      </c>
      <c r="C74" t="s">
        <v>614</v>
      </c>
      <c r="D74" t="s">
        <v>613</v>
      </c>
      <c r="E74" t="s">
        <v>1528</v>
      </c>
      <c r="F74" t="s">
        <v>1646</v>
      </c>
      <c r="G74" t="s">
        <v>2350</v>
      </c>
      <c r="H74" s="291" t="s">
        <v>613</v>
      </c>
      <c r="I74" s="4" t="s">
        <v>3141</v>
      </c>
      <c r="J74" s="4" t="s">
        <v>2351</v>
      </c>
    </row>
    <row r="75" spans="1:11" ht="71.25" hidden="1">
      <c r="A75">
        <v>73</v>
      </c>
      <c r="B75" t="s">
        <v>1647</v>
      </c>
      <c r="C75" t="s">
        <v>616</v>
      </c>
      <c r="D75" t="s">
        <v>615</v>
      </c>
      <c r="E75" t="s">
        <v>1528</v>
      </c>
      <c r="F75" t="s">
        <v>1646</v>
      </c>
      <c r="G75" t="s">
        <v>2352</v>
      </c>
      <c r="H75" s="291" t="s">
        <v>615</v>
      </c>
      <c r="I75" s="4" t="s">
        <v>3142</v>
      </c>
      <c r="J75" s="4" t="s">
        <v>2353</v>
      </c>
    </row>
    <row r="76" spans="1:11" ht="28.5" hidden="1">
      <c r="A76">
        <v>74</v>
      </c>
      <c r="B76" t="s">
        <v>1648</v>
      </c>
      <c r="C76" t="s">
        <v>618</v>
      </c>
      <c r="D76" t="s">
        <v>617</v>
      </c>
      <c r="E76" t="s">
        <v>1528</v>
      </c>
      <c r="F76" t="s">
        <v>1649</v>
      </c>
      <c r="G76" t="s">
        <v>2354</v>
      </c>
      <c r="H76" s="291" t="s">
        <v>617</v>
      </c>
      <c r="I76" s="4" t="s">
        <v>3106</v>
      </c>
      <c r="J76" s="4" t="s">
        <v>2355</v>
      </c>
      <c r="K76" t="s">
        <v>2356</v>
      </c>
    </row>
    <row r="77" spans="1:11" ht="42.75" hidden="1">
      <c r="A77">
        <v>75</v>
      </c>
      <c r="B77" t="s">
        <v>1650</v>
      </c>
      <c r="C77" t="s">
        <v>620</v>
      </c>
      <c r="D77" t="s">
        <v>619</v>
      </c>
      <c r="E77" t="s">
        <v>1528</v>
      </c>
      <c r="F77" t="s">
        <v>1651</v>
      </c>
      <c r="G77" t="s">
        <v>2357</v>
      </c>
      <c r="H77" s="291" t="s">
        <v>619</v>
      </c>
      <c r="I77" s="4" t="s">
        <v>3143</v>
      </c>
      <c r="J77" s="4" t="s">
        <v>2358</v>
      </c>
    </row>
    <row r="78" spans="1:11" ht="71.25" hidden="1">
      <c r="A78">
        <v>76</v>
      </c>
      <c r="B78" t="s">
        <v>1652</v>
      </c>
      <c r="C78" t="s">
        <v>622</v>
      </c>
      <c r="D78" t="s">
        <v>621</v>
      </c>
      <c r="E78" t="s">
        <v>1528</v>
      </c>
      <c r="F78" t="s">
        <v>1651</v>
      </c>
      <c r="G78" t="s">
        <v>2359</v>
      </c>
      <c r="H78" s="291" t="s">
        <v>621</v>
      </c>
      <c r="I78" s="4" t="s">
        <v>3144</v>
      </c>
      <c r="J78" s="4" t="s">
        <v>2360</v>
      </c>
      <c r="K78" t="s">
        <v>2361</v>
      </c>
    </row>
    <row r="79" spans="1:11" ht="28.5" hidden="1">
      <c r="A79">
        <v>77</v>
      </c>
      <c r="B79" t="s">
        <v>1653</v>
      </c>
      <c r="C79" t="s">
        <v>624</v>
      </c>
      <c r="D79" t="s">
        <v>623</v>
      </c>
      <c r="E79" t="s">
        <v>1528</v>
      </c>
      <c r="F79" t="s">
        <v>1651</v>
      </c>
      <c r="G79" t="s">
        <v>2362</v>
      </c>
      <c r="H79" s="92">
        <v>332991</v>
      </c>
      <c r="I79" s="4" t="s">
        <v>2363</v>
      </c>
      <c r="J79" s="4" t="s">
        <v>2363</v>
      </c>
    </row>
    <row r="80" spans="1:11" ht="42.75" hidden="1">
      <c r="A80">
        <v>78</v>
      </c>
      <c r="B80" t="s">
        <v>1654</v>
      </c>
      <c r="C80" t="s">
        <v>626</v>
      </c>
      <c r="D80" t="s">
        <v>625</v>
      </c>
      <c r="E80" t="s">
        <v>1528</v>
      </c>
      <c r="F80" t="s">
        <v>1651</v>
      </c>
      <c r="G80" t="s">
        <v>2364</v>
      </c>
      <c r="H80" s="291" t="s">
        <v>625</v>
      </c>
      <c r="I80" s="4" t="s">
        <v>3145</v>
      </c>
      <c r="J80" s="4" t="s">
        <v>2365</v>
      </c>
    </row>
    <row r="81" spans="1:12" ht="71.25" hidden="1">
      <c r="A81">
        <v>79</v>
      </c>
      <c r="B81" t="s">
        <v>1655</v>
      </c>
      <c r="C81" t="s">
        <v>630</v>
      </c>
      <c r="D81" t="s">
        <v>629</v>
      </c>
      <c r="E81" t="s">
        <v>1528</v>
      </c>
      <c r="F81" t="s">
        <v>1651</v>
      </c>
      <c r="G81" t="s">
        <v>2366</v>
      </c>
      <c r="H81" s="291" t="s">
        <v>629</v>
      </c>
      <c r="I81" s="4" t="s">
        <v>3144</v>
      </c>
      <c r="J81" s="4" t="s">
        <v>2367</v>
      </c>
      <c r="K81" t="s">
        <v>2368</v>
      </c>
    </row>
    <row r="82" spans="1:12" ht="85.5" hidden="1">
      <c r="A82">
        <v>80</v>
      </c>
      <c r="B82" t="s">
        <v>1656</v>
      </c>
      <c r="C82" t="s">
        <v>1657</v>
      </c>
      <c r="D82" t="s">
        <v>627</v>
      </c>
      <c r="E82" t="s">
        <v>1528</v>
      </c>
      <c r="F82" t="s">
        <v>1651</v>
      </c>
      <c r="G82" t="s">
        <v>2369</v>
      </c>
      <c r="H82" s="291" t="s">
        <v>627</v>
      </c>
      <c r="I82" s="4" t="s">
        <v>3146</v>
      </c>
      <c r="J82" s="4" t="s">
        <v>2370</v>
      </c>
    </row>
    <row r="83" spans="1:12" ht="57" hidden="1">
      <c r="A83">
        <v>81</v>
      </c>
      <c r="B83" t="s">
        <v>1658</v>
      </c>
      <c r="C83" t="s">
        <v>632</v>
      </c>
      <c r="D83" t="s">
        <v>631</v>
      </c>
      <c r="E83" t="s">
        <v>1528</v>
      </c>
      <c r="F83" t="s">
        <v>1659</v>
      </c>
      <c r="G83" t="s">
        <v>2371</v>
      </c>
      <c r="H83" s="291" t="s">
        <v>631</v>
      </c>
      <c r="I83" s="4" t="s">
        <v>3147</v>
      </c>
      <c r="J83" s="4" t="s">
        <v>2372</v>
      </c>
    </row>
    <row r="84" spans="1:12" ht="57" hidden="1">
      <c r="A84">
        <v>82</v>
      </c>
      <c r="B84" t="s">
        <v>1660</v>
      </c>
      <c r="C84" t="s">
        <v>634</v>
      </c>
      <c r="D84" t="s">
        <v>633</v>
      </c>
      <c r="E84" t="s">
        <v>1528</v>
      </c>
      <c r="F84" t="s">
        <v>1659</v>
      </c>
      <c r="G84" t="s">
        <v>2373</v>
      </c>
      <c r="H84" s="291" t="s">
        <v>633</v>
      </c>
      <c r="I84" s="4" t="s">
        <v>3148</v>
      </c>
      <c r="J84" s="4" t="s">
        <v>2374</v>
      </c>
    </row>
    <row r="85" spans="1:12" ht="42.75" hidden="1">
      <c r="A85">
        <v>83</v>
      </c>
      <c r="B85" t="s">
        <v>1661</v>
      </c>
      <c r="C85" t="s">
        <v>636</v>
      </c>
      <c r="D85" t="s">
        <v>635</v>
      </c>
      <c r="E85" t="s">
        <v>1528</v>
      </c>
      <c r="F85" t="s">
        <v>1659</v>
      </c>
      <c r="G85" t="s">
        <v>2375</v>
      </c>
      <c r="H85" s="291" t="s">
        <v>635</v>
      </c>
      <c r="I85" s="4" t="s">
        <v>3149</v>
      </c>
      <c r="J85" s="4" t="s">
        <v>2376</v>
      </c>
    </row>
    <row r="86" spans="1:12" ht="42.75" hidden="1">
      <c r="A86">
        <v>84</v>
      </c>
      <c r="B86" t="s">
        <v>1662</v>
      </c>
      <c r="C86" t="s">
        <v>638</v>
      </c>
      <c r="D86" t="s">
        <v>637</v>
      </c>
      <c r="E86" t="s">
        <v>1528</v>
      </c>
      <c r="F86" t="s">
        <v>1659</v>
      </c>
      <c r="G86" t="s">
        <v>2377</v>
      </c>
      <c r="H86" s="92">
        <v>333130</v>
      </c>
      <c r="I86" s="4" t="s">
        <v>2378</v>
      </c>
      <c r="J86" s="4" t="s">
        <v>2378</v>
      </c>
    </row>
    <row r="87" spans="1:12" ht="42.75" hidden="1">
      <c r="A87">
        <v>85</v>
      </c>
      <c r="B87" t="s">
        <v>1663</v>
      </c>
      <c r="C87" t="s">
        <v>640</v>
      </c>
      <c r="D87" t="s">
        <v>639</v>
      </c>
      <c r="E87" t="s">
        <v>1528</v>
      </c>
      <c r="F87" t="s">
        <v>1664</v>
      </c>
      <c r="G87" t="s">
        <v>2379</v>
      </c>
      <c r="H87" s="291" t="s">
        <v>639</v>
      </c>
      <c r="I87" s="4" t="s">
        <v>3150</v>
      </c>
      <c r="J87" s="4" t="s">
        <v>2380</v>
      </c>
    </row>
    <row r="88" spans="1:12" ht="42.75" hidden="1">
      <c r="A88">
        <v>86</v>
      </c>
      <c r="B88" t="s">
        <v>1665</v>
      </c>
      <c r="C88" t="s">
        <v>642</v>
      </c>
      <c r="D88" t="s">
        <v>641</v>
      </c>
      <c r="E88" t="s">
        <v>1528</v>
      </c>
      <c r="F88" t="s">
        <v>1664</v>
      </c>
      <c r="G88" t="s">
        <v>2381</v>
      </c>
      <c r="H88" s="291" t="s">
        <v>641</v>
      </c>
      <c r="I88" s="4" t="s">
        <v>3151</v>
      </c>
      <c r="J88" s="4" t="s">
        <v>2382</v>
      </c>
      <c r="K88" t="s">
        <v>2383</v>
      </c>
      <c r="L88" t="s">
        <v>2384</v>
      </c>
    </row>
    <row r="89" spans="1:12" ht="28.5" hidden="1">
      <c r="A89">
        <v>87</v>
      </c>
      <c r="B89" t="s">
        <v>1666</v>
      </c>
      <c r="C89" t="s">
        <v>644</v>
      </c>
      <c r="D89" t="s">
        <v>643</v>
      </c>
      <c r="E89" t="s">
        <v>1528</v>
      </c>
      <c r="F89" t="s">
        <v>1667</v>
      </c>
      <c r="G89" t="s">
        <v>2385</v>
      </c>
      <c r="H89" s="291" t="s">
        <v>643</v>
      </c>
      <c r="I89" s="4" t="s">
        <v>3152</v>
      </c>
      <c r="J89" s="4" t="s">
        <v>2386</v>
      </c>
      <c r="K89" t="s">
        <v>2387</v>
      </c>
    </row>
    <row r="90" spans="1:12" ht="57" hidden="1">
      <c r="A90">
        <v>88</v>
      </c>
      <c r="B90" t="s">
        <v>1668</v>
      </c>
      <c r="C90" t="s">
        <v>646</v>
      </c>
      <c r="D90" t="s">
        <v>645</v>
      </c>
      <c r="E90" t="s">
        <v>1528</v>
      </c>
      <c r="F90" t="s">
        <v>1667</v>
      </c>
      <c r="G90" t="s">
        <v>2388</v>
      </c>
      <c r="H90" s="291" t="s">
        <v>645</v>
      </c>
      <c r="I90" s="4" t="s">
        <v>3153</v>
      </c>
      <c r="J90" s="4" t="s">
        <v>2389</v>
      </c>
    </row>
    <row r="91" spans="1:12" ht="57" hidden="1">
      <c r="A91">
        <v>89</v>
      </c>
      <c r="B91" t="s">
        <v>1669</v>
      </c>
      <c r="C91" t="s">
        <v>648</v>
      </c>
      <c r="D91" t="s">
        <v>647</v>
      </c>
      <c r="E91" t="s">
        <v>1528</v>
      </c>
      <c r="F91" t="s">
        <v>1667</v>
      </c>
      <c r="G91" t="s">
        <v>2390</v>
      </c>
      <c r="H91" s="291" t="s">
        <v>647</v>
      </c>
      <c r="I91" s="4" t="s">
        <v>3154</v>
      </c>
      <c r="J91" s="4" t="s">
        <v>2391</v>
      </c>
    </row>
    <row r="92" spans="1:12" ht="57" hidden="1">
      <c r="A92">
        <v>90</v>
      </c>
      <c r="B92" t="s">
        <v>1670</v>
      </c>
      <c r="C92" t="s">
        <v>652</v>
      </c>
      <c r="D92" t="s">
        <v>651</v>
      </c>
      <c r="E92" t="s">
        <v>1528</v>
      </c>
      <c r="F92" t="s">
        <v>1671</v>
      </c>
      <c r="G92" t="s">
        <v>2392</v>
      </c>
      <c r="H92" s="291" t="s">
        <v>651</v>
      </c>
      <c r="I92" s="4" t="s">
        <v>3155</v>
      </c>
      <c r="J92" s="4" t="s">
        <v>2393</v>
      </c>
    </row>
    <row r="93" spans="1:12" ht="57" hidden="1">
      <c r="A93">
        <v>91</v>
      </c>
      <c r="B93" t="s">
        <v>1672</v>
      </c>
      <c r="C93" t="s">
        <v>654</v>
      </c>
      <c r="D93" t="s">
        <v>653</v>
      </c>
      <c r="E93" t="s">
        <v>1528</v>
      </c>
      <c r="F93" t="s">
        <v>1671</v>
      </c>
      <c r="G93" t="s">
        <v>2394</v>
      </c>
      <c r="H93" s="291" t="s">
        <v>653</v>
      </c>
      <c r="I93" s="4" t="s">
        <v>3156</v>
      </c>
      <c r="J93" s="4" t="s">
        <v>2395</v>
      </c>
    </row>
    <row r="94" spans="1:12" ht="85.5" hidden="1">
      <c r="A94">
        <v>92</v>
      </c>
      <c r="B94" t="s">
        <v>1673</v>
      </c>
      <c r="C94" t="s">
        <v>1400</v>
      </c>
      <c r="D94" t="s">
        <v>649</v>
      </c>
      <c r="E94" t="s">
        <v>1528</v>
      </c>
      <c r="F94" t="s">
        <v>1671</v>
      </c>
      <c r="G94" t="s">
        <v>2396</v>
      </c>
      <c r="H94" s="291" t="s">
        <v>649</v>
      </c>
      <c r="I94" s="4" t="s">
        <v>3157</v>
      </c>
      <c r="J94" s="4" t="s">
        <v>2397</v>
      </c>
    </row>
    <row r="95" spans="1:12" ht="42.75" hidden="1">
      <c r="A95">
        <v>93</v>
      </c>
      <c r="B95" t="s">
        <v>1674</v>
      </c>
      <c r="C95" t="s">
        <v>656</v>
      </c>
      <c r="D95" t="s">
        <v>655</v>
      </c>
      <c r="E95" t="s">
        <v>1528</v>
      </c>
      <c r="F95" t="s">
        <v>1675</v>
      </c>
      <c r="G95" t="s">
        <v>2398</v>
      </c>
      <c r="H95" s="291" t="s">
        <v>655</v>
      </c>
      <c r="I95" s="4" t="s">
        <v>3158</v>
      </c>
      <c r="J95" s="4" t="s">
        <v>2399</v>
      </c>
    </row>
    <row r="96" spans="1:12" ht="42.75" hidden="1">
      <c r="A96">
        <v>94</v>
      </c>
      <c r="B96" t="s">
        <v>1676</v>
      </c>
      <c r="C96" t="s">
        <v>658</v>
      </c>
      <c r="D96" t="s">
        <v>657</v>
      </c>
      <c r="E96" t="s">
        <v>1528</v>
      </c>
      <c r="F96" t="s">
        <v>1675</v>
      </c>
      <c r="G96" t="s">
        <v>2400</v>
      </c>
      <c r="H96" s="291" t="s">
        <v>657</v>
      </c>
      <c r="I96" s="4" t="s">
        <v>3159</v>
      </c>
      <c r="J96" s="4" t="s">
        <v>2401</v>
      </c>
    </row>
    <row r="97" spans="1:11" ht="57" hidden="1">
      <c r="A97">
        <v>95</v>
      </c>
      <c r="B97" t="s">
        <v>1677</v>
      </c>
      <c r="C97" t="s">
        <v>1401</v>
      </c>
      <c r="D97" t="s">
        <v>659</v>
      </c>
      <c r="E97" t="s">
        <v>1528</v>
      </c>
      <c r="F97" t="s">
        <v>1675</v>
      </c>
      <c r="G97" t="s">
        <v>2402</v>
      </c>
      <c r="H97" s="291" t="s">
        <v>659</v>
      </c>
      <c r="I97" s="4" t="s">
        <v>3160</v>
      </c>
      <c r="J97" s="4" t="s">
        <v>2403</v>
      </c>
    </row>
    <row r="98" spans="1:11" ht="99.75" hidden="1">
      <c r="A98">
        <v>96</v>
      </c>
      <c r="B98" t="s">
        <v>1678</v>
      </c>
      <c r="C98" t="s">
        <v>662</v>
      </c>
      <c r="D98" t="s">
        <v>661</v>
      </c>
      <c r="E98" t="s">
        <v>1528</v>
      </c>
      <c r="F98" t="s">
        <v>1675</v>
      </c>
      <c r="G98" t="s">
        <v>2404</v>
      </c>
      <c r="H98" s="291" t="s">
        <v>661</v>
      </c>
      <c r="I98" s="4" t="s">
        <v>3161</v>
      </c>
      <c r="J98" s="4" t="s">
        <v>2405</v>
      </c>
      <c r="K98" t="s">
        <v>2406</v>
      </c>
    </row>
    <row r="99" spans="1:11" ht="42.75" hidden="1">
      <c r="A99">
        <v>97</v>
      </c>
      <c r="B99" t="s">
        <v>1679</v>
      </c>
      <c r="C99" t="s">
        <v>664</v>
      </c>
      <c r="D99" t="s">
        <v>663</v>
      </c>
      <c r="E99" t="s">
        <v>1528</v>
      </c>
      <c r="F99" t="s">
        <v>1680</v>
      </c>
      <c r="G99" t="s">
        <v>2407</v>
      </c>
      <c r="H99" s="291" t="s">
        <v>663</v>
      </c>
      <c r="I99" s="4" t="s">
        <v>3162</v>
      </c>
      <c r="J99" s="4" t="s">
        <v>2408</v>
      </c>
    </row>
    <row r="100" spans="1:11" ht="42.75" hidden="1">
      <c r="A100">
        <v>98</v>
      </c>
      <c r="B100" t="s">
        <v>1681</v>
      </c>
      <c r="C100" t="s">
        <v>666</v>
      </c>
      <c r="D100" t="s">
        <v>665</v>
      </c>
      <c r="E100" t="s">
        <v>1528</v>
      </c>
      <c r="F100" t="s">
        <v>1680</v>
      </c>
      <c r="G100" t="s">
        <v>2409</v>
      </c>
      <c r="H100" s="291" t="s">
        <v>665</v>
      </c>
      <c r="I100" s="4" t="s">
        <v>3163</v>
      </c>
      <c r="J100" s="4" t="s">
        <v>2410</v>
      </c>
    </row>
    <row r="101" spans="1:11" ht="57" hidden="1">
      <c r="A101">
        <v>99</v>
      </c>
      <c r="B101" t="s">
        <v>1682</v>
      </c>
      <c r="C101" t="s">
        <v>668</v>
      </c>
      <c r="D101" t="s">
        <v>667</v>
      </c>
      <c r="E101" t="s">
        <v>1528</v>
      </c>
      <c r="F101" t="s">
        <v>1680</v>
      </c>
      <c r="G101" t="s">
        <v>2411</v>
      </c>
      <c r="H101" s="291" t="s">
        <v>667</v>
      </c>
      <c r="I101" s="4" t="s">
        <v>3164</v>
      </c>
      <c r="J101" s="4" t="s">
        <v>2412</v>
      </c>
    </row>
    <row r="102" spans="1:11" ht="42.75" hidden="1">
      <c r="A102">
        <v>100</v>
      </c>
      <c r="B102" t="s">
        <v>1683</v>
      </c>
      <c r="C102" t="s">
        <v>670</v>
      </c>
      <c r="D102" t="s">
        <v>669</v>
      </c>
      <c r="E102" t="s">
        <v>1528</v>
      </c>
      <c r="F102" t="s">
        <v>1680</v>
      </c>
      <c r="G102" t="s">
        <v>2413</v>
      </c>
      <c r="H102" s="92">
        <v>333618</v>
      </c>
      <c r="I102" s="4" t="s">
        <v>2414</v>
      </c>
      <c r="J102" s="4" t="s">
        <v>2414</v>
      </c>
    </row>
    <row r="103" spans="1:11" ht="57" hidden="1">
      <c r="A103">
        <v>101</v>
      </c>
      <c r="B103" t="s">
        <v>1684</v>
      </c>
      <c r="C103" t="s">
        <v>672</v>
      </c>
      <c r="D103" t="s">
        <v>671</v>
      </c>
      <c r="E103" t="s">
        <v>1528</v>
      </c>
      <c r="F103" t="s">
        <v>1685</v>
      </c>
      <c r="G103" t="s">
        <v>2415</v>
      </c>
      <c r="H103" s="291" t="s">
        <v>671</v>
      </c>
      <c r="I103" s="4" t="s">
        <v>3165</v>
      </c>
      <c r="J103" s="4" t="s">
        <v>2416</v>
      </c>
    </row>
    <row r="104" spans="1:11" ht="99.75" hidden="1">
      <c r="A104">
        <v>102</v>
      </c>
      <c r="B104" t="s">
        <v>1686</v>
      </c>
      <c r="C104" t="s">
        <v>674</v>
      </c>
      <c r="D104" t="s">
        <v>673</v>
      </c>
      <c r="E104" t="s">
        <v>1528</v>
      </c>
      <c r="F104" t="s">
        <v>1685</v>
      </c>
      <c r="G104" t="s">
        <v>2417</v>
      </c>
      <c r="H104" s="291" t="s">
        <v>673</v>
      </c>
      <c r="I104" s="4" t="s">
        <v>3166</v>
      </c>
      <c r="J104" s="4" t="s">
        <v>2418</v>
      </c>
      <c r="K104" t="s">
        <v>2419</v>
      </c>
    </row>
    <row r="105" spans="1:11" ht="57" hidden="1">
      <c r="A105">
        <v>103</v>
      </c>
      <c r="B105" t="s">
        <v>1687</v>
      </c>
      <c r="C105" t="s">
        <v>676</v>
      </c>
      <c r="D105" t="s">
        <v>675</v>
      </c>
      <c r="E105" t="s">
        <v>1528</v>
      </c>
      <c r="F105" t="s">
        <v>1685</v>
      </c>
      <c r="G105" t="s">
        <v>2420</v>
      </c>
      <c r="H105" s="291" t="s">
        <v>675</v>
      </c>
      <c r="I105" s="4" t="s">
        <v>3167</v>
      </c>
      <c r="J105" s="4" t="s">
        <v>2421</v>
      </c>
    </row>
    <row r="106" spans="1:11" ht="42.75" hidden="1">
      <c r="A106">
        <v>104</v>
      </c>
      <c r="B106" t="s">
        <v>1688</v>
      </c>
      <c r="C106" t="s">
        <v>678</v>
      </c>
      <c r="D106" t="s">
        <v>677</v>
      </c>
      <c r="E106" t="s">
        <v>1528</v>
      </c>
      <c r="F106" t="s">
        <v>1685</v>
      </c>
      <c r="G106" t="s">
        <v>2422</v>
      </c>
      <c r="H106" s="291" t="s">
        <v>677</v>
      </c>
      <c r="I106" s="4" t="s">
        <v>3168</v>
      </c>
      <c r="J106" s="4" t="s">
        <v>2423</v>
      </c>
    </row>
    <row r="107" spans="1:11" ht="42.75" hidden="1">
      <c r="A107">
        <v>105</v>
      </c>
      <c r="B107" t="s">
        <v>1689</v>
      </c>
      <c r="C107" t="s">
        <v>680</v>
      </c>
      <c r="D107" t="s">
        <v>679</v>
      </c>
      <c r="E107" t="s">
        <v>1528</v>
      </c>
      <c r="F107" t="s">
        <v>1685</v>
      </c>
      <c r="G107" t="s">
        <v>2424</v>
      </c>
      <c r="H107" s="291" t="s">
        <v>679</v>
      </c>
      <c r="I107" s="4" t="s">
        <v>3169</v>
      </c>
      <c r="J107" s="4" t="s">
        <v>2425</v>
      </c>
    </row>
    <row r="108" spans="1:11" ht="57" hidden="1">
      <c r="A108">
        <v>106</v>
      </c>
      <c r="B108" t="s">
        <v>1690</v>
      </c>
      <c r="C108" t="s">
        <v>682</v>
      </c>
      <c r="D108" t="s">
        <v>681</v>
      </c>
      <c r="E108" t="s">
        <v>1528</v>
      </c>
      <c r="F108" t="s">
        <v>1685</v>
      </c>
      <c r="G108" t="s">
        <v>2426</v>
      </c>
      <c r="H108" s="291" t="s">
        <v>681</v>
      </c>
      <c r="I108" s="4" t="s">
        <v>3170</v>
      </c>
      <c r="J108" s="4" t="s">
        <v>2427</v>
      </c>
    </row>
    <row r="109" spans="1:11" ht="171" hidden="1">
      <c r="A109">
        <v>107</v>
      </c>
      <c r="B109" t="s">
        <v>1691</v>
      </c>
      <c r="C109" t="s">
        <v>684</v>
      </c>
      <c r="D109" t="s">
        <v>683</v>
      </c>
      <c r="E109" t="s">
        <v>1528</v>
      </c>
      <c r="F109" t="s">
        <v>1685</v>
      </c>
      <c r="G109" t="s">
        <v>2428</v>
      </c>
      <c r="H109" s="291" t="s">
        <v>683</v>
      </c>
      <c r="I109" s="4" t="s">
        <v>3171</v>
      </c>
      <c r="J109" s="4" t="s">
        <v>2429</v>
      </c>
      <c r="K109" t="s">
        <v>2430</v>
      </c>
    </row>
    <row r="110" spans="1:11" ht="57" hidden="1">
      <c r="A110">
        <v>108</v>
      </c>
      <c r="B110" t="s">
        <v>1692</v>
      </c>
      <c r="C110" t="s">
        <v>686</v>
      </c>
      <c r="D110" t="s">
        <v>685</v>
      </c>
      <c r="E110" t="s">
        <v>1528</v>
      </c>
      <c r="F110" t="s">
        <v>1685</v>
      </c>
      <c r="G110" t="s">
        <v>2431</v>
      </c>
      <c r="H110" s="291" t="s">
        <v>685</v>
      </c>
      <c r="I110" s="4" t="s">
        <v>3172</v>
      </c>
      <c r="J110" s="4" t="s">
        <v>2432</v>
      </c>
      <c r="K110" t="s">
        <v>2433</v>
      </c>
    </row>
    <row r="111" spans="1:11" s="229" customFormat="1" ht="185.25">
      <c r="A111" s="229">
        <v>109</v>
      </c>
      <c r="B111" s="229" t="s">
        <v>1693</v>
      </c>
      <c r="C111" s="229" t="s">
        <v>688</v>
      </c>
      <c r="D111" s="229" t="s">
        <v>687</v>
      </c>
      <c r="E111" s="229" t="s">
        <v>1528</v>
      </c>
      <c r="F111" s="229" t="s">
        <v>1694</v>
      </c>
      <c r="G111" s="229" t="s">
        <v>2434</v>
      </c>
      <c r="H111" s="293">
        <v>334111</v>
      </c>
      <c r="I111" s="299" t="s">
        <v>3391</v>
      </c>
      <c r="J111" s="299"/>
    </row>
    <row r="112" spans="1:11" s="229" customFormat="1" ht="71.25">
      <c r="A112" s="229">
        <v>110</v>
      </c>
      <c r="B112" s="229" t="s">
        <v>1695</v>
      </c>
      <c r="C112" s="229" t="s">
        <v>690</v>
      </c>
      <c r="D112" s="229" t="s">
        <v>689</v>
      </c>
      <c r="E112" s="229" t="s">
        <v>1528</v>
      </c>
      <c r="F112" s="229" t="s">
        <v>1694</v>
      </c>
      <c r="G112" s="229" t="s">
        <v>2435</v>
      </c>
      <c r="H112" s="293">
        <v>334112</v>
      </c>
      <c r="I112" s="299" t="s">
        <v>3173</v>
      </c>
      <c r="J112" s="299"/>
    </row>
    <row r="113" spans="1:11" ht="42.75" hidden="1">
      <c r="A113">
        <v>111</v>
      </c>
      <c r="B113" t="s">
        <v>1696</v>
      </c>
      <c r="C113" t="s">
        <v>692</v>
      </c>
      <c r="D113" t="s">
        <v>691</v>
      </c>
      <c r="E113" t="s">
        <v>1528</v>
      </c>
      <c r="F113" t="s">
        <v>1694</v>
      </c>
      <c r="G113" t="s">
        <v>2436</v>
      </c>
      <c r="H113" s="92">
        <v>334118</v>
      </c>
      <c r="I113" s="4" t="s">
        <v>2437</v>
      </c>
      <c r="J113" s="4" t="s">
        <v>2437</v>
      </c>
    </row>
    <row r="114" spans="1:11" s="229" customFormat="1" ht="99.75">
      <c r="A114" s="229">
        <v>112</v>
      </c>
      <c r="B114" s="229" t="s">
        <v>1697</v>
      </c>
      <c r="C114" s="229" t="s">
        <v>694</v>
      </c>
      <c r="D114" s="229" t="s">
        <v>693</v>
      </c>
      <c r="E114" s="229" t="s">
        <v>1528</v>
      </c>
      <c r="F114" s="229" t="s">
        <v>1698</v>
      </c>
      <c r="G114" s="229" t="s">
        <v>2438</v>
      </c>
      <c r="H114" s="293">
        <v>334210</v>
      </c>
      <c r="I114" s="299" t="s">
        <v>3174</v>
      </c>
      <c r="J114" s="299"/>
    </row>
    <row r="115" spans="1:11" ht="57" hidden="1">
      <c r="A115">
        <v>113</v>
      </c>
      <c r="B115" t="s">
        <v>1699</v>
      </c>
      <c r="C115" t="s">
        <v>696</v>
      </c>
      <c r="D115" t="s">
        <v>695</v>
      </c>
      <c r="E115" t="s">
        <v>1528</v>
      </c>
      <c r="F115" t="s">
        <v>1698</v>
      </c>
      <c r="G115" t="s">
        <v>2439</v>
      </c>
      <c r="H115" s="291">
        <v>334220</v>
      </c>
      <c r="I115" s="4" t="s">
        <v>3175</v>
      </c>
      <c r="J115" s="4" t="s">
        <v>2440</v>
      </c>
      <c r="K115" t="s">
        <v>2441</v>
      </c>
    </row>
    <row r="116" spans="1:11" ht="57" hidden="1">
      <c r="A116">
        <v>114</v>
      </c>
      <c r="B116" t="s">
        <v>1700</v>
      </c>
      <c r="C116" t="s">
        <v>698</v>
      </c>
      <c r="D116" t="s">
        <v>697</v>
      </c>
      <c r="E116" t="s">
        <v>1528</v>
      </c>
      <c r="F116" t="s">
        <v>1698</v>
      </c>
      <c r="G116" t="s">
        <v>2442</v>
      </c>
      <c r="H116" s="291">
        <v>334290</v>
      </c>
      <c r="I116" s="4" t="s">
        <v>3176</v>
      </c>
      <c r="J116" s="4" t="s">
        <v>2443</v>
      </c>
    </row>
    <row r="117" spans="1:11" ht="71.25" hidden="1">
      <c r="A117">
        <v>115</v>
      </c>
      <c r="B117" t="s">
        <v>1701</v>
      </c>
      <c r="C117" t="s">
        <v>702</v>
      </c>
      <c r="D117" t="s">
        <v>701</v>
      </c>
      <c r="E117" t="s">
        <v>1528</v>
      </c>
      <c r="F117" t="s">
        <v>1702</v>
      </c>
      <c r="G117" t="s">
        <v>2444</v>
      </c>
      <c r="H117" s="291">
        <v>334413</v>
      </c>
      <c r="I117" s="4" t="s">
        <v>3177</v>
      </c>
      <c r="J117" s="4" t="s">
        <v>2445</v>
      </c>
    </row>
    <row r="118" spans="1:11" ht="85.5" hidden="1">
      <c r="A118">
        <v>116</v>
      </c>
      <c r="B118" t="s">
        <v>1703</v>
      </c>
      <c r="C118" t="s">
        <v>704</v>
      </c>
      <c r="D118" t="s">
        <v>703</v>
      </c>
      <c r="E118" t="s">
        <v>1528</v>
      </c>
      <c r="F118" t="s">
        <v>1702</v>
      </c>
      <c r="G118" t="s">
        <v>2446</v>
      </c>
      <c r="H118" s="291">
        <v>334418</v>
      </c>
      <c r="I118" s="4" t="s">
        <v>3178</v>
      </c>
      <c r="J118" s="4" t="s">
        <v>2447</v>
      </c>
    </row>
    <row r="119" spans="1:11" s="229" customFormat="1" ht="71.25">
      <c r="A119" s="229">
        <v>117</v>
      </c>
      <c r="B119" s="229" t="s">
        <v>1704</v>
      </c>
      <c r="C119" s="229" t="s">
        <v>706</v>
      </c>
      <c r="D119" s="229" t="s">
        <v>705</v>
      </c>
      <c r="E119" s="229" t="s">
        <v>1528</v>
      </c>
      <c r="F119" s="229" t="s">
        <v>1702</v>
      </c>
      <c r="G119" s="229" t="s">
        <v>2448</v>
      </c>
      <c r="H119" s="297" t="s">
        <v>705</v>
      </c>
      <c r="I119" s="299" t="s">
        <v>3392</v>
      </c>
      <c r="J119" s="299" t="s">
        <v>2449</v>
      </c>
      <c r="K119" s="229" t="s">
        <v>2450</v>
      </c>
    </row>
    <row r="120" spans="1:11" s="229" customFormat="1" ht="71.25">
      <c r="A120" s="229">
        <v>118</v>
      </c>
      <c r="B120" s="229" t="s">
        <v>1705</v>
      </c>
      <c r="C120" s="229" t="s">
        <v>708</v>
      </c>
      <c r="D120" s="229" t="s">
        <v>707</v>
      </c>
      <c r="E120" s="229" t="s">
        <v>1528</v>
      </c>
      <c r="F120" s="229" t="s">
        <v>1706</v>
      </c>
      <c r="G120" s="229" t="s">
        <v>2451</v>
      </c>
      <c r="H120" s="293">
        <v>334510</v>
      </c>
      <c r="I120" s="299" t="s">
        <v>3179</v>
      </c>
      <c r="J120" s="299" t="s">
        <v>2452</v>
      </c>
    </row>
    <row r="121" spans="1:11" ht="85.5" hidden="1">
      <c r="A121">
        <v>119</v>
      </c>
      <c r="B121" t="s">
        <v>1707</v>
      </c>
      <c r="C121" t="s">
        <v>710</v>
      </c>
      <c r="D121" t="s">
        <v>709</v>
      </c>
      <c r="E121" t="s">
        <v>1528</v>
      </c>
      <c r="F121" t="s">
        <v>1706</v>
      </c>
      <c r="G121" t="s">
        <v>2453</v>
      </c>
      <c r="H121" s="291">
        <v>334511</v>
      </c>
      <c r="I121" s="4" t="s">
        <v>3180</v>
      </c>
      <c r="J121" s="4" t="s">
        <v>2454</v>
      </c>
    </row>
    <row r="122" spans="1:11" ht="42.75" hidden="1">
      <c r="A122">
        <v>120</v>
      </c>
      <c r="B122" t="s">
        <v>1708</v>
      </c>
      <c r="C122" t="s">
        <v>712</v>
      </c>
      <c r="D122" t="s">
        <v>711</v>
      </c>
      <c r="E122" t="s">
        <v>1528</v>
      </c>
      <c r="F122" t="s">
        <v>1706</v>
      </c>
      <c r="G122" t="s">
        <v>2455</v>
      </c>
      <c r="H122" s="291">
        <v>334512</v>
      </c>
      <c r="I122" s="4" t="s">
        <v>3181</v>
      </c>
      <c r="J122" s="4" t="s">
        <v>2456</v>
      </c>
    </row>
    <row r="123" spans="1:11" ht="85.5" hidden="1">
      <c r="A123">
        <v>121</v>
      </c>
      <c r="B123" t="s">
        <v>1709</v>
      </c>
      <c r="C123" t="s">
        <v>714</v>
      </c>
      <c r="D123" t="s">
        <v>713</v>
      </c>
      <c r="E123" t="s">
        <v>1528</v>
      </c>
      <c r="F123" t="s">
        <v>1706</v>
      </c>
      <c r="G123" t="s">
        <v>2457</v>
      </c>
      <c r="H123" s="291">
        <v>334513</v>
      </c>
      <c r="I123" s="4" t="s">
        <v>3182</v>
      </c>
      <c r="J123" s="4" t="s">
        <v>2458</v>
      </c>
    </row>
    <row r="124" spans="1:11" ht="71.25" hidden="1">
      <c r="A124">
        <v>122</v>
      </c>
      <c r="B124" t="s">
        <v>1710</v>
      </c>
      <c r="C124" t="s">
        <v>716</v>
      </c>
      <c r="D124" t="s">
        <v>715</v>
      </c>
      <c r="E124" t="s">
        <v>1528</v>
      </c>
      <c r="F124" t="s">
        <v>1706</v>
      </c>
      <c r="G124" t="s">
        <v>2459</v>
      </c>
      <c r="H124" s="291">
        <v>334514</v>
      </c>
      <c r="I124" s="4" t="s">
        <v>3183</v>
      </c>
      <c r="J124" s="4" t="s">
        <v>2460</v>
      </c>
    </row>
    <row r="125" spans="1:11" ht="71.25" hidden="1">
      <c r="A125">
        <v>123</v>
      </c>
      <c r="B125" t="s">
        <v>1711</v>
      </c>
      <c r="C125" t="s">
        <v>718</v>
      </c>
      <c r="D125" t="s">
        <v>717</v>
      </c>
      <c r="E125" t="s">
        <v>1528</v>
      </c>
      <c r="F125" t="s">
        <v>1706</v>
      </c>
      <c r="G125" t="s">
        <v>2461</v>
      </c>
      <c r="H125" s="291">
        <v>334515</v>
      </c>
      <c r="I125" s="4" t="s">
        <v>3184</v>
      </c>
      <c r="J125" s="4" t="s">
        <v>2462</v>
      </c>
    </row>
    <row r="126" spans="1:11" s="229" customFormat="1" ht="57">
      <c r="A126" s="229">
        <v>124</v>
      </c>
      <c r="B126" s="229" t="s">
        <v>1712</v>
      </c>
      <c r="C126" s="229" t="s">
        <v>720</v>
      </c>
      <c r="D126" s="229" t="s">
        <v>719</v>
      </c>
      <c r="E126" s="229" t="s">
        <v>1528</v>
      </c>
      <c r="F126" s="229" t="s">
        <v>1706</v>
      </c>
      <c r="G126" s="229" t="s">
        <v>2463</v>
      </c>
      <c r="H126" s="293">
        <v>334516</v>
      </c>
      <c r="I126" s="299" t="s">
        <v>3185</v>
      </c>
      <c r="J126" s="299" t="s">
        <v>2464</v>
      </c>
    </row>
    <row r="127" spans="1:11" s="229" customFormat="1" ht="57">
      <c r="A127" s="229">
        <v>125</v>
      </c>
      <c r="B127" s="229" t="s">
        <v>1713</v>
      </c>
      <c r="C127" s="229" t="s">
        <v>722</v>
      </c>
      <c r="D127" s="229" t="s">
        <v>721</v>
      </c>
      <c r="E127" s="229" t="s">
        <v>1528</v>
      </c>
      <c r="F127" s="229" t="s">
        <v>1706</v>
      </c>
      <c r="G127" s="229" t="s">
        <v>2465</v>
      </c>
      <c r="H127" s="293">
        <v>334517</v>
      </c>
      <c r="I127" s="299" t="s">
        <v>3186</v>
      </c>
      <c r="J127" s="299" t="s">
        <v>2466</v>
      </c>
    </row>
    <row r="128" spans="1:11" ht="85.5" hidden="1">
      <c r="A128">
        <v>126</v>
      </c>
      <c r="B128" t="s">
        <v>1714</v>
      </c>
      <c r="C128" t="s">
        <v>724</v>
      </c>
      <c r="D128" t="s">
        <v>723</v>
      </c>
      <c r="E128" t="s">
        <v>1528</v>
      </c>
      <c r="F128" t="s">
        <v>1706</v>
      </c>
      <c r="G128" t="s">
        <v>2467</v>
      </c>
      <c r="H128" s="291" t="s">
        <v>723</v>
      </c>
      <c r="I128" s="4" t="s">
        <v>3187</v>
      </c>
      <c r="J128" s="4" t="s">
        <v>2468</v>
      </c>
      <c r="K128" t="s">
        <v>2469</v>
      </c>
    </row>
    <row r="129" spans="1:10" s="229" customFormat="1" ht="85.5">
      <c r="A129" s="229">
        <v>127</v>
      </c>
      <c r="B129" s="229" t="s">
        <v>1715</v>
      </c>
      <c r="C129" s="229" t="s">
        <v>700</v>
      </c>
      <c r="D129" s="229" t="s">
        <v>699</v>
      </c>
      <c r="E129" s="229" t="s">
        <v>1528</v>
      </c>
      <c r="F129" s="229" t="s">
        <v>1716</v>
      </c>
      <c r="G129" s="229" t="s">
        <v>2470</v>
      </c>
      <c r="H129" s="293">
        <v>334300</v>
      </c>
      <c r="I129" s="299" t="s">
        <v>3188</v>
      </c>
      <c r="J129" s="299" t="s">
        <v>2471</v>
      </c>
    </row>
    <row r="130" spans="1:10" ht="71.25" hidden="1">
      <c r="A130">
        <v>128</v>
      </c>
      <c r="B130" t="s">
        <v>1717</v>
      </c>
      <c r="C130" t="s">
        <v>726</v>
      </c>
      <c r="D130" t="s">
        <v>725</v>
      </c>
      <c r="E130" t="s">
        <v>1528</v>
      </c>
      <c r="F130" t="s">
        <v>1718</v>
      </c>
      <c r="G130" t="s">
        <v>2472</v>
      </c>
      <c r="H130" s="291">
        <v>334610</v>
      </c>
      <c r="I130" s="4" t="s">
        <v>3189</v>
      </c>
      <c r="J130" s="4" t="s">
        <v>2473</v>
      </c>
    </row>
    <row r="131" spans="1:10" ht="42.75" hidden="1">
      <c r="A131">
        <v>129</v>
      </c>
      <c r="B131" t="s">
        <v>1719</v>
      </c>
      <c r="C131" t="s">
        <v>728</v>
      </c>
      <c r="D131" t="s">
        <v>727</v>
      </c>
      <c r="E131" t="s">
        <v>1528</v>
      </c>
      <c r="F131" t="s">
        <v>1720</v>
      </c>
      <c r="G131" t="s">
        <v>2474</v>
      </c>
      <c r="H131" s="291">
        <v>335110</v>
      </c>
      <c r="I131" s="4" t="s">
        <v>3190</v>
      </c>
      <c r="J131" s="4" t="s">
        <v>2475</v>
      </c>
    </row>
    <row r="132" spans="1:10" ht="57" hidden="1">
      <c r="A132">
        <v>130</v>
      </c>
      <c r="B132" t="s">
        <v>1721</v>
      </c>
      <c r="C132" t="s">
        <v>730</v>
      </c>
      <c r="D132" t="s">
        <v>729</v>
      </c>
      <c r="E132" t="s">
        <v>1528</v>
      </c>
      <c r="F132" t="s">
        <v>1720</v>
      </c>
      <c r="G132" t="s">
        <v>2476</v>
      </c>
      <c r="H132" s="291">
        <v>335120</v>
      </c>
      <c r="I132" s="4" t="s">
        <v>3191</v>
      </c>
      <c r="J132" s="4" t="s">
        <v>2477</v>
      </c>
    </row>
    <row r="133" spans="1:10" ht="57" hidden="1">
      <c r="A133">
        <v>131</v>
      </c>
      <c r="B133" t="s">
        <v>1722</v>
      </c>
      <c r="C133" t="s">
        <v>732</v>
      </c>
      <c r="D133" t="s">
        <v>731</v>
      </c>
      <c r="E133" t="s">
        <v>1528</v>
      </c>
      <c r="F133" t="s">
        <v>1723</v>
      </c>
      <c r="G133" t="s">
        <v>2478</v>
      </c>
      <c r="H133" s="291">
        <v>335210</v>
      </c>
      <c r="I133" s="4" t="s">
        <v>3192</v>
      </c>
      <c r="J133" s="4" t="s">
        <v>2479</v>
      </c>
    </row>
    <row r="134" spans="1:10" ht="57" hidden="1">
      <c r="A134">
        <v>132</v>
      </c>
      <c r="B134" t="s">
        <v>1724</v>
      </c>
      <c r="C134" t="s">
        <v>734</v>
      </c>
      <c r="D134" t="s">
        <v>733</v>
      </c>
      <c r="E134" t="s">
        <v>1528</v>
      </c>
      <c r="F134" t="s">
        <v>1723</v>
      </c>
      <c r="G134" t="s">
        <v>2480</v>
      </c>
      <c r="H134" s="92">
        <v>335221</v>
      </c>
      <c r="I134" s="4" t="s">
        <v>2481</v>
      </c>
      <c r="J134" s="4" t="s">
        <v>2481</v>
      </c>
    </row>
    <row r="135" spans="1:10" ht="42.75" hidden="1">
      <c r="A135">
        <v>133</v>
      </c>
      <c r="B135" t="s">
        <v>1725</v>
      </c>
      <c r="C135" t="s">
        <v>736</v>
      </c>
      <c r="D135" t="s">
        <v>735</v>
      </c>
      <c r="E135" t="s">
        <v>1528</v>
      </c>
      <c r="F135" t="s">
        <v>1723</v>
      </c>
      <c r="G135" t="s">
        <v>2482</v>
      </c>
      <c r="H135" s="92">
        <v>335222</v>
      </c>
      <c r="I135" s="4" t="s">
        <v>2483</v>
      </c>
      <c r="J135" s="4" t="s">
        <v>2483</v>
      </c>
    </row>
    <row r="136" spans="1:10" ht="28.5" hidden="1">
      <c r="A136">
        <v>134</v>
      </c>
      <c r="B136" t="s">
        <v>1726</v>
      </c>
      <c r="C136" t="s">
        <v>738</v>
      </c>
      <c r="D136" t="s">
        <v>737</v>
      </c>
      <c r="E136" t="s">
        <v>1528</v>
      </c>
      <c r="F136" t="s">
        <v>1723</v>
      </c>
      <c r="G136" t="s">
        <v>2484</v>
      </c>
      <c r="H136" s="92">
        <v>335224</v>
      </c>
      <c r="I136" s="4" t="s">
        <v>2485</v>
      </c>
      <c r="J136" s="4" t="s">
        <v>2485</v>
      </c>
    </row>
    <row r="137" spans="1:10" ht="57" hidden="1">
      <c r="A137">
        <v>135</v>
      </c>
      <c r="B137" t="s">
        <v>1727</v>
      </c>
      <c r="C137" t="s">
        <v>740</v>
      </c>
      <c r="D137" t="s">
        <v>739</v>
      </c>
      <c r="E137" t="s">
        <v>1528</v>
      </c>
      <c r="F137" t="s">
        <v>1723</v>
      </c>
      <c r="G137" t="s">
        <v>2486</v>
      </c>
      <c r="H137" s="291">
        <v>335228</v>
      </c>
      <c r="I137" s="4" t="s">
        <v>3193</v>
      </c>
      <c r="J137" s="4" t="s">
        <v>2487</v>
      </c>
    </row>
    <row r="138" spans="1:10" ht="71.25" hidden="1">
      <c r="A138">
        <v>136</v>
      </c>
      <c r="B138" t="s">
        <v>1728</v>
      </c>
      <c r="C138" t="s">
        <v>742</v>
      </c>
      <c r="D138" t="s">
        <v>741</v>
      </c>
      <c r="E138" t="s">
        <v>1528</v>
      </c>
      <c r="F138" t="s">
        <v>1729</v>
      </c>
      <c r="G138" t="s">
        <v>2488</v>
      </c>
      <c r="H138" s="291">
        <v>335311</v>
      </c>
      <c r="I138" s="4" t="s">
        <v>3194</v>
      </c>
      <c r="J138" s="4" t="s">
        <v>2489</v>
      </c>
    </row>
    <row r="139" spans="1:10" ht="71.25" hidden="1">
      <c r="A139">
        <v>137</v>
      </c>
      <c r="B139" t="s">
        <v>1730</v>
      </c>
      <c r="C139" t="s">
        <v>744</v>
      </c>
      <c r="D139" t="s">
        <v>743</v>
      </c>
      <c r="E139" t="s">
        <v>1528</v>
      </c>
      <c r="F139" t="s">
        <v>1729</v>
      </c>
      <c r="G139" t="s">
        <v>2490</v>
      </c>
      <c r="H139" s="291">
        <v>335312</v>
      </c>
      <c r="I139" s="4" t="s">
        <v>3195</v>
      </c>
      <c r="J139" s="4" t="s">
        <v>2491</v>
      </c>
    </row>
    <row r="140" spans="1:10" ht="42.75" hidden="1">
      <c r="A140">
        <v>138</v>
      </c>
      <c r="B140" t="s">
        <v>1731</v>
      </c>
      <c r="C140" t="s">
        <v>746</v>
      </c>
      <c r="D140" t="s">
        <v>745</v>
      </c>
      <c r="E140" t="s">
        <v>1528</v>
      </c>
      <c r="F140" t="s">
        <v>1729</v>
      </c>
      <c r="G140" t="s">
        <v>2492</v>
      </c>
      <c r="H140" s="92">
        <v>335313</v>
      </c>
      <c r="I140" s="4" t="s">
        <v>2493</v>
      </c>
      <c r="J140" s="4" t="s">
        <v>2493</v>
      </c>
    </row>
    <row r="141" spans="1:10" ht="42.75" hidden="1">
      <c r="A141">
        <v>139</v>
      </c>
      <c r="B141" t="s">
        <v>1732</v>
      </c>
      <c r="C141" t="s">
        <v>748</v>
      </c>
      <c r="D141" t="s">
        <v>747</v>
      </c>
      <c r="E141" t="s">
        <v>1528</v>
      </c>
      <c r="F141" t="s">
        <v>1729</v>
      </c>
      <c r="G141" t="s">
        <v>2494</v>
      </c>
      <c r="H141" s="291">
        <v>335314</v>
      </c>
      <c r="I141" s="4" t="s">
        <v>3196</v>
      </c>
      <c r="J141" s="4" t="s">
        <v>2495</v>
      </c>
    </row>
    <row r="142" spans="1:10" ht="28.5" hidden="1">
      <c r="A142">
        <v>140</v>
      </c>
      <c r="B142" t="s">
        <v>1733</v>
      </c>
      <c r="C142" t="s">
        <v>750</v>
      </c>
      <c r="D142" t="s">
        <v>749</v>
      </c>
      <c r="E142" t="s">
        <v>1528</v>
      </c>
      <c r="F142" t="s">
        <v>1734</v>
      </c>
      <c r="G142" t="s">
        <v>2496</v>
      </c>
      <c r="H142" s="92">
        <v>335911</v>
      </c>
      <c r="I142" s="4" t="s">
        <v>2497</v>
      </c>
      <c r="J142" s="4" t="s">
        <v>2497</v>
      </c>
    </row>
    <row r="143" spans="1:10" ht="28.5" hidden="1">
      <c r="A143">
        <v>141</v>
      </c>
      <c r="B143" t="s">
        <v>1735</v>
      </c>
      <c r="C143" t="s">
        <v>752</v>
      </c>
      <c r="D143" t="s">
        <v>751</v>
      </c>
      <c r="E143" t="s">
        <v>1528</v>
      </c>
      <c r="F143" t="s">
        <v>1734</v>
      </c>
      <c r="G143" t="s">
        <v>2498</v>
      </c>
      <c r="H143" s="92">
        <v>335912</v>
      </c>
      <c r="I143" s="4" t="s">
        <v>2499</v>
      </c>
      <c r="J143" s="4" t="s">
        <v>2499</v>
      </c>
    </row>
    <row r="144" spans="1:10" ht="42.75" hidden="1">
      <c r="A144">
        <v>142</v>
      </c>
      <c r="B144" t="s">
        <v>1736</v>
      </c>
      <c r="C144" t="s">
        <v>754</v>
      </c>
      <c r="D144" t="s">
        <v>753</v>
      </c>
      <c r="E144" t="s">
        <v>1528</v>
      </c>
      <c r="F144" t="s">
        <v>1734</v>
      </c>
      <c r="G144" t="s">
        <v>2500</v>
      </c>
      <c r="H144" s="291">
        <v>335920</v>
      </c>
      <c r="I144" s="4" t="s">
        <v>3197</v>
      </c>
      <c r="J144" s="4" t="s">
        <v>2501</v>
      </c>
    </row>
    <row r="145" spans="1:11" ht="42.75" hidden="1">
      <c r="A145">
        <v>143</v>
      </c>
      <c r="B145" t="s">
        <v>1737</v>
      </c>
      <c r="C145" t="s">
        <v>756</v>
      </c>
      <c r="D145" t="s">
        <v>755</v>
      </c>
      <c r="E145" t="s">
        <v>1528</v>
      </c>
      <c r="F145" t="s">
        <v>1734</v>
      </c>
      <c r="G145" t="s">
        <v>2502</v>
      </c>
      <c r="H145" s="92">
        <v>335930</v>
      </c>
      <c r="I145" s="4" t="s">
        <v>2503</v>
      </c>
      <c r="J145" s="4" t="s">
        <v>2503</v>
      </c>
    </row>
    <row r="146" spans="1:11" ht="57" hidden="1">
      <c r="A146">
        <v>144</v>
      </c>
      <c r="B146" t="s">
        <v>1738</v>
      </c>
      <c r="C146" t="s">
        <v>758</v>
      </c>
      <c r="D146" t="s">
        <v>757</v>
      </c>
      <c r="E146" t="s">
        <v>1528</v>
      </c>
      <c r="F146" t="s">
        <v>1734</v>
      </c>
      <c r="G146" t="s">
        <v>2504</v>
      </c>
      <c r="H146" s="291">
        <v>335991</v>
      </c>
      <c r="I146" s="4" t="s">
        <v>3198</v>
      </c>
      <c r="J146" s="4" t="s">
        <v>2505</v>
      </c>
    </row>
    <row r="147" spans="1:11" ht="114" hidden="1">
      <c r="A147">
        <v>145</v>
      </c>
      <c r="B147" t="s">
        <v>1739</v>
      </c>
      <c r="C147" t="s">
        <v>760</v>
      </c>
      <c r="D147" t="s">
        <v>759</v>
      </c>
      <c r="E147" t="s">
        <v>1528</v>
      </c>
      <c r="F147" t="s">
        <v>1734</v>
      </c>
      <c r="G147" t="s">
        <v>2506</v>
      </c>
      <c r="H147" s="291">
        <v>335999</v>
      </c>
      <c r="I147" s="4" t="s">
        <v>3199</v>
      </c>
      <c r="J147" s="4" t="s">
        <v>2507</v>
      </c>
    </row>
    <row r="148" spans="1:11" ht="42.75" hidden="1">
      <c r="A148">
        <v>146</v>
      </c>
      <c r="B148" t="s">
        <v>1740</v>
      </c>
      <c r="C148" t="s">
        <v>762</v>
      </c>
      <c r="D148" t="s">
        <v>761</v>
      </c>
      <c r="E148" t="s">
        <v>1528</v>
      </c>
      <c r="F148" t="s">
        <v>1741</v>
      </c>
      <c r="G148" t="s">
        <v>2508</v>
      </c>
      <c r="H148" s="291">
        <v>336111</v>
      </c>
      <c r="I148" s="4" t="s">
        <v>3200</v>
      </c>
      <c r="J148" s="4" t="s">
        <v>2509</v>
      </c>
    </row>
    <row r="149" spans="1:11" ht="57" hidden="1">
      <c r="A149">
        <v>147</v>
      </c>
      <c r="B149" t="s">
        <v>1742</v>
      </c>
      <c r="C149" t="s">
        <v>764</v>
      </c>
      <c r="D149" t="s">
        <v>763</v>
      </c>
      <c r="E149" t="s">
        <v>1528</v>
      </c>
      <c r="F149" t="s">
        <v>1741</v>
      </c>
      <c r="G149" t="s">
        <v>2510</v>
      </c>
      <c r="H149" s="291">
        <v>336112</v>
      </c>
      <c r="I149" s="4" t="s">
        <v>3201</v>
      </c>
      <c r="J149" s="4" t="s">
        <v>2511</v>
      </c>
    </row>
    <row r="150" spans="1:11" ht="57" hidden="1">
      <c r="A150">
        <v>148</v>
      </c>
      <c r="B150" t="s">
        <v>1743</v>
      </c>
      <c r="C150" t="s">
        <v>766</v>
      </c>
      <c r="D150" t="s">
        <v>765</v>
      </c>
      <c r="E150" t="s">
        <v>1528</v>
      </c>
      <c r="F150" t="s">
        <v>1741</v>
      </c>
      <c r="G150" t="s">
        <v>2512</v>
      </c>
      <c r="H150" s="291">
        <v>336120</v>
      </c>
      <c r="I150" s="4" t="s">
        <v>3202</v>
      </c>
      <c r="J150" s="4" t="s">
        <v>2513</v>
      </c>
    </row>
    <row r="151" spans="1:11" ht="57" hidden="1">
      <c r="A151">
        <v>149</v>
      </c>
      <c r="B151" t="s">
        <v>1744</v>
      </c>
      <c r="C151" t="s">
        <v>768</v>
      </c>
      <c r="D151" t="s">
        <v>767</v>
      </c>
      <c r="E151" t="s">
        <v>1528</v>
      </c>
      <c r="F151" t="s">
        <v>1745</v>
      </c>
      <c r="G151" t="s">
        <v>2514</v>
      </c>
      <c r="H151" s="92">
        <v>336211</v>
      </c>
      <c r="I151" s="4" t="s">
        <v>2515</v>
      </c>
      <c r="J151" s="4" t="s">
        <v>2515</v>
      </c>
    </row>
    <row r="152" spans="1:11" ht="42.75" hidden="1">
      <c r="A152">
        <v>150</v>
      </c>
      <c r="B152" t="s">
        <v>1746</v>
      </c>
      <c r="C152" t="s">
        <v>770</v>
      </c>
      <c r="D152" t="s">
        <v>769</v>
      </c>
      <c r="E152" t="s">
        <v>1528</v>
      </c>
      <c r="F152" t="s">
        <v>1745</v>
      </c>
      <c r="G152" t="s">
        <v>2516</v>
      </c>
      <c r="H152" s="291">
        <v>336212</v>
      </c>
      <c r="I152" s="4" t="s">
        <v>3203</v>
      </c>
      <c r="J152" s="4" t="s">
        <v>2517</v>
      </c>
    </row>
    <row r="153" spans="1:11" ht="57" hidden="1">
      <c r="A153">
        <v>151</v>
      </c>
      <c r="B153" t="s">
        <v>1747</v>
      </c>
      <c r="C153" t="s">
        <v>772</v>
      </c>
      <c r="D153" t="s">
        <v>771</v>
      </c>
      <c r="E153" t="s">
        <v>1528</v>
      </c>
      <c r="F153" t="s">
        <v>1745</v>
      </c>
      <c r="G153" t="s">
        <v>2518</v>
      </c>
      <c r="H153" s="92">
        <v>336213</v>
      </c>
      <c r="I153" s="4" t="s">
        <v>2519</v>
      </c>
      <c r="J153" s="4" t="s">
        <v>2519</v>
      </c>
    </row>
    <row r="154" spans="1:11" ht="28.5" hidden="1">
      <c r="A154">
        <v>152</v>
      </c>
      <c r="B154" t="s">
        <v>1748</v>
      </c>
      <c r="C154" t="s">
        <v>774</v>
      </c>
      <c r="D154" t="s">
        <v>773</v>
      </c>
      <c r="E154" t="s">
        <v>1528</v>
      </c>
      <c r="F154" t="s">
        <v>1745</v>
      </c>
      <c r="G154" t="s">
        <v>2520</v>
      </c>
      <c r="H154" s="291">
        <v>336214</v>
      </c>
      <c r="I154" s="4" t="s">
        <v>3152</v>
      </c>
      <c r="J154" s="4" t="s">
        <v>2521</v>
      </c>
      <c r="K154" t="s">
        <v>2522</v>
      </c>
    </row>
    <row r="155" spans="1:11" ht="42.75" hidden="1">
      <c r="A155">
        <v>153</v>
      </c>
      <c r="B155" t="s">
        <v>1749</v>
      </c>
      <c r="C155" t="s">
        <v>776</v>
      </c>
      <c r="D155" t="s">
        <v>775</v>
      </c>
      <c r="E155" t="s">
        <v>1528</v>
      </c>
      <c r="F155" t="s">
        <v>1750</v>
      </c>
      <c r="G155" t="s">
        <v>2523</v>
      </c>
      <c r="H155" s="291">
        <v>336310</v>
      </c>
      <c r="I155" s="4" t="s">
        <v>3204</v>
      </c>
      <c r="J155" s="4" t="s">
        <v>2524</v>
      </c>
    </row>
    <row r="156" spans="1:11" ht="71.25" hidden="1">
      <c r="A156">
        <v>154</v>
      </c>
      <c r="B156" t="s">
        <v>1751</v>
      </c>
      <c r="C156" t="s">
        <v>778</v>
      </c>
      <c r="D156" t="s">
        <v>777</v>
      </c>
      <c r="E156" t="s">
        <v>1528</v>
      </c>
      <c r="F156" t="s">
        <v>1750</v>
      </c>
      <c r="G156" t="s">
        <v>2525</v>
      </c>
      <c r="H156" s="291">
        <v>336320</v>
      </c>
      <c r="I156" s="4" t="s">
        <v>3205</v>
      </c>
      <c r="J156" s="4" t="s">
        <v>2526</v>
      </c>
    </row>
    <row r="157" spans="1:11" ht="42.75" hidden="1">
      <c r="A157">
        <v>155</v>
      </c>
      <c r="B157" t="s">
        <v>1752</v>
      </c>
      <c r="C157" t="s">
        <v>780</v>
      </c>
      <c r="D157" t="s">
        <v>779</v>
      </c>
      <c r="E157" t="s">
        <v>1528</v>
      </c>
      <c r="F157" t="s">
        <v>1750</v>
      </c>
      <c r="G157" t="s">
        <v>2527</v>
      </c>
      <c r="H157" s="92">
        <v>336350</v>
      </c>
      <c r="I157" s="4" t="s">
        <v>2528</v>
      </c>
      <c r="J157" s="4" t="s">
        <v>2528</v>
      </c>
    </row>
    <row r="158" spans="1:11" ht="42.75" hidden="1">
      <c r="A158">
        <v>156</v>
      </c>
      <c r="B158" t="s">
        <v>1753</v>
      </c>
      <c r="C158" t="s">
        <v>782</v>
      </c>
      <c r="D158" t="s">
        <v>781</v>
      </c>
      <c r="E158" t="s">
        <v>1528</v>
      </c>
      <c r="F158" t="s">
        <v>1750</v>
      </c>
      <c r="G158" t="s">
        <v>2529</v>
      </c>
      <c r="H158" s="291">
        <v>336360</v>
      </c>
      <c r="I158" s="4" t="s">
        <v>3206</v>
      </c>
      <c r="J158" s="4" t="s">
        <v>2530</v>
      </c>
    </row>
    <row r="159" spans="1:11" ht="42.75" hidden="1">
      <c r="A159">
        <v>157</v>
      </c>
      <c r="B159" t="s">
        <v>1754</v>
      </c>
      <c r="C159" t="s">
        <v>784</v>
      </c>
      <c r="D159" t="s">
        <v>783</v>
      </c>
      <c r="E159" t="s">
        <v>1528</v>
      </c>
      <c r="F159" t="s">
        <v>1750</v>
      </c>
      <c r="G159" t="s">
        <v>2531</v>
      </c>
      <c r="H159" s="291">
        <v>336370</v>
      </c>
      <c r="I159" s="4" t="s">
        <v>3207</v>
      </c>
      <c r="J159" s="4" t="s">
        <v>2532</v>
      </c>
    </row>
    <row r="160" spans="1:11" ht="85.5" hidden="1">
      <c r="A160">
        <v>158</v>
      </c>
      <c r="B160" t="s">
        <v>1755</v>
      </c>
      <c r="C160" t="s">
        <v>786</v>
      </c>
      <c r="D160" t="s">
        <v>785</v>
      </c>
      <c r="E160" t="s">
        <v>1528</v>
      </c>
      <c r="F160" t="s">
        <v>1750</v>
      </c>
      <c r="G160" t="s">
        <v>2533</v>
      </c>
      <c r="H160" s="291">
        <v>336390</v>
      </c>
      <c r="I160" s="4" t="s">
        <v>3208</v>
      </c>
      <c r="J160" s="4" t="s">
        <v>2534</v>
      </c>
    </row>
    <row r="161" spans="1:12" ht="114" hidden="1">
      <c r="A161">
        <v>159</v>
      </c>
      <c r="B161" t="s">
        <v>1756</v>
      </c>
      <c r="C161" t="s">
        <v>788</v>
      </c>
      <c r="D161" t="s">
        <v>787</v>
      </c>
      <c r="E161" t="s">
        <v>1528</v>
      </c>
      <c r="F161" t="s">
        <v>1750</v>
      </c>
      <c r="G161" t="s">
        <v>2535</v>
      </c>
      <c r="H161" s="291" t="s">
        <v>787</v>
      </c>
      <c r="I161" s="4" t="s">
        <v>3209</v>
      </c>
      <c r="J161" s="4" t="s">
        <v>2536</v>
      </c>
      <c r="K161" t="s">
        <v>2537</v>
      </c>
      <c r="L161" t="s">
        <v>2538</v>
      </c>
    </row>
    <row r="162" spans="1:12" ht="28.5" hidden="1">
      <c r="A162">
        <v>160</v>
      </c>
      <c r="B162" t="s">
        <v>1757</v>
      </c>
      <c r="C162" t="s">
        <v>17</v>
      </c>
      <c r="D162" t="s">
        <v>789</v>
      </c>
      <c r="E162" t="s">
        <v>1528</v>
      </c>
      <c r="F162" t="s">
        <v>1758</v>
      </c>
      <c r="G162" t="s">
        <v>2539</v>
      </c>
      <c r="H162" s="291">
        <v>336411</v>
      </c>
      <c r="I162" s="4" t="s">
        <v>3152</v>
      </c>
      <c r="J162" s="4" t="s">
        <v>2540</v>
      </c>
      <c r="K162" t="s">
        <v>2541</v>
      </c>
    </row>
    <row r="163" spans="1:12" ht="28.5" hidden="1">
      <c r="A163">
        <v>161</v>
      </c>
      <c r="B163" t="s">
        <v>1759</v>
      </c>
      <c r="C163" t="s">
        <v>791</v>
      </c>
      <c r="D163" t="s">
        <v>790</v>
      </c>
      <c r="E163" t="s">
        <v>1528</v>
      </c>
      <c r="F163" t="s">
        <v>1758</v>
      </c>
      <c r="G163" t="s">
        <v>2542</v>
      </c>
      <c r="H163" s="291">
        <v>336412</v>
      </c>
      <c r="I163" s="4" t="s">
        <v>3152</v>
      </c>
      <c r="J163" s="4" t="s">
        <v>2543</v>
      </c>
      <c r="K163" t="s">
        <v>2544</v>
      </c>
    </row>
    <row r="164" spans="1:12" ht="85.5" hidden="1">
      <c r="A164">
        <v>162</v>
      </c>
      <c r="B164" t="s">
        <v>1760</v>
      </c>
      <c r="C164" t="s">
        <v>793</v>
      </c>
      <c r="D164" t="s">
        <v>792</v>
      </c>
      <c r="E164" t="s">
        <v>1528</v>
      </c>
      <c r="F164" t="s">
        <v>1758</v>
      </c>
      <c r="G164" t="s">
        <v>2545</v>
      </c>
      <c r="H164" s="291">
        <v>336413</v>
      </c>
      <c r="I164" s="4" t="s">
        <v>3210</v>
      </c>
      <c r="J164" s="4" t="s">
        <v>2546</v>
      </c>
    </row>
    <row r="165" spans="1:12" ht="57" hidden="1">
      <c r="A165">
        <v>163</v>
      </c>
      <c r="B165" t="s">
        <v>1761</v>
      </c>
      <c r="C165" t="s">
        <v>795</v>
      </c>
      <c r="D165" t="s">
        <v>794</v>
      </c>
      <c r="E165" t="s">
        <v>1528</v>
      </c>
      <c r="F165" t="s">
        <v>1758</v>
      </c>
      <c r="G165" t="s">
        <v>2547</v>
      </c>
      <c r="H165" s="92">
        <v>336414</v>
      </c>
      <c r="I165" s="4" t="s">
        <v>2548</v>
      </c>
      <c r="J165" s="4" t="s">
        <v>2548</v>
      </c>
    </row>
    <row r="166" spans="1:12" ht="28.5" hidden="1">
      <c r="A166">
        <v>164</v>
      </c>
      <c r="B166" t="s">
        <v>1762</v>
      </c>
      <c r="C166" t="s">
        <v>797</v>
      </c>
      <c r="D166" t="s">
        <v>796</v>
      </c>
      <c r="E166" t="s">
        <v>1528</v>
      </c>
      <c r="F166" t="s">
        <v>1758</v>
      </c>
      <c r="G166" t="s">
        <v>2549</v>
      </c>
      <c r="H166" s="291" t="s">
        <v>796</v>
      </c>
      <c r="I166" s="4" t="s">
        <v>3106</v>
      </c>
      <c r="J166" s="4" t="s">
        <v>2550</v>
      </c>
      <c r="K166" t="s">
        <v>2551</v>
      </c>
      <c r="L166" t="s">
        <v>2552</v>
      </c>
    </row>
    <row r="167" spans="1:12" ht="28.5" hidden="1">
      <c r="A167">
        <v>165</v>
      </c>
      <c r="B167" t="s">
        <v>1763</v>
      </c>
      <c r="C167" t="s">
        <v>799</v>
      </c>
      <c r="D167" t="s">
        <v>798</v>
      </c>
      <c r="E167" t="s">
        <v>1528</v>
      </c>
      <c r="F167" t="s">
        <v>1764</v>
      </c>
      <c r="G167" t="s">
        <v>2553</v>
      </c>
      <c r="H167" s="291">
        <v>336500</v>
      </c>
      <c r="I167" s="4" t="s">
        <v>3106</v>
      </c>
      <c r="J167" s="4" t="s">
        <v>2554</v>
      </c>
      <c r="K167" t="s">
        <v>2555</v>
      </c>
    </row>
    <row r="168" spans="1:12" ht="85.5" hidden="1">
      <c r="A168">
        <v>166</v>
      </c>
      <c r="B168" t="s">
        <v>1765</v>
      </c>
      <c r="C168" t="s">
        <v>801</v>
      </c>
      <c r="D168" t="s">
        <v>800</v>
      </c>
      <c r="E168" t="s">
        <v>1528</v>
      </c>
      <c r="F168" t="s">
        <v>1766</v>
      </c>
      <c r="G168" t="s">
        <v>2556</v>
      </c>
      <c r="H168" s="291">
        <v>336611</v>
      </c>
      <c r="I168" s="4" t="s">
        <v>3211</v>
      </c>
      <c r="J168" s="4" t="s">
        <v>2557</v>
      </c>
    </row>
    <row r="169" spans="1:12" ht="57" hidden="1">
      <c r="A169">
        <v>167</v>
      </c>
      <c r="B169" t="s">
        <v>1767</v>
      </c>
      <c r="C169" t="s">
        <v>803</v>
      </c>
      <c r="D169" t="s">
        <v>802</v>
      </c>
      <c r="E169" t="s">
        <v>1528</v>
      </c>
      <c r="F169" t="s">
        <v>1766</v>
      </c>
      <c r="G169" t="s">
        <v>2558</v>
      </c>
      <c r="H169" s="92">
        <v>336612</v>
      </c>
      <c r="I169" s="4" t="s">
        <v>2559</v>
      </c>
      <c r="J169" s="4" t="s">
        <v>2559</v>
      </c>
    </row>
    <row r="170" spans="1:12" ht="42.75" hidden="1">
      <c r="A170">
        <v>168</v>
      </c>
      <c r="B170" t="s">
        <v>1768</v>
      </c>
      <c r="C170" t="s">
        <v>805</v>
      </c>
      <c r="D170" t="s">
        <v>804</v>
      </c>
      <c r="E170" t="s">
        <v>1528</v>
      </c>
      <c r="F170" t="s">
        <v>1769</v>
      </c>
      <c r="G170" t="s">
        <v>2560</v>
      </c>
      <c r="H170" s="291">
        <v>336991</v>
      </c>
      <c r="I170" s="4" t="s">
        <v>3212</v>
      </c>
      <c r="J170" s="4" t="s">
        <v>2561</v>
      </c>
    </row>
    <row r="171" spans="1:12" ht="57" hidden="1">
      <c r="A171">
        <v>169</v>
      </c>
      <c r="B171" t="s">
        <v>1770</v>
      </c>
      <c r="C171" t="s">
        <v>807</v>
      </c>
      <c r="D171" t="s">
        <v>806</v>
      </c>
      <c r="E171" t="s">
        <v>1528</v>
      </c>
      <c r="F171" t="s">
        <v>1769</v>
      </c>
      <c r="G171" t="s">
        <v>2562</v>
      </c>
      <c r="H171" s="291">
        <v>336992</v>
      </c>
      <c r="I171" s="4" t="s">
        <v>3213</v>
      </c>
      <c r="J171" s="4" t="s">
        <v>2563</v>
      </c>
    </row>
    <row r="172" spans="1:12" ht="57" hidden="1">
      <c r="A172">
        <v>170</v>
      </c>
      <c r="B172" t="s">
        <v>1771</v>
      </c>
      <c r="C172" t="s">
        <v>18</v>
      </c>
      <c r="D172" t="s">
        <v>808</v>
      </c>
      <c r="E172" t="s">
        <v>1528</v>
      </c>
      <c r="F172" t="s">
        <v>1769</v>
      </c>
      <c r="G172" t="s">
        <v>2564</v>
      </c>
      <c r="H172" s="291">
        <v>336999</v>
      </c>
      <c r="I172" s="4" t="s">
        <v>3214</v>
      </c>
      <c r="J172" s="4" t="s">
        <v>2565</v>
      </c>
    </row>
    <row r="173" spans="1:12" ht="57" hidden="1">
      <c r="A173">
        <v>171</v>
      </c>
      <c r="B173" t="s">
        <v>1772</v>
      </c>
      <c r="C173" t="s">
        <v>810</v>
      </c>
      <c r="D173" t="s">
        <v>809</v>
      </c>
      <c r="E173" t="s">
        <v>1528</v>
      </c>
      <c r="F173" t="s">
        <v>1773</v>
      </c>
      <c r="G173" t="s">
        <v>2566</v>
      </c>
      <c r="H173" s="291">
        <v>337110</v>
      </c>
      <c r="I173" s="4" t="s">
        <v>3215</v>
      </c>
      <c r="J173" s="4" t="s">
        <v>2567</v>
      </c>
    </row>
    <row r="174" spans="1:12" ht="42.75" hidden="1">
      <c r="A174">
        <v>172</v>
      </c>
      <c r="B174" t="s">
        <v>1774</v>
      </c>
      <c r="C174" t="s">
        <v>812</v>
      </c>
      <c r="D174" t="s">
        <v>811</v>
      </c>
      <c r="E174" t="s">
        <v>1528</v>
      </c>
      <c r="F174" t="s">
        <v>1773</v>
      </c>
      <c r="G174" t="s">
        <v>2568</v>
      </c>
      <c r="H174" s="92">
        <v>337121</v>
      </c>
      <c r="I174" s="4" t="s">
        <v>2569</v>
      </c>
      <c r="J174" s="4" t="s">
        <v>2569</v>
      </c>
    </row>
    <row r="175" spans="1:12" ht="71.25" hidden="1">
      <c r="A175">
        <v>173</v>
      </c>
      <c r="B175" t="s">
        <v>1775</v>
      </c>
      <c r="C175" t="s">
        <v>814</v>
      </c>
      <c r="D175" t="s">
        <v>813</v>
      </c>
      <c r="E175" t="s">
        <v>1528</v>
      </c>
      <c r="F175" t="s">
        <v>1773</v>
      </c>
      <c r="G175" t="s">
        <v>2570</v>
      </c>
      <c r="H175" s="291">
        <v>337122</v>
      </c>
      <c r="I175" s="4" t="s">
        <v>3216</v>
      </c>
      <c r="J175" s="4" t="s">
        <v>2571</v>
      </c>
    </row>
    <row r="176" spans="1:12" s="229" customFormat="1" ht="85.5">
      <c r="A176" s="229">
        <v>174</v>
      </c>
      <c r="B176" s="229" t="s">
        <v>1776</v>
      </c>
      <c r="C176" s="229" t="s">
        <v>816</v>
      </c>
      <c r="D176" s="229" t="s">
        <v>815</v>
      </c>
      <c r="E176" s="229" t="s">
        <v>1528</v>
      </c>
      <c r="F176" s="229" t="s">
        <v>1773</v>
      </c>
      <c r="G176" s="229" t="s">
        <v>2572</v>
      </c>
      <c r="H176" s="293">
        <v>337127</v>
      </c>
      <c r="I176" s="299" t="s">
        <v>3217</v>
      </c>
      <c r="J176" s="299" t="s">
        <v>2573</v>
      </c>
    </row>
    <row r="177" spans="1:11" ht="71.25" hidden="1">
      <c r="A177">
        <v>175</v>
      </c>
      <c r="B177" t="s">
        <v>1777</v>
      </c>
      <c r="C177" t="s">
        <v>1402</v>
      </c>
      <c r="D177" t="s">
        <v>817</v>
      </c>
      <c r="E177" t="s">
        <v>1528</v>
      </c>
      <c r="F177" t="s">
        <v>1773</v>
      </c>
      <c r="G177" t="s">
        <v>2574</v>
      </c>
      <c r="H177" s="291" t="s">
        <v>817</v>
      </c>
      <c r="I177" s="4" t="s">
        <v>3218</v>
      </c>
      <c r="J177" s="4" t="s">
        <v>2575</v>
      </c>
      <c r="K177" t="s">
        <v>2576</v>
      </c>
    </row>
    <row r="178" spans="1:11" ht="57" hidden="1">
      <c r="A178">
        <v>176</v>
      </c>
      <c r="B178" t="s">
        <v>1778</v>
      </c>
      <c r="C178" t="s">
        <v>820</v>
      </c>
      <c r="D178" t="s">
        <v>819</v>
      </c>
      <c r="E178" t="s">
        <v>1528</v>
      </c>
      <c r="F178" t="s">
        <v>1779</v>
      </c>
      <c r="G178" t="s">
        <v>2577</v>
      </c>
      <c r="H178" s="291">
        <v>337215</v>
      </c>
      <c r="I178" s="4" t="s">
        <v>3219</v>
      </c>
      <c r="J178" s="4" t="s">
        <v>2578</v>
      </c>
    </row>
    <row r="179" spans="1:11" s="229" customFormat="1" ht="57">
      <c r="A179" s="229">
        <v>177</v>
      </c>
      <c r="B179" s="229" t="s">
        <v>1780</v>
      </c>
      <c r="C179" s="229" t="s">
        <v>822</v>
      </c>
      <c r="D179" s="229" t="s">
        <v>821</v>
      </c>
      <c r="E179" s="229" t="s">
        <v>1528</v>
      </c>
      <c r="F179" s="229" t="s">
        <v>1779</v>
      </c>
      <c r="G179" s="229" t="s">
        <v>2579</v>
      </c>
      <c r="H179" s="297" t="s">
        <v>821</v>
      </c>
      <c r="I179" s="299" t="s">
        <v>3219</v>
      </c>
      <c r="J179" s="299" t="s">
        <v>2580</v>
      </c>
      <c r="K179" s="229" t="s">
        <v>2581</v>
      </c>
    </row>
    <row r="180" spans="1:11" ht="42.75" hidden="1">
      <c r="A180">
        <v>178</v>
      </c>
      <c r="B180" t="s">
        <v>1781</v>
      </c>
      <c r="C180" t="s">
        <v>824</v>
      </c>
      <c r="D180" t="s">
        <v>823</v>
      </c>
      <c r="E180" t="s">
        <v>1528</v>
      </c>
      <c r="F180" t="s">
        <v>1782</v>
      </c>
      <c r="G180" t="s">
        <v>2582</v>
      </c>
      <c r="H180" s="291">
        <v>337900</v>
      </c>
      <c r="I180" s="4" t="s">
        <v>3220</v>
      </c>
      <c r="J180" s="4" t="s">
        <v>2583</v>
      </c>
    </row>
    <row r="181" spans="1:11" s="229" customFormat="1" ht="85.5">
      <c r="A181" s="229">
        <v>179</v>
      </c>
      <c r="B181" s="229" t="s">
        <v>1783</v>
      </c>
      <c r="C181" s="229" t="s">
        <v>826</v>
      </c>
      <c r="D181" s="229" t="s">
        <v>825</v>
      </c>
      <c r="E181" s="229" t="s">
        <v>1528</v>
      </c>
      <c r="F181" s="229" t="s">
        <v>1784</v>
      </c>
      <c r="G181" s="229" t="s">
        <v>2584</v>
      </c>
      <c r="H181" s="293">
        <v>339112</v>
      </c>
      <c r="I181" s="299" t="s">
        <v>3221</v>
      </c>
      <c r="J181" s="299" t="s">
        <v>2585</v>
      </c>
    </row>
    <row r="182" spans="1:11" s="229" customFormat="1" ht="71.25">
      <c r="A182" s="229">
        <v>180</v>
      </c>
      <c r="B182" s="229" t="s">
        <v>1785</v>
      </c>
      <c r="C182" s="229" t="s">
        <v>828</v>
      </c>
      <c r="D182" s="229" t="s">
        <v>827</v>
      </c>
      <c r="E182" s="229" t="s">
        <v>1528</v>
      </c>
      <c r="F182" s="229" t="s">
        <v>1784</v>
      </c>
      <c r="G182" s="229" t="s">
        <v>2586</v>
      </c>
      <c r="H182" s="293">
        <v>339113</v>
      </c>
      <c r="I182" s="299" t="s">
        <v>3222</v>
      </c>
      <c r="J182" s="299" t="s">
        <v>2587</v>
      </c>
    </row>
    <row r="183" spans="1:11" ht="71.25" hidden="1">
      <c r="A183">
        <v>181</v>
      </c>
      <c r="B183" t="s">
        <v>1786</v>
      </c>
      <c r="C183" t="s">
        <v>830</v>
      </c>
      <c r="D183" t="s">
        <v>829</v>
      </c>
      <c r="E183" t="s">
        <v>1528</v>
      </c>
      <c r="F183" t="s">
        <v>1784</v>
      </c>
      <c r="G183" t="s">
        <v>2588</v>
      </c>
      <c r="H183" s="291">
        <v>339114</v>
      </c>
      <c r="I183" s="4" t="s">
        <v>3223</v>
      </c>
      <c r="J183" s="4" t="s">
        <v>2589</v>
      </c>
    </row>
    <row r="184" spans="1:11" ht="71.25" hidden="1">
      <c r="A184">
        <v>182</v>
      </c>
      <c r="B184" t="s">
        <v>1787</v>
      </c>
      <c r="C184" t="s">
        <v>832</v>
      </c>
      <c r="D184" t="s">
        <v>831</v>
      </c>
      <c r="E184" t="s">
        <v>1528</v>
      </c>
      <c r="F184" t="s">
        <v>1784</v>
      </c>
      <c r="G184" t="s">
        <v>2590</v>
      </c>
      <c r="H184" s="291">
        <v>339115</v>
      </c>
      <c r="I184" s="4" t="s">
        <v>3224</v>
      </c>
      <c r="J184" s="4" t="s">
        <v>2591</v>
      </c>
    </row>
    <row r="185" spans="1:11" ht="42.75" hidden="1">
      <c r="A185">
        <v>183</v>
      </c>
      <c r="B185" t="s">
        <v>1788</v>
      </c>
      <c r="C185" t="s">
        <v>834</v>
      </c>
      <c r="D185" t="s">
        <v>833</v>
      </c>
      <c r="E185" t="s">
        <v>1528</v>
      </c>
      <c r="F185" t="s">
        <v>1784</v>
      </c>
      <c r="G185" t="s">
        <v>2592</v>
      </c>
      <c r="H185" s="291">
        <v>339116</v>
      </c>
      <c r="I185" s="4" t="s">
        <v>3225</v>
      </c>
      <c r="J185" s="4" t="s">
        <v>2593</v>
      </c>
    </row>
    <row r="186" spans="1:11" ht="28.5" hidden="1">
      <c r="A186">
        <v>184</v>
      </c>
      <c r="B186" t="s">
        <v>1789</v>
      </c>
      <c r="C186" t="s">
        <v>836</v>
      </c>
      <c r="D186" t="s">
        <v>835</v>
      </c>
      <c r="E186" t="s">
        <v>1528</v>
      </c>
      <c r="F186" t="s">
        <v>1790</v>
      </c>
      <c r="G186" t="s">
        <v>2594</v>
      </c>
      <c r="H186" s="291">
        <v>339910</v>
      </c>
      <c r="I186" s="4" t="s">
        <v>3106</v>
      </c>
      <c r="J186" s="4" t="s">
        <v>2595</v>
      </c>
      <c r="K186" t="s">
        <v>2596</v>
      </c>
    </row>
    <row r="187" spans="1:11" ht="42.75" hidden="1">
      <c r="A187">
        <v>185</v>
      </c>
      <c r="B187" t="s">
        <v>1791</v>
      </c>
      <c r="C187" t="s">
        <v>838</v>
      </c>
      <c r="D187" t="s">
        <v>837</v>
      </c>
      <c r="E187" t="s">
        <v>1528</v>
      </c>
      <c r="F187" t="s">
        <v>1790</v>
      </c>
      <c r="G187" t="s">
        <v>2597</v>
      </c>
      <c r="H187" s="92">
        <v>339920</v>
      </c>
      <c r="I187" s="4" t="s">
        <v>2598</v>
      </c>
      <c r="J187" s="4" t="s">
        <v>2598</v>
      </c>
    </row>
    <row r="188" spans="1:11" ht="57" hidden="1">
      <c r="A188">
        <v>186</v>
      </c>
      <c r="B188" t="s">
        <v>1792</v>
      </c>
      <c r="C188" t="s">
        <v>840</v>
      </c>
      <c r="D188" t="s">
        <v>839</v>
      </c>
      <c r="E188" t="s">
        <v>1528</v>
      </c>
      <c r="F188" t="s">
        <v>1790</v>
      </c>
      <c r="G188" t="s">
        <v>2599</v>
      </c>
      <c r="H188" s="291">
        <v>339930</v>
      </c>
      <c r="I188" s="4" t="s">
        <v>3226</v>
      </c>
      <c r="J188" s="4" t="s">
        <v>2600</v>
      </c>
    </row>
    <row r="189" spans="1:11" s="229" customFormat="1" ht="57">
      <c r="A189" s="229">
        <v>187</v>
      </c>
      <c r="B189" s="229" t="s">
        <v>1793</v>
      </c>
      <c r="C189" s="229" t="s">
        <v>842</v>
      </c>
      <c r="D189" s="229" t="s">
        <v>841</v>
      </c>
      <c r="E189" s="229" t="s">
        <v>1528</v>
      </c>
      <c r="F189" s="229" t="s">
        <v>1790</v>
      </c>
      <c r="G189" s="229" t="s">
        <v>2601</v>
      </c>
      <c r="H189" s="293">
        <v>339940</v>
      </c>
      <c r="I189" s="299" t="s">
        <v>3227</v>
      </c>
      <c r="J189" s="299" t="s">
        <v>2602</v>
      </c>
    </row>
    <row r="190" spans="1:11" ht="42.75" hidden="1">
      <c r="A190">
        <v>188</v>
      </c>
      <c r="B190" t="s">
        <v>1794</v>
      </c>
      <c r="C190" t="s">
        <v>844</v>
      </c>
      <c r="D190" t="s">
        <v>843</v>
      </c>
      <c r="E190" t="s">
        <v>1528</v>
      </c>
      <c r="F190" t="s">
        <v>1790</v>
      </c>
      <c r="G190" t="s">
        <v>2603</v>
      </c>
      <c r="H190" s="291">
        <v>339950</v>
      </c>
      <c r="I190" s="4" t="s">
        <v>3228</v>
      </c>
      <c r="J190" s="4" t="s">
        <v>2604</v>
      </c>
    </row>
    <row r="191" spans="1:11" ht="57" hidden="1">
      <c r="A191">
        <v>189</v>
      </c>
      <c r="B191" t="s">
        <v>1795</v>
      </c>
      <c r="C191" t="s">
        <v>846</v>
      </c>
      <c r="D191" t="s">
        <v>845</v>
      </c>
      <c r="E191" t="s">
        <v>1528</v>
      </c>
      <c r="F191" t="s">
        <v>1790</v>
      </c>
      <c r="G191" t="s">
        <v>2605</v>
      </c>
      <c r="H191" s="291">
        <v>339990</v>
      </c>
      <c r="I191" s="4" t="s">
        <v>3229</v>
      </c>
      <c r="J191" s="4" t="s">
        <v>2606</v>
      </c>
    </row>
    <row r="192" spans="1:11" ht="42.75" hidden="1">
      <c r="A192">
        <v>190</v>
      </c>
      <c r="B192" t="s">
        <v>1796</v>
      </c>
      <c r="C192" t="s">
        <v>382</v>
      </c>
      <c r="D192" t="s">
        <v>381</v>
      </c>
      <c r="E192" t="s">
        <v>1528</v>
      </c>
      <c r="F192" t="s">
        <v>1797</v>
      </c>
      <c r="G192" t="s">
        <v>2607</v>
      </c>
      <c r="H192" s="291">
        <v>311111</v>
      </c>
      <c r="I192" s="4" t="s">
        <v>3230</v>
      </c>
      <c r="J192" s="4" t="s">
        <v>2608</v>
      </c>
    </row>
    <row r="193" spans="1:12" ht="42.75" hidden="1">
      <c r="A193">
        <v>191</v>
      </c>
      <c r="B193" t="s">
        <v>1798</v>
      </c>
      <c r="C193" t="s">
        <v>384</v>
      </c>
      <c r="D193" t="s">
        <v>383</v>
      </c>
      <c r="E193" t="s">
        <v>1528</v>
      </c>
      <c r="F193" t="s">
        <v>1797</v>
      </c>
      <c r="G193" t="s">
        <v>2609</v>
      </c>
      <c r="H193" s="291">
        <v>311119</v>
      </c>
      <c r="I193" s="4" t="s">
        <v>3231</v>
      </c>
      <c r="J193" s="4" t="s">
        <v>2610</v>
      </c>
    </row>
    <row r="194" spans="1:12" s="229" customFormat="1" ht="57">
      <c r="A194" s="229">
        <v>192</v>
      </c>
      <c r="B194" s="229" t="s">
        <v>1799</v>
      </c>
      <c r="C194" s="229" t="s">
        <v>386</v>
      </c>
      <c r="D194" s="229" t="s">
        <v>385</v>
      </c>
      <c r="E194" s="229" t="s">
        <v>1528</v>
      </c>
      <c r="F194" s="229" t="s">
        <v>1800</v>
      </c>
      <c r="G194" s="229" t="s">
        <v>2611</v>
      </c>
      <c r="H194" s="293">
        <v>311210</v>
      </c>
      <c r="I194" s="299" t="s">
        <v>3398</v>
      </c>
      <c r="J194" s="299" t="s">
        <v>2612</v>
      </c>
    </row>
    <row r="195" spans="1:12" s="229" customFormat="1" ht="57">
      <c r="A195" s="229">
        <v>193</v>
      </c>
      <c r="B195" s="229" t="s">
        <v>1801</v>
      </c>
      <c r="C195" s="229" t="s">
        <v>388</v>
      </c>
      <c r="D195" s="229" t="s">
        <v>387</v>
      </c>
      <c r="E195" s="229" t="s">
        <v>1528</v>
      </c>
      <c r="F195" s="229" t="s">
        <v>1800</v>
      </c>
      <c r="G195" s="229" t="s">
        <v>2613</v>
      </c>
      <c r="H195" s="293">
        <v>311221</v>
      </c>
      <c r="I195" s="299" t="s">
        <v>3232</v>
      </c>
      <c r="J195" s="299" t="s">
        <v>2614</v>
      </c>
    </row>
    <row r="196" spans="1:12" s="229" customFormat="1" ht="57">
      <c r="A196" s="229">
        <v>194</v>
      </c>
      <c r="B196" s="229" t="s">
        <v>1802</v>
      </c>
      <c r="C196" s="229" t="s">
        <v>392</v>
      </c>
      <c r="D196" s="229" t="s">
        <v>391</v>
      </c>
      <c r="E196" s="229" t="s">
        <v>1528</v>
      </c>
      <c r="F196" s="229" t="s">
        <v>1800</v>
      </c>
      <c r="G196" s="229" t="s">
        <v>2615</v>
      </c>
      <c r="H196" s="293">
        <v>311225</v>
      </c>
      <c r="I196" s="299" t="s">
        <v>3399</v>
      </c>
      <c r="J196" s="299" t="s">
        <v>2616</v>
      </c>
    </row>
    <row r="197" spans="1:12" s="229" customFormat="1" ht="57">
      <c r="A197" s="229">
        <v>195</v>
      </c>
      <c r="B197" s="229" t="s">
        <v>1803</v>
      </c>
      <c r="C197" s="229" t="s">
        <v>1398</v>
      </c>
      <c r="D197" s="229" t="s">
        <v>389</v>
      </c>
      <c r="E197" s="229" t="s">
        <v>1528</v>
      </c>
      <c r="F197" s="229" t="s">
        <v>1800</v>
      </c>
      <c r="G197" s="229" t="s">
        <v>2617</v>
      </c>
      <c r="H197" s="293">
        <v>311224</v>
      </c>
      <c r="I197" s="299" t="s">
        <v>3233</v>
      </c>
      <c r="J197" s="299" t="s">
        <v>2618</v>
      </c>
    </row>
    <row r="198" spans="1:12" s="229" customFormat="1" ht="28.5">
      <c r="A198" s="229">
        <v>196</v>
      </c>
      <c r="B198" s="229" t="s">
        <v>1804</v>
      </c>
      <c r="C198" s="229" t="s">
        <v>394</v>
      </c>
      <c r="D198" s="229" t="s">
        <v>393</v>
      </c>
      <c r="E198" s="229" t="s">
        <v>1528</v>
      </c>
      <c r="F198" s="229" t="s">
        <v>1800</v>
      </c>
      <c r="G198" s="229" t="s">
        <v>2619</v>
      </c>
      <c r="H198" s="296">
        <v>311230</v>
      </c>
      <c r="I198" s="299" t="s">
        <v>2620</v>
      </c>
      <c r="J198" s="299" t="s">
        <v>2620</v>
      </c>
    </row>
    <row r="199" spans="1:12" s="229" customFormat="1" ht="57">
      <c r="A199" s="229">
        <v>197</v>
      </c>
      <c r="B199" s="229" t="s">
        <v>1805</v>
      </c>
      <c r="C199" s="229" t="s">
        <v>396</v>
      </c>
      <c r="D199" s="229" t="s">
        <v>395</v>
      </c>
      <c r="E199" s="229" t="s">
        <v>1528</v>
      </c>
      <c r="F199" s="229" t="s">
        <v>1806</v>
      </c>
      <c r="G199" s="229" t="s">
        <v>2621</v>
      </c>
      <c r="H199" s="293">
        <v>311300</v>
      </c>
      <c r="I199" s="299" t="s">
        <v>3234</v>
      </c>
      <c r="J199" s="299" t="s">
        <v>2622</v>
      </c>
    </row>
    <row r="200" spans="1:12" s="229" customFormat="1" ht="57">
      <c r="A200" s="229">
        <v>198</v>
      </c>
      <c r="B200" s="229" t="s">
        <v>1807</v>
      </c>
      <c r="C200" s="229" t="s">
        <v>398</v>
      </c>
      <c r="D200" s="229" t="s">
        <v>397</v>
      </c>
      <c r="E200" s="229" t="s">
        <v>1528</v>
      </c>
      <c r="F200" s="229" t="s">
        <v>1808</v>
      </c>
      <c r="G200" s="229" t="s">
        <v>2623</v>
      </c>
      <c r="H200" s="293">
        <v>311410</v>
      </c>
      <c r="I200" s="299" t="s">
        <v>3235</v>
      </c>
      <c r="J200" s="299" t="s">
        <v>2624</v>
      </c>
    </row>
    <row r="201" spans="1:12" s="229" customFormat="1" ht="114">
      <c r="A201" s="229">
        <v>199</v>
      </c>
      <c r="B201" s="229" t="s">
        <v>1809</v>
      </c>
      <c r="C201" s="229" t="s">
        <v>400</v>
      </c>
      <c r="D201" s="229" t="s">
        <v>399</v>
      </c>
      <c r="E201" s="229" t="s">
        <v>1528</v>
      </c>
      <c r="F201" s="229" t="s">
        <v>1808</v>
      </c>
      <c r="G201" s="229" t="s">
        <v>2625</v>
      </c>
      <c r="H201" s="293">
        <v>311420</v>
      </c>
      <c r="I201" s="299" t="s">
        <v>3236</v>
      </c>
      <c r="J201" s="299" t="s">
        <v>2626</v>
      </c>
    </row>
    <row r="202" spans="1:12" s="229" customFormat="1" ht="57">
      <c r="A202" s="229">
        <v>200</v>
      </c>
      <c r="B202" s="229" t="s">
        <v>1810</v>
      </c>
      <c r="C202" s="229" t="s">
        <v>402</v>
      </c>
      <c r="D202" s="229" t="s">
        <v>401</v>
      </c>
      <c r="E202" s="229" t="s">
        <v>1528</v>
      </c>
      <c r="F202" s="229" t="s">
        <v>1811</v>
      </c>
      <c r="G202" s="229" t="s">
        <v>2627</v>
      </c>
      <c r="H202" s="296">
        <v>311513</v>
      </c>
      <c r="I202" s="299" t="s">
        <v>2628</v>
      </c>
      <c r="J202" s="299" t="s">
        <v>2628</v>
      </c>
    </row>
    <row r="203" spans="1:12" s="229" customFormat="1" ht="42.75">
      <c r="A203" s="229">
        <v>201</v>
      </c>
      <c r="B203" s="229" t="s">
        <v>1812</v>
      </c>
      <c r="C203" s="229" t="s">
        <v>404</v>
      </c>
      <c r="D203" s="229" t="s">
        <v>403</v>
      </c>
      <c r="E203" s="229" t="s">
        <v>1528</v>
      </c>
      <c r="F203" s="229" t="s">
        <v>1811</v>
      </c>
      <c r="G203" s="229" t="s">
        <v>2629</v>
      </c>
      <c r="H203" s="293">
        <v>311514</v>
      </c>
      <c r="I203" s="299" t="s">
        <v>3237</v>
      </c>
      <c r="J203" s="299" t="s">
        <v>2630</v>
      </c>
    </row>
    <row r="204" spans="1:12" s="229" customFormat="1" ht="42.75">
      <c r="A204" s="229">
        <v>202</v>
      </c>
      <c r="B204" s="229" t="s">
        <v>1813</v>
      </c>
      <c r="C204" s="229" t="s">
        <v>406</v>
      </c>
      <c r="D204" s="229" t="s">
        <v>405</v>
      </c>
      <c r="E204" s="229" t="s">
        <v>1528</v>
      </c>
      <c r="F204" s="229" t="s">
        <v>1811</v>
      </c>
      <c r="G204" s="229" t="s">
        <v>2631</v>
      </c>
      <c r="H204" s="297" t="s">
        <v>405</v>
      </c>
      <c r="I204" s="299" t="s">
        <v>3400</v>
      </c>
      <c r="J204" s="299" t="s">
        <v>2632</v>
      </c>
      <c r="K204" s="229" t="s">
        <v>2633</v>
      </c>
    </row>
    <row r="205" spans="1:12" s="229" customFormat="1" ht="42.75">
      <c r="A205" s="229">
        <v>203</v>
      </c>
      <c r="B205" s="229" t="s">
        <v>1814</v>
      </c>
      <c r="C205" s="229" t="s">
        <v>408</v>
      </c>
      <c r="D205" s="229" t="s">
        <v>407</v>
      </c>
      <c r="E205" s="229" t="s">
        <v>1528</v>
      </c>
      <c r="F205" s="229" t="s">
        <v>1811</v>
      </c>
      <c r="G205" s="229" t="s">
        <v>2634</v>
      </c>
      <c r="H205" s="293">
        <v>311520</v>
      </c>
      <c r="I205" s="299" t="s">
        <v>3238</v>
      </c>
      <c r="J205" s="299" t="s">
        <v>2635</v>
      </c>
    </row>
    <row r="206" spans="1:12" s="229" customFormat="1" ht="42.75">
      <c r="A206" s="229">
        <v>204</v>
      </c>
      <c r="B206" s="229" t="s">
        <v>1815</v>
      </c>
      <c r="C206" s="229" t="s">
        <v>410</v>
      </c>
      <c r="D206" s="229" t="s">
        <v>409</v>
      </c>
      <c r="E206" s="229" t="s">
        <v>1528</v>
      </c>
      <c r="F206" s="229" t="s">
        <v>1816</v>
      </c>
      <c r="G206" s="229" t="s">
        <v>2636</v>
      </c>
      <c r="H206" s="296">
        <v>311615</v>
      </c>
      <c r="I206" s="299" t="s">
        <v>2637</v>
      </c>
      <c r="J206" s="299" t="s">
        <v>2637</v>
      </c>
    </row>
    <row r="207" spans="1:12" s="229" customFormat="1" ht="71.25">
      <c r="A207" s="229">
        <v>205</v>
      </c>
      <c r="B207" s="229" t="s">
        <v>1817</v>
      </c>
      <c r="C207" s="229" t="s">
        <v>412</v>
      </c>
      <c r="D207" s="229" t="s">
        <v>411</v>
      </c>
      <c r="E207" s="229" t="s">
        <v>1528</v>
      </c>
      <c r="F207" s="229" t="s">
        <v>1816</v>
      </c>
      <c r="G207" s="229" t="s">
        <v>2638</v>
      </c>
      <c r="H207" s="297" t="s">
        <v>411</v>
      </c>
      <c r="I207" s="299" t="s">
        <v>3401</v>
      </c>
      <c r="J207" s="299" t="s">
        <v>2639</v>
      </c>
      <c r="L207" s="229" t="s">
        <v>2640</v>
      </c>
    </row>
    <row r="208" spans="1:12" s="229" customFormat="1" ht="85.5">
      <c r="A208" s="229">
        <v>206</v>
      </c>
      <c r="B208" s="229" t="s">
        <v>1818</v>
      </c>
      <c r="C208" s="229" t="s">
        <v>414</v>
      </c>
      <c r="D208" s="229" t="s">
        <v>413</v>
      </c>
      <c r="E208" s="229" t="s">
        <v>1528</v>
      </c>
      <c r="F208" s="229" t="s">
        <v>1819</v>
      </c>
      <c r="G208" s="229" t="s">
        <v>2641</v>
      </c>
      <c r="H208" s="293">
        <v>311700</v>
      </c>
      <c r="I208" s="299" t="s">
        <v>3402</v>
      </c>
      <c r="J208" s="299" t="s">
        <v>2642</v>
      </c>
    </row>
    <row r="209" spans="1:12" s="229" customFormat="1" ht="28.5">
      <c r="A209" s="229">
        <v>207</v>
      </c>
      <c r="B209" s="229" t="s">
        <v>1820</v>
      </c>
      <c r="C209" s="229" t="s">
        <v>416</v>
      </c>
      <c r="D209" s="229" t="s">
        <v>415</v>
      </c>
      <c r="E209" s="229" t="s">
        <v>1528</v>
      </c>
      <c r="F209" s="229" t="s">
        <v>1821</v>
      </c>
      <c r="G209" s="229" t="s">
        <v>2643</v>
      </c>
      <c r="H209" s="296">
        <v>311810</v>
      </c>
      <c r="I209" s="299" t="s">
        <v>2644</v>
      </c>
      <c r="J209" s="299" t="s">
        <v>2644</v>
      </c>
    </row>
    <row r="210" spans="1:12" s="229" customFormat="1" ht="85.5">
      <c r="A210" s="229">
        <v>208</v>
      </c>
      <c r="B210" s="229" t="s">
        <v>1822</v>
      </c>
      <c r="C210" s="229" t="s">
        <v>418</v>
      </c>
      <c r="D210" s="229" t="s">
        <v>417</v>
      </c>
      <c r="E210" s="229" t="s">
        <v>1528</v>
      </c>
      <c r="F210" s="229" t="s">
        <v>1821</v>
      </c>
      <c r="G210" s="229" t="s">
        <v>2645</v>
      </c>
      <c r="H210" s="297" t="s">
        <v>417</v>
      </c>
      <c r="I210" s="299" t="s">
        <v>3403</v>
      </c>
      <c r="J210" s="299" t="s">
        <v>2646</v>
      </c>
      <c r="L210" s="229" t="s">
        <v>2647</v>
      </c>
    </row>
    <row r="211" spans="1:12" s="229" customFormat="1" ht="99.75">
      <c r="A211" s="229">
        <v>209</v>
      </c>
      <c r="B211" s="229" t="s">
        <v>1823</v>
      </c>
      <c r="C211" s="229" t="s">
        <v>420</v>
      </c>
      <c r="D211" s="229" t="s">
        <v>419</v>
      </c>
      <c r="E211" s="229" t="s">
        <v>1528</v>
      </c>
      <c r="F211" s="229" t="s">
        <v>1824</v>
      </c>
      <c r="G211" s="229" t="s">
        <v>2648</v>
      </c>
      <c r="H211" s="293">
        <v>311910</v>
      </c>
      <c r="I211" s="299" t="s">
        <v>3240</v>
      </c>
      <c r="J211" s="299" t="s">
        <v>2649</v>
      </c>
    </row>
    <row r="212" spans="1:12" s="229" customFormat="1" ht="57">
      <c r="A212" s="229">
        <v>210</v>
      </c>
      <c r="B212" s="229" t="s">
        <v>1825</v>
      </c>
      <c r="C212" s="229" t="s">
        <v>422</v>
      </c>
      <c r="D212" s="229" t="s">
        <v>421</v>
      </c>
      <c r="E212" s="229" t="s">
        <v>1528</v>
      </c>
      <c r="F212" s="229" t="s">
        <v>1824</v>
      </c>
      <c r="G212" s="229" t="s">
        <v>2650</v>
      </c>
      <c r="H212" s="293">
        <v>311920</v>
      </c>
      <c r="I212" s="299" t="s">
        <v>3404</v>
      </c>
      <c r="J212" s="299" t="s">
        <v>2651</v>
      </c>
    </row>
    <row r="213" spans="1:12" s="229" customFormat="1" ht="42.75">
      <c r="A213" s="229">
        <v>211</v>
      </c>
      <c r="B213" s="229" t="s">
        <v>1826</v>
      </c>
      <c r="C213" s="229" t="s">
        <v>424</v>
      </c>
      <c r="D213" s="229" t="s">
        <v>423</v>
      </c>
      <c r="E213" s="229" t="s">
        <v>1528</v>
      </c>
      <c r="F213" s="229" t="s">
        <v>1824</v>
      </c>
      <c r="G213" s="229" t="s">
        <v>2652</v>
      </c>
      <c r="H213" s="296">
        <v>311930</v>
      </c>
      <c r="I213" s="299" t="s">
        <v>2653</v>
      </c>
      <c r="J213" s="299" t="s">
        <v>2653</v>
      </c>
    </row>
    <row r="214" spans="1:12" s="229" customFormat="1" ht="99.75">
      <c r="A214" s="229">
        <v>212</v>
      </c>
      <c r="B214" s="229" t="s">
        <v>1827</v>
      </c>
      <c r="C214" s="229" t="s">
        <v>426</v>
      </c>
      <c r="D214" s="229" t="s">
        <v>425</v>
      </c>
      <c r="E214" s="229" t="s">
        <v>1528</v>
      </c>
      <c r="F214" s="229" t="s">
        <v>1824</v>
      </c>
      <c r="G214" s="229" t="s">
        <v>2654</v>
      </c>
      <c r="H214" s="293">
        <v>311940</v>
      </c>
      <c r="I214" s="299" t="s">
        <v>3405</v>
      </c>
      <c r="J214" s="299" t="s">
        <v>2655</v>
      </c>
    </row>
    <row r="215" spans="1:12" s="229" customFormat="1" ht="114">
      <c r="A215" s="229">
        <v>213</v>
      </c>
      <c r="B215" s="229" t="s">
        <v>1828</v>
      </c>
      <c r="C215" s="229" t="s">
        <v>428</v>
      </c>
      <c r="D215" s="229" t="s">
        <v>427</v>
      </c>
      <c r="E215" s="229" t="s">
        <v>1528</v>
      </c>
      <c r="F215" s="229" t="s">
        <v>1824</v>
      </c>
      <c r="G215" s="229" t="s">
        <v>2656</v>
      </c>
      <c r="H215" s="293">
        <v>311990</v>
      </c>
      <c r="I215" s="299" t="s">
        <v>3241</v>
      </c>
      <c r="J215" s="299" t="s">
        <v>2657</v>
      </c>
    </row>
    <row r="216" spans="1:12" ht="28.5" hidden="1">
      <c r="A216">
        <v>214</v>
      </c>
      <c r="B216" t="s">
        <v>1829</v>
      </c>
      <c r="C216" t="s">
        <v>430</v>
      </c>
      <c r="D216" t="s">
        <v>429</v>
      </c>
      <c r="E216" t="s">
        <v>1528</v>
      </c>
      <c r="F216" t="s">
        <v>1830</v>
      </c>
      <c r="G216" t="s">
        <v>2658</v>
      </c>
      <c r="H216" s="92">
        <v>312110</v>
      </c>
      <c r="I216" s="4" t="s">
        <v>2659</v>
      </c>
      <c r="J216" s="4" t="s">
        <v>2659</v>
      </c>
      <c r="K216" t="s">
        <v>2660</v>
      </c>
    </row>
    <row r="217" spans="1:12" ht="28.5" hidden="1">
      <c r="A217">
        <v>215</v>
      </c>
      <c r="B217" t="s">
        <v>1831</v>
      </c>
      <c r="C217" t="s">
        <v>432</v>
      </c>
      <c r="D217" t="s">
        <v>431</v>
      </c>
      <c r="E217" t="s">
        <v>1528</v>
      </c>
      <c r="F217" t="s">
        <v>1830</v>
      </c>
      <c r="G217" t="s">
        <v>2661</v>
      </c>
      <c r="H217" s="291">
        <v>312120</v>
      </c>
      <c r="I217" s="4" t="s">
        <v>3242</v>
      </c>
      <c r="J217" s="4" t="s">
        <v>2662</v>
      </c>
    </row>
    <row r="218" spans="1:12" ht="28.5" hidden="1">
      <c r="A218">
        <v>216</v>
      </c>
      <c r="B218" t="s">
        <v>1832</v>
      </c>
      <c r="C218" t="s">
        <v>434</v>
      </c>
      <c r="D218" t="s">
        <v>433</v>
      </c>
      <c r="E218" t="s">
        <v>1528</v>
      </c>
      <c r="F218" t="s">
        <v>1830</v>
      </c>
      <c r="G218" t="s">
        <v>2663</v>
      </c>
      <c r="H218" s="92">
        <v>312130</v>
      </c>
      <c r="I218" s="4" t="s">
        <v>2664</v>
      </c>
      <c r="J218" s="4" t="s">
        <v>2664</v>
      </c>
      <c r="K218" t="s">
        <v>2665</v>
      </c>
    </row>
    <row r="219" spans="1:12" ht="28.5" hidden="1">
      <c r="A219">
        <v>217</v>
      </c>
      <c r="B219" t="s">
        <v>1833</v>
      </c>
      <c r="C219" t="s">
        <v>436</v>
      </c>
      <c r="D219" t="s">
        <v>435</v>
      </c>
      <c r="E219" t="s">
        <v>1528</v>
      </c>
      <c r="F219" t="s">
        <v>1830</v>
      </c>
      <c r="G219" t="s">
        <v>2666</v>
      </c>
      <c r="H219" s="92">
        <v>312140</v>
      </c>
      <c r="I219" s="4" t="s">
        <v>2667</v>
      </c>
      <c r="J219" s="4" t="s">
        <v>2667</v>
      </c>
      <c r="K219" t="s">
        <v>2668</v>
      </c>
    </row>
    <row r="220" spans="1:12" ht="42.75" hidden="1">
      <c r="A220">
        <v>218</v>
      </c>
      <c r="B220" t="s">
        <v>1834</v>
      </c>
      <c r="C220" t="s">
        <v>438</v>
      </c>
      <c r="D220" t="s">
        <v>437</v>
      </c>
      <c r="E220" t="s">
        <v>1528</v>
      </c>
      <c r="F220" t="s">
        <v>1835</v>
      </c>
      <c r="G220" t="s">
        <v>2669</v>
      </c>
      <c r="H220" s="291">
        <v>312200</v>
      </c>
      <c r="I220" s="4" t="s">
        <v>3243</v>
      </c>
      <c r="J220" s="4" t="s">
        <v>2670</v>
      </c>
    </row>
    <row r="221" spans="1:12" ht="28.5" hidden="1">
      <c r="A221">
        <v>219</v>
      </c>
      <c r="B221" t="s">
        <v>1836</v>
      </c>
      <c r="C221" t="s">
        <v>440</v>
      </c>
      <c r="D221" t="s">
        <v>439</v>
      </c>
      <c r="E221" t="s">
        <v>1528</v>
      </c>
      <c r="F221" t="s">
        <v>1837</v>
      </c>
      <c r="G221" t="s">
        <v>2671</v>
      </c>
      <c r="H221" s="291">
        <v>313100</v>
      </c>
      <c r="I221" s="4" t="s">
        <v>3106</v>
      </c>
      <c r="J221" s="4" t="s">
        <v>2672</v>
      </c>
      <c r="K221" t="s">
        <v>2673</v>
      </c>
    </row>
    <row r="222" spans="1:12" s="229" customFormat="1" ht="42.75">
      <c r="A222" s="229">
        <v>220</v>
      </c>
      <c r="B222" s="229" t="s">
        <v>1838</v>
      </c>
      <c r="C222" s="229" t="s">
        <v>442</v>
      </c>
      <c r="D222" s="229" t="s">
        <v>441</v>
      </c>
      <c r="E222" s="229" t="s">
        <v>1528</v>
      </c>
      <c r="F222" s="229" t="s">
        <v>1839</v>
      </c>
      <c r="G222" s="229" t="s">
        <v>2674</v>
      </c>
      <c r="H222" s="293">
        <v>313200</v>
      </c>
      <c r="I222" s="299" t="s">
        <v>3244</v>
      </c>
      <c r="J222" s="299" t="s">
        <v>2675</v>
      </c>
    </row>
    <row r="223" spans="1:12" ht="28.5" hidden="1">
      <c r="A223">
        <v>221</v>
      </c>
      <c r="B223" t="s">
        <v>1840</v>
      </c>
      <c r="C223" t="s">
        <v>444</v>
      </c>
      <c r="D223" t="s">
        <v>443</v>
      </c>
      <c r="E223" t="s">
        <v>1528</v>
      </c>
      <c r="F223" t="s">
        <v>1841</v>
      </c>
      <c r="G223" t="s">
        <v>2676</v>
      </c>
      <c r="H223" s="291">
        <v>313300</v>
      </c>
      <c r="I223" s="4" t="s">
        <v>3245</v>
      </c>
      <c r="J223" s="4" t="s">
        <v>2677</v>
      </c>
    </row>
    <row r="224" spans="1:12" s="229" customFormat="1" ht="71.25">
      <c r="A224" s="229">
        <v>222</v>
      </c>
      <c r="B224" s="229" t="s">
        <v>1842</v>
      </c>
      <c r="C224" s="229" t="s">
        <v>446</v>
      </c>
      <c r="D224" s="229" t="s">
        <v>445</v>
      </c>
      <c r="E224" s="229" t="s">
        <v>1528</v>
      </c>
      <c r="F224" s="229" t="s">
        <v>1843</v>
      </c>
      <c r="G224" s="229" t="s">
        <v>2678</v>
      </c>
      <c r="H224" s="293">
        <v>314110</v>
      </c>
      <c r="I224" s="299" t="s">
        <v>3246</v>
      </c>
      <c r="J224" s="299" t="s">
        <v>2679</v>
      </c>
    </row>
    <row r="225" spans="1:11" s="229" customFormat="1" ht="42.75">
      <c r="A225" s="229">
        <v>223</v>
      </c>
      <c r="B225" s="229" t="s">
        <v>1844</v>
      </c>
      <c r="C225" s="229" t="s">
        <v>448</v>
      </c>
      <c r="D225" s="229" t="s">
        <v>447</v>
      </c>
      <c r="E225" s="229" t="s">
        <v>1528</v>
      </c>
      <c r="F225" s="229" t="s">
        <v>1843</v>
      </c>
      <c r="G225" s="229" t="s">
        <v>2680</v>
      </c>
      <c r="H225" s="293">
        <v>314120</v>
      </c>
      <c r="I225" s="299" t="s">
        <v>3247</v>
      </c>
      <c r="J225" s="299" t="s">
        <v>2681</v>
      </c>
    </row>
    <row r="226" spans="1:11" s="229" customFormat="1" ht="42.75">
      <c r="A226" s="229">
        <v>224</v>
      </c>
      <c r="B226" s="229" t="s">
        <v>1845</v>
      </c>
      <c r="C226" s="229" t="s">
        <v>450</v>
      </c>
      <c r="D226" s="229" t="s">
        <v>449</v>
      </c>
      <c r="E226" s="229" t="s">
        <v>1528</v>
      </c>
      <c r="F226" s="229" t="s">
        <v>1846</v>
      </c>
      <c r="G226" s="229" t="s">
        <v>2682</v>
      </c>
      <c r="H226" s="293">
        <v>314900</v>
      </c>
      <c r="I226" s="299" t="s">
        <v>3248</v>
      </c>
      <c r="J226" s="299" t="s">
        <v>2683</v>
      </c>
    </row>
    <row r="227" spans="1:11" s="229" customFormat="1" ht="156.75">
      <c r="A227" s="229">
        <v>225</v>
      </c>
      <c r="B227" s="229" t="s">
        <v>1847</v>
      </c>
      <c r="C227" s="229" t="s">
        <v>452</v>
      </c>
      <c r="D227" s="229" t="s">
        <v>451</v>
      </c>
      <c r="E227" s="229" t="s">
        <v>1528</v>
      </c>
      <c r="F227" s="229" t="s">
        <v>1848</v>
      </c>
      <c r="G227" s="229" t="s">
        <v>2684</v>
      </c>
      <c r="H227" s="293">
        <v>315000</v>
      </c>
      <c r="I227" s="299" t="s">
        <v>3406</v>
      </c>
      <c r="J227" s="299" t="s">
        <v>2685</v>
      </c>
    </row>
    <row r="228" spans="1:11" ht="185.25" hidden="1">
      <c r="A228">
        <v>226</v>
      </c>
      <c r="B228" t="s">
        <v>1849</v>
      </c>
      <c r="C228" t="s">
        <v>454</v>
      </c>
      <c r="D228" t="s">
        <v>453</v>
      </c>
      <c r="E228" t="s">
        <v>1528</v>
      </c>
      <c r="F228" t="s">
        <v>1850</v>
      </c>
      <c r="G228" t="s">
        <v>2686</v>
      </c>
      <c r="H228" s="291">
        <v>316000</v>
      </c>
      <c r="I228" s="4" t="s">
        <v>3249</v>
      </c>
      <c r="J228" s="4" t="s">
        <v>2687</v>
      </c>
    </row>
    <row r="229" spans="1:11" ht="57" hidden="1">
      <c r="A229">
        <v>227</v>
      </c>
      <c r="B229" t="s">
        <v>1851</v>
      </c>
      <c r="C229" t="s">
        <v>464</v>
      </c>
      <c r="D229" t="s">
        <v>463</v>
      </c>
      <c r="E229" t="s">
        <v>1528</v>
      </c>
      <c r="F229" t="s">
        <v>1852</v>
      </c>
      <c r="G229" t="s">
        <v>2688</v>
      </c>
      <c r="H229" s="291">
        <v>322110</v>
      </c>
      <c r="I229" s="4" t="s">
        <v>3250</v>
      </c>
      <c r="J229" s="4" t="s">
        <v>2689</v>
      </c>
    </row>
    <row r="230" spans="1:11" s="229" customFormat="1" ht="57">
      <c r="A230" s="229">
        <v>228</v>
      </c>
      <c r="B230" s="229" t="s">
        <v>1853</v>
      </c>
      <c r="C230" s="229" t="s">
        <v>466</v>
      </c>
      <c r="D230" s="229" t="s">
        <v>465</v>
      </c>
      <c r="E230" s="229" t="s">
        <v>1528</v>
      </c>
      <c r="F230" s="229" t="s">
        <v>1852</v>
      </c>
      <c r="G230" s="229" t="s">
        <v>2690</v>
      </c>
      <c r="H230" s="293">
        <v>322120</v>
      </c>
      <c r="I230" s="299" t="s">
        <v>3251</v>
      </c>
      <c r="J230" s="299" t="s">
        <v>2691</v>
      </c>
    </row>
    <row r="231" spans="1:11" ht="57" hidden="1">
      <c r="A231">
        <v>229</v>
      </c>
      <c r="B231" t="s">
        <v>1854</v>
      </c>
      <c r="C231" t="s">
        <v>468</v>
      </c>
      <c r="D231" t="s">
        <v>467</v>
      </c>
      <c r="E231" t="s">
        <v>1528</v>
      </c>
      <c r="F231" t="s">
        <v>1852</v>
      </c>
      <c r="G231" t="s">
        <v>2692</v>
      </c>
      <c r="H231" s="291">
        <v>322130</v>
      </c>
      <c r="I231" s="4" t="s">
        <v>3252</v>
      </c>
      <c r="J231" s="4" t="s">
        <v>2693</v>
      </c>
    </row>
    <row r="232" spans="1:11" ht="71.25" hidden="1">
      <c r="A232">
        <v>230</v>
      </c>
      <c r="B232" t="s">
        <v>1855</v>
      </c>
      <c r="C232" t="s">
        <v>470</v>
      </c>
      <c r="D232" t="s">
        <v>469</v>
      </c>
      <c r="E232" t="s">
        <v>1528</v>
      </c>
      <c r="F232" t="s">
        <v>1856</v>
      </c>
      <c r="G232" t="s">
        <v>2694</v>
      </c>
      <c r="H232" s="291">
        <v>322210</v>
      </c>
      <c r="I232" s="4" t="s">
        <v>3253</v>
      </c>
      <c r="J232" s="4" t="s">
        <v>2695</v>
      </c>
    </row>
    <row r="233" spans="1:11" ht="28.5" hidden="1">
      <c r="A233">
        <v>231</v>
      </c>
      <c r="B233" t="s">
        <v>1857</v>
      </c>
      <c r="C233" t="s">
        <v>472</v>
      </c>
      <c r="D233" t="s">
        <v>471</v>
      </c>
      <c r="E233" t="s">
        <v>1528</v>
      </c>
      <c r="F233" t="s">
        <v>1856</v>
      </c>
      <c r="G233" t="s">
        <v>2696</v>
      </c>
      <c r="H233" s="291">
        <v>322220</v>
      </c>
      <c r="I233" s="4" t="s">
        <v>3106</v>
      </c>
      <c r="J233" s="4" t="s">
        <v>2697</v>
      </c>
      <c r="K233" t="s">
        <v>2698</v>
      </c>
    </row>
    <row r="234" spans="1:11" ht="42.75" hidden="1">
      <c r="A234">
        <v>232</v>
      </c>
      <c r="B234" t="s">
        <v>1858</v>
      </c>
      <c r="C234" t="s">
        <v>474</v>
      </c>
      <c r="D234" t="s">
        <v>473</v>
      </c>
      <c r="E234" t="s">
        <v>1528</v>
      </c>
      <c r="F234" t="s">
        <v>1856</v>
      </c>
      <c r="G234" t="s">
        <v>2699</v>
      </c>
      <c r="H234" s="291">
        <v>322230</v>
      </c>
      <c r="I234" s="4" t="s">
        <v>3254</v>
      </c>
      <c r="J234" s="4" t="s">
        <v>2700</v>
      </c>
    </row>
    <row r="235" spans="1:11" s="229" customFormat="1" ht="57">
      <c r="A235" s="229">
        <v>233</v>
      </c>
      <c r="B235" s="229" t="s">
        <v>1859</v>
      </c>
      <c r="C235" s="229" t="s">
        <v>476</v>
      </c>
      <c r="D235" s="229" t="s">
        <v>475</v>
      </c>
      <c r="E235" s="229" t="s">
        <v>1528</v>
      </c>
      <c r="F235" s="229" t="s">
        <v>1856</v>
      </c>
      <c r="G235" s="229" t="s">
        <v>2701</v>
      </c>
      <c r="H235" s="293">
        <v>322291</v>
      </c>
      <c r="I235" s="299" t="s">
        <v>3255</v>
      </c>
      <c r="J235" s="299" t="s">
        <v>2702</v>
      </c>
    </row>
    <row r="236" spans="1:11" s="229" customFormat="1" ht="71.25">
      <c r="A236" s="229">
        <v>234</v>
      </c>
      <c r="B236" s="229" t="s">
        <v>1860</v>
      </c>
      <c r="C236" s="229" t="s">
        <v>478</v>
      </c>
      <c r="D236" s="229" t="s">
        <v>477</v>
      </c>
      <c r="E236" s="229" t="s">
        <v>1528</v>
      </c>
      <c r="F236" s="229" t="s">
        <v>1856</v>
      </c>
      <c r="G236" s="229" t="s">
        <v>2703</v>
      </c>
      <c r="H236" s="293">
        <v>322299</v>
      </c>
      <c r="I236" s="299" t="s">
        <v>3256</v>
      </c>
      <c r="J236" s="299" t="s">
        <v>2704</v>
      </c>
    </row>
    <row r="237" spans="1:11" ht="85.5" hidden="1">
      <c r="A237">
        <v>235</v>
      </c>
      <c r="B237" t="s">
        <v>1861</v>
      </c>
      <c r="C237" t="s">
        <v>480</v>
      </c>
      <c r="D237" t="s">
        <v>479</v>
      </c>
      <c r="E237" t="s">
        <v>1528</v>
      </c>
      <c r="F237" t="s">
        <v>1862</v>
      </c>
      <c r="G237" t="s">
        <v>2705</v>
      </c>
      <c r="H237" s="291">
        <v>323110</v>
      </c>
      <c r="I237" s="4" t="s">
        <v>3257</v>
      </c>
      <c r="J237" s="4" t="s">
        <v>2706</v>
      </c>
    </row>
    <row r="238" spans="1:11" ht="42.75" hidden="1">
      <c r="A238">
        <v>236</v>
      </c>
      <c r="B238" t="s">
        <v>1863</v>
      </c>
      <c r="C238" t="s">
        <v>482</v>
      </c>
      <c r="D238" t="s">
        <v>481</v>
      </c>
      <c r="E238" t="s">
        <v>1528</v>
      </c>
      <c r="F238" t="s">
        <v>1862</v>
      </c>
      <c r="G238" t="s">
        <v>2707</v>
      </c>
      <c r="H238" s="291">
        <v>323120</v>
      </c>
      <c r="I238" s="4" t="s">
        <v>3258</v>
      </c>
      <c r="J238" s="4" t="s">
        <v>2708</v>
      </c>
    </row>
    <row r="239" spans="1:11" ht="42.75" hidden="1">
      <c r="A239">
        <v>237</v>
      </c>
      <c r="B239" t="s">
        <v>1864</v>
      </c>
      <c r="C239" t="s">
        <v>484</v>
      </c>
      <c r="D239" t="s">
        <v>483</v>
      </c>
      <c r="E239" t="s">
        <v>1528</v>
      </c>
      <c r="F239" t="s">
        <v>1865</v>
      </c>
      <c r="G239" t="s">
        <v>2709</v>
      </c>
      <c r="H239" s="92">
        <v>324110</v>
      </c>
      <c r="I239" s="4" t="s">
        <v>2710</v>
      </c>
      <c r="J239" s="4" t="s">
        <v>2710</v>
      </c>
      <c r="K239" t="s">
        <v>2711</v>
      </c>
    </row>
    <row r="240" spans="1:11" ht="42.75" hidden="1">
      <c r="A240">
        <v>238</v>
      </c>
      <c r="B240" t="s">
        <v>1866</v>
      </c>
      <c r="C240" t="s">
        <v>486</v>
      </c>
      <c r="D240" t="s">
        <v>485</v>
      </c>
      <c r="E240" t="s">
        <v>1528</v>
      </c>
      <c r="F240" t="s">
        <v>1865</v>
      </c>
      <c r="G240" t="s">
        <v>2712</v>
      </c>
      <c r="H240" s="92">
        <v>324121</v>
      </c>
      <c r="I240" s="4" t="s">
        <v>2713</v>
      </c>
      <c r="J240" s="4" t="s">
        <v>2713</v>
      </c>
    </row>
    <row r="241" spans="1:12" ht="57" hidden="1">
      <c r="A241">
        <v>239</v>
      </c>
      <c r="B241" t="s">
        <v>1867</v>
      </c>
      <c r="C241" t="s">
        <v>488</v>
      </c>
      <c r="D241" t="s">
        <v>487</v>
      </c>
      <c r="E241" t="s">
        <v>1528</v>
      </c>
      <c r="F241" t="s">
        <v>1865</v>
      </c>
      <c r="G241" t="s">
        <v>2714</v>
      </c>
      <c r="H241" s="92">
        <v>324122</v>
      </c>
      <c r="I241" s="4" t="s">
        <v>2715</v>
      </c>
      <c r="J241" s="4" t="s">
        <v>2715</v>
      </c>
    </row>
    <row r="242" spans="1:12" ht="57" hidden="1">
      <c r="A242">
        <v>240</v>
      </c>
      <c r="B242" t="s">
        <v>1868</v>
      </c>
      <c r="C242" t="s">
        <v>490</v>
      </c>
      <c r="D242" t="s">
        <v>489</v>
      </c>
      <c r="E242" t="s">
        <v>1528</v>
      </c>
      <c r="F242" t="s">
        <v>1865</v>
      </c>
      <c r="G242" t="s">
        <v>2716</v>
      </c>
      <c r="H242" s="291">
        <v>324190</v>
      </c>
      <c r="I242" s="4" t="s">
        <v>3259</v>
      </c>
      <c r="J242" s="4" t="s">
        <v>2717</v>
      </c>
    </row>
    <row r="243" spans="1:12" ht="71.25" hidden="1">
      <c r="A243">
        <v>241</v>
      </c>
      <c r="B243" t="s">
        <v>1869</v>
      </c>
      <c r="C243" t="s">
        <v>492</v>
      </c>
      <c r="D243" t="s">
        <v>491</v>
      </c>
      <c r="E243" t="s">
        <v>1528</v>
      </c>
      <c r="F243" t="s">
        <v>1870</v>
      </c>
      <c r="G243" t="s">
        <v>2718</v>
      </c>
      <c r="H243" s="291">
        <v>325110</v>
      </c>
      <c r="I243" s="4" t="s">
        <v>3260</v>
      </c>
      <c r="J243" s="4" t="s">
        <v>2719</v>
      </c>
    </row>
    <row r="244" spans="1:12" s="229" customFormat="1" ht="42.75">
      <c r="A244" s="229">
        <v>242</v>
      </c>
      <c r="B244" s="229" t="s">
        <v>1871</v>
      </c>
      <c r="C244" s="229" t="s">
        <v>494</v>
      </c>
      <c r="D244" s="229" t="s">
        <v>493</v>
      </c>
      <c r="E244" s="229" t="s">
        <v>1528</v>
      </c>
      <c r="F244" s="229" t="s">
        <v>1870</v>
      </c>
      <c r="G244" s="229" t="s">
        <v>2720</v>
      </c>
      <c r="H244" s="293">
        <v>325120</v>
      </c>
      <c r="I244" s="299" t="s">
        <v>3261</v>
      </c>
      <c r="J244" s="299" t="s">
        <v>2721</v>
      </c>
    </row>
    <row r="245" spans="1:12" ht="42.75" hidden="1">
      <c r="A245">
        <v>243</v>
      </c>
      <c r="B245" t="s">
        <v>1872</v>
      </c>
      <c r="C245" t="s">
        <v>496</v>
      </c>
      <c r="D245" t="s">
        <v>495</v>
      </c>
      <c r="E245" t="s">
        <v>1528</v>
      </c>
      <c r="F245" t="s">
        <v>1870</v>
      </c>
      <c r="G245" t="s">
        <v>2722</v>
      </c>
      <c r="H245" s="291">
        <v>325130</v>
      </c>
      <c r="I245" s="4" t="s">
        <v>3262</v>
      </c>
      <c r="J245" s="4" t="s">
        <v>2723</v>
      </c>
    </row>
    <row r="246" spans="1:12" s="229" customFormat="1" ht="42.75">
      <c r="A246" s="229">
        <v>244</v>
      </c>
      <c r="B246" s="229" t="s">
        <v>1873</v>
      </c>
      <c r="C246" s="229" t="s">
        <v>498</v>
      </c>
      <c r="D246" s="229" t="s">
        <v>497</v>
      </c>
      <c r="E246" s="229" t="s">
        <v>1528</v>
      </c>
      <c r="F246" s="229" t="s">
        <v>1870</v>
      </c>
      <c r="G246" s="229" t="s">
        <v>2724</v>
      </c>
      <c r="H246" s="292">
        <v>325180</v>
      </c>
      <c r="I246" s="299" t="s">
        <v>2725</v>
      </c>
      <c r="J246" s="299" t="s">
        <v>2725</v>
      </c>
    </row>
    <row r="247" spans="1:12" s="229" customFormat="1" ht="42.75">
      <c r="A247" s="229">
        <v>245</v>
      </c>
      <c r="B247" s="229" t="s">
        <v>1874</v>
      </c>
      <c r="C247" s="229" t="s">
        <v>500</v>
      </c>
      <c r="D247" s="229" t="s">
        <v>499</v>
      </c>
      <c r="E247" s="229" t="s">
        <v>1528</v>
      </c>
      <c r="F247" s="229" t="s">
        <v>1870</v>
      </c>
      <c r="G247" s="229" t="s">
        <v>2726</v>
      </c>
      <c r="H247" s="293">
        <v>325190</v>
      </c>
      <c r="I247" s="299" t="s">
        <v>3263</v>
      </c>
      <c r="J247" s="299" t="s">
        <v>2727</v>
      </c>
    </row>
    <row r="248" spans="1:12" ht="57" hidden="1">
      <c r="A248">
        <v>246</v>
      </c>
      <c r="B248" t="s">
        <v>1875</v>
      </c>
      <c r="C248" t="s">
        <v>502</v>
      </c>
      <c r="D248" t="s">
        <v>501</v>
      </c>
      <c r="E248" t="s">
        <v>1528</v>
      </c>
      <c r="F248" t="s">
        <v>1876</v>
      </c>
      <c r="G248" t="s">
        <v>2728</v>
      </c>
      <c r="H248" s="291">
        <v>325211</v>
      </c>
      <c r="I248" s="4" t="s">
        <v>3264</v>
      </c>
      <c r="J248" s="4" t="s">
        <v>2729</v>
      </c>
    </row>
    <row r="249" spans="1:12" ht="28.5" hidden="1">
      <c r="A249">
        <v>247</v>
      </c>
      <c r="B249" t="s">
        <v>1877</v>
      </c>
      <c r="C249" t="s">
        <v>504</v>
      </c>
      <c r="D249" t="s">
        <v>503</v>
      </c>
      <c r="E249" t="s">
        <v>1528</v>
      </c>
      <c r="F249" t="s">
        <v>1876</v>
      </c>
      <c r="G249" t="s">
        <v>2730</v>
      </c>
      <c r="H249" s="291" t="s">
        <v>503</v>
      </c>
      <c r="I249" s="4" t="s">
        <v>3239</v>
      </c>
      <c r="J249" s="4" t="s">
        <v>2731</v>
      </c>
      <c r="K249" t="s">
        <v>2732</v>
      </c>
      <c r="L249" t="s">
        <v>2733</v>
      </c>
    </row>
    <row r="250" spans="1:12" s="229" customFormat="1" ht="57">
      <c r="A250" s="229">
        <v>248</v>
      </c>
      <c r="B250" s="229" t="s">
        <v>1878</v>
      </c>
      <c r="C250" s="229" t="s">
        <v>510</v>
      </c>
      <c r="D250" s="229" t="s">
        <v>509</v>
      </c>
      <c r="E250" s="229" t="s">
        <v>1528</v>
      </c>
      <c r="F250" s="229" t="s">
        <v>1879</v>
      </c>
      <c r="G250" s="229" t="s">
        <v>2734</v>
      </c>
      <c r="H250" s="293">
        <v>325411</v>
      </c>
      <c r="I250" s="299" t="s">
        <v>3265</v>
      </c>
      <c r="J250" s="299" t="s">
        <v>2735</v>
      </c>
    </row>
    <row r="251" spans="1:12" s="229" customFormat="1" ht="71.25">
      <c r="A251" s="229">
        <v>249</v>
      </c>
      <c r="B251" s="229" t="s">
        <v>1880</v>
      </c>
      <c r="C251" s="229" t="s">
        <v>512</v>
      </c>
      <c r="D251" s="229" t="s">
        <v>511</v>
      </c>
      <c r="E251" s="229" t="s">
        <v>1528</v>
      </c>
      <c r="F251" s="229" t="s">
        <v>1879</v>
      </c>
      <c r="G251" s="229" t="s">
        <v>2736</v>
      </c>
      <c r="H251" s="293">
        <v>325412</v>
      </c>
      <c r="I251" s="299" t="s">
        <v>3266</v>
      </c>
      <c r="J251" s="299" t="s">
        <v>2737</v>
      </c>
    </row>
    <row r="252" spans="1:12" s="229" customFormat="1" ht="71.25">
      <c r="A252" s="229">
        <v>250</v>
      </c>
      <c r="B252" s="229" t="s">
        <v>1881</v>
      </c>
      <c r="C252" s="229" t="s">
        <v>514</v>
      </c>
      <c r="D252" s="229" t="s">
        <v>513</v>
      </c>
      <c r="E252" s="229" t="s">
        <v>1528</v>
      </c>
      <c r="F252" s="229" t="s">
        <v>1879</v>
      </c>
      <c r="G252" s="229" t="s">
        <v>2738</v>
      </c>
      <c r="H252" s="293">
        <v>325413</v>
      </c>
      <c r="I252" s="299" t="s">
        <v>3267</v>
      </c>
      <c r="J252" s="299" t="s">
        <v>2739</v>
      </c>
    </row>
    <row r="253" spans="1:12" s="229" customFormat="1" ht="42.75">
      <c r="A253" s="229">
        <v>251</v>
      </c>
      <c r="B253" s="229" t="s">
        <v>1882</v>
      </c>
      <c r="C253" s="229" t="s">
        <v>516</v>
      </c>
      <c r="D253" s="229" t="s">
        <v>515</v>
      </c>
      <c r="E253" s="229" t="s">
        <v>1528</v>
      </c>
      <c r="F253" s="229" t="s">
        <v>1879</v>
      </c>
      <c r="G253" s="229" t="s">
        <v>2740</v>
      </c>
      <c r="H253" s="293">
        <v>325414</v>
      </c>
      <c r="I253" s="299" t="s">
        <v>3268</v>
      </c>
      <c r="J253" s="299" t="s">
        <v>2741</v>
      </c>
    </row>
    <row r="254" spans="1:12" ht="28.5" hidden="1">
      <c r="A254">
        <v>252</v>
      </c>
      <c r="B254" t="s">
        <v>1883</v>
      </c>
      <c r="C254" t="s">
        <v>506</v>
      </c>
      <c r="D254" t="s">
        <v>505</v>
      </c>
      <c r="E254" t="s">
        <v>1528</v>
      </c>
      <c r="F254" t="s">
        <v>1884</v>
      </c>
      <c r="G254" t="s">
        <v>2742</v>
      </c>
      <c r="H254" s="291">
        <v>325310</v>
      </c>
      <c r="I254" s="4" t="s">
        <v>3269</v>
      </c>
      <c r="J254" s="4" t="s">
        <v>2743</v>
      </c>
    </row>
    <row r="255" spans="1:12" ht="42.75" hidden="1">
      <c r="A255">
        <v>253</v>
      </c>
      <c r="B255" t="s">
        <v>1885</v>
      </c>
      <c r="C255" t="s">
        <v>508</v>
      </c>
      <c r="D255" t="s">
        <v>507</v>
      </c>
      <c r="E255" t="s">
        <v>1528</v>
      </c>
      <c r="F255" t="s">
        <v>1884</v>
      </c>
      <c r="G255" t="s">
        <v>2744</v>
      </c>
      <c r="H255" s="92">
        <v>325320</v>
      </c>
      <c r="I255" s="4" t="s">
        <v>2745</v>
      </c>
      <c r="J255" s="4" t="s">
        <v>2745</v>
      </c>
    </row>
    <row r="256" spans="1:12" ht="71.25" hidden="1">
      <c r="A256">
        <v>254</v>
      </c>
      <c r="B256" t="s">
        <v>1886</v>
      </c>
      <c r="C256" t="s">
        <v>518</v>
      </c>
      <c r="D256" t="s">
        <v>517</v>
      </c>
      <c r="E256" t="s">
        <v>1528</v>
      </c>
      <c r="F256" t="s">
        <v>1887</v>
      </c>
      <c r="G256" t="s">
        <v>2746</v>
      </c>
      <c r="H256" s="291">
        <v>325510</v>
      </c>
      <c r="I256" s="4" t="s">
        <v>3270</v>
      </c>
      <c r="J256" s="4" t="s">
        <v>2747</v>
      </c>
    </row>
    <row r="257" spans="1:11" s="229" customFormat="1" ht="28.5">
      <c r="A257" s="229">
        <v>255</v>
      </c>
      <c r="B257" s="229" t="s">
        <v>1888</v>
      </c>
      <c r="C257" s="229" t="s">
        <v>520</v>
      </c>
      <c r="D257" s="229" t="s">
        <v>519</v>
      </c>
      <c r="E257" s="229" t="s">
        <v>1528</v>
      </c>
      <c r="F257" s="229" t="s">
        <v>1887</v>
      </c>
      <c r="G257" s="229" t="s">
        <v>2748</v>
      </c>
      <c r="H257" s="293">
        <v>325520</v>
      </c>
      <c r="I257" s="299" t="s">
        <v>3271</v>
      </c>
      <c r="J257" s="299" t="s">
        <v>2749</v>
      </c>
    </row>
    <row r="258" spans="1:11" s="229" customFormat="1" ht="57">
      <c r="A258" s="229">
        <v>256</v>
      </c>
      <c r="B258" s="229" t="s">
        <v>1889</v>
      </c>
      <c r="C258" s="229" t="s">
        <v>522</v>
      </c>
      <c r="D258" s="229" t="s">
        <v>521</v>
      </c>
      <c r="E258" s="229" t="s">
        <v>1528</v>
      </c>
      <c r="F258" s="229" t="s">
        <v>1890</v>
      </c>
      <c r="G258" s="229" t="s">
        <v>2750</v>
      </c>
      <c r="H258" s="293">
        <v>325610</v>
      </c>
      <c r="I258" s="299" t="s">
        <v>3272</v>
      </c>
      <c r="J258" s="299" t="s">
        <v>2751</v>
      </c>
    </row>
    <row r="259" spans="1:11" s="229" customFormat="1" ht="57">
      <c r="A259" s="229">
        <v>257</v>
      </c>
      <c r="B259" s="229" t="s">
        <v>1891</v>
      </c>
      <c r="C259" s="229" t="s">
        <v>524</v>
      </c>
      <c r="D259" s="229" t="s">
        <v>523</v>
      </c>
      <c r="E259" s="229" t="s">
        <v>1528</v>
      </c>
      <c r="F259" s="229" t="s">
        <v>1890</v>
      </c>
      <c r="G259" s="229" t="s">
        <v>2752</v>
      </c>
      <c r="H259" s="293">
        <v>325620</v>
      </c>
      <c r="I259" s="299" t="s">
        <v>3273</v>
      </c>
      <c r="J259" s="299" t="s">
        <v>2753</v>
      </c>
    </row>
    <row r="260" spans="1:11" ht="28.5" hidden="1">
      <c r="A260">
        <v>258</v>
      </c>
      <c r="B260" t="s">
        <v>1892</v>
      </c>
      <c r="C260" t="s">
        <v>526</v>
      </c>
      <c r="D260" t="s">
        <v>525</v>
      </c>
      <c r="E260" t="s">
        <v>1528</v>
      </c>
      <c r="F260" t="s">
        <v>1893</v>
      </c>
      <c r="G260" t="s">
        <v>2754</v>
      </c>
      <c r="H260" s="92">
        <v>325910</v>
      </c>
      <c r="I260" s="4" t="s">
        <v>2755</v>
      </c>
      <c r="J260" s="4" t="s">
        <v>2755</v>
      </c>
    </row>
    <row r="261" spans="1:11" s="229" customFormat="1" ht="85.5">
      <c r="A261" s="229">
        <v>259</v>
      </c>
      <c r="B261" s="229" t="s">
        <v>1894</v>
      </c>
      <c r="C261" s="229" t="s">
        <v>528</v>
      </c>
      <c r="D261" s="229" t="s">
        <v>527</v>
      </c>
      <c r="E261" s="229" t="s">
        <v>1528</v>
      </c>
      <c r="F261" s="229" t="s">
        <v>1893</v>
      </c>
      <c r="G261" s="229" t="s">
        <v>2756</v>
      </c>
      <c r="H261" s="293" t="s">
        <v>527</v>
      </c>
      <c r="I261" s="299" t="s">
        <v>3274</v>
      </c>
      <c r="J261" s="299" t="s">
        <v>2757</v>
      </c>
      <c r="K261" s="229" t="s">
        <v>2758</v>
      </c>
    </row>
    <row r="262" spans="1:11" ht="57" hidden="1">
      <c r="A262">
        <v>260</v>
      </c>
      <c r="B262" t="s">
        <v>1895</v>
      </c>
      <c r="C262" t="s">
        <v>530</v>
      </c>
      <c r="D262" t="s">
        <v>529</v>
      </c>
      <c r="E262" t="s">
        <v>1528</v>
      </c>
      <c r="F262" t="s">
        <v>1896</v>
      </c>
      <c r="G262" t="s">
        <v>2759</v>
      </c>
      <c r="H262" s="291">
        <v>326110</v>
      </c>
      <c r="I262" s="4" t="s">
        <v>3275</v>
      </c>
      <c r="J262" s="4" t="s">
        <v>2760</v>
      </c>
    </row>
    <row r="263" spans="1:11" ht="42.75" hidden="1">
      <c r="A263">
        <v>261</v>
      </c>
      <c r="B263" t="s">
        <v>1897</v>
      </c>
      <c r="C263" t="s">
        <v>532</v>
      </c>
      <c r="D263" t="s">
        <v>531</v>
      </c>
      <c r="E263" t="s">
        <v>1528</v>
      </c>
      <c r="F263" t="s">
        <v>1896</v>
      </c>
      <c r="G263" t="s">
        <v>2761</v>
      </c>
      <c r="H263" s="291">
        <v>326120</v>
      </c>
      <c r="I263" s="4" t="s">
        <v>3276</v>
      </c>
      <c r="J263" s="4" t="s">
        <v>2762</v>
      </c>
    </row>
    <row r="264" spans="1:11" ht="71.25" hidden="1">
      <c r="A264">
        <v>262</v>
      </c>
      <c r="B264" t="s">
        <v>1898</v>
      </c>
      <c r="C264" t="s">
        <v>534</v>
      </c>
      <c r="D264" t="s">
        <v>533</v>
      </c>
      <c r="E264" t="s">
        <v>1528</v>
      </c>
      <c r="F264" t="s">
        <v>1896</v>
      </c>
      <c r="G264" t="s">
        <v>2763</v>
      </c>
      <c r="H264" s="291">
        <v>326130</v>
      </c>
      <c r="I264" s="4" t="s">
        <v>3277</v>
      </c>
      <c r="J264" s="4" t="s">
        <v>2764</v>
      </c>
    </row>
    <row r="265" spans="1:11" ht="28.5" hidden="1">
      <c r="A265">
        <v>263</v>
      </c>
      <c r="B265" t="s">
        <v>1899</v>
      </c>
      <c r="C265" t="s">
        <v>536</v>
      </c>
      <c r="D265" t="s">
        <v>535</v>
      </c>
      <c r="E265" t="s">
        <v>1528</v>
      </c>
      <c r="F265" t="s">
        <v>1896</v>
      </c>
      <c r="G265" t="s">
        <v>2765</v>
      </c>
      <c r="H265" s="92">
        <v>326140</v>
      </c>
      <c r="I265" s="4" t="s">
        <v>2766</v>
      </c>
      <c r="J265" s="4" t="s">
        <v>2766</v>
      </c>
    </row>
    <row r="266" spans="1:11" ht="42.75" hidden="1">
      <c r="A266">
        <v>264</v>
      </c>
      <c r="B266" t="s">
        <v>1900</v>
      </c>
      <c r="C266" t="s">
        <v>538</v>
      </c>
      <c r="D266" t="s">
        <v>537</v>
      </c>
      <c r="E266" t="s">
        <v>1528</v>
      </c>
      <c r="F266" t="s">
        <v>1896</v>
      </c>
      <c r="G266" t="s">
        <v>2767</v>
      </c>
      <c r="H266" s="92">
        <v>326150</v>
      </c>
      <c r="I266" s="4" t="s">
        <v>2768</v>
      </c>
      <c r="J266" s="4" t="s">
        <v>2768</v>
      </c>
    </row>
    <row r="267" spans="1:11" ht="28.5" hidden="1">
      <c r="A267">
        <v>265</v>
      </c>
      <c r="B267" t="s">
        <v>1901</v>
      </c>
      <c r="C267" t="s">
        <v>540</v>
      </c>
      <c r="D267" t="s">
        <v>539</v>
      </c>
      <c r="E267" t="s">
        <v>1528</v>
      </c>
      <c r="F267" t="s">
        <v>1896</v>
      </c>
      <c r="G267" t="s">
        <v>2769</v>
      </c>
      <c r="H267" s="92">
        <v>326160</v>
      </c>
      <c r="I267" s="4" t="s">
        <v>2770</v>
      </c>
      <c r="J267" s="4" t="s">
        <v>2770</v>
      </c>
    </row>
    <row r="268" spans="1:11" ht="42.75" hidden="1">
      <c r="A268">
        <v>266</v>
      </c>
      <c r="B268" t="s">
        <v>1902</v>
      </c>
      <c r="C268" t="s">
        <v>542</v>
      </c>
      <c r="D268" t="s">
        <v>541</v>
      </c>
      <c r="E268" t="s">
        <v>1528</v>
      </c>
      <c r="F268" t="s">
        <v>1896</v>
      </c>
      <c r="G268" t="s">
        <v>2771</v>
      </c>
      <c r="H268" s="291">
        <v>326190</v>
      </c>
      <c r="I268" s="4" t="s">
        <v>3278</v>
      </c>
      <c r="J268" s="4" t="s">
        <v>2772</v>
      </c>
    </row>
    <row r="269" spans="1:11" ht="42.75" hidden="1">
      <c r="A269">
        <v>267</v>
      </c>
      <c r="B269" t="s">
        <v>1903</v>
      </c>
      <c r="C269" t="s">
        <v>544</v>
      </c>
      <c r="D269" t="s">
        <v>543</v>
      </c>
      <c r="E269" t="s">
        <v>1528</v>
      </c>
      <c r="F269" t="s">
        <v>1904</v>
      </c>
      <c r="G269" t="s">
        <v>2773</v>
      </c>
      <c r="H269" s="92">
        <v>326210</v>
      </c>
      <c r="I269" s="4" t="s">
        <v>2774</v>
      </c>
      <c r="J269" s="4" t="s">
        <v>2774</v>
      </c>
    </row>
    <row r="270" spans="1:11" ht="71.25" hidden="1">
      <c r="A270">
        <v>268</v>
      </c>
      <c r="B270" t="s">
        <v>1905</v>
      </c>
      <c r="C270" t="s">
        <v>546</v>
      </c>
      <c r="D270" t="s">
        <v>545</v>
      </c>
      <c r="E270" t="s">
        <v>1528</v>
      </c>
      <c r="F270" t="s">
        <v>1904</v>
      </c>
      <c r="G270" t="s">
        <v>2775</v>
      </c>
      <c r="H270" s="92">
        <v>326220</v>
      </c>
      <c r="I270" s="4" t="s">
        <v>2776</v>
      </c>
      <c r="J270" s="4" t="s">
        <v>2776</v>
      </c>
    </row>
    <row r="271" spans="1:11" ht="42.75" hidden="1">
      <c r="A271">
        <v>269</v>
      </c>
      <c r="B271" t="s">
        <v>1906</v>
      </c>
      <c r="C271" t="s">
        <v>548</v>
      </c>
      <c r="D271" t="s">
        <v>547</v>
      </c>
      <c r="E271" t="s">
        <v>1528</v>
      </c>
      <c r="F271" t="s">
        <v>1904</v>
      </c>
      <c r="G271" t="s">
        <v>2777</v>
      </c>
      <c r="H271" s="291">
        <v>326290</v>
      </c>
      <c r="I271" s="4" t="s">
        <v>3279</v>
      </c>
      <c r="J271" s="4" t="s">
        <v>2778</v>
      </c>
    </row>
    <row r="272" spans="1:11" ht="42.75" hidden="1">
      <c r="A272">
        <v>270</v>
      </c>
      <c r="B272" t="s">
        <v>1907</v>
      </c>
      <c r="C272" t="s">
        <v>850</v>
      </c>
      <c r="D272" t="s">
        <v>849</v>
      </c>
      <c r="E272" t="s">
        <v>1528</v>
      </c>
      <c r="F272" t="s">
        <v>1908</v>
      </c>
      <c r="G272" t="s">
        <v>2779</v>
      </c>
      <c r="H272" s="291">
        <v>423100</v>
      </c>
      <c r="I272" s="4" t="s">
        <v>3280</v>
      </c>
      <c r="J272" s="4" t="s">
        <v>2780</v>
      </c>
    </row>
    <row r="273" spans="1:12" ht="71.25" hidden="1">
      <c r="A273">
        <v>271</v>
      </c>
      <c r="B273" t="s">
        <v>1909</v>
      </c>
      <c r="C273" t="s">
        <v>852</v>
      </c>
      <c r="D273" t="s">
        <v>851</v>
      </c>
      <c r="E273" t="s">
        <v>1528</v>
      </c>
      <c r="F273" t="s">
        <v>1910</v>
      </c>
      <c r="G273" t="s">
        <v>2781</v>
      </c>
      <c r="H273" s="291">
        <v>423400</v>
      </c>
      <c r="I273" s="4" t="s">
        <v>3281</v>
      </c>
      <c r="J273" s="4" t="s">
        <v>2782</v>
      </c>
    </row>
    <row r="274" spans="1:12" ht="71.25" hidden="1">
      <c r="A274">
        <v>272</v>
      </c>
      <c r="B274" t="s">
        <v>1911</v>
      </c>
      <c r="C274" t="s">
        <v>854</v>
      </c>
      <c r="D274" t="s">
        <v>853</v>
      </c>
      <c r="E274" t="s">
        <v>1528</v>
      </c>
      <c r="F274" t="s">
        <v>1912</v>
      </c>
      <c r="G274" t="s">
        <v>2783</v>
      </c>
      <c r="H274" s="291">
        <v>423600</v>
      </c>
      <c r="I274" s="4" t="s">
        <v>3282</v>
      </c>
      <c r="J274" s="4" t="s">
        <v>2784</v>
      </c>
    </row>
    <row r="275" spans="1:12" ht="57" hidden="1">
      <c r="A275">
        <v>273</v>
      </c>
      <c r="B275" t="s">
        <v>1913</v>
      </c>
      <c r="C275" t="s">
        <v>856</v>
      </c>
      <c r="D275" t="s">
        <v>855</v>
      </c>
      <c r="E275" t="s">
        <v>1528</v>
      </c>
      <c r="F275" t="s">
        <v>1914</v>
      </c>
      <c r="G275" t="s">
        <v>2785</v>
      </c>
      <c r="H275" s="291">
        <v>423800</v>
      </c>
      <c r="I275" s="4" t="s">
        <v>3283</v>
      </c>
      <c r="J275" s="4" t="s">
        <v>2786</v>
      </c>
    </row>
    <row r="276" spans="1:12" s="229" customFormat="1">
      <c r="A276" s="229">
        <v>274</v>
      </c>
      <c r="B276" s="229" t="s">
        <v>1915</v>
      </c>
      <c r="C276" s="229" t="s">
        <v>858</v>
      </c>
      <c r="D276" s="229" t="s">
        <v>857</v>
      </c>
      <c r="E276" s="229" t="s">
        <v>1528</v>
      </c>
      <c r="F276" s="229" t="s">
        <v>1916</v>
      </c>
      <c r="G276" s="229" t="s">
        <v>2787</v>
      </c>
      <c r="H276" s="297" t="s">
        <v>857</v>
      </c>
      <c r="I276" s="299" t="s">
        <v>3284</v>
      </c>
      <c r="J276" s="299" t="s">
        <v>2788</v>
      </c>
      <c r="K276" s="229" t="s">
        <v>2789</v>
      </c>
      <c r="L276" s="229" t="s">
        <v>2790</v>
      </c>
    </row>
    <row r="277" spans="1:12" s="229" customFormat="1" ht="71.25">
      <c r="A277" s="229">
        <v>275</v>
      </c>
      <c r="B277" s="229" t="s">
        <v>1917</v>
      </c>
      <c r="C277" s="229" t="s">
        <v>1918</v>
      </c>
      <c r="D277" s="229" t="s">
        <v>859</v>
      </c>
      <c r="E277" s="229" t="s">
        <v>1528</v>
      </c>
      <c r="F277" s="229" t="s">
        <v>1919</v>
      </c>
      <c r="G277" s="229" t="s">
        <v>2791</v>
      </c>
      <c r="H277" s="293">
        <v>424200</v>
      </c>
      <c r="I277" s="299" t="s">
        <v>3285</v>
      </c>
      <c r="J277" s="299" t="s">
        <v>2792</v>
      </c>
    </row>
    <row r="278" spans="1:12" ht="99.75" hidden="1">
      <c r="A278">
        <v>276</v>
      </c>
      <c r="B278" t="s">
        <v>1920</v>
      </c>
      <c r="C278" t="s">
        <v>862</v>
      </c>
      <c r="D278" t="s">
        <v>861</v>
      </c>
      <c r="E278" t="s">
        <v>1528</v>
      </c>
      <c r="F278" t="s">
        <v>1921</v>
      </c>
      <c r="G278" t="s">
        <v>2793</v>
      </c>
      <c r="H278" s="291">
        <v>424400</v>
      </c>
      <c r="I278" s="4" t="s">
        <v>3286</v>
      </c>
      <c r="J278" s="4" t="s">
        <v>2794</v>
      </c>
    </row>
    <row r="279" spans="1:12" ht="42.75" hidden="1">
      <c r="A279">
        <v>277</v>
      </c>
      <c r="B279" t="s">
        <v>1922</v>
      </c>
      <c r="C279" t="s">
        <v>864</v>
      </c>
      <c r="D279" t="s">
        <v>863</v>
      </c>
      <c r="E279" t="s">
        <v>1528</v>
      </c>
      <c r="F279" t="s">
        <v>1923</v>
      </c>
      <c r="G279" t="s">
        <v>2795</v>
      </c>
      <c r="H279" s="291">
        <v>424700</v>
      </c>
      <c r="I279" s="4" t="s">
        <v>3287</v>
      </c>
      <c r="J279" s="4" t="s">
        <v>2796</v>
      </c>
    </row>
    <row r="280" spans="1:12" hidden="1">
      <c r="A280">
        <v>278</v>
      </c>
      <c r="B280" t="s">
        <v>1924</v>
      </c>
      <c r="C280" t="s">
        <v>866</v>
      </c>
      <c r="D280" t="s">
        <v>865</v>
      </c>
      <c r="E280" t="s">
        <v>1528</v>
      </c>
      <c r="F280" t="s">
        <v>1916</v>
      </c>
      <c r="G280" t="s">
        <v>2797</v>
      </c>
      <c r="H280" s="291" t="s">
        <v>865</v>
      </c>
      <c r="I280" s="4" t="s">
        <v>3284</v>
      </c>
      <c r="J280" s="4" t="s">
        <v>2798</v>
      </c>
      <c r="K280" t="s">
        <v>2799</v>
      </c>
      <c r="L280" t="s">
        <v>2800</v>
      </c>
    </row>
    <row r="281" spans="1:12" ht="71.25" hidden="1">
      <c r="A281">
        <v>279</v>
      </c>
      <c r="B281" t="s">
        <v>1925</v>
      </c>
      <c r="C281" t="s">
        <v>868</v>
      </c>
      <c r="D281" t="s">
        <v>867</v>
      </c>
      <c r="E281" t="s">
        <v>1528</v>
      </c>
      <c r="F281" t="s">
        <v>1926</v>
      </c>
      <c r="G281" t="s">
        <v>2801</v>
      </c>
      <c r="H281" s="291">
        <v>425000</v>
      </c>
      <c r="I281" s="4" t="s">
        <v>3288</v>
      </c>
      <c r="J281" s="4" t="s">
        <v>2802</v>
      </c>
    </row>
    <row r="282" spans="1:12" ht="28.5" hidden="1">
      <c r="A282">
        <v>280</v>
      </c>
      <c r="B282" t="s">
        <v>1927</v>
      </c>
      <c r="C282" t="s">
        <v>848</v>
      </c>
      <c r="D282" t="s">
        <v>847</v>
      </c>
      <c r="E282" t="s">
        <v>1528</v>
      </c>
      <c r="F282" t="s">
        <v>1916</v>
      </c>
      <c r="G282" t="s">
        <v>2803</v>
      </c>
      <c r="H282" s="92" t="s">
        <v>847</v>
      </c>
      <c r="I282" s="4" t="s">
        <v>2804</v>
      </c>
      <c r="J282" s="4" t="s">
        <v>2804</v>
      </c>
    </row>
    <row r="283" spans="1:12" ht="156.75" hidden="1">
      <c r="A283">
        <v>281</v>
      </c>
      <c r="B283" t="s">
        <v>1928</v>
      </c>
      <c r="C283" t="s">
        <v>870</v>
      </c>
      <c r="D283" t="s">
        <v>869</v>
      </c>
      <c r="E283" t="s">
        <v>1528</v>
      </c>
      <c r="F283" t="s">
        <v>1929</v>
      </c>
      <c r="G283" t="s">
        <v>2805</v>
      </c>
      <c r="H283" s="291">
        <v>441000</v>
      </c>
      <c r="I283" s="4" t="s">
        <v>3289</v>
      </c>
      <c r="J283" s="4" t="s">
        <v>2806</v>
      </c>
    </row>
    <row r="284" spans="1:12" ht="85.5" hidden="1">
      <c r="A284">
        <v>282</v>
      </c>
      <c r="B284" t="s">
        <v>1930</v>
      </c>
      <c r="C284" t="s">
        <v>19</v>
      </c>
      <c r="D284" t="s">
        <v>873</v>
      </c>
      <c r="E284" t="s">
        <v>1528</v>
      </c>
      <c r="F284" t="s">
        <v>1931</v>
      </c>
      <c r="G284" t="s">
        <v>2807</v>
      </c>
      <c r="H284" s="291">
        <v>445000</v>
      </c>
      <c r="I284" s="4" t="s">
        <v>3290</v>
      </c>
      <c r="J284" s="4" t="s">
        <v>2808</v>
      </c>
    </row>
    <row r="285" spans="1:12" ht="71.25" hidden="1">
      <c r="A285">
        <v>283</v>
      </c>
      <c r="B285" t="s">
        <v>1932</v>
      </c>
      <c r="C285" t="s">
        <v>20</v>
      </c>
      <c r="D285" t="s">
        <v>880</v>
      </c>
      <c r="E285" t="s">
        <v>1528</v>
      </c>
      <c r="F285" t="s">
        <v>1933</v>
      </c>
      <c r="G285" t="s">
        <v>2809</v>
      </c>
      <c r="H285" s="92">
        <v>452000</v>
      </c>
      <c r="I285" s="4" t="s">
        <v>2810</v>
      </c>
      <c r="J285" s="4" t="s">
        <v>2810</v>
      </c>
    </row>
    <row r="286" spans="1:12" ht="42.75" hidden="1">
      <c r="A286">
        <v>284</v>
      </c>
      <c r="B286" t="s">
        <v>1934</v>
      </c>
      <c r="C286" t="s">
        <v>872</v>
      </c>
      <c r="D286" t="s">
        <v>871</v>
      </c>
      <c r="E286" t="s">
        <v>1528</v>
      </c>
      <c r="F286" t="s">
        <v>1935</v>
      </c>
      <c r="G286" t="s">
        <v>2811</v>
      </c>
      <c r="H286" s="92">
        <v>444000</v>
      </c>
      <c r="I286" s="4" t="s">
        <v>2812</v>
      </c>
      <c r="J286" s="4" t="s">
        <v>2812</v>
      </c>
      <c r="K286">
        <v>444</v>
      </c>
    </row>
    <row r="287" spans="1:12" ht="28.5" hidden="1">
      <c r="A287">
        <v>285</v>
      </c>
      <c r="B287" t="s">
        <v>1936</v>
      </c>
      <c r="C287" t="s">
        <v>875</v>
      </c>
      <c r="D287" t="s">
        <v>874</v>
      </c>
      <c r="E287" t="s">
        <v>1528</v>
      </c>
      <c r="F287" t="s">
        <v>1937</v>
      </c>
      <c r="G287" t="s">
        <v>2813</v>
      </c>
      <c r="H287" s="92">
        <v>446000</v>
      </c>
      <c r="I287" s="4" t="s">
        <v>2814</v>
      </c>
      <c r="J287" s="4" t="s">
        <v>2814</v>
      </c>
      <c r="K287">
        <v>446</v>
      </c>
    </row>
    <row r="288" spans="1:12" ht="28.5" hidden="1">
      <c r="A288">
        <v>286</v>
      </c>
      <c r="B288" t="s">
        <v>1938</v>
      </c>
      <c r="C288" t="s">
        <v>877</v>
      </c>
      <c r="D288" t="s">
        <v>876</v>
      </c>
      <c r="E288" t="s">
        <v>1528</v>
      </c>
      <c r="F288" t="s">
        <v>1939</v>
      </c>
      <c r="G288" t="s">
        <v>2815</v>
      </c>
      <c r="H288" s="92">
        <v>447000</v>
      </c>
      <c r="I288" s="4" t="s">
        <v>2816</v>
      </c>
      <c r="J288" s="4" t="s">
        <v>2816</v>
      </c>
      <c r="K288">
        <v>447</v>
      </c>
    </row>
    <row r="289" spans="1:12" ht="28.5" hidden="1">
      <c r="A289">
        <v>287</v>
      </c>
      <c r="B289" t="s">
        <v>1940</v>
      </c>
      <c r="C289" t="s">
        <v>879</v>
      </c>
      <c r="D289" t="s">
        <v>878</v>
      </c>
      <c r="E289" t="s">
        <v>1528</v>
      </c>
      <c r="F289" t="s">
        <v>1941</v>
      </c>
      <c r="G289" t="s">
        <v>2817</v>
      </c>
      <c r="H289" s="92">
        <v>448000</v>
      </c>
      <c r="I289" s="4" t="s">
        <v>2818</v>
      </c>
      <c r="J289" s="4" t="s">
        <v>2818</v>
      </c>
      <c r="K289">
        <v>448</v>
      </c>
    </row>
    <row r="290" spans="1:12" ht="28.5" hidden="1">
      <c r="A290">
        <v>288</v>
      </c>
      <c r="B290" t="s">
        <v>1942</v>
      </c>
      <c r="C290" t="s">
        <v>882</v>
      </c>
      <c r="D290" t="s">
        <v>881</v>
      </c>
      <c r="E290" t="s">
        <v>1528</v>
      </c>
      <c r="F290" t="s">
        <v>1943</v>
      </c>
      <c r="G290" t="s">
        <v>2819</v>
      </c>
      <c r="H290" s="92">
        <v>454000</v>
      </c>
      <c r="I290" s="4" t="s">
        <v>2820</v>
      </c>
      <c r="J290" s="4" t="s">
        <v>2820</v>
      </c>
      <c r="K290">
        <v>454</v>
      </c>
    </row>
    <row r="291" spans="1:12" ht="42.75" hidden="1">
      <c r="A291">
        <v>289</v>
      </c>
      <c r="B291" t="s">
        <v>1944</v>
      </c>
      <c r="C291" t="s">
        <v>103</v>
      </c>
      <c r="D291" t="s">
        <v>903</v>
      </c>
      <c r="E291" t="s">
        <v>1528</v>
      </c>
      <c r="F291" t="s">
        <v>1945</v>
      </c>
      <c r="G291" t="s">
        <v>2821</v>
      </c>
      <c r="H291" s="291" t="s">
        <v>903</v>
      </c>
      <c r="I291" s="4" t="s">
        <v>3291</v>
      </c>
      <c r="J291" s="4" t="s">
        <v>2822</v>
      </c>
      <c r="K291" t="s">
        <v>2823</v>
      </c>
    </row>
    <row r="292" spans="1:12" ht="256.5" hidden="1">
      <c r="A292">
        <v>290</v>
      </c>
      <c r="B292" t="s">
        <v>1946</v>
      </c>
      <c r="C292" t="s">
        <v>884</v>
      </c>
      <c r="D292" t="s">
        <v>883</v>
      </c>
      <c r="E292" t="s">
        <v>1528</v>
      </c>
      <c r="F292" t="s">
        <v>1947</v>
      </c>
      <c r="G292" t="s">
        <v>2824</v>
      </c>
      <c r="H292" s="291">
        <v>481000</v>
      </c>
      <c r="I292" s="4" t="s">
        <v>3292</v>
      </c>
      <c r="J292" s="4" t="s">
        <v>2825</v>
      </c>
    </row>
    <row r="293" spans="1:12" ht="171" hidden="1">
      <c r="A293">
        <v>291</v>
      </c>
      <c r="B293" t="s">
        <v>1948</v>
      </c>
      <c r="C293" t="s">
        <v>886</v>
      </c>
      <c r="D293" t="s">
        <v>885</v>
      </c>
      <c r="E293" t="s">
        <v>1528</v>
      </c>
      <c r="F293" t="s">
        <v>1949</v>
      </c>
      <c r="G293" t="s">
        <v>2826</v>
      </c>
      <c r="H293" s="291">
        <v>482000</v>
      </c>
      <c r="I293" s="4" t="s">
        <v>3293</v>
      </c>
      <c r="J293" s="4" t="s">
        <v>2827</v>
      </c>
    </row>
    <row r="294" spans="1:12" ht="42.75" hidden="1">
      <c r="A294">
        <v>292</v>
      </c>
      <c r="B294" t="s">
        <v>1950</v>
      </c>
      <c r="C294" t="s">
        <v>888</v>
      </c>
      <c r="D294" t="s">
        <v>887</v>
      </c>
      <c r="E294" t="s">
        <v>1528</v>
      </c>
      <c r="F294" t="s">
        <v>1951</v>
      </c>
      <c r="G294" t="s">
        <v>2828</v>
      </c>
      <c r="H294" s="291">
        <v>483000</v>
      </c>
      <c r="I294" s="4" t="s">
        <v>3294</v>
      </c>
      <c r="J294" s="4" t="s">
        <v>2829</v>
      </c>
      <c r="K294" t="s">
        <v>2830</v>
      </c>
    </row>
    <row r="295" spans="1:12" ht="256.5" hidden="1">
      <c r="A295">
        <v>293</v>
      </c>
      <c r="B295" t="s">
        <v>1952</v>
      </c>
      <c r="C295" t="s">
        <v>890</v>
      </c>
      <c r="D295" t="s">
        <v>889</v>
      </c>
      <c r="E295" t="s">
        <v>1528</v>
      </c>
      <c r="F295" t="s">
        <v>1953</v>
      </c>
      <c r="G295" t="s">
        <v>2831</v>
      </c>
      <c r="H295" s="291">
        <v>484000</v>
      </c>
      <c r="I295" s="4" t="s">
        <v>3295</v>
      </c>
      <c r="J295" s="4" t="s">
        <v>2832</v>
      </c>
    </row>
    <row r="296" spans="1:12" ht="199.5" hidden="1">
      <c r="A296">
        <v>294</v>
      </c>
      <c r="B296" t="s">
        <v>1954</v>
      </c>
      <c r="C296" t="s">
        <v>892</v>
      </c>
      <c r="D296" t="s">
        <v>891</v>
      </c>
      <c r="E296" t="s">
        <v>1528</v>
      </c>
      <c r="F296" t="s">
        <v>1955</v>
      </c>
      <c r="G296" t="s">
        <v>2833</v>
      </c>
      <c r="H296" s="291">
        <v>485000</v>
      </c>
      <c r="I296" s="4" t="s">
        <v>3296</v>
      </c>
      <c r="J296" s="4" t="s">
        <v>2834</v>
      </c>
    </row>
    <row r="297" spans="1:12" ht="99.75" hidden="1">
      <c r="A297">
        <v>295</v>
      </c>
      <c r="B297" t="s">
        <v>1956</v>
      </c>
      <c r="C297" t="s">
        <v>894</v>
      </c>
      <c r="D297" t="s">
        <v>893</v>
      </c>
      <c r="E297" t="s">
        <v>1528</v>
      </c>
      <c r="F297" t="s">
        <v>1957</v>
      </c>
      <c r="G297" t="s">
        <v>2835</v>
      </c>
      <c r="H297" s="291">
        <v>486000</v>
      </c>
      <c r="I297" s="4" t="s">
        <v>3297</v>
      </c>
      <c r="J297" s="4" t="s">
        <v>2836</v>
      </c>
    </row>
    <row r="298" spans="1:12" ht="128.25" hidden="1">
      <c r="A298">
        <v>296</v>
      </c>
      <c r="B298" t="s">
        <v>1958</v>
      </c>
      <c r="C298" t="s">
        <v>896</v>
      </c>
      <c r="D298" t="s">
        <v>895</v>
      </c>
      <c r="E298" t="s">
        <v>1528</v>
      </c>
      <c r="F298" t="s">
        <v>1959</v>
      </c>
      <c r="G298" t="s">
        <v>2837</v>
      </c>
      <c r="H298" s="291" t="s">
        <v>895</v>
      </c>
      <c r="I298" s="4" t="s">
        <v>3298</v>
      </c>
      <c r="J298" s="4" t="s">
        <v>2838</v>
      </c>
      <c r="K298" t="s">
        <v>2839</v>
      </c>
      <c r="L298" t="s">
        <v>2840</v>
      </c>
    </row>
    <row r="299" spans="1:12" ht="185.25" hidden="1">
      <c r="A299">
        <v>297</v>
      </c>
      <c r="B299" t="s">
        <v>1960</v>
      </c>
      <c r="C299" t="s">
        <v>900</v>
      </c>
      <c r="D299" t="s">
        <v>899</v>
      </c>
      <c r="E299" t="s">
        <v>1528</v>
      </c>
      <c r="F299" t="s">
        <v>1961</v>
      </c>
      <c r="G299" t="s">
        <v>2841</v>
      </c>
      <c r="H299" s="291">
        <v>492000</v>
      </c>
      <c r="I299" s="4" t="s">
        <v>3299</v>
      </c>
      <c r="J299" s="4" t="s">
        <v>2842</v>
      </c>
    </row>
    <row r="300" spans="1:12" ht="199.5" hidden="1">
      <c r="A300">
        <v>298</v>
      </c>
      <c r="B300" t="s">
        <v>1962</v>
      </c>
      <c r="C300" t="s">
        <v>902</v>
      </c>
      <c r="D300" t="s">
        <v>901</v>
      </c>
      <c r="E300" t="s">
        <v>1528</v>
      </c>
      <c r="F300" t="s">
        <v>1963</v>
      </c>
      <c r="G300" t="s">
        <v>2843</v>
      </c>
      <c r="H300" s="291">
        <v>493000</v>
      </c>
      <c r="I300" s="4" t="s">
        <v>3300</v>
      </c>
      <c r="J300" s="4" t="s">
        <v>2844</v>
      </c>
    </row>
    <row r="301" spans="1:12" ht="71.25" hidden="1">
      <c r="A301">
        <v>299</v>
      </c>
      <c r="B301" t="s">
        <v>1964</v>
      </c>
      <c r="C301" t="s">
        <v>906</v>
      </c>
      <c r="D301" t="s">
        <v>905</v>
      </c>
      <c r="E301" t="s">
        <v>1528</v>
      </c>
      <c r="F301" t="s">
        <v>1965</v>
      </c>
      <c r="G301" t="s">
        <v>2845</v>
      </c>
      <c r="H301" s="291">
        <v>511110</v>
      </c>
      <c r="I301" s="4" t="s">
        <v>3301</v>
      </c>
      <c r="J301" s="4" t="s">
        <v>2846</v>
      </c>
    </row>
    <row r="302" spans="1:12" s="229" customFormat="1" ht="71.25">
      <c r="A302" s="229">
        <v>300</v>
      </c>
      <c r="B302" s="229" t="s">
        <v>1966</v>
      </c>
      <c r="C302" s="229" t="s">
        <v>908</v>
      </c>
      <c r="D302" s="229" t="s">
        <v>907</v>
      </c>
      <c r="E302" s="229" t="s">
        <v>1528</v>
      </c>
      <c r="F302" s="229" t="s">
        <v>1965</v>
      </c>
      <c r="G302" s="229" t="s">
        <v>2847</v>
      </c>
      <c r="H302" s="293">
        <v>511120</v>
      </c>
      <c r="I302" s="299" t="s">
        <v>3302</v>
      </c>
      <c r="J302" s="299" t="s">
        <v>2848</v>
      </c>
    </row>
    <row r="303" spans="1:12" ht="57" hidden="1">
      <c r="A303">
        <v>301</v>
      </c>
      <c r="B303" t="s">
        <v>1967</v>
      </c>
      <c r="C303" t="s">
        <v>910</v>
      </c>
      <c r="D303" t="s">
        <v>909</v>
      </c>
      <c r="E303" t="s">
        <v>1528</v>
      </c>
      <c r="F303" t="s">
        <v>1965</v>
      </c>
      <c r="G303" t="s">
        <v>2849</v>
      </c>
      <c r="H303" s="291">
        <v>511130</v>
      </c>
      <c r="I303" s="4" t="s">
        <v>3303</v>
      </c>
      <c r="J303" s="4" t="s">
        <v>2850</v>
      </c>
    </row>
    <row r="304" spans="1:12" ht="85.5" hidden="1">
      <c r="A304">
        <v>302</v>
      </c>
      <c r="B304" t="s">
        <v>1968</v>
      </c>
      <c r="C304" t="s">
        <v>912</v>
      </c>
      <c r="D304" t="s">
        <v>911</v>
      </c>
      <c r="E304" t="s">
        <v>1528</v>
      </c>
      <c r="F304" t="s">
        <v>1965</v>
      </c>
      <c r="G304" t="s">
        <v>2851</v>
      </c>
      <c r="H304" s="291" t="s">
        <v>911</v>
      </c>
      <c r="I304" s="4" t="s">
        <v>3304</v>
      </c>
      <c r="J304" s="4" t="s">
        <v>2852</v>
      </c>
      <c r="K304" t="s">
        <v>2853</v>
      </c>
    </row>
    <row r="305" spans="1:12" ht="85.5" hidden="1">
      <c r="A305">
        <v>303</v>
      </c>
      <c r="B305" t="s">
        <v>1969</v>
      </c>
      <c r="C305" t="s">
        <v>914</v>
      </c>
      <c r="D305" t="s">
        <v>913</v>
      </c>
      <c r="E305" t="s">
        <v>1528</v>
      </c>
      <c r="F305" t="s">
        <v>1970</v>
      </c>
      <c r="G305" t="s">
        <v>2854</v>
      </c>
      <c r="H305" s="291">
        <v>511200</v>
      </c>
      <c r="I305" s="4" t="s">
        <v>3305</v>
      </c>
      <c r="J305" s="4" t="s">
        <v>2855</v>
      </c>
    </row>
    <row r="306" spans="1:12" ht="85.5" hidden="1">
      <c r="A306">
        <v>304</v>
      </c>
      <c r="B306" t="s">
        <v>1971</v>
      </c>
      <c r="C306" t="s">
        <v>916</v>
      </c>
      <c r="D306" t="s">
        <v>915</v>
      </c>
      <c r="E306" t="s">
        <v>1528</v>
      </c>
      <c r="F306" t="s">
        <v>1972</v>
      </c>
      <c r="G306" t="s">
        <v>2856</v>
      </c>
      <c r="H306" s="291">
        <v>512100</v>
      </c>
      <c r="I306" s="4" t="s">
        <v>3306</v>
      </c>
      <c r="J306" s="4" t="s">
        <v>2857</v>
      </c>
    </row>
    <row r="307" spans="1:12" ht="42.75" hidden="1">
      <c r="A307">
        <v>305</v>
      </c>
      <c r="B307" t="s">
        <v>1973</v>
      </c>
      <c r="C307" t="s">
        <v>918</v>
      </c>
      <c r="D307" t="s">
        <v>917</v>
      </c>
      <c r="E307" t="s">
        <v>1528</v>
      </c>
      <c r="F307" t="s">
        <v>1974</v>
      </c>
      <c r="G307" t="s">
        <v>2858</v>
      </c>
      <c r="H307" s="291">
        <v>512200</v>
      </c>
      <c r="I307" s="4" t="s">
        <v>3307</v>
      </c>
      <c r="J307" s="4" t="s">
        <v>2859</v>
      </c>
    </row>
    <row r="308" spans="1:12" ht="42.75" hidden="1">
      <c r="A308">
        <v>306</v>
      </c>
      <c r="B308" t="s">
        <v>1975</v>
      </c>
      <c r="C308" t="s">
        <v>920</v>
      </c>
      <c r="D308" t="s">
        <v>919</v>
      </c>
      <c r="E308" t="s">
        <v>1528</v>
      </c>
      <c r="F308" t="s">
        <v>1976</v>
      </c>
      <c r="G308" t="s">
        <v>2860</v>
      </c>
      <c r="H308" s="291">
        <v>515100</v>
      </c>
      <c r="I308" s="4" t="s">
        <v>3308</v>
      </c>
      <c r="J308" s="4" t="s">
        <v>2861</v>
      </c>
    </row>
    <row r="309" spans="1:12" ht="99.75" hidden="1">
      <c r="A309">
        <v>307</v>
      </c>
      <c r="B309" t="s">
        <v>1977</v>
      </c>
      <c r="C309" t="s">
        <v>922</v>
      </c>
      <c r="D309" t="s">
        <v>921</v>
      </c>
      <c r="E309" t="s">
        <v>1528</v>
      </c>
      <c r="F309" t="s">
        <v>1978</v>
      </c>
      <c r="G309" t="s">
        <v>2862</v>
      </c>
      <c r="H309" s="291">
        <v>515200</v>
      </c>
      <c r="I309" s="4" t="s">
        <v>3309</v>
      </c>
      <c r="J309" s="4" t="s">
        <v>2863</v>
      </c>
    </row>
    <row r="310" spans="1:12" ht="142.5" hidden="1">
      <c r="A310">
        <v>308</v>
      </c>
      <c r="B310" t="s">
        <v>1979</v>
      </c>
      <c r="C310" t="s">
        <v>924</v>
      </c>
      <c r="D310" t="s">
        <v>923</v>
      </c>
      <c r="E310" t="s">
        <v>1528</v>
      </c>
      <c r="F310" t="s">
        <v>1980</v>
      </c>
      <c r="G310" t="s">
        <v>2864</v>
      </c>
      <c r="H310" s="291">
        <v>517110</v>
      </c>
      <c r="I310" s="4" t="s">
        <v>3310</v>
      </c>
      <c r="J310" s="4" t="s">
        <v>2865</v>
      </c>
    </row>
    <row r="311" spans="1:12" ht="71.25" hidden="1">
      <c r="A311">
        <v>309</v>
      </c>
      <c r="B311" t="s">
        <v>1981</v>
      </c>
      <c r="C311" t="s">
        <v>926</v>
      </c>
      <c r="D311" t="s">
        <v>925</v>
      </c>
      <c r="E311" t="s">
        <v>1528</v>
      </c>
      <c r="F311" t="s">
        <v>1982</v>
      </c>
      <c r="G311" t="s">
        <v>2866</v>
      </c>
      <c r="H311" s="291">
        <v>517210</v>
      </c>
      <c r="I311" s="4" t="s">
        <v>3311</v>
      </c>
      <c r="J311" s="4" t="s">
        <v>2867</v>
      </c>
    </row>
    <row r="312" spans="1:12" ht="228" hidden="1">
      <c r="A312">
        <v>310</v>
      </c>
      <c r="B312" t="s">
        <v>1983</v>
      </c>
      <c r="C312" t="s">
        <v>928</v>
      </c>
      <c r="D312" t="s">
        <v>927</v>
      </c>
      <c r="E312" t="s">
        <v>1528</v>
      </c>
      <c r="F312" t="s">
        <v>1984</v>
      </c>
      <c r="G312" t="s">
        <v>2868</v>
      </c>
      <c r="H312" s="291" t="s">
        <v>927</v>
      </c>
      <c r="I312" s="4" t="s">
        <v>3312</v>
      </c>
      <c r="J312" s="4" t="s">
        <v>2869</v>
      </c>
      <c r="K312" t="s">
        <v>2870</v>
      </c>
    </row>
    <row r="313" spans="1:12" s="229" customFormat="1" ht="114">
      <c r="A313" s="229">
        <v>311</v>
      </c>
      <c r="B313" s="229" t="s">
        <v>1985</v>
      </c>
      <c r="C313" s="229" t="s">
        <v>930</v>
      </c>
      <c r="D313" s="229" t="s">
        <v>929</v>
      </c>
      <c r="E313" s="229" t="s">
        <v>1528</v>
      </c>
      <c r="F313" s="229" t="s">
        <v>1986</v>
      </c>
      <c r="G313" s="229" t="s">
        <v>2871</v>
      </c>
      <c r="H313" s="293">
        <v>518200</v>
      </c>
      <c r="I313" s="299" t="s">
        <v>3313</v>
      </c>
      <c r="J313" s="299" t="s">
        <v>2872</v>
      </c>
    </row>
    <row r="314" spans="1:12" ht="156.75" hidden="1">
      <c r="A314">
        <v>312</v>
      </c>
      <c r="B314" t="s">
        <v>1987</v>
      </c>
      <c r="C314" t="s">
        <v>932</v>
      </c>
      <c r="D314" t="s">
        <v>931</v>
      </c>
      <c r="E314" t="s">
        <v>1528</v>
      </c>
      <c r="F314" t="s">
        <v>1988</v>
      </c>
      <c r="G314" t="s">
        <v>2873</v>
      </c>
      <c r="H314" s="291">
        <v>519130</v>
      </c>
      <c r="I314" s="4" t="s">
        <v>3314</v>
      </c>
      <c r="J314" s="4" t="s">
        <v>2874</v>
      </c>
    </row>
    <row r="315" spans="1:12" ht="99.75" hidden="1">
      <c r="A315">
        <v>313</v>
      </c>
      <c r="B315" t="s">
        <v>1989</v>
      </c>
      <c r="C315" t="s">
        <v>934</v>
      </c>
      <c r="D315" t="s">
        <v>933</v>
      </c>
      <c r="E315" t="s">
        <v>1528</v>
      </c>
      <c r="F315" t="s">
        <v>1988</v>
      </c>
      <c r="G315" t="s">
        <v>2875</v>
      </c>
      <c r="H315" s="291" t="s">
        <v>933</v>
      </c>
      <c r="I315" s="4" t="s">
        <v>3315</v>
      </c>
      <c r="J315" s="4" t="s">
        <v>2876</v>
      </c>
      <c r="K315" t="s">
        <v>2877</v>
      </c>
    </row>
    <row r="316" spans="1:12" ht="85.5" hidden="1">
      <c r="A316">
        <v>314</v>
      </c>
      <c r="B316" t="s">
        <v>1990</v>
      </c>
      <c r="C316" t="s">
        <v>936</v>
      </c>
      <c r="D316" t="s">
        <v>935</v>
      </c>
      <c r="E316" t="s">
        <v>1528</v>
      </c>
      <c r="F316" t="s">
        <v>1991</v>
      </c>
      <c r="G316" t="s">
        <v>2878</v>
      </c>
      <c r="H316" s="291" t="s">
        <v>935</v>
      </c>
      <c r="I316" s="4" t="s">
        <v>3316</v>
      </c>
      <c r="J316" s="4" t="s">
        <v>2879</v>
      </c>
      <c r="K316" t="s">
        <v>2880</v>
      </c>
    </row>
    <row r="317" spans="1:12" ht="57" hidden="1">
      <c r="A317">
        <v>315</v>
      </c>
      <c r="B317" t="s">
        <v>1992</v>
      </c>
      <c r="C317" t="s">
        <v>950</v>
      </c>
      <c r="D317" t="s">
        <v>949</v>
      </c>
      <c r="E317" t="s">
        <v>1528</v>
      </c>
      <c r="F317" t="s">
        <v>1993</v>
      </c>
      <c r="G317" t="s">
        <v>2881</v>
      </c>
      <c r="H317" s="291" t="s">
        <v>949</v>
      </c>
      <c r="I317" s="4" t="s">
        <v>3317</v>
      </c>
      <c r="J317" s="4" t="s">
        <v>2882</v>
      </c>
      <c r="K317" t="s">
        <v>2883</v>
      </c>
      <c r="L317" t="s">
        <v>2884</v>
      </c>
    </row>
    <row r="318" spans="1:12" ht="28.5" hidden="1">
      <c r="A318">
        <v>316</v>
      </c>
      <c r="B318" t="s">
        <v>1994</v>
      </c>
      <c r="C318" t="s">
        <v>938</v>
      </c>
      <c r="D318" t="s">
        <v>937</v>
      </c>
      <c r="E318" t="s">
        <v>1528</v>
      </c>
      <c r="F318" t="s">
        <v>1995</v>
      </c>
      <c r="G318" t="s">
        <v>2885</v>
      </c>
      <c r="H318" s="291">
        <v>523900</v>
      </c>
      <c r="I318" s="4" t="s">
        <v>3239</v>
      </c>
      <c r="J318" s="4" t="s">
        <v>2886</v>
      </c>
      <c r="K318" t="s">
        <v>2887</v>
      </c>
    </row>
    <row r="319" spans="1:12" ht="42.75" hidden="1">
      <c r="A319">
        <v>317</v>
      </c>
      <c r="B319" t="s">
        <v>1996</v>
      </c>
      <c r="C319" t="s">
        <v>940</v>
      </c>
      <c r="D319" t="s">
        <v>939</v>
      </c>
      <c r="E319" t="s">
        <v>1528</v>
      </c>
      <c r="F319" t="s">
        <v>1997</v>
      </c>
      <c r="G319" t="s">
        <v>2888</v>
      </c>
      <c r="H319" s="291" t="s">
        <v>939</v>
      </c>
      <c r="I319" s="4" t="s">
        <v>3318</v>
      </c>
      <c r="J319" s="4" t="s">
        <v>2889</v>
      </c>
      <c r="K319" t="s">
        <v>2890</v>
      </c>
      <c r="L319" t="s">
        <v>2891</v>
      </c>
    </row>
    <row r="320" spans="1:12" ht="57" hidden="1">
      <c r="A320">
        <v>318</v>
      </c>
      <c r="B320" t="s">
        <v>1998</v>
      </c>
      <c r="C320" t="s">
        <v>942</v>
      </c>
      <c r="D320" t="s">
        <v>941</v>
      </c>
      <c r="E320" t="s">
        <v>1528</v>
      </c>
      <c r="F320" t="s">
        <v>1999</v>
      </c>
      <c r="G320" t="s">
        <v>2892</v>
      </c>
      <c r="H320" s="291">
        <v>524113</v>
      </c>
      <c r="I320" s="4" t="s">
        <v>3319</v>
      </c>
      <c r="J320" s="4" t="s">
        <v>2893</v>
      </c>
    </row>
    <row r="321" spans="1:12" ht="171" hidden="1">
      <c r="A321">
        <v>319</v>
      </c>
      <c r="B321" t="s">
        <v>2000</v>
      </c>
      <c r="C321" t="s">
        <v>944</v>
      </c>
      <c r="D321" t="s">
        <v>943</v>
      </c>
      <c r="E321" t="s">
        <v>1528</v>
      </c>
      <c r="F321" t="s">
        <v>1999</v>
      </c>
      <c r="G321" t="s">
        <v>2894</v>
      </c>
      <c r="H321" s="291" t="s">
        <v>943</v>
      </c>
      <c r="I321" s="4" t="s">
        <v>3320</v>
      </c>
      <c r="J321" s="4" t="s">
        <v>2895</v>
      </c>
      <c r="K321" t="s">
        <v>2896</v>
      </c>
    </row>
    <row r="322" spans="1:12" ht="57" hidden="1">
      <c r="A322">
        <v>320</v>
      </c>
      <c r="B322" t="s">
        <v>2001</v>
      </c>
      <c r="C322" t="s">
        <v>946</v>
      </c>
      <c r="D322" t="s">
        <v>945</v>
      </c>
      <c r="E322" t="s">
        <v>1528</v>
      </c>
      <c r="F322" t="s">
        <v>2002</v>
      </c>
      <c r="G322" t="s">
        <v>2897</v>
      </c>
      <c r="H322" s="291">
        <v>524200</v>
      </c>
      <c r="I322" s="4" t="s">
        <v>3321</v>
      </c>
      <c r="J322" s="4" t="s">
        <v>2898</v>
      </c>
    </row>
    <row r="323" spans="1:12" ht="185.25" hidden="1">
      <c r="A323">
        <v>321</v>
      </c>
      <c r="B323" t="s">
        <v>2003</v>
      </c>
      <c r="C323" t="s">
        <v>948</v>
      </c>
      <c r="D323" t="s">
        <v>947</v>
      </c>
      <c r="E323" t="s">
        <v>1528</v>
      </c>
      <c r="F323" t="s">
        <v>2004</v>
      </c>
      <c r="G323" t="s">
        <v>2899</v>
      </c>
      <c r="H323" s="291">
        <v>525000</v>
      </c>
      <c r="I323" s="4" t="s">
        <v>3322</v>
      </c>
      <c r="J323" s="4" t="s">
        <v>2900</v>
      </c>
    </row>
    <row r="324" spans="1:12" hidden="1">
      <c r="A324">
        <v>322</v>
      </c>
      <c r="B324" t="s">
        <v>2005</v>
      </c>
      <c r="C324" t="s">
        <v>952</v>
      </c>
      <c r="D324" t="s">
        <v>951</v>
      </c>
      <c r="E324" t="s">
        <v>1528</v>
      </c>
      <c r="F324" t="s">
        <v>2006</v>
      </c>
      <c r="G324" t="s">
        <v>2901</v>
      </c>
      <c r="H324" s="92" t="s">
        <v>951</v>
      </c>
      <c r="I324" s="4" t="s">
        <v>2902</v>
      </c>
      <c r="J324" s="4" t="s">
        <v>2902</v>
      </c>
    </row>
    <row r="325" spans="1:12" hidden="1">
      <c r="A325">
        <v>323</v>
      </c>
      <c r="B325" t="s">
        <v>2007</v>
      </c>
      <c r="C325" t="s">
        <v>954</v>
      </c>
      <c r="D325" t="s">
        <v>953</v>
      </c>
      <c r="E325" t="s">
        <v>1528</v>
      </c>
      <c r="F325" t="s">
        <v>2006</v>
      </c>
      <c r="G325" t="s">
        <v>2903</v>
      </c>
      <c r="H325" s="92" t="s">
        <v>953</v>
      </c>
      <c r="I325" s="4" t="s">
        <v>2904</v>
      </c>
      <c r="J325" s="4" t="s">
        <v>2904</v>
      </c>
    </row>
    <row r="326" spans="1:12" ht="313.5" hidden="1">
      <c r="A326">
        <v>324</v>
      </c>
      <c r="B326" t="s">
        <v>2008</v>
      </c>
      <c r="C326" t="s">
        <v>21</v>
      </c>
      <c r="D326" t="s">
        <v>955</v>
      </c>
      <c r="E326" t="s">
        <v>1528</v>
      </c>
      <c r="F326" t="s">
        <v>2006</v>
      </c>
      <c r="G326" t="s">
        <v>2905</v>
      </c>
      <c r="H326" s="291" t="s">
        <v>955</v>
      </c>
      <c r="I326" s="4" t="s">
        <v>3323</v>
      </c>
      <c r="J326" s="4" t="s">
        <v>2906</v>
      </c>
      <c r="K326">
        <v>531</v>
      </c>
    </row>
    <row r="327" spans="1:12" ht="28.5" hidden="1">
      <c r="A327">
        <v>325</v>
      </c>
      <c r="B327" t="s">
        <v>2009</v>
      </c>
      <c r="C327" t="s">
        <v>957</v>
      </c>
      <c r="D327" t="s">
        <v>956</v>
      </c>
      <c r="E327" t="s">
        <v>1528</v>
      </c>
      <c r="F327" t="s">
        <v>2010</v>
      </c>
      <c r="G327" t="s">
        <v>2907</v>
      </c>
      <c r="H327" s="291">
        <v>532100</v>
      </c>
      <c r="I327" s="4" t="s">
        <v>3324</v>
      </c>
      <c r="J327" s="4" t="s">
        <v>2908</v>
      </c>
      <c r="K327" t="s">
        <v>2909</v>
      </c>
    </row>
    <row r="328" spans="1:12" ht="85.5" hidden="1">
      <c r="A328">
        <v>326</v>
      </c>
      <c r="B328" t="s">
        <v>2011</v>
      </c>
      <c r="C328" t="s">
        <v>959</v>
      </c>
      <c r="D328" t="s">
        <v>958</v>
      </c>
      <c r="E328" t="s">
        <v>1528</v>
      </c>
      <c r="F328" t="s">
        <v>2012</v>
      </c>
      <c r="G328" t="s">
        <v>2910</v>
      </c>
      <c r="H328" s="92">
        <v>532400</v>
      </c>
      <c r="I328" s="4" t="s">
        <v>2911</v>
      </c>
      <c r="J328" s="4" t="s">
        <v>2911</v>
      </c>
    </row>
    <row r="329" spans="1:12" ht="313.5" hidden="1">
      <c r="A329">
        <v>327</v>
      </c>
      <c r="B329" t="s">
        <v>2013</v>
      </c>
      <c r="C329" t="s">
        <v>961</v>
      </c>
      <c r="D329" t="s">
        <v>960</v>
      </c>
      <c r="E329" t="s">
        <v>1528</v>
      </c>
      <c r="F329" t="s">
        <v>2014</v>
      </c>
      <c r="G329" t="s">
        <v>2912</v>
      </c>
      <c r="H329" s="291" t="s">
        <v>960</v>
      </c>
      <c r="I329" s="4" t="s">
        <v>3323</v>
      </c>
      <c r="J329" s="4" t="s">
        <v>2913</v>
      </c>
      <c r="K329" t="s">
        <v>2914</v>
      </c>
    </row>
    <row r="330" spans="1:12" ht="185.25" hidden="1">
      <c r="A330">
        <v>328</v>
      </c>
      <c r="B330" t="s">
        <v>2015</v>
      </c>
      <c r="C330" t="s">
        <v>963</v>
      </c>
      <c r="D330" t="s">
        <v>962</v>
      </c>
      <c r="E330" t="s">
        <v>1528</v>
      </c>
      <c r="F330" t="s">
        <v>2016</v>
      </c>
      <c r="G330" t="s">
        <v>2915</v>
      </c>
      <c r="H330" s="291">
        <v>533000</v>
      </c>
      <c r="I330" s="4" t="s">
        <v>3325</v>
      </c>
      <c r="J330" s="4" t="s">
        <v>2916</v>
      </c>
    </row>
    <row r="331" spans="1:12" ht="28.5" hidden="1">
      <c r="A331">
        <v>329</v>
      </c>
      <c r="B331" t="s">
        <v>2017</v>
      </c>
      <c r="C331" t="s">
        <v>22</v>
      </c>
      <c r="D331" t="s">
        <v>964</v>
      </c>
      <c r="E331" t="s">
        <v>1528</v>
      </c>
      <c r="F331" t="s">
        <v>2018</v>
      </c>
      <c r="G331" t="s">
        <v>2917</v>
      </c>
      <c r="H331" s="291">
        <v>541100</v>
      </c>
      <c r="I331" s="4" t="s">
        <v>3326</v>
      </c>
      <c r="J331" s="4" t="s">
        <v>2918</v>
      </c>
      <c r="K331" t="s">
        <v>2919</v>
      </c>
    </row>
    <row r="332" spans="1:12" s="229" customFormat="1" ht="42.75">
      <c r="A332" s="229">
        <v>330</v>
      </c>
      <c r="B332" s="229" t="s">
        <v>2019</v>
      </c>
      <c r="C332" s="229" t="s">
        <v>972</v>
      </c>
      <c r="D332" s="229" t="s">
        <v>971</v>
      </c>
      <c r="E332" s="229" t="s">
        <v>1528</v>
      </c>
      <c r="F332" s="229" t="s">
        <v>2020</v>
      </c>
      <c r="G332" s="229" t="s">
        <v>2920</v>
      </c>
      <c r="H332" s="293">
        <v>541511</v>
      </c>
      <c r="I332" s="299" t="s">
        <v>3327</v>
      </c>
      <c r="J332" s="299" t="s">
        <v>2921</v>
      </c>
    </row>
    <row r="333" spans="1:12" s="229" customFormat="1" ht="85.5">
      <c r="A333" s="229">
        <v>331</v>
      </c>
      <c r="B333" s="229" t="s">
        <v>2021</v>
      </c>
      <c r="C333" s="229" t="s">
        <v>974</v>
      </c>
      <c r="D333" s="229" t="s">
        <v>973</v>
      </c>
      <c r="E333" s="229" t="s">
        <v>1528</v>
      </c>
      <c r="F333" s="229" t="s">
        <v>2020</v>
      </c>
      <c r="G333" s="229" t="s">
        <v>2922</v>
      </c>
      <c r="H333" s="293">
        <v>541512</v>
      </c>
      <c r="I333" s="299" t="s">
        <v>3328</v>
      </c>
      <c r="J333" s="299" t="s">
        <v>2923</v>
      </c>
    </row>
    <row r="334" spans="1:12" s="229" customFormat="1" ht="99.75">
      <c r="A334" s="229">
        <v>332</v>
      </c>
      <c r="B334" s="229" t="s">
        <v>2022</v>
      </c>
      <c r="C334" s="229" t="s">
        <v>976</v>
      </c>
      <c r="D334" s="229" t="s">
        <v>975</v>
      </c>
      <c r="E334" s="229" t="s">
        <v>1528</v>
      </c>
      <c r="F334" s="229" t="s">
        <v>2020</v>
      </c>
      <c r="G334" s="229" t="s">
        <v>2924</v>
      </c>
      <c r="H334" s="297" t="s">
        <v>975</v>
      </c>
      <c r="I334" s="299" t="s">
        <v>3408</v>
      </c>
      <c r="J334" s="299" t="s">
        <v>2925</v>
      </c>
      <c r="L334" s="229" t="s">
        <v>2926</v>
      </c>
    </row>
    <row r="335" spans="1:12" ht="57" hidden="1">
      <c r="A335">
        <v>333</v>
      </c>
      <c r="B335" t="s">
        <v>2023</v>
      </c>
      <c r="C335" t="s">
        <v>966</v>
      </c>
      <c r="D335" t="s">
        <v>965</v>
      </c>
      <c r="E335" t="s">
        <v>1528</v>
      </c>
      <c r="F335" t="s">
        <v>2024</v>
      </c>
      <c r="G335" t="s">
        <v>2927</v>
      </c>
      <c r="H335" s="291">
        <v>541200</v>
      </c>
      <c r="I335" s="4" t="s">
        <v>3329</v>
      </c>
      <c r="J335" s="4" t="s">
        <v>2928</v>
      </c>
    </row>
    <row r="336" spans="1:12" s="229" customFormat="1" ht="71.25">
      <c r="A336" s="229">
        <v>334</v>
      </c>
      <c r="B336" s="229" t="s">
        <v>2025</v>
      </c>
      <c r="C336" s="229" t="s">
        <v>968</v>
      </c>
      <c r="D336" s="229" t="s">
        <v>967</v>
      </c>
      <c r="E336" s="229" t="s">
        <v>1528</v>
      </c>
      <c r="F336" s="229" t="s">
        <v>2026</v>
      </c>
      <c r="G336" s="229" t="s">
        <v>2929</v>
      </c>
      <c r="H336" s="293">
        <v>541300</v>
      </c>
      <c r="I336" s="299" t="s">
        <v>3330</v>
      </c>
      <c r="J336" s="299" t="s">
        <v>2930</v>
      </c>
    </row>
    <row r="337" spans="1:11" ht="71.25" hidden="1">
      <c r="A337">
        <v>335</v>
      </c>
      <c r="B337" t="s">
        <v>2027</v>
      </c>
      <c r="C337" t="s">
        <v>978</v>
      </c>
      <c r="D337" t="s">
        <v>977</v>
      </c>
      <c r="E337" t="s">
        <v>1528</v>
      </c>
      <c r="F337" t="s">
        <v>2028</v>
      </c>
      <c r="G337" t="s">
        <v>2931</v>
      </c>
      <c r="H337" s="291">
        <v>541610</v>
      </c>
      <c r="I337" s="4" t="s">
        <v>3331</v>
      </c>
      <c r="J337" s="4" t="s">
        <v>2932</v>
      </c>
    </row>
    <row r="338" spans="1:11" s="229" customFormat="1" ht="42.75">
      <c r="A338" s="229">
        <v>336</v>
      </c>
      <c r="B338" s="229" t="s">
        <v>2029</v>
      </c>
      <c r="C338" s="229" t="s">
        <v>980</v>
      </c>
      <c r="D338" s="229" t="s">
        <v>979</v>
      </c>
      <c r="E338" s="229" t="s">
        <v>1528</v>
      </c>
      <c r="F338" s="229" t="s">
        <v>2028</v>
      </c>
      <c r="G338" s="229" t="s">
        <v>2933</v>
      </c>
      <c r="H338" s="297" t="s">
        <v>979</v>
      </c>
      <c r="I338" s="299" t="s">
        <v>3332</v>
      </c>
      <c r="J338" s="299" t="s">
        <v>2934</v>
      </c>
      <c r="K338" s="229" t="s">
        <v>2935</v>
      </c>
    </row>
    <row r="339" spans="1:11" s="229" customFormat="1" ht="99.75">
      <c r="A339" s="229">
        <v>337</v>
      </c>
      <c r="B339" s="229" t="s">
        <v>2030</v>
      </c>
      <c r="C339" s="229" t="s">
        <v>982</v>
      </c>
      <c r="D339" s="229" t="s">
        <v>981</v>
      </c>
      <c r="E339" s="229" t="s">
        <v>1528</v>
      </c>
      <c r="F339" s="229" t="s">
        <v>2031</v>
      </c>
      <c r="G339" s="229" t="s">
        <v>2936</v>
      </c>
      <c r="H339" s="293">
        <v>541700</v>
      </c>
      <c r="I339" s="299" t="s">
        <v>3333</v>
      </c>
      <c r="J339" s="299" t="s">
        <v>2937</v>
      </c>
    </row>
    <row r="340" spans="1:11" ht="57" hidden="1">
      <c r="A340">
        <v>338</v>
      </c>
      <c r="B340" t="s">
        <v>2032</v>
      </c>
      <c r="C340" t="s">
        <v>984</v>
      </c>
      <c r="D340" t="s">
        <v>983</v>
      </c>
      <c r="E340" t="s">
        <v>1528</v>
      </c>
      <c r="F340" t="s">
        <v>2033</v>
      </c>
      <c r="G340" t="s">
        <v>2938</v>
      </c>
      <c r="H340" s="291">
        <v>541800</v>
      </c>
      <c r="I340" s="4" t="s">
        <v>3334</v>
      </c>
      <c r="J340" s="4" t="s">
        <v>2939</v>
      </c>
    </row>
    <row r="341" spans="1:11" ht="42.75" hidden="1">
      <c r="A341">
        <v>339</v>
      </c>
      <c r="B341" t="s">
        <v>2034</v>
      </c>
      <c r="C341" t="s">
        <v>970</v>
      </c>
      <c r="D341" t="s">
        <v>969</v>
      </c>
      <c r="E341" t="s">
        <v>1528</v>
      </c>
      <c r="F341" t="s">
        <v>2035</v>
      </c>
      <c r="G341" t="s">
        <v>2940</v>
      </c>
      <c r="H341" s="291">
        <v>541400</v>
      </c>
      <c r="I341" s="4" t="s">
        <v>3335</v>
      </c>
      <c r="J341" s="4" t="s">
        <v>2941</v>
      </c>
    </row>
    <row r="342" spans="1:11" ht="71.25" hidden="1">
      <c r="A342">
        <v>340</v>
      </c>
      <c r="B342" t="s">
        <v>2036</v>
      </c>
      <c r="C342" t="s">
        <v>986</v>
      </c>
      <c r="D342" t="s">
        <v>985</v>
      </c>
      <c r="E342" t="s">
        <v>1528</v>
      </c>
      <c r="F342" t="s">
        <v>2037</v>
      </c>
      <c r="G342" t="s">
        <v>2942</v>
      </c>
      <c r="H342" s="291">
        <v>541920</v>
      </c>
      <c r="I342" s="4" t="s">
        <v>3336</v>
      </c>
      <c r="J342" s="4" t="s">
        <v>2943</v>
      </c>
    </row>
    <row r="343" spans="1:11" ht="57" hidden="1">
      <c r="A343">
        <v>341</v>
      </c>
      <c r="B343" t="s">
        <v>2038</v>
      </c>
      <c r="C343" t="s">
        <v>988</v>
      </c>
      <c r="D343" t="s">
        <v>987</v>
      </c>
      <c r="E343" t="s">
        <v>1528</v>
      </c>
      <c r="F343" t="s">
        <v>2037</v>
      </c>
      <c r="G343" t="s">
        <v>2944</v>
      </c>
      <c r="H343" s="291">
        <v>541940</v>
      </c>
      <c r="I343" s="4" t="s">
        <v>3337</v>
      </c>
      <c r="J343" s="4" t="s">
        <v>2945</v>
      </c>
    </row>
    <row r="344" spans="1:11" ht="114" hidden="1">
      <c r="A344">
        <v>342</v>
      </c>
      <c r="B344" t="s">
        <v>2039</v>
      </c>
      <c r="C344" t="s">
        <v>990</v>
      </c>
      <c r="D344" t="s">
        <v>989</v>
      </c>
      <c r="E344" t="s">
        <v>1528</v>
      </c>
      <c r="F344" t="s">
        <v>2037</v>
      </c>
      <c r="G344" t="s">
        <v>2946</v>
      </c>
      <c r="H344" s="291" t="s">
        <v>989</v>
      </c>
      <c r="I344" s="4" t="s">
        <v>3338</v>
      </c>
      <c r="J344" s="4" t="s">
        <v>2947</v>
      </c>
      <c r="K344" t="s">
        <v>2948</v>
      </c>
    </row>
    <row r="345" spans="1:11" ht="228" hidden="1">
      <c r="A345">
        <v>343</v>
      </c>
      <c r="B345" t="s">
        <v>2040</v>
      </c>
      <c r="C345" t="s">
        <v>992</v>
      </c>
      <c r="D345" t="s">
        <v>991</v>
      </c>
      <c r="E345" t="s">
        <v>1528</v>
      </c>
      <c r="F345" t="s">
        <v>2041</v>
      </c>
      <c r="G345" t="s">
        <v>2949</v>
      </c>
      <c r="H345" s="291">
        <v>550000</v>
      </c>
      <c r="I345" s="4" t="s">
        <v>3339</v>
      </c>
      <c r="J345" s="4" t="s">
        <v>2950</v>
      </c>
    </row>
    <row r="346" spans="1:11" ht="42.75" hidden="1">
      <c r="A346">
        <v>344</v>
      </c>
      <c r="B346" t="s">
        <v>2042</v>
      </c>
      <c r="C346" t="s">
        <v>998</v>
      </c>
      <c r="D346" t="s">
        <v>997</v>
      </c>
      <c r="E346" t="s">
        <v>1528</v>
      </c>
      <c r="F346" t="s">
        <v>2043</v>
      </c>
      <c r="G346" t="s">
        <v>2951</v>
      </c>
      <c r="H346" s="291">
        <v>561300</v>
      </c>
      <c r="I346" s="4" t="s">
        <v>3340</v>
      </c>
      <c r="J346" s="4" t="s">
        <v>2952</v>
      </c>
    </row>
    <row r="347" spans="1:11" ht="42.75" hidden="1">
      <c r="A347">
        <v>345</v>
      </c>
      <c r="B347" t="s">
        <v>2044</v>
      </c>
      <c r="C347" t="s">
        <v>1006</v>
      </c>
      <c r="D347" t="s">
        <v>1005</v>
      </c>
      <c r="E347" t="s">
        <v>1528</v>
      </c>
      <c r="F347" t="s">
        <v>2045</v>
      </c>
      <c r="G347" t="s">
        <v>2953</v>
      </c>
      <c r="H347" s="291">
        <v>561700</v>
      </c>
      <c r="I347" s="4" t="s">
        <v>3341</v>
      </c>
      <c r="J347" s="4" t="s">
        <v>2954</v>
      </c>
    </row>
    <row r="348" spans="1:11" ht="71.25" hidden="1">
      <c r="A348">
        <v>346</v>
      </c>
      <c r="B348" t="s">
        <v>2046</v>
      </c>
      <c r="C348" t="s">
        <v>994</v>
      </c>
      <c r="D348" t="s">
        <v>993</v>
      </c>
      <c r="E348" t="s">
        <v>1528</v>
      </c>
      <c r="F348" t="s">
        <v>2047</v>
      </c>
      <c r="G348" t="s">
        <v>2955</v>
      </c>
      <c r="H348" s="291">
        <v>561100</v>
      </c>
      <c r="I348" s="4" t="s">
        <v>3342</v>
      </c>
      <c r="J348" s="4" t="s">
        <v>2956</v>
      </c>
    </row>
    <row r="349" spans="1:11" ht="142.5" hidden="1">
      <c r="A349">
        <v>347</v>
      </c>
      <c r="B349" t="s">
        <v>2048</v>
      </c>
      <c r="C349" t="s">
        <v>996</v>
      </c>
      <c r="D349" t="s">
        <v>995</v>
      </c>
      <c r="E349" t="s">
        <v>1528</v>
      </c>
      <c r="F349" t="s">
        <v>2049</v>
      </c>
      <c r="G349" t="s">
        <v>2957</v>
      </c>
      <c r="H349" s="291">
        <v>561200</v>
      </c>
      <c r="I349" s="4" t="s">
        <v>3343</v>
      </c>
      <c r="J349" s="4" t="s">
        <v>2958</v>
      </c>
    </row>
    <row r="350" spans="1:11" ht="42.75" hidden="1">
      <c r="A350">
        <v>348</v>
      </c>
      <c r="B350" t="s">
        <v>2050</v>
      </c>
      <c r="C350" t="s">
        <v>1000</v>
      </c>
      <c r="D350" t="s">
        <v>999</v>
      </c>
      <c r="E350" t="s">
        <v>1528</v>
      </c>
      <c r="F350" t="s">
        <v>2051</v>
      </c>
      <c r="G350" t="s">
        <v>2959</v>
      </c>
      <c r="H350" s="92">
        <v>561400</v>
      </c>
      <c r="I350" s="4" t="s">
        <v>2960</v>
      </c>
      <c r="J350" s="4" t="s">
        <v>2960</v>
      </c>
    </row>
    <row r="351" spans="1:11" ht="42.75" hidden="1">
      <c r="A351">
        <v>349</v>
      </c>
      <c r="B351" t="s">
        <v>2052</v>
      </c>
      <c r="C351" t="s">
        <v>1002</v>
      </c>
      <c r="D351" t="s">
        <v>1001</v>
      </c>
      <c r="E351" t="s">
        <v>1528</v>
      </c>
      <c r="F351" t="s">
        <v>2053</v>
      </c>
      <c r="G351" t="s">
        <v>2961</v>
      </c>
      <c r="H351" s="291">
        <v>561500</v>
      </c>
      <c r="I351" s="4" t="s">
        <v>3344</v>
      </c>
      <c r="J351" s="4" t="s">
        <v>2962</v>
      </c>
      <c r="K351" t="s">
        <v>2963</v>
      </c>
    </row>
    <row r="352" spans="1:11" ht="28.5" hidden="1">
      <c r="A352">
        <v>350</v>
      </c>
      <c r="B352" t="s">
        <v>2054</v>
      </c>
      <c r="C352" t="s">
        <v>1004</v>
      </c>
      <c r="D352" t="s">
        <v>1003</v>
      </c>
      <c r="E352" t="s">
        <v>1528</v>
      </c>
      <c r="F352" t="s">
        <v>2055</v>
      </c>
      <c r="G352" t="s">
        <v>2964</v>
      </c>
      <c r="H352" s="291">
        <v>561600</v>
      </c>
      <c r="I352" s="4" t="s">
        <v>3345</v>
      </c>
      <c r="J352" s="4" t="s">
        <v>2965</v>
      </c>
    </row>
    <row r="353" spans="1:11" ht="71.25" hidden="1">
      <c r="A353">
        <v>351</v>
      </c>
      <c r="B353" t="s">
        <v>2056</v>
      </c>
      <c r="C353" t="s">
        <v>1008</v>
      </c>
      <c r="D353" t="s">
        <v>1007</v>
      </c>
      <c r="E353" t="s">
        <v>1528</v>
      </c>
      <c r="F353" t="s">
        <v>2057</v>
      </c>
      <c r="G353" t="s">
        <v>2966</v>
      </c>
      <c r="H353" s="92">
        <v>561900</v>
      </c>
      <c r="I353" s="4" t="s">
        <v>2967</v>
      </c>
      <c r="J353" s="4" t="s">
        <v>2967</v>
      </c>
    </row>
    <row r="354" spans="1:11" ht="28.5" hidden="1">
      <c r="A354">
        <v>352</v>
      </c>
      <c r="B354" t="s">
        <v>2058</v>
      </c>
      <c r="C354" t="s">
        <v>2059</v>
      </c>
      <c r="D354" t="s">
        <v>2060</v>
      </c>
      <c r="E354" t="s">
        <v>1528</v>
      </c>
      <c r="F354" t="s">
        <v>2061</v>
      </c>
      <c r="G354" t="s">
        <v>2968</v>
      </c>
      <c r="H354" s="92" t="s">
        <v>3095</v>
      </c>
      <c r="I354" s="4" t="s">
        <v>3152</v>
      </c>
      <c r="J354" s="4" t="s">
        <v>2969</v>
      </c>
      <c r="K354" t="s">
        <v>2970</v>
      </c>
    </row>
    <row r="355" spans="1:11" ht="114" hidden="1">
      <c r="A355">
        <v>353</v>
      </c>
      <c r="B355" t="s">
        <v>2062</v>
      </c>
      <c r="C355" t="s">
        <v>2063</v>
      </c>
      <c r="D355" t="s">
        <v>2064</v>
      </c>
      <c r="E355" t="s">
        <v>1528</v>
      </c>
      <c r="F355" t="s">
        <v>2061</v>
      </c>
      <c r="G355" t="s">
        <v>2968</v>
      </c>
      <c r="H355" s="92" t="s">
        <v>3095</v>
      </c>
      <c r="I355" s="4" t="s">
        <v>3346</v>
      </c>
      <c r="J355" s="4" t="s">
        <v>2971</v>
      </c>
    </row>
    <row r="356" spans="1:11" ht="85.5" hidden="1">
      <c r="A356">
        <v>354</v>
      </c>
      <c r="B356" t="s">
        <v>2065</v>
      </c>
      <c r="C356" t="s">
        <v>2066</v>
      </c>
      <c r="D356" t="s">
        <v>2067</v>
      </c>
      <c r="E356" t="s">
        <v>1528</v>
      </c>
      <c r="F356" t="s">
        <v>2068</v>
      </c>
      <c r="G356" t="s">
        <v>2968</v>
      </c>
      <c r="H356" s="92" t="s">
        <v>3095</v>
      </c>
      <c r="I356" s="4" t="s">
        <v>3347</v>
      </c>
      <c r="J356" s="4" t="s">
        <v>2972</v>
      </c>
    </row>
    <row r="357" spans="1:11" ht="57" hidden="1">
      <c r="A357">
        <v>355</v>
      </c>
      <c r="B357" t="s">
        <v>2069</v>
      </c>
      <c r="C357" t="s">
        <v>2070</v>
      </c>
      <c r="D357" t="s">
        <v>2071</v>
      </c>
      <c r="E357" t="s">
        <v>1528</v>
      </c>
      <c r="F357" t="s">
        <v>2068</v>
      </c>
      <c r="G357" t="s">
        <v>2968</v>
      </c>
      <c r="H357" s="92" t="s">
        <v>3095</v>
      </c>
      <c r="I357" s="4" t="s">
        <v>3348</v>
      </c>
      <c r="J357" s="4" t="s">
        <v>2973</v>
      </c>
    </row>
    <row r="358" spans="1:11" ht="28.5" hidden="1">
      <c r="A358">
        <v>356</v>
      </c>
      <c r="B358" t="s">
        <v>2072</v>
      </c>
      <c r="C358" t="s">
        <v>2073</v>
      </c>
      <c r="D358" t="s">
        <v>2074</v>
      </c>
      <c r="E358" t="s">
        <v>1528</v>
      </c>
      <c r="F358" t="s">
        <v>2075</v>
      </c>
      <c r="G358" t="s">
        <v>2968</v>
      </c>
      <c r="H358" s="92" t="s">
        <v>3095</v>
      </c>
      <c r="I358" s="4" t="s">
        <v>3106</v>
      </c>
      <c r="J358" s="4" t="s">
        <v>2974</v>
      </c>
      <c r="K358" t="s">
        <v>2975</v>
      </c>
    </row>
    <row r="359" spans="1:11" ht="71.25" hidden="1">
      <c r="A359">
        <v>357</v>
      </c>
      <c r="B359" t="s">
        <v>2076</v>
      </c>
      <c r="C359" t="s">
        <v>2077</v>
      </c>
      <c r="D359" t="s">
        <v>2078</v>
      </c>
      <c r="E359" t="s">
        <v>1528</v>
      </c>
      <c r="F359" t="s">
        <v>2075</v>
      </c>
      <c r="G359" t="s">
        <v>2968</v>
      </c>
      <c r="H359" s="92" t="s">
        <v>3095</v>
      </c>
      <c r="I359" s="4" t="s">
        <v>3349</v>
      </c>
      <c r="J359" s="4" t="s">
        <v>2976</v>
      </c>
    </row>
    <row r="360" spans="1:11" ht="114" hidden="1">
      <c r="A360">
        <v>358</v>
      </c>
      <c r="B360" t="s">
        <v>2079</v>
      </c>
      <c r="C360" t="s">
        <v>2080</v>
      </c>
      <c r="D360" t="s">
        <v>2081</v>
      </c>
      <c r="E360" t="s">
        <v>1528</v>
      </c>
      <c r="F360" t="s">
        <v>2082</v>
      </c>
      <c r="G360" t="s">
        <v>2968</v>
      </c>
      <c r="H360" s="92" t="s">
        <v>3095</v>
      </c>
      <c r="I360" s="4" t="s">
        <v>3350</v>
      </c>
      <c r="J360" s="4" t="s">
        <v>2977</v>
      </c>
    </row>
    <row r="361" spans="1:11" ht="71.25" hidden="1">
      <c r="A361">
        <v>359</v>
      </c>
      <c r="B361" t="s">
        <v>2083</v>
      </c>
      <c r="C361" t="s">
        <v>1012</v>
      </c>
      <c r="D361" t="s">
        <v>1011</v>
      </c>
      <c r="E361" t="s">
        <v>1528</v>
      </c>
      <c r="F361" t="s">
        <v>2084</v>
      </c>
      <c r="G361" t="s">
        <v>2978</v>
      </c>
      <c r="H361" s="92">
        <v>611100</v>
      </c>
      <c r="I361" s="4" t="s">
        <v>2979</v>
      </c>
      <c r="J361" s="4" t="s">
        <v>2979</v>
      </c>
    </row>
    <row r="362" spans="1:11" ht="228" hidden="1">
      <c r="A362">
        <v>360</v>
      </c>
      <c r="B362" t="s">
        <v>2085</v>
      </c>
      <c r="C362" t="s">
        <v>1014</v>
      </c>
      <c r="D362" t="s">
        <v>1013</v>
      </c>
      <c r="E362" t="s">
        <v>1528</v>
      </c>
      <c r="F362" t="s">
        <v>2086</v>
      </c>
      <c r="G362" t="s">
        <v>2980</v>
      </c>
      <c r="H362" s="291" t="s">
        <v>1013</v>
      </c>
      <c r="I362" s="4" t="s">
        <v>3351</v>
      </c>
      <c r="J362" s="4" t="s">
        <v>2981</v>
      </c>
      <c r="K362" t="s">
        <v>2982</v>
      </c>
    </row>
    <row r="363" spans="1:11" ht="213.75" hidden="1">
      <c r="A363">
        <v>361</v>
      </c>
      <c r="B363" t="s">
        <v>2087</v>
      </c>
      <c r="C363" t="s">
        <v>1016</v>
      </c>
      <c r="D363" t="s">
        <v>1015</v>
      </c>
      <c r="E363" t="s">
        <v>1528</v>
      </c>
      <c r="F363" t="s">
        <v>2086</v>
      </c>
      <c r="G363" t="s">
        <v>2983</v>
      </c>
      <c r="H363" s="291" t="s">
        <v>1015</v>
      </c>
      <c r="I363" s="4" t="s">
        <v>3351</v>
      </c>
      <c r="J363" s="4" t="s">
        <v>2984</v>
      </c>
      <c r="K363" t="s">
        <v>2985</v>
      </c>
    </row>
    <row r="364" spans="1:11" s="229" customFormat="1" ht="85.5">
      <c r="A364" s="229">
        <v>362</v>
      </c>
      <c r="B364" s="229" t="s">
        <v>2088</v>
      </c>
      <c r="C364" s="229" t="s">
        <v>1018</v>
      </c>
      <c r="D364" s="229" t="s">
        <v>1017</v>
      </c>
      <c r="E364" s="229" t="s">
        <v>1528</v>
      </c>
      <c r="F364" s="229" t="s">
        <v>2089</v>
      </c>
      <c r="G364" s="229" t="s">
        <v>2986</v>
      </c>
      <c r="H364" s="293">
        <v>621100</v>
      </c>
      <c r="I364" s="299" t="s">
        <v>3352</v>
      </c>
      <c r="J364" s="299" t="s">
        <v>2987</v>
      </c>
    </row>
    <row r="365" spans="1:11" s="229" customFormat="1" ht="99.75">
      <c r="A365" s="229">
        <v>363</v>
      </c>
      <c r="B365" s="229" t="s">
        <v>2090</v>
      </c>
      <c r="C365" s="229" t="s">
        <v>1020</v>
      </c>
      <c r="D365" s="229" t="s">
        <v>1019</v>
      </c>
      <c r="E365" s="229" t="s">
        <v>1528</v>
      </c>
      <c r="F365" s="229" t="s">
        <v>2091</v>
      </c>
      <c r="G365" s="229" t="s">
        <v>2988</v>
      </c>
      <c r="H365" s="293">
        <v>621200</v>
      </c>
      <c r="I365" s="299" t="s">
        <v>3353</v>
      </c>
      <c r="J365" s="299" t="s">
        <v>2989</v>
      </c>
    </row>
    <row r="366" spans="1:11" s="229" customFormat="1" ht="28.5">
      <c r="A366" s="229">
        <v>364</v>
      </c>
      <c r="B366" s="229" t="s">
        <v>2092</v>
      </c>
      <c r="C366" s="229" t="s">
        <v>1022</v>
      </c>
      <c r="D366" s="229" t="s">
        <v>1021</v>
      </c>
      <c r="E366" s="229" t="s">
        <v>1528</v>
      </c>
      <c r="F366" s="229" t="s">
        <v>2093</v>
      </c>
      <c r="G366" s="229" t="s">
        <v>2990</v>
      </c>
      <c r="H366" s="296">
        <v>621300</v>
      </c>
      <c r="I366" s="299" t="s">
        <v>2991</v>
      </c>
      <c r="J366" s="299" t="s">
        <v>2991</v>
      </c>
    </row>
    <row r="367" spans="1:11" s="229" customFormat="1" ht="57">
      <c r="A367" s="229">
        <v>365</v>
      </c>
      <c r="B367" s="229" t="s">
        <v>2094</v>
      </c>
      <c r="C367" s="229" t="s">
        <v>1024</v>
      </c>
      <c r="D367" s="229" t="s">
        <v>1023</v>
      </c>
      <c r="E367" s="229" t="s">
        <v>1528</v>
      </c>
      <c r="F367" s="229" t="s">
        <v>2095</v>
      </c>
      <c r="G367" s="229" t="s">
        <v>2992</v>
      </c>
      <c r="H367" s="293">
        <v>621400</v>
      </c>
      <c r="I367" s="299" t="s">
        <v>3419</v>
      </c>
      <c r="J367" s="299" t="s">
        <v>2993</v>
      </c>
    </row>
    <row r="368" spans="1:11" s="229" customFormat="1" ht="57">
      <c r="A368" s="229">
        <v>366</v>
      </c>
      <c r="B368" s="229" t="s">
        <v>2096</v>
      </c>
      <c r="C368" s="229" t="s">
        <v>1026</v>
      </c>
      <c r="D368" s="229" t="s">
        <v>1025</v>
      </c>
      <c r="E368" s="229" t="s">
        <v>1528</v>
      </c>
      <c r="F368" s="229" t="s">
        <v>2097</v>
      </c>
      <c r="G368" s="229" t="s">
        <v>2994</v>
      </c>
      <c r="H368" s="293">
        <v>621500</v>
      </c>
      <c r="I368" s="299" t="s">
        <v>3354</v>
      </c>
      <c r="J368" s="299" t="s">
        <v>2995</v>
      </c>
    </row>
    <row r="369" spans="1:12" s="229" customFormat="1" ht="85.5">
      <c r="A369" s="229">
        <v>367</v>
      </c>
      <c r="B369" s="229" t="s">
        <v>2098</v>
      </c>
      <c r="C369" s="229" t="s">
        <v>1028</v>
      </c>
      <c r="D369" s="229" t="s">
        <v>1027</v>
      </c>
      <c r="E369" s="229" t="s">
        <v>1528</v>
      </c>
      <c r="F369" s="229" t="s">
        <v>2099</v>
      </c>
      <c r="G369" s="229" t="s">
        <v>2996</v>
      </c>
      <c r="H369" s="293">
        <v>621600</v>
      </c>
      <c r="I369" s="299" t="s">
        <v>3418</v>
      </c>
      <c r="J369" s="299" t="s">
        <v>2997</v>
      </c>
    </row>
    <row r="370" spans="1:12" s="229" customFormat="1" ht="57">
      <c r="A370" s="229">
        <v>368</v>
      </c>
      <c r="B370" s="229" t="s">
        <v>2100</v>
      </c>
      <c r="C370" s="229" t="s">
        <v>1030</v>
      </c>
      <c r="D370" s="229" t="s">
        <v>1029</v>
      </c>
      <c r="E370" s="229" t="s">
        <v>1528</v>
      </c>
      <c r="F370" s="229" t="s">
        <v>2101</v>
      </c>
      <c r="G370" s="229" t="s">
        <v>2998</v>
      </c>
      <c r="H370" s="293">
        <v>621900</v>
      </c>
      <c r="I370" s="299" t="s">
        <v>3355</v>
      </c>
      <c r="J370" s="299" t="s">
        <v>2999</v>
      </c>
    </row>
    <row r="371" spans="1:12" s="229" customFormat="1" ht="99.75">
      <c r="A371" s="229">
        <v>369</v>
      </c>
      <c r="B371" s="229" t="s">
        <v>2102</v>
      </c>
      <c r="C371" s="229" t="s">
        <v>23</v>
      </c>
      <c r="D371" s="229" t="s">
        <v>1031</v>
      </c>
      <c r="E371" s="229" t="s">
        <v>1528</v>
      </c>
      <c r="F371" s="229" t="s">
        <v>2103</v>
      </c>
      <c r="G371" s="229" t="s">
        <v>3000</v>
      </c>
      <c r="H371" s="293">
        <v>622000</v>
      </c>
      <c r="I371" s="299" t="s">
        <v>3356</v>
      </c>
      <c r="J371" s="299" t="s">
        <v>3001</v>
      </c>
    </row>
    <row r="372" spans="1:12" s="229" customFormat="1" ht="213.75">
      <c r="A372" s="229">
        <v>370</v>
      </c>
      <c r="B372" s="229" t="s">
        <v>2104</v>
      </c>
      <c r="C372" s="229" t="s">
        <v>1033</v>
      </c>
      <c r="D372" s="229" t="s">
        <v>1032</v>
      </c>
      <c r="E372" s="229" t="s">
        <v>1528</v>
      </c>
      <c r="F372" s="229" t="s">
        <v>2105</v>
      </c>
      <c r="G372" s="229" t="s">
        <v>3002</v>
      </c>
      <c r="H372" s="297" t="s">
        <v>1032</v>
      </c>
      <c r="I372" s="299" t="s">
        <v>3357</v>
      </c>
      <c r="J372" s="299" t="s">
        <v>3003</v>
      </c>
      <c r="K372" s="229" t="s">
        <v>3004</v>
      </c>
    </row>
    <row r="373" spans="1:12" s="229" customFormat="1" ht="228">
      <c r="A373" s="229">
        <v>371</v>
      </c>
      <c r="B373" s="229" t="s">
        <v>2106</v>
      </c>
      <c r="C373" s="229" t="s">
        <v>1035</v>
      </c>
      <c r="D373" s="229" t="s">
        <v>1034</v>
      </c>
      <c r="E373" s="229" t="s">
        <v>1528</v>
      </c>
      <c r="F373" s="229" t="s">
        <v>2107</v>
      </c>
      <c r="G373" s="229" t="s">
        <v>3005</v>
      </c>
      <c r="H373" s="297" t="s">
        <v>1034</v>
      </c>
      <c r="I373" s="299" t="s">
        <v>3357</v>
      </c>
      <c r="J373" s="299" t="s">
        <v>3006</v>
      </c>
      <c r="K373" s="229" t="s">
        <v>3007</v>
      </c>
    </row>
    <row r="374" spans="1:12" s="229" customFormat="1" ht="42.75">
      <c r="A374" s="229">
        <v>372</v>
      </c>
      <c r="B374" s="229" t="s">
        <v>2108</v>
      </c>
      <c r="C374" s="229" t="s">
        <v>1037</v>
      </c>
      <c r="D374" s="229" t="s">
        <v>1036</v>
      </c>
      <c r="E374" s="229" t="s">
        <v>1528</v>
      </c>
      <c r="F374" s="229" t="s">
        <v>2109</v>
      </c>
      <c r="G374" s="229" t="s">
        <v>3008</v>
      </c>
      <c r="H374" s="293">
        <v>624100</v>
      </c>
      <c r="I374" s="299" t="s">
        <v>3358</v>
      </c>
      <c r="J374" s="299" t="s">
        <v>3009</v>
      </c>
    </row>
    <row r="375" spans="1:12" s="229" customFormat="1" ht="57">
      <c r="A375" s="229">
        <v>373</v>
      </c>
      <c r="B375" s="229" t="s">
        <v>2110</v>
      </c>
      <c r="C375" s="229" t="s">
        <v>1039</v>
      </c>
      <c r="D375" s="229" t="s">
        <v>1038</v>
      </c>
      <c r="E375" s="229" t="s">
        <v>1528</v>
      </c>
      <c r="F375" s="229" t="s">
        <v>2111</v>
      </c>
      <c r="G375" s="229" t="s">
        <v>3010</v>
      </c>
      <c r="H375" s="293">
        <v>624400</v>
      </c>
      <c r="I375" s="299" t="s">
        <v>3359</v>
      </c>
      <c r="J375" s="299" t="s">
        <v>3011</v>
      </c>
    </row>
    <row r="376" spans="1:12" s="229" customFormat="1" ht="228">
      <c r="A376" s="229">
        <v>374</v>
      </c>
      <c r="B376" s="229" t="s">
        <v>2112</v>
      </c>
      <c r="C376" s="229" t="s">
        <v>1041</v>
      </c>
      <c r="D376" s="229" t="s">
        <v>1040</v>
      </c>
      <c r="E376" s="229" t="s">
        <v>1528</v>
      </c>
      <c r="F376" s="229" t="s">
        <v>2113</v>
      </c>
      <c r="G376" s="229" t="s">
        <v>3012</v>
      </c>
      <c r="H376" s="297" t="s">
        <v>1040</v>
      </c>
      <c r="I376" s="299" t="s">
        <v>3357</v>
      </c>
      <c r="J376" s="299" t="s">
        <v>3013</v>
      </c>
      <c r="K376" s="229" t="s">
        <v>3014</v>
      </c>
    </row>
    <row r="377" spans="1:12" ht="42.75" hidden="1">
      <c r="A377">
        <v>375</v>
      </c>
      <c r="B377" t="s">
        <v>2114</v>
      </c>
      <c r="C377" t="s">
        <v>1043</v>
      </c>
      <c r="D377" t="s">
        <v>1042</v>
      </c>
      <c r="E377" t="s">
        <v>1528</v>
      </c>
      <c r="F377" t="s">
        <v>2115</v>
      </c>
      <c r="G377" t="s">
        <v>3015</v>
      </c>
      <c r="H377" s="291">
        <v>711100</v>
      </c>
      <c r="I377" s="4" t="s">
        <v>3360</v>
      </c>
      <c r="J377" s="4" t="s">
        <v>3016</v>
      </c>
    </row>
    <row r="378" spans="1:12" ht="142.5" hidden="1">
      <c r="A378">
        <v>376</v>
      </c>
      <c r="B378" t="s">
        <v>2116</v>
      </c>
      <c r="C378" t="s">
        <v>1045</v>
      </c>
      <c r="D378" t="s">
        <v>1044</v>
      </c>
      <c r="E378" t="s">
        <v>1528</v>
      </c>
      <c r="F378" t="s">
        <v>2117</v>
      </c>
      <c r="G378" t="s">
        <v>3017</v>
      </c>
      <c r="H378" s="291">
        <v>711200</v>
      </c>
      <c r="I378" s="4" t="s">
        <v>3361</v>
      </c>
      <c r="J378" s="4" t="s">
        <v>3018</v>
      </c>
    </row>
    <row r="379" spans="1:12" ht="85.5" hidden="1">
      <c r="A379">
        <v>377</v>
      </c>
      <c r="B379" t="s">
        <v>2118</v>
      </c>
      <c r="C379" t="s">
        <v>1047</v>
      </c>
      <c r="D379" t="s">
        <v>1046</v>
      </c>
      <c r="E379" t="s">
        <v>1528</v>
      </c>
      <c r="F379" t="s">
        <v>2119</v>
      </c>
      <c r="G379" t="s">
        <v>3019</v>
      </c>
      <c r="H379" s="291">
        <v>711500</v>
      </c>
      <c r="I379" s="4" t="s">
        <v>3362</v>
      </c>
      <c r="J379" s="4" t="s">
        <v>3020</v>
      </c>
    </row>
    <row r="380" spans="1:12" ht="156.75" hidden="1">
      <c r="A380">
        <v>378</v>
      </c>
      <c r="B380" t="s">
        <v>2120</v>
      </c>
      <c r="C380" t="s">
        <v>1049</v>
      </c>
      <c r="D380" t="s">
        <v>1048</v>
      </c>
      <c r="E380" t="s">
        <v>1528</v>
      </c>
      <c r="F380" t="s">
        <v>2121</v>
      </c>
      <c r="G380" t="s">
        <v>3021</v>
      </c>
      <c r="H380" s="291" t="s">
        <v>1048</v>
      </c>
      <c r="I380" s="4" t="s">
        <v>3363</v>
      </c>
      <c r="J380" s="4" t="s">
        <v>3022</v>
      </c>
      <c r="K380" t="s">
        <v>3023</v>
      </c>
      <c r="L380" t="s">
        <v>3024</v>
      </c>
    </row>
    <row r="381" spans="1:12" ht="42.75" hidden="1">
      <c r="A381">
        <v>379</v>
      </c>
      <c r="B381" t="s">
        <v>2122</v>
      </c>
      <c r="C381" t="s">
        <v>1051</v>
      </c>
      <c r="D381" t="s">
        <v>1050</v>
      </c>
      <c r="E381" t="s">
        <v>1528</v>
      </c>
      <c r="F381" t="s">
        <v>2123</v>
      </c>
      <c r="G381" t="s">
        <v>3025</v>
      </c>
      <c r="H381" s="291">
        <v>712000</v>
      </c>
      <c r="I381" s="4" t="s">
        <v>3364</v>
      </c>
      <c r="J381" s="4" t="s">
        <v>3026</v>
      </c>
    </row>
    <row r="382" spans="1:12" ht="28.5" hidden="1">
      <c r="A382">
        <v>380</v>
      </c>
      <c r="B382" t="s">
        <v>2124</v>
      </c>
      <c r="C382" t="s">
        <v>1053</v>
      </c>
      <c r="D382" t="s">
        <v>1052</v>
      </c>
      <c r="E382" t="s">
        <v>1528</v>
      </c>
      <c r="F382" t="s">
        <v>2125</v>
      </c>
      <c r="G382" t="s">
        <v>3027</v>
      </c>
      <c r="H382" s="92">
        <v>713100</v>
      </c>
      <c r="I382" s="4" t="s">
        <v>3028</v>
      </c>
      <c r="J382" s="4" t="s">
        <v>3028</v>
      </c>
    </row>
    <row r="383" spans="1:12" ht="71.25" hidden="1">
      <c r="A383">
        <v>381</v>
      </c>
      <c r="B383" t="s">
        <v>2126</v>
      </c>
      <c r="C383" t="s">
        <v>1055</v>
      </c>
      <c r="D383" t="s">
        <v>1054</v>
      </c>
      <c r="E383" t="s">
        <v>1528</v>
      </c>
      <c r="F383" t="s">
        <v>2127</v>
      </c>
      <c r="G383" t="s">
        <v>3029</v>
      </c>
      <c r="H383" s="291">
        <v>713200</v>
      </c>
      <c r="I383" s="4" t="s">
        <v>3365</v>
      </c>
      <c r="J383" s="4" t="s">
        <v>3030</v>
      </c>
    </row>
    <row r="384" spans="1:12" ht="57" hidden="1">
      <c r="A384">
        <v>382</v>
      </c>
      <c r="B384" t="s">
        <v>2128</v>
      </c>
      <c r="C384" t="s">
        <v>1057</v>
      </c>
      <c r="D384" t="s">
        <v>1056</v>
      </c>
      <c r="E384" t="s">
        <v>1528</v>
      </c>
      <c r="F384" t="s">
        <v>2129</v>
      </c>
      <c r="G384" t="s">
        <v>3031</v>
      </c>
      <c r="H384" s="291">
        <v>713900</v>
      </c>
      <c r="I384" s="4" t="s">
        <v>3366</v>
      </c>
      <c r="J384" s="4" t="s">
        <v>3032</v>
      </c>
    </row>
    <row r="385" spans="1:11" ht="99.75" hidden="1">
      <c r="A385">
        <v>383</v>
      </c>
      <c r="B385" t="s">
        <v>2130</v>
      </c>
      <c r="C385" t="s">
        <v>1059</v>
      </c>
      <c r="D385" t="s">
        <v>1058</v>
      </c>
      <c r="E385" t="s">
        <v>1528</v>
      </c>
      <c r="F385" t="s">
        <v>2131</v>
      </c>
      <c r="G385" t="s">
        <v>3033</v>
      </c>
      <c r="H385" s="291">
        <v>721000</v>
      </c>
      <c r="I385" s="4" t="s">
        <v>3367</v>
      </c>
      <c r="J385" s="4" t="s">
        <v>3034</v>
      </c>
      <c r="K385" t="s">
        <v>3035</v>
      </c>
    </row>
    <row r="386" spans="1:11" ht="71.25" hidden="1">
      <c r="A386">
        <v>384</v>
      </c>
      <c r="B386" t="s">
        <v>2132</v>
      </c>
      <c r="C386" t="s">
        <v>1061</v>
      </c>
      <c r="D386" t="s">
        <v>1060</v>
      </c>
      <c r="E386" t="s">
        <v>1528</v>
      </c>
      <c r="F386" t="s">
        <v>2133</v>
      </c>
      <c r="G386" t="s">
        <v>3036</v>
      </c>
      <c r="H386" s="291">
        <v>722110</v>
      </c>
      <c r="I386" s="4" t="s">
        <v>3368</v>
      </c>
      <c r="J386" s="4" t="s">
        <v>3037</v>
      </c>
    </row>
    <row r="387" spans="1:11" ht="85.5" hidden="1">
      <c r="A387">
        <v>385</v>
      </c>
      <c r="B387" t="s">
        <v>2134</v>
      </c>
      <c r="C387" t="s">
        <v>1063</v>
      </c>
      <c r="D387" t="s">
        <v>1062</v>
      </c>
      <c r="E387" t="s">
        <v>1528</v>
      </c>
      <c r="F387" t="s">
        <v>2133</v>
      </c>
      <c r="G387" t="s">
        <v>3038</v>
      </c>
      <c r="H387" s="291">
        <v>722211</v>
      </c>
      <c r="I387" s="4" t="s">
        <v>3369</v>
      </c>
      <c r="J387" s="4" t="s">
        <v>3039</v>
      </c>
    </row>
    <row r="388" spans="1:11" ht="99.75" hidden="1">
      <c r="A388">
        <v>386</v>
      </c>
      <c r="B388" t="s">
        <v>2135</v>
      </c>
      <c r="C388" t="s">
        <v>1065</v>
      </c>
      <c r="D388" t="s">
        <v>1064</v>
      </c>
      <c r="E388" t="s">
        <v>1528</v>
      </c>
      <c r="F388" t="s">
        <v>2136</v>
      </c>
      <c r="G388" t="s">
        <v>3040</v>
      </c>
      <c r="H388" s="291" t="s">
        <v>1064</v>
      </c>
      <c r="I388" s="4" t="s">
        <v>3370</v>
      </c>
      <c r="J388" s="4" t="s">
        <v>3041</v>
      </c>
      <c r="K388" t="s">
        <v>3042</v>
      </c>
    </row>
    <row r="389" spans="1:11" ht="85.5" hidden="1">
      <c r="A389">
        <v>387</v>
      </c>
      <c r="B389" t="s">
        <v>2137</v>
      </c>
      <c r="C389" t="s">
        <v>1067</v>
      </c>
      <c r="D389" t="s">
        <v>1066</v>
      </c>
      <c r="E389" t="s">
        <v>1528</v>
      </c>
      <c r="F389" t="s">
        <v>2138</v>
      </c>
      <c r="G389" t="s">
        <v>3043</v>
      </c>
      <c r="H389" s="291">
        <v>811100</v>
      </c>
      <c r="I389" s="4" t="s">
        <v>3371</v>
      </c>
      <c r="J389" s="4" t="s">
        <v>3044</v>
      </c>
    </row>
    <row r="390" spans="1:11" s="229" customFormat="1" ht="71.25">
      <c r="A390" s="229">
        <v>388</v>
      </c>
      <c r="B390" s="229" t="s">
        <v>2139</v>
      </c>
      <c r="C390" s="229" t="s">
        <v>1069</v>
      </c>
      <c r="D390" s="229" t="s">
        <v>1068</v>
      </c>
      <c r="E390" s="229" t="s">
        <v>1528</v>
      </c>
      <c r="F390" s="229" t="s">
        <v>2140</v>
      </c>
      <c r="G390" s="229" t="s">
        <v>3045</v>
      </c>
      <c r="H390" s="293">
        <v>811200</v>
      </c>
      <c r="I390" s="299" t="s">
        <v>3372</v>
      </c>
      <c r="J390" s="299" t="s">
        <v>3046</v>
      </c>
    </row>
    <row r="391" spans="1:11" s="229" customFormat="1" ht="114">
      <c r="A391" s="229">
        <v>389</v>
      </c>
      <c r="B391" s="229" t="s">
        <v>2141</v>
      </c>
      <c r="C391" s="229" t="s">
        <v>1071</v>
      </c>
      <c r="D391" s="229" t="s">
        <v>1070</v>
      </c>
      <c r="E391" s="229" t="s">
        <v>1528</v>
      </c>
      <c r="F391" s="229" t="s">
        <v>2142</v>
      </c>
      <c r="G391" s="229" t="s">
        <v>3047</v>
      </c>
      <c r="H391" s="293">
        <v>811300</v>
      </c>
      <c r="I391" s="299" t="s">
        <v>3373</v>
      </c>
      <c r="J391" s="299" t="s">
        <v>3048</v>
      </c>
    </row>
    <row r="392" spans="1:11" ht="57" hidden="1">
      <c r="A392">
        <v>390</v>
      </c>
      <c r="B392" t="s">
        <v>2143</v>
      </c>
      <c r="C392" t="s">
        <v>1073</v>
      </c>
      <c r="D392" t="s">
        <v>1072</v>
      </c>
      <c r="E392" t="s">
        <v>1528</v>
      </c>
      <c r="F392" t="s">
        <v>2144</v>
      </c>
      <c r="G392" t="s">
        <v>3049</v>
      </c>
      <c r="H392" s="291">
        <v>811400</v>
      </c>
      <c r="I392" s="4" t="s">
        <v>3374</v>
      </c>
      <c r="J392" s="4" t="s">
        <v>3050</v>
      </c>
    </row>
    <row r="393" spans="1:11" ht="28.5" hidden="1">
      <c r="A393">
        <v>391</v>
      </c>
      <c r="B393" t="s">
        <v>2145</v>
      </c>
      <c r="C393" t="s">
        <v>1075</v>
      </c>
      <c r="D393" t="s">
        <v>1074</v>
      </c>
      <c r="E393" t="s">
        <v>1528</v>
      </c>
      <c r="F393" t="s">
        <v>2146</v>
      </c>
      <c r="G393" t="s">
        <v>3051</v>
      </c>
      <c r="H393" s="291">
        <v>812100</v>
      </c>
      <c r="I393" s="4" t="s">
        <v>3375</v>
      </c>
      <c r="J393" s="4" t="s">
        <v>3052</v>
      </c>
    </row>
    <row r="394" spans="1:11" ht="28.5" hidden="1">
      <c r="A394">
        <v>392</v>
      </c>
      <c r="B394" t="s">
        <v>2147</v>
      </c>
      <c r="C394" t="s">
        <v>1077</v>
      </c>
      <c r="D394" t="s">
        <v>1076</v>
      </c>
      <c r="E394" t="s">
        <v>1528</v>
      </c>
      <c r="F394" t="s">
        <v>2148</v>
      </c>
      <c r="G394" t="s">
        <v>3053</v>
      </c>
      <c r="H394" s="291">
        <v>812200</v>
      </c>
      <c r="I394" s="4" t="s">
        <v>3376</v>
      </c>
      <c r="J394" s="4" t="s">
        <v>3054</v>
      </c>
    </row>
    <row r="395" spans="1:11" s="229" customFormat="1" ht="42.75">
      <c r="A395" s="229">
        <v>393</v>
      </c>
      <c r="B395" s="229" t="s">
        <v>2149</v>
      </c>
      <c r="C395" s="229" t="s">
        <v>1079</v>
      </c>
      <c r="D395" s="229" t="s">
        <v>1078</v>
      </c>
      <c r="E395" s="229" t="s">
        <v>1528</v>
      </c>
      <c r="F395" s="229" t="s">
        <v>2150</v>
      </c>
      <c r="G395" s="229" t="s">
        <v>3055</v>
      </c>
      <c r="H395" s="293">
        <v>812300</v>
      </c>
      <c r="I395" s="299" t="s">
        <v>3377</v>
      </c>
      <c r="J395" s="299" t="s">
        <v>3056</v>
      </c>
    </row>
    <row r="396" spans="1:11" ht="42.75" hidden="1">
      <c r="A396">
        <v>394</v>
      </c>
      <c r="B396" t="s">
        <v>2151</v>
      </c>
      <c r="C396" t="s">
        <v>1081</v>
      </c>
      <c r="D396" t="s">
        <v>1080</v>
      </c>
      <c r="E396" t="s">
        <v>1528</v>
      </c>
      <c r="F396" t="s">
        <v>2152</v>
      </c>
      <c r="G396" t="s">
        <v>3057</v>
      </c>
      <c r="H396" s="291" t="s">
        <v>1080</v>
      </c>
      <c r="I396" s="4" t="s">
        <v>3378</v>
      </c>
      <c r="J396" s="4" t="s">
        <v>3058</v>
      </c>
    </row>
    <row r="397" spans="1:11" ht="57" hidden="1">
      <c r="A397">
        <v>395</v>
      </c>
      <c r="B397" t="s">
        <v>2153</v>
      </c>
      <c r="C397" t="s">
        <v>1083</v>
      </c>
      <c r="D397" t="s">
        <v>1082</v>
      </c>
      <c r="E397" t="s">
        <v>1528</v>
      </c>
      <c r="F397" t="s">
        <v>2154</v>
      </c>
      <c r="G397" t="s">
        <v>3059</v>
      </c>
      <c r="H397" s="291" t="s">
        <v>1082</v>
      </c>
      <c r="I397" s="4" t="s">
        <v>3379</v>
      </c>
      <c r="J397" s="4" t="s">
        <v>3060</v>
      </c>
    </row>
    <row r="398" spans="1:11" ht="171" hidden="1">
      <c r="A398">
        <v>396</v>
      </c>
      <c r="B398" t="s">
        <v>2155</v>
      </c>
      <c r="C398" t="s">
        <v>1085</v>
      </c>
      <c r="D398" t="s">
        <v>1084</v>
      </c>
      <c r="E398" t="s">
        <v>1528</v>
      </c>
      <c r="F398" t="s">
        <v>2156</v>
      </c>
      <c r="G398" t="s">
        <v>3061</v>
      </c>
      <c r="H398" s="291" t="s">
        <v>1084</v>
      </c>
      <c r="I398" s="4" t="s">
        <v>3380</v>
      </c>
      <c r="J398" s="4" t="s">
        <v>3062</v>
      </c>
      <c r="K398" t="s">
        <v>3063</v>
      </c>
    </row>
    <row r="399" spans="1:11" ht="171" hidden="1">
      <c r="A399">
        <v>397</v>
      </c>
      <c r="B399" t="s">
        <v>2157</v>
      </c>
      <c r="C399" t="s">
        <v>1087</v>
      </c>
      <c r="D399" t="s">
        <v>1086</v>
      </c>
      <c r="E399" t="s">
        <v>1528</v>
      </c>
      <c r="F399" t="s">
        <v>2158</v>
      </c>
      <c r="G399" t="s">
        <v>3064</v>
      </c>
      <c r="H399" s="291" t="s">
        <v>1086</v>
      </c>
      <c r="I399" s="4" t="s">
        <v>3380</v>
      </c>
      <c r="J399" s="4" t="s">
        <v>3065</v>
      </c>
      <c r="K399" t="s">
        <v>3066</v>
      </c>
    </row>
    <row r="400" spans="1:11" ht="71.25" hidden="1">
      <c r="A400">
        <v>398</v>
      </c>
      <c r="B400" t="s">
        <v>2159</v>
      </c>
      <c r="C400" t="s">
        <v>1089</v>
      </c>
      <c r="D400" t="s">
        <v>1088</v>
      </c>
      <c r="E400" t="s">
        <v>1528</v>
      </c>
      <c r="F400" t="s">
        <v>2160</v>
      </c>
      <c r="G400" t="s">
        <v>3067</v>
      </c>
      <c r="H400" s="291" t="s">
        <v>1088</v>
      </c>
      <c r="I400" s="4" t="s">
        <v>3381</v>
      </c>
      <c r="J400" s="4" t="s">
        <v>3068</v>
      </c>
    </row>
    <row r="401" spans="1:10" hidden="1">
      <c r="A401">
        <v>399</v>
      </c>
      <c r="B401" t="s">
        <v>2161</v>
      </c>
      <c r="C401" t="s">
        <v>1408</v>
      </c>
      <c r="D401" t="s">
        <v>1414</v>
      </c>
      <c r="E401" t="s">
        <v>1528</v>
      </c>
      <c r="F401" t="s">
        <v>2162</v>
      </c>
      <c r="G401" t="s">
        <v>3069</v>
      </c>
      <c r="H401" s="92" t="s">
        <v>1414</v>
      </c>
      <c r="I401" s="4" t="s">
        <v>3070</v>
      </c>
      <c r="J401" s="4" t="s">
        <v>3070</v>
      </c>
    </row>
    <row r="402" spans="1:10" hidden="1">
      <c r="A402">
        <v>400</v>
      </c>
      <c r="B402" t="s">
        <v>2163</v>
      </c>
      <c r="C402" t="s">
        <v>1409</v>
      </c>
      <c r="D402" t="s">
        <v>1415</v>
      </c>
      <c r="E402" t="s">
        <v>1528</v>
      </c>
      <c r="F402" t="s">
        <v>2162</v>
      </c>
      <c r="G402" t="s">
        <v>3071</v>
      </c>
      <c r="H402" s="92" t="s">
        <v>1415</v>
      </c>
      <c r="I402" s="4" t="s">
        <v>3072</v>
      </c>
      <c r="J402" s="4" t="s">
        <v>3072</v>
      </c>
    </row>
    <row r="403" spans="1:10" ht="228" hidden="1">
      <c r="A403">
        <v>401</v>
      </c>
      <c r="B403" t="s">
        <v>2164</v>
      </c>
      <c r="C403" t="s">
        <v>898</v>
      </c>
      <c r="D403" t="s">
        <v>897</v>
      </c>
      <c r="E403" t="s">
        <v>1528</v>
      </c>
      <c r="F403" t="s">
        <v>2165</v>
      </c>
      <c r="G403" t="s">
        <v>3073</v>
      </c>
      <c r="H403" s="291" t="s">
        <v>897</v>
      </c>
      <c r="I403" s="4" t="s">
        <v>3382</v>
      </c>
      <c r="J403" s="4" t="s">
        <v>3074</v>
      </c>
    </row>
    <row r="404" spans="1:10" hidden="1">
      <c r="A404">
        <v>402</v>
      </c>
      <c r="B404" t="s">
        <v>2166</v>
      </c>
      <c r="C404" t="s">
        <v>1403</v>
      </c>
      <c r="D404" t="s">
        <v>1416</v>
      </c>
      <c r="E404" t="s">
        <v>1528</v>
      </c>
      <c r="F404" t="s">
        <v>2162</v>
      </c>
      <c r="G404" t="s">
        <v>3075</v>
      </c>
      <c r="H404" s="92" t="s">
        <v>1416</v>
      </c>
      <c r="I404" s="4" t="s">
        <v>3076</v>
      </c>
      <c r="J404" s="4" t="s">
        <v>3076</v>
      </c>
    </row>
    <row r="405" spans="1:10" hidden="1">
      <c r="A405">
        <v>403</v>
      </c>
      <c r="B405" t="s">
        <v>2167</v>
      </c>
      <c r="C405" t="s">
        <v>2168</v>
      </c>
      <c r="D405" t="s">
        <v>1417</v>
      </c>
      <c r="E405" t="s">
        <v>1528</v>
      </c>
      <c r="F405" t="s">
        <v>2162</v>
      </c>
      <c r="G405" t="s">
        <v>3077</v>
      </c>
      <c r="H405" s="92" t="s">
        <v>1417</v>
      </c>
      <c r="I405" s="4" t="s">
        <v>3078</v>
      </c>
      <c r="J405" s="4" t="s">
        <v>3078</v>
      </c>
    </row>
    <row r="406" spans="1:10" hidden="1">
      <c r="A406">
        <v>404</v>
      </c>
      <c r="B406" t="s">
        <v>2169</v>
      </c>
      <c r="C406" t="s">
        <v>2170</v>
      </c>
      <c r="D406" t="s">
        <v>1418</v>
      </c>
      <c r="E406" t="s">
        <v>1528</v>
      </c>
      <c r="F406" t="s">
        <v>2162</v>
      </c>
      <c r="G406" t="s">
        <v>3079</v>
      </c>
      <c r="H406" s="92" t="s">
        <v>1418</v>
      </c>
      <c r="I406" s="4" t="s">
        <v>3080</v>
      </c>
      <c r="J406" s="4" t="s">
        <v>3080</v>
      </c>
    </row>
    <row r="407" spans="1:10" hidden="1">
      <c r="A407">
        <v>405</v>
      </c>
      <c r="B407" t="s">
        <v>2171</v>
      </c>
      <c r="C407" t="s">
        <v>2172</v>
      </c>
      <c r="D407" t="s">
        <v>1419</v>
      </c>
      <c r="E407" t="s">
        <v>1528</v>
      </c>
      <c r="F407" t="s">
        <v>2162</v>
      </c>
      <c r="G407" t="s">
        <v>3081</v>
      </c>
      <c r="H407" s="92" t="s">
        <v>1419</v>
      </c>
      <c r="I407" s="4" t="s">
        <v>3082</v>
      </c>
      <c r="J407" s="4" t="s">
        <v>3082</v>
      </c>
    </row>
    <row r="408" spans="1:10" hidden="1">
      <c r="A408">
        <v>406</v>
      </c>
      <c r="B408" t="s">
        <v>2173</v>
      </c>
      <c r="C408" t="s">
        <v>1405</v>
      </c>
      <c r="D408" t="s">
        <v>1420</v>
      </c>
      <c r="E408" t="s">
        <v>1528</v>
      </c>
      <c r="F408" t="s">
        <v>2162</v>
      </c>
      <c r="G408" t="s">
        <v>3083</v>
      </c>
      <c r="H408" s="92" t="s">
        <v>1420</v>
      </c>
      <c r="I408" s="4" t="s">
        <v>3084</v>
      </c>
      <c r="J408" s="4" t="s">
        <v>3084</v>
      </c>
    </row>
    <row r="409" spans="1:10" ht="28.5" hidden="1">
      <c r="A409">
        <v>407</v>
      </c>
      <c r="B409" t="s">
        <v>2174</v>
      </c>
      <c r="C409" t="s">
        <v>1422</v>
      </c>
      <c r="D409" t="s">
        <v>1421</v>
      </c>
      <c r="E409" t="s">
        <v>1528</v>
      </c>
      <c r="F409" t="s">
        <v>2175</v>
      </c>
      <c r="G409" t="s">
        <v>3085</v>
      </c>
      <c r="H409" s="92" t="s">
        <v>1421</v>
      </c>
      <c r="I409" s="4" t="s">
        <v>3086</v>
      </c>
      <c r="J409" s="4" t="s">
        <v>3086</v>
      </c>
    </row>
    <row r="410" spans="1:10" ht="28.5" hidden="1">
      <c r="A410">
        <v>408</v>
      </c>
      <c r="B410" t="s">
        <v>2176</v>
      </c>
      <c r="C410" t="s">
        <v>1407</v>
      </c>
      <c r="D410" t="s">
        <v>1423</v>
      </c>
      <c r="E410" t="s">
        <v>1528</v>
      </c>
      <c r="F410" t="s">
        <v>2175</v>
      </c>
      <c r="G410" t="s">
        <v>3087</v>
      </c>
      <c r="H410" s="92" t="s">
        <v>1423</v>
      </c>
      <c r="I410" s="4" t="s">
        <v>3088</v>
      </c>
      <c r="J410" s="4" t="s">
        <v>3088</v>
      </c>
    </row>
    <row r="411" spans="1:10" hidden="1">
      <c r="A411">
        <v>409</v>
      </c>
      <c r="B411" t="s">
        <v>2177</v>
      </c>
      <c r="C411" t="s">
        <v>1406</v>
      </c>
      <c r="D411" t="s">
        <v>1424</v>
      </c>
      <c r="E411" t="s">
        <v>1528</v>
      </c>
      <c r="F411" t="s">
        <v>2175</v>
      </c>
      <c r="G411" t="s">
        <v>3089</v>
      </c>
      <c r="H411" s="92" t="s">
        <v>1424</v>
      </c>
      <c r="I411" s="4" t="s">
        <v>3090</v>
      </c>
      <c r="J411" s="4" t="s">
        <v>3090</v>
      </c>
    </row>
    <row r="412" spans="1:10" ht="28.5" hidden="1">
      <c r="A412">
        <v>410</v>
      </c>
      <c r="B412" t="s">
        <v>2178</v>
      </c>
      <c r="C412" t="s">
        <v>1410</v>
      </c>
      <c r="D412" t="s">
        <v>1425</v>
      </c>
      <c r="E412" t="s">
        <v>1528</v>
      </c>
      <c r="F412" t="s">
        <v>2175</v>
      </c>
      <c r="G412" t="s">
        <v>3091</v>
      </c>
      <c r="H412" s="92" t="s">
        <v>1425</v>
      </c>
      <c r="I412" s="4" t="s">
        <v>3092</v>
      </c>
      <c r="J412" s="4" t="s">
        <v>3092</v>
      </c>
    </row>
  </sheetData>
  <autoFilter ref="A1:G412" xr:uid="{00000000-0009-0000-0000-00002E000000}">
    <filterColumn colId="5">
      <colorFilter dxfId="12"/>
    </filterColumn>
  </autoFilter>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tabColor rgb="FFFFFF00"/>
  </sheetPr>
  <dimension ref="C1:H394"/>
  <sheetViews>
    <sheetView workbookViewId="0">
      <selection activeCell="A2" sqref="A2"/>
    </sheetView>
  </sheetViews>
  <sheetFormatPr defaultRowHeight="14.25"/>
  <cols>
    <col min="3" max="3" width="14" customWidth="1"/>
    <col min="4" max="4" width="9.625" customWidth="1"/>
    <col min="5" max="5" width="25.875" style="4" customWidth="1"/>
    <col min="6" max="6" width="30" style="4" customWidth="1"/>
    <col min="7" max="7" width="24.375" style="4" customWidth="1"/>
    <col min="8" max="8" width="170.5" style="4" customWidth="1"/>
  </cols>
  <sheetData>
    <row r="1" spans="3:8" ht="15">
      <c r="C1" s="418" t="s">
        <v>1525</v>
      </c>
      <c r="D1" s="419" t="s">
        <v>1526</v>
      </c>
      <c r="E1" s="420" t="s">
        <v>309</v>
      </c>
      <c r="F1" s="420" t="s">
        <v>156</v>
      </c>
      <c r="G1" s="420" t="s">
        <v>3661</v>
      </c>
      <c r="H1" s="420" t="s">
        <v>3659</v>
      </c>
    </row>
    <row r="2" spans="3:8" ht="28.5">
      <c r="C2" t="s">
        <v>310</v>
      </c>
      <c r="D2" s="70" t="s">
        <v>1528</v>
      </c>
      <c r="E2" s="226" t="s">
        <v>311</v>
      </c>
      <c r="F2" s="226" t="s">
        <v>3662</v>
      </c>
      <c r="G2" s="226" t="s">
        <v>3663</v>
      </c>
      <c r="H2" s="226" t="s">
        <v>3664</v>
      </c>
    </row>
    <row r="3" spans="3:8" ht="28.5">
      <c r="C3" t="s">
        <v>312</v>
      </c>
      <c r="D3" s="70" t="s">
        <v>1528</v>
      </c>
      <c r="E3" s="226" t="s">
        <v>313</v>
      </c>
      <c r="F3" s="226" t="s">
        <v>3662</v>
      </c>
      <c r="G3" s="226" t="s">
        <v>3663</v>
      </c>
      <c r="H3" s="226" t="s">
        <v>3665</v>
      </c>
    </row>
    <row r="4" spans="3:8" ht="42.75">
      <c r="C4" t="s">
        <v>314</v>
      </c>
      <c r="D4" s="70" t="s">
        <v>1528</v>
      </c>
      <c r="E4" s="226" t="s">
        <v>315</v>
      </c>
      <c r="F4" s="226" t="s">
        <v>3662</v>
      </c>
      <c r="G4" s="226" t="s">
        <v>3666</v>
      </c>
      <c r="H4" s="226" t="s">
        <v>2190</v>
      </c>
    </row>
    <row r="5" spans="3:8" ht="28.5">
      <c r="C5" t="s">
        <v>316</v>
      </c>
      <c r="D5" s="70" t="s">
        <v>1528</v>
      </c>
      <c r="E5" s="226" t="s">
        <v>317</v>
      </c>
      <c r="F5" s="226" t="s">
        <v>3662</v>
      </c>
      <c r="G5" s="226" t="s">
        <v>3667</v>
      </c>
      <c r="H5" s="226" t="s">
        <v>2192</v>
      </c>
    </row>
    <row r="6" spans="3:8" ht="42.75">
      <c r="C6" t="s">
        <v>318</v>
      </c>
      <c r="D6" s="70" t="s">
        <v>1528</v>
      </c>
      <c r="E6" s="226" t="s">
        <v>319</v>
      </c>
      <c r="F6" s="226" t="s">
        <v>3662</v>
      </c>
      <c r="G6" s="226" t="s">
        <v>3668</v>
      </c>
      <c r="H6" s="226" t="s">
        <v>3669</v>
      </c>
    </row>
    <row r="7" spans="3:8" ht="42.75">
      <c r="C7" t="s">
        <v>320</v>
      </c>
      <c r="D7" s="70" t="s">
        <v>1528</v>
      </c>
      <c r="E7" s="226" t="s">
        <v>321</v>
      </c>
      <c r="F7" s="226" t="s">
        <v>3662</v>
      </c>
      <c r="G7" s="226" t="s">
        <v>3670</v>
      </c>
      <c r="H7" s="226" t="s">
        <v>3671</v>
      </c>
    </row>
    <row r="8" spans="3:8" ht="28.5">
      <c r="C8" t="s">
        <v>322</v>
      </c>
      <c r="D8" s="70" t="s">
        <v>1528</v>
      </c>
      <c r="E8" s="226" t="s">
        <v>323</v>
      </c>
      <c r="F8" s="226" t="s">
        <v>3662</v>
      </c>
      <c r="G8" s="226" t="s">
        <v>3672</v>
      </c>
      <c r="H8" s="226" t="s">
        <v>2198</v>
      </c>
    </row>
    <row r="9" spans="3:8" ht="28.5">
      <c r="C9" t="s">
        <v>324</v>
      </c>
      <c r="D9" s="70" t="s">
        <v>1528</v>
      </c>
      <c r="E9" s="226" t="s">
        <v>325</v>
      </c>
      <c r="F9" s="226" t="s">
        <v>3662</v>
      </c>
      <c r="G9" s="226" t="s">
        <v>3672</v>
      </c>
      <c r="H9" s="226" t="s">
        <v>3673</v>
      </c>
    </row>
    <row r="10" spans="3:8" ht="28.5">
      <c r="C10" t="s">
        <v>326</v>
      </c>
      <c r="D10" s="70" t="s">
        <v>1528</v>
      </c>
      <c r="E10" s="226" t="s">
        <v>327</v>
      </c>
      <c r="F10" s="226" t="s">
        <v>3662</v>
      </c>
      <c r="G10" s="226" t="s">
        <v>3674</v>
      </c>
      <c r="H10" s="226" t="s">
        <v>3675</v>
      </c>
    </row>
    <row r="11" spans="3:8" ht="99.75">
      <c r="C11" t="s">
        <v>328</v>
      </c>
      <c r="D11" s="70" t="s">
        <v>1528</v>
      </c>
      <c r="E11" s="226" t="s">
        <v>329</v>
      </c>
      <c r="F11" s="226" t="s">
        <v>3662</v>
      </c>
      <c r="G11" s="226" t="s">
        <v>3676</v>
      </c>
      <c r="H11" s="226" t="s">
        <v>3677</v>
      </c>
    </row>
    <row r="12" spans="3:8" ht="99.75">
      <c r="C12" t="s">
        <v>330</v>
      </c>
      <c r="D12" s="70" t="s">
        <v>1528</v>
      </c>
      <c r="E12" s="226" t="s">
        <v>331</v>
      </c>
      <c r="F12" s="226" t="s">
        <v>3662</v>
      </c>
      <c r="G12" s="226" t="s">
        <v>3678</v>
      </c>
      <c r="H12" s="226" t="s">
        <v>3679</v>
      </c>
    </row>
    <row r="13" spans="3:8" ht="57">
      <c r="C13" t="s">
        <v>332</v>
      </c>
      <c r="D13" s="70" t="s">
        <v>1528</v>
      </c>
      <c r="E13" s="226" t="s">
        <v>333</v>
      </c>
      <c r="F13" s="226" t="s">
        <v>3662</v>
      </c>
      <c r="G13" s="226" t="s">
        <v>3680</v>
      </c>
      <c r="H13" s="226" t="s">
        <v>3681</v>
      </c>
    </row>
    <row r="14" spans="3:8" ht="42.75">
      <c r="C14" t="s">
        <v>334</v>
      </c>
      <c r="D14" s="70" t="s">
        <v>1528</v>
      </c>
      <c r="E14" s="226" t="s">
        <v>335</v>
      </c>
      <c r="F14" s="226" t="s">
        <v>3662</v>
      </c>
      <c r="G14" s="226" t="s">
        <v>3682</v>
      </c>
      <c r="H14" s="226" t="s">
        <v>3683</v>
      </c>
    </row>
    <row r="15" spans="3:8" ht="85.5">
      <c r="C15" t="s">
        <v>336</v>
      </c>
      <c r="D15" s="70" t="s">
        <v>1528</v>
      </c>
      <c r="E15" s="226" t="s">
        <v>337</v>
      </c>
      <c r="F15" s="226" t="s">
        <v>3684</v>
      </c>
      <c r="G15" s="226" t="s">
        <v>3685</v>
      </c>
      <c r="H15" s="226" t="s">
        <v>3686</v>
      </c>
    </row>
    <row r="16" spans="3:8" ht="28.5">
      <c r="C16" t="s">
        <v>338</v>
      </c>
      <c r="D16" s="70" t="s">
        <v>1528</v>
      </c>
      <c r="E16" s="226" t="s">
        <v>339</v>
      </c>
      <c r="F16" s="226" t="s">
        <v>3684</v>
      </c>
      <c r="G16" s="226" t="s">
        <v>3687</v>
      </c>
      <c r="H16" s="226" t="s">
        <v>3688</v>
      </c>
    </row>
    <row r="17" spans="3:8" ht="28.5">
      <c r="C17" t="s">
        <v>340</v>
      </c>
      <c r="D17" s="70" t="s">
        <v>1528</v>
      </c>
      <c r="E17" s="226" t="s">
        <v>341</v>
      </c>
      <c r="F17" s="226" t="s">
        <v>3684</v>
      </c>
      <c r="G17" s="226" t="s">
        <v>3689</v>
      </c>
      <c r="H17" s="226" t="s">
        <v>3690</v>
      </c>
    </row>
    <row r="18" spans="3:8" ht="42.75">
      <c r="C18" t="s">
        <v>342</v>
      </c>
      <c r="D18" s="70" t="s">
        <v>1528</v>
      </c>
      <c r="E18" s="226" t="s">
        <v>343</v>
      </c>
      <c r="F18" s="226" t="s">
        <v>3684</v>
      </c>
      <c r="G18" s="226" t="s">
        <v>3689</v>
      </c>
      <c r="H18" s="226" t="s">
        <v>3691</v>
      </c>
    </row>
    <row r="19" spans="3:8" ht="28.5">
      <c r="C19" t="s">
        <v>344</v>
      </c>
      <c r="D19" s="70" t="s">
        <v>1528</v>
      </c>
      <c r="E19" s="226" t="s">
        <v>345</v>
      </c>
      <c r="F19" s="226" t="s">
        <v>3684</v>
      </c>
      <c r="G19" s="226" t="s">
        <v>3692</v>
      </c>
      <c r="H19" s="226" t="s">
        <v>3693</v>
      </c>
    </row>
    <row r="20" spans="3:8" ht="99.75">
      <c r="C20" t="s">
        <v>346</v>
      </c>
      <c r="D20" s="70" t="s">
        <v>1528</v>
      </c>
      <c r="E20" s="226" t="s">
        <v>347</v>
      </c>
      <c r="F20" s="226" t="s">
        <v>3684</v>
      </c>
      <c r="G20" s="226" t="s">
        <v>3692</v>
      </c>
      <c r="H20" s="226" t="s">
        <v>3694</v>
      </c>
    </row>
    <row r="21" spans="3:8" ht="28.5">
      <c r="C21" t="s">
        <v>348</v>
      </c>
      <c r="D21" s="70" t="s">
        <v>1528</v>
      </c>
      <c r="E21" s="226" t="s">
        <v>349</v>
      </c>
      <c r="F21" s="226" t="s">
        <v>3684</v>
      </c>
      <c r="G21" s="226" t="s">
        <v>3695</v>
      </c>
      <c r="H21" s="226" t="s">
        <v>3696</v>
      </c>
    </row>
    <row r="22" spans="3:8" ht="42.75">
      <c r="C22" t="s">
        <v>350</v>
      </c>
      <c r="D22" s="70" t="s">
        <v>1528</v>
      </c>
      <c r="E22" s="226" t="s">
        <v>351</v>
      </c>
      <c r="F22" s="226" t="s">
        <v>3684</v>
      </c>
      <c r="G22" s="226" t="s">
        <v>3695</v>
      </c>
      <c r="H22" s="226" t="s">
        <v>3697</v>
      </c>
    </row>
    <row r="23" spans="3:8" ht="42.75">
      <c r="C23" t="s">
        <v>352</v>
      </c>
      <c r="D23" s="70" t="s">
        <v>1528</v>
      </c>
      <c r="E23" s="226" t="s">
        <v>353</v>
      </c>
      <c r="F23" s="226" t="s">
        <v>3698</v>
      </c>
      <c r="G23" s="226" t="s">
        <v>3699</v>
      </c>
      <c r="H23" s="226" t="s">
        <v>3700</v>
      </c>
    </row>
    <row r="24" spans="3:8" ht="42.75">
      <c r="C24" t="s">
        <v>354</v>
      </c>
      <c r="D24" s="70" t="s">
        <v>1528</v>
      </c>
      <c r="E24" s="226" t="s">
        <v>249</v>
      </c>
      <c r="F24" s="226" t="s">
        <v>3698</v>
      </c>
      <c r="G24" s="226" t="s">
        <v>3701</v>
      </c>
      <c r="H24" s="226" t="s">
        <v>3702</v>
      </c>
    </row>
    <row r="25" spans="3:8" ht="28.5">
      <c r="C25" t="s">
        <v>355</v>
      </c>
      <c r="D25" s="70" t="s">
        <v>1528</v>
      </c>
      <c r="E25" s="226" t="s">
        <v>356</v>
      </c>
      <c r="F25" s="226" t="s">
        <v>3698</v>
      </c>
      <c r="G25" s="226" t="s">
        <v>3703</v>
      </c>
      <c r="H25" s="226" t="s">
        <v>3704</v>
      </c>
    </row>
    <row r="26" spans="3:8" ht="28.5">
      <c r="C26" t="s">
        <v>361</v>
      </c>
      <c r="D26" s="70" t="s">
        <v>1528</v>
      </c>
      <c r="E26" s="226" t="s">
        <v>1391</v>
      </c>
      <c r="F26" s="226" t="s">
        <v>3705</v>
      </c>
      <c r="G26" s="226" t="s">
        <v>3706</v>
      </c>
      <c r="H26" s="226" t="s">
        <v>2242</v>
      </c>
    </row>
    <row r="27" spans="3:8" ht="28.5">
      <c r="C27" t="s">
        <v>367</v>
      </c>
      <c r="D27" s="70" t="s">
        <v>1528</v>
      </c>
      <c r="E27" s="226" t="s">
        <v>1394</v>
      </c>
      <c r="F27" s="226" t="s">
        <v>3705</v>
      </c>
      <c r="G27" s="226" t="s">
        <v>3706</v>
      </c>
      <c r="H27" s="226" t="s">
        <v>2244</v>
      </c>
    </row>
    <row r="28" spans="3:8" ht="28.5">
      <c r="C28" t="s">
        <v>357</v>
      </c>
      <c r="D28" s="70" t="s">
        <v>1528</v>
      </c>
      <c r="E28" s="226" t="s">
        <v>1389</v>
      </c>
      <c r="F28" s="226" t="s">
        <v>3705</v>
      </c>
      <c r="G28" s="226" t="s">
        <v>3706</v>
      </c>
      <c r="H28" s="226" t="s">
        <v>2246</v>
      </c>
    </row>
    <row r="29" spans="3:8" ht="28.5">
      <c r="C29" t="s">
        <v>359</v>
      </c>
      <c r="D29" s="70" t="s">
        <v>1528</v>
      </c>
      <c r="E29" s="226" t="s">
        <v>1390</v>
      </c>
      <c r="F29" s="226" t="s">
        <v>3705</v>
      </c>
      <c r="G29" s="226" t="s">
        <v>3707</v>
      </c>
      <c r="H29" s="226" t="s">
        <v>2248</v>
      </c>
    </row>
    <row r="30" spans="3:8" ht="28.5">
      <c r="C30" t="s">
        <v>369</v>
      </c>
      <c r="D30" s="70" t="s">
        <v>1528</v>
      </c>
      <c r="E30" s="226" t="s">
        <v>370</v>
      </c>
      <c r="F30" s="226" t="s">
        <v>3705</v>
      </c>
      <c r="G30" s="226" t="s">
        <v>3706</v>
      </c>
      <c r="H30" s="226" t="s">
        <v>3708</v>
      </c>
    </row>
    <row r="31" spans="3:8" ht="28.5">
      <c r="C31" t="s">
        <v>377</v>
      </c>
      <c r="D31" s="70" t="s">
        <v>1528</v>
      </c>
      <c r="E31" s="226" t="s">
        <v>1397</v>
      </c>
      <c r="F31" s="226" t="s">
        <v>3705</v>
      </c>
      <c r="G31" s="226" t="s">
        <v>3707</v>
      </c>
      <c r="H31" s="226" t="s">
        <v>2252</v>
      </c>
    </row>
    <row r="32" spans="3:8" ht="28.5">
      <c r="C32" t="s">
        <v>379</v>
      </c>
      <c r="D32" s="70" t="s">
        <v>1528</v>
      </c>
      <c r="E32" s="226" t="s">
        <v>380</v>
      </c>
      <c r="F32" s="226" t="s">
        <v>3705</v>
      </c>
      <c r="G32" s="226" t="s">
        <v>3707</v>
      </c>
      <c r="H32" s="226" t="s">
        <v>3709</v>
      </c>
    </row>
    <row r="33" spans="3:8" ht="28.5">
      <c r="C33" t="s">
        <v>363</v>
      </c>
      <c r="D33" s="70" t="s">
        <v>1528</v>
      </c>
      <c r="E33" s="226" t="s">
        <v>1392</v>
      </c>
      <c r="F33" s="226" t="s">
        <v>3705</v>
      </c>
      <c r="G33" s="226" t="s">
        <v>3706</v>
      </c>
      <c r="H33" s="226" t="s">
        <v>2256</v>
      </c>
    </row>
    <row r="34" spans="3:8" ht="28.5">
      <c r="C34" t="s">
        <v>373</v>
      </c>
      <c r="D34" s="70" t="s">
        <v>1528</v>
      </c>
      <c r="E34" s="226" t="s">
        <v>374</v>
      </c>
      <c r="F34" s="226" t="s">
        <v>3705</v>
      </c>
      <c r="G34" s="226" t="s">
        <v>3706</v>
      </c>
      <c r="H34" s="226" t="s">
        <v>3710</v>
      </c>
    </row>
    <row r="35" spans="3:8" ht="28.5">
      <c r="C35" t="s">
        <v>365</v>
      </c>
      <c r="D35" s="70" t="s">
        <v>1528</v>
      </c>
      <c r="E35" s="226" t="s">
        <v>1393</v>
      </c>
      <c r="F35" s="226" t="s">
        <v>3705</v>
      </c>
      <c r="G35" s="226" t="s">
        <v>3711</v>
      </c>
      <c r="H35" s="226" t="s">
        <v>2260</v>
      </c>
    </row>
    <row r="36" spans="3:8" ht="28.5">
      <c r="C36" t="s">
        <v>375</v>
      </c>
      <c r="D36" s="70" t="s">
        <v>1528</v>
      </c>
      <c r="E36" s="226" t="s">
        <v>1396</v>
      </c>
      <c r="F36" s="226" t="s">
        <v>3705</v>
      </c>
      <c r="G36" s="226" t="s">
        <v>3707</v>
      </c>
      <c r="H36" s="226" t="s">
        <v>2262</v>
      </c>
    </row>
    <row r="37" spans="3:8" ht="28.5">
      <c r="C37" t="s">
        <v>371</v>
      </c>
      <c r="D37" s="70" t="s">
        <v>1528</v>
      </c>
      <c r="E37" s="226" t="s">
        <v>1395</v>
      </c>
      <c r="F37" s="226" t="s">
        <v>3705</v>
      </c>
      <c r="G37" s="226" t="s">
        <v>3712</v>
      </c>
      <c r="H37" s="226" t="s">
        <v>3713</v>
      </c>
    </row>
    <row r="38" spans="3:8" ht="42.75">
      <c r="C38" t="s">
        <v>455</v>
      </c>
      <c r="D38" s="70" t="s">
        <v>1528</v>
      </c>
      <c r="E38" s="226" t="s">
        <v>456</v>
      </c>
      <c r="F38" s="226" t="s">
        <v>3714</v>
      </c>
      <c r="G38" s="226" t="s">
        <v>3715</v>
      </c>
      <c r="H38" s="226" t="s">
        <v>3716</v>
      </c>
    </row>
    <row r="39" spans="3:8" ht="42.75">
      <c r="C39" t="s">
        <v>457</v>
      </c>
      <c r="D39" s="70" t="s">
        <v>1528</v>
      </c>
      <c r="E39" s="226" t="s">
        <v>458</v>
      </c>
      <c r="F39" s="226" t="s">
        <v>3714</v>
      </c>
      <c r="G39" s="226" t="s">
        <v>3717</v>
      </c>
      <c r="H39" s="226" t="s">
        <v>3718</v>
      </c>
    </row>
    <row r="40" spans="3:8" ht="42.75">
      <c r="C40" t="s">
        <v>459</v>
      </c>
      <c r="D40" s="70" t="s">
        <v>1528</v>
      </c>
      <c r="E40" s="226" t="s">
        <v>460</v>
      </c>
      <c r="F40" s="226" t="s">
        <v>3714</v>
      </c>
      <c r="G40" s="226" t="s">
        <v>3719</v>
      </c>
      <c r="H40" s="226" t="s">
        <v>3720</v>
      </c>
    </row>
    <row r="41" spans="3:8" ht="28.5">
      <c r="C41" t="s">
        <v>461</v>
      </c>
      <c r="D41" s="70" t="s">
        <v>1528</v>
      </c>
      <c r="E41" s="226" t="s">
        <v>462</v>
      </c>
      <c r="F41" s="226" t="s">
        <v>3714</v>
      </c>
      <c r="G41" s="226" t="s">
        <v>3719</v>
      </c>
      <c r="H41" s="226" t="s">
        <v>3721</v>
      </c>
    </row>
    <row r="42" spans="3:8" ht="28.5">
      <c r="C42" t="s">
        <v>549</v>
      </c>
      <c r="D42" s="70" t="s">
        <v>1528</v>
      </c>
      <c r="E42" s="226" t="s">
        <v>550</v>
      </c>
      <c r="F42" s="226" t="s">
        <v>3714</v>
      </c>
      <c r="G42" s="226" t="s">
        <v>3722</v>
      </c>
      <c r="H42" s="226" t="s">
        <v>3723</v>
      </c>
    </row>
    <row r="43" spans="3:8" ht="28.5">
      <c r="C43" t="s">
        <v>551</v>
      </c>
      <c r="D43" s="70" t="s">
        <v>1528</v>
      </c>
      <c r="E43" s="226" t="s">
        <v>552</v>
      </c>
      <c r="F43" s="226" t="s">
        <v>3714</v>
      </c>
      <c r="G43" s="226" t="s">
        <v>3724</v>
      </c>
      <c r="H43" s="226" t="s">
        <v>3725</v>
      </c>
    </row>
    <row r="44" spans="3:8" ht="28.5">
      <c r="C44" t="s">
        <v>553</v>
      </c>
      <c r="D44" s="70" t="s">
        <v>1528</v>
      </c>
      <c r="E44" s="226" t="s">
        <v>554</v>
      </c>
      <c r="F44" s="226" t="s">
        <v>3714</v>
      </c>
      <c r="G44" s="226" t="s">
        <v>3726</v>
      </c>
      <c r="H44" s="226" t="s">
        <v>3727</v>
      </c>
    </row>
    <row r="45" spans="3:8" ht="28.5">
      <c r="C45" t="s">
        <v>555</v>
      </c>
      <c r="D45" s="70" t="s">
        <v>1528</v>
      </c>
      <c r="E45" s="226" t="s">
        <v>556</v>
      </c>
      <c r="F45" s="226" t="s">
        <v>3714</v>
      </c>
      <c r="G45" s="226" t="s">
        <v>3726</v>
      </c>
      <c r="H45" s="226" t="s">
        <v>3728</v>
      </c>
    </row>
    <row r="46" spans="3:8" ht="28.5">
      <c r="C46" t="s">
        <v>557</v>
      </c>
      <c r="D46" s="70" t="s">
        <v>1528</v>
      </c>
      <c r="E46" s="226" t="s">
        <v>558</v>
      </c>
      <c r="F46" s="226" t="s">
        <v>3714</v>
      </c>
      <c r="G46" s="226" t="s">
        <v>3726</v>
      </c>
      <c r="H46" s="226" t="s">
        <v>3729</v>
      </c>
    </row>
    <row r="47" spans="3:8" ht="28.5">
      <c r="C47" t="s">
        <v>559</v>
      </c>
      <c r="D47" s="70" t="s">
        <v>1528</v>
      </c>
      <c r="E47" s="226" t="s">
        <v>560</v>
      </c>
      <c r="F47" s="226" t="s">
        <v>3714</v>
      </c>
      <c r="G47" s="226" t="s">
        <v>3726</v>
      </c>
      <c r="H47" s="226" t="s">
        <v>3730</v>
      </c>
    </row>
    <row r="48" spans="3:8" ht="28.5">
      <c r="C48" t="s">
        <v>561</v>
      </c>
      <c r="D48" s="70" t="s">
        <v>1528</v>
      </c>
      <c r="E48" s="226" t="s">
        <v>562</v>
      </c>
      <c r="F48" s="226" t="s">
        <v>3714</v>
      </c>
      <c r="G48" s="226" t="s">
        <v>3731</v>
      </c>
      <c r="H48" s="226" t="s">
        <v>3732</v>
      </c>
    </row>
    <row r="49" spans="3:8" ht="42.75">
      <c r="C49" t="s">
        <v>563</v>
      </c>
      <c r="D49" s="70" t="s">
        <v>1528</v>
      </c>
      <c r="E49" s="226" t="s">
        <v>564</v>
      </c>
      <c r="F49" s="226" t="s">
        <v>3714</v>
      </c>
      <c r="G49" s="226" t="s">
        <v>3733</v>
      </c>
      <c r="H49" s="226" t="s">
        <v>3734</v>
      </c>
    </row>
    <row r="50" spans="3:8" ht="42.75">
      <c r="C50" t="s">
        <v>565</v>
      </c>
      <c r="D50" s="70" t="s">
        <v>1528</v>
      </c>
      <c r="E50" s="226" t="s">
        <v>566</v>
      </c>
      <c r="F50" s="226" t="s">
        <v>3714</v>
      </c>
      <c r="G50" s="226" t="s">
        <v>3733</v>
      </c>
      <c r="H50" s="226" t="s">
        <v>3735</v>
      </c>
    </row>
    <row r="51" spans="3:8" ht="42.75">
      <c r="C51" t="s">
        <v>567</v>
      </c>
      <c r="D51" s="70" t="s">
        <v>1528</v>
      </c>
      <c r="E51" s="226" t="s">
        <v>568</v>
      </c>
      <c r="F51" s="226" t="s">
        <v>3714</v>
      </c>
      <c r="G51" s="226" t="s">
        <v>3733</v>
      </c>
      <c r="H51" s="226" t="s">
        <v>3736</v>
      </c>
    </row>
    <row r="52" spans="3:8" ht="42.75">
      <c r="C52" t="s">
        <v>569</v>
      </c>
      <c r="D52" s="70" t="s">
        <v>1528</v>
      </c>
      <c r="E52" s="226" t="s">
        <v>570</v>
      </c>
      <c r="F52" s="226" t="s">
        <v>3714</v>
      </c>
      <c r="G52" s="226" t="s">
        <v>3733</v>
      </c>
      <c r="H52" s="226" t="s">
        <v>3737</v>
      </c>
    </row>
    <row r="53" spans="3:8" ht="42.75">
      <c r="C53" t="s">
        <v>571</v>
      </c>
      <c r="D53" s="70" t="s">
        <v>1528</v>
      </c>
      <c r="E53" s="226" t="s">
        <v>572</v>
      </c>
      <c r="F53" s="226" t="s">
        <v>3714</v>
      </c>
      <c r="G53" s="226" t="s">
        <v>3733</v>
      </c>
      <c r="H53" s="226" t="s">
        <v>3738</v>
      </c>
    </row>
    <row r="54" spans="3:8" ht="42.75">
      <c r="C54" t="s">
        <v>573</v>
      </c>
      <c r="D54" s="70" t="s">
        <v>1528</v>
      </c>
      <c r="E54" s="226" t="s">
        <v>574</v>
      </c>
      <c r="F54" s="226" t="s">
        <v>3714</v>
      </c>
      <c r="G54" s="226" t="s">
        <v>3739</v>
      </c>
      <c r="H54" s="226" t="s">
        <v>3740</v>
      </c>
    </row>
    <row r="55" spans="3:8" ht="42.75">
      <c r="C55" t="s">
        <v>575</v>
      </c>
      <c r="D55" s="70" t="s">
        <v>1528</v>
      </c>
      <c r="E55" s="226" t="s">
        <v>576</v>
      </c>
      <c r="F55" s="226" t="s">
        <v>3714</v>
      </c>
      <c r="G55" s="226" t="s">
        <v>3741</v>
      </c>
      <c r="H55" s="226" t="s">
        <v>3742</v>
      </c>
    </row>
    <row r="56" spans="3:8" ht="42.75">
      <c r="C56" t="s">
        <v>577</v>
      </c>
      <c r="D56" s="70" t="s">
        <v>1528</v>
      </c>
      <c r="E56" s="226" t="s">
        <v>1616</v>
      </c>
      <c r="F56" s="226" t="s">
        <v>3714</v>
      </c>
      <c r="G56" s="226" t="s">
        <v>3743</v>
      </c>
      <c r="H56" s="226" t="s">
        <v>3744</v>
      </c>
    </row>
    <row r="57" spans="3:8" ht="71.25">
      <c r="C57" t="s">
        <v>579</v>
      </c>
      <c r="D57" s="70" t="s">
        <v>1528</v>
      </c>
      <c r="E57" s="226" t="s">
        <v>1619</v>
      </c>
      <c r="F57" s="226" t="s">
        <v>3714</v>
      </c>
      <c r="G57" s="226" t="s">
        <v>3743</v>
      </c>
      <c r="H57" s="226" t="s">
        <v>3745</v>
      </c>
    </row>
    <row r="58" spans="3:8" ht="42.75">
      <c r="C58" t="s">
        <v>581</v>
      </c>
      <c r="D58" s="70" t="s">
        <v>1528</v>
      </c>
      <c r="E58" s="226" t="s">
        <v>1621</v>
      </c>
      <c r="F58" s="226" t="s">
        <v>3714</v>
      </c>
      <c r="G58" s="226" t="s">
        <v>3746</v>
      </c>
      <c r="H58" s="226" t="s">
        <v>2311</v>
      </c>
    </row>
    <row r="59" spans="3:8" ht="42.75">
      <c r="C59" t="s">
        <v>583</v>
      </c>
      <c r="D59" s="70" t="s">
        <v>1528</v>
      </c>
      <c r="E59" s="226" t="s">
        <v>584</v>
      </c>
      <c r="F59" s="226" t="s">
        <v>3714</v>
      </c>
      <c r="G59" s="226" t="s">
        <v>3746</v>
      </c>
      <c r="H59" s="226" t="s">
        <v>3747</v>
      </c>
    </row>
    <row r="60" spans="3:8" ht="57">
      <c r="C60" t="s">
        <v>585</v>
      </c>
      <c r="D60" s="70" t="s">
        <v>1528</v>
      </c>
      <c r="E60" s="226" t="s">
        <v>586</v>
      </c>
      <c r="F60" s="226" t="s">
        <v>3714</v>
      </c>
      <c r="G60" s="226" t="s">
        <v>3746</v>
      </c>
      <c r="H60" s="226" t="s">
        <v>3748</v>
      </c>
    </row>
    <row r="61" spans="3:8" ht="28.5">
      <c r="C61" t="s">
        <v>587</v>
      </c>
      <c r="D61" s="70" t="s">
        <v>1528</v>
      </c>
      <c r="E61" s="226" t="s">
        <v>588</v>
      </c>
      <c r="F61" s="226" t="s">
        <v>3714</v>
      </c>
      <c r="G61" s="226" t="s">
        <v>3749</v>
      </c>
      <c r="H61" s="226" t="s">
        <v>2319</v>
      </c>
    </row>
    <row r="62" spans="3:8" ht="28.5">
      <c r="C62" t="s">
        <v>589</v>
      </c>
      <c r="D62" s="70" t="s">
        <v>1528</v>
      </c>
      <c r="E62" s="226" t="s">
        <v>590</v>
      </c>
      <c r="F62" s="226" t="s">
        <v>3714</v>
      </c>
      <c r="G62" s="226" t="s">
        <v>3749</v>
      </c>
      <c r="H62" s="226" t="s">
        <v>3750</v>
      </c>
    </row>
    <row r="63" spans="3:8" ht="28.5">
      <c r="C63" t="s">
        <v>591</v>
      </c>
      <c r="D63" s="70" t="s">
        <v>1528</v>
      </c>
      <c r="E63" s="226" t="s">
        <v>592</v>
      </c>
      <c r="F63" s="226" t="s">
        <v>3714</v>
      </c>
      <c r="G63" s="226" t="s">
        <v>3751</v>
      </c>
      <c r="H63" s="226" t="s">
        <v>2323</v>
      </c>
    </row>
    <row r="64" spans="3:8" ht="57">
      <c r="C64" t="s">
        <v>595</v>
      </c>
      <c r="D64" s="70" t="s">
        <v>1528</v>
      </c>
      <c r="E64" s="226" t="s">
        <v>596</v>
      </c>
      <c r="F64" s="226" t="s">
        <v>3714</v>
      </c>
      <c r="G64" s="226" t="s">
        <v>3751</v>
      </c>
      <c r="H64" s="226" t="s">
        <v>3752</v>
      </c>
    </row>
    <row r="65" spans="3:8" ht="57">
      <c r="C65" t="s">
        <v>593</v>
      </c>
      <c r="D65" s="70" t="s">
        <v>1528</v>
      </c>
      <c r="E65" s="226" t="s">
        <v>1399</v>
      </c>
      <c r="F65" s="226" t="s">
        <v>3714</v>
      </c>
      <c r="G65" s="226" t="s">
        <v>3751</v>
      </c>
      <c r="H65" s="226" t="s">
        <v>3753</v>
      </c>
    </row>
    <row r="66" spans="3:8" ht="42.75">
      <c r="C66" t="s">
        <v>597</v>
      </c>
      <c r="D66" s="70" t="s">
        <v>1528</v>
      </c>
      <c r="E66" s="226" t="s">
        <v>598</v>
      </c>
      <c r="F66" s="226" t="s">
        <v>3714</v>
      </c>
      <c r="G66" s="226" t="s">
        <v>3754</v>
      </c>
      <c r="H66" s="226" t="s">
        <v>3755</v>
      </c>
    </row>
    <row r="67" spans="3:8" ht="42.75">
      <c r="C67" t="s">
        <v>599</v>
      </c>
      <c r="D67" s="70" t="s">
        <v>1528</v>
      </c>
      <c r="E67" s="226" t="s">
        <v>600</v>
      </c>
      <c r="F67" s="226" t="s">
        <v>3714</v>
      </c>
      <c r="G67" s="226" t="s">
        <v>3756</v>
      </c>
      <c r="H67" s="226" t="s">
        <v>3757</v>
      </c>
    </row>
    <row r="68" spans="3:8" ht="42.75">
      <c r="C68" t="s">
        <v>601</v>
      </c>
      <c r="D68" s="70" t="s">
        <v>1528</v>
      </c>
      <c r="E68" s="226" t="s">
        <v>602</v>
      </c>
      <c r="F68" s="226" t="s">
        <v>3714</v>
      </c>
      <c r="G68" s="226" t="s">
        <v>3756</v>
      </c>
      <c r="H68" s="226" t="s">
        <v>3758</v>
      </c>
    </row>
    <row r="69" spans="3:8" ht="42.75">
      <c r="C69" t="s">
        <v>603</v>
      </c>
      <c r="D69" s="70" t="s">
        <v>1528</v>
      </c>
      <c r="E69" s="226" t="s">
        <v>604</v>
      </c>
      <c r="F69" s="226" t="s">
        <v>3714</v>
      </c>
      <c r="G69" s="226" t="s">
        <v>3759</v>
      </c>
      <c r="H69" s="226" t="s">
        <v>2341</v>
      </c>
    </row>
    <row r="70" spans="3:8" ht="42.75">
      <c r="C70" t="s">
        <v>605</v>
      </c>
      <c r="D70" s="70" t="s">
        <v>1528</v>
      </c>
      <c r="E70" s="226" t="s">
        <v>606</v>
      </c>
      <c r="F70" s="226" t="s">
        <v>3714</v>
      </c>
      <c r="G70" s="226" t="s">
        <v>3759</v>
      </c>
      <c r="H70" s="226" t="s">
        <v>3760</v>
      </c>
    </row>
    <row r="71" spans="3:8" ht="42.75">
      <c r="C71" t="s">
        <v>607</v>
      </c>
      <c r="D71" s="70" t="s">
        <v>1528</v>
      </c>
      <c r="E71" s="226" t="s">
        <v>608</v>
      </c>
      <c r="F71" s="226" t="s">
        <v>3714</v>
      </c>
      <c r="G71" s="226" t="s">
        <v>3759</v>
      </c>
      <c r="H71" s="226" t="s">
        <v>3761</v>
      </c>
    </row>
    <row r="72" spans="3:8" ht="28.5">
      <c r="C72" t="s">
        <v>609</v>
      </c>
      <c r="D72" s="70" t="s">
        <v>1528</v>
      </c>
      <c r="E72" s="226" t="s">
        <v>610</v>
      </c>
      <c r="F72" s="226" t="s">
        <v>3714</v>
      </c>
      <c r="G72" s="226" t="s">
        <v>3762</v>
      </c>
      <c r="H72" s="226" t="s">
        <v>3763</v>
      </c>
    </row>
    <row r="73" spans="3:8" ht="28.5">
      <c r="C73" t="s">
        <v>611</v>
      </c>
      <c r="D73" s="70" t="s">
        <v>1528</v>
      </c>
      <c r="E73" s="226" t="s">
        <v>612</v>
      </c>
      <c r="F73" s="226" t="s">
        <v>3714</v>
      </c>
      <c r="G73" s="226" t="s">
        <v>3764</v>
      </c>
      <c r="H73" s="226" t="s">
        <v>3765</v>
      </c>
    </row>
    <row r="74" spans="3:8" ht="42.75">
      <c r="C74" t="s">
        <v>613</v>
      </c>
      <c r="D74" s="70" t="s">
        <v>1528</v>
      </c>
      <c r="E74" s="226" t="s">
        <v>614</v>
      </c>
      <c r="F74" s="226" t="s">
        <v>3714</v>
      </c>
      <c r="G74" s="226" t="s">
        <v>3766</v>
      </c>
      <c r="H74" s="226" t="s">
        <v>3767</v>
      </c>
    </row>
    <row r="75" spans="3:8" ht="42.75">
      <c r="C75" t="s">
        <v>615</v>
      </c>
      <c r="D75" s="70" t="s">
        <v>1528</v>
      </c>
      <c r="E75" s="226" t="s">
        <v>616</v>
      </c>
      <c r="F75" s="226" t="s">
        <v>3714</v>
      </c>
      <c r="G75" s="226" t="s">
        <v>3766</v>
      </c>
      <c r="H75" s="226" t="s">
        <v>3768</v>
      </c>
    </row>
    <row r="76" spans="3:8" ht="71.25">
      <c r="C76" t="s">
        <v>617</v>
      </c>
      <c r="D76" s="70" t="s">
        <v>1528</v>
      </c>
      <c r="E76" s="226" t="s">
        <v>618</v>
      </c>
      <c r="F76" s="226" t="s">
        <v>3714</v>
      </c>
      <c r="G76" s="226" t="s">
        <v>3769</v>
      </c>
      <c r="H76" s="226" t="s">
        <v>3770</v>
      </c>
    </row>
    <row r="77" spans="3:8" ht="42.75">
      <c r="C77" t="s">
        <v>619</v>
      </c>
      <c r="D77" s="70" t="s">
        <v>1528</v>
      </c>
      <c r="E77" s="226" t="s">
        <v>620</v>
      </c>
      <c r="F77" s="226" t="s">
        <v>3714</v>
      </c>
      <c r="G77" s="226" t="s">
        <v>3771</v>
      </c>
      <c r="H77" s="226" t="s">
        <v>3772</v>
      </c>
    </row>
    <row r="78" spans="3:8" ht="28.5">
      <c r="C78" t="s">
        <v>621</v>
      </c>
      <c r="D78" s="70" t="s">
        <v>1528</v>
      </c>
      <c r="E78" s="226" t="s">
        <v>622</v>
      </c>
      <c r="F78" s="226" t="s">
        <v>3714</v>
      </c>
      <c r="G78" s="226" t="s">
        <v>3771</v>
      </c>
      <c r="H78" s="226" t="s">
        <v>3773</v>
      </c>
    </row>
    <row r="79" spans="3:8" ht="28.5">
      <c r="C79" t="s">
        <v>623</v>
      </c>
      <c r="D79" s="70" t="s">
        <v>1528</v>
      </c>
      <c r="E79" s="226" t="s">
        <v>624</v>
      </c>
      <c r="F79" s="226" t="s">
        <v>3714</v>
      </c>
      <c r="G79" s="226" t="s">
        <v>3771</v>
      </c>
      <c r="H79" s="226" t="s">
        <v>2363</v>
      </c>
    </row>
    <row r="80" spans="3:8" ht="28.5">
      <c r="C80" t="s">
        <v>625</v>
      </c>
      <c r="D80" s="70" t="s">
        <v>1528</v>
      </c>
      <c r="E80" s="226" t="s">
        <v>626</v>
      </c>
      <c r="F80" s="226" t="s">
        <v>3714</v>
      </c>
      <c r="G80" s="226" t="s">
        <v>3771</v>
      </c>
      <c r="H80" s="226" t="s">
        <v>3774</v>
      </c>
    </row>
    <row r="81" spans="3:8" ht="42.75">
      <c r="C81" t="s">
        <v>629</v>
      </c>
      <c r="D81" s="70" t="s">
        <v>1528</v>
      </c>
      <c r="E81" s="226" t="s">
        <v>630</v>
      </c>
      <c r="F81" s="226" t="s">
        <v>3714</v>
      </c>
      <c r="G81" s="226" t="s">
        <v>3771</v>
      </c>
      <c r="H81" s="226" t="s">
        <v>3775</v>
      </c>
    </row>
    <row r="82" spans="3:8" ht="42.75">
      <c r="C82" t="s">
        <v>627</v>
      </c>
      <c r="D82" s="70" t="s">
        <v>1528</v>
      </c>
      <c r="E82" s="226" t="s">
        <v>1657</v>
      </c>
      <c r="F82" s="226" t="s">
        <v>3714</v>
      </c>
      <c r="G82" s="226" t="s">
        <v>3771</v>
      </c>
      <c r="H82" s="226" t="s">
        <v>3776</v>
      </c>
    </row>
    <row r="83" spans="3:8" ht="42.75">
      <c r="C83" t="s">
        <v>631</v>
      </c>
      <c r="D83" s="70" t="s">
        <v>1528</v>
      </c>
      <c r="E83" s="226" t="s">
        <v>632</v>
      </c>
      <c r="F83" s="226" t="s">
        <v>3714</v>
      </c>
      <c r="G83" s="226" t="s">
        <v>3777</v>
      </c>
      <c r="H83" s="226" t="s">
        <v>3778</v>
      </c>
    </row>
    <row r="84" spans="3:8" ht="42.75">
      <c r="C84" t="s">
        <v>633</v>
      </c>
      <c r="D84" s="70" t="s">
        <v>1528</v>
      </c>
      <c r="E84" s="226" t="s">
        <v>634</v>
      </c>
      <c r="F84" s="226" t="s">
        <v>3714</v>
      </c>
      <c r="G84" s="226" t="s">
        <v>3777</v>
      </c>
      <c r="H84" s="226" t="s">
        <v>3779</v>
      </c>
    </row>
    <row r="85" spans="3:8" ht="42.75">
      <c r="C85" t="s">
        <v>635</v>
      </c>
      <c r="D85" s="70" t="s">
        <v>1528</v>
      </c>
      <c r="E85" s="226" t="s">
        <v>636</v>
      </c>
      <c r="F85" s="226" t="s">
        <v>3714</v>
      </c>
      <c r="G85" s="226" t="s">
        <v>3777</v>
      </c>
      <c r="H85" s="226" t="s">
        <v>3780</v>
      </c>
    </row>
    <row r="86" spans="3:8" ht="42.75">
      <c r="C86" t="s">
        <v>637</v>
      </c>
      <c r="D86" s="70" t="s">
        <v>1528</v>
      </c>
      <c r="E86" s="226" t="s">
        <v>638</v>
      </c>
      <c r="F86" s="226" t="s">
        <v>3714</v>
      </c>
      <c r="G86" s="226" t="s">
        <v>3777</v>
      </c>
      <c r="H86" s="226" t="s">
        <v>2378</v>
      </c>
    </row>
    <row r="87" spans="3:8" ht="28.5">
      <c r="C87" t="s">
        <v>639</v>
      </c>
      <c r="D87" s="70" t="s">
        <v>1528</v>
      </c>
      <c r="E87" s="226" t="s">
        <v>640</v>
      </c>
      <c r="F87" s="226" t="s">
        <v>3714</v>
      </c>
      <c r="G87" s="226" t="s">
        <v>3781</v>
      </c>
      <c r="H87" s="226" t="s">
        <v>3782</v>
      </c>
    </row>
    <row r="88" spans="3:8" ht="57">
      <c r="C88" t="s">
        <v>641</v>
      </c>
      <c r="D88" s="70" t="s">
        <v>1528</v>
      </c>
      <c r="E88" s="226" t="s">
        <v>642</v>
      </c>
      <c r="F88" s="226" t="s">
        <v>3714</v>
      </c>
      <c r="G88" s="226" t="s">
        <v>3781</v>
      </c>
      <c r="H88" s="226" t="s">
        <v>3783</v>
      </c>
    </row>
    <row r="89" spans="3:8" ht="42.75">
      <c r="C89" t="s">
        <v>643</v>
      </c>
      <c r="D89" s="70" t="s">
        <v>1528</v>
      </c>
      <c r="E89" s="226" t="s">
        <v>644</v>
      </c>
      <c r="F89" s="226" t="s">
        <v>3714</v>
      </c>
      <c r="G89" s="226" t="s">
        <v>3784</v>
      </c>
      <c r="H89" s="226" t="s">
        <v>3785</v>
      </c>
    </row>
    <row r="90" spans="3:8" ht="42.75">
      <c r="C90" t="s">
        <v>645</v>
      </c>
      <c r="D90" s="70" t="s">
        <v>1528</v>
      </c>
      <c r="E90" s="226" t="s">
        <v>646</v>
      </c>
      <c r="F90" s="226" t="s">
        <v>3714</v>
      </c>
      <c r="G90" s="226" t="s">
        <v>3784</v>
      </c>
      <c r="H90" s="226" t="s">
        <v>3786</v>
      </c>
    </row>
    <row r="91" spans="3:8" ht="42.75">
      <c r="C91" t="s">
        <v>647</v>
      </c>
      <c r="D91" s="70" t="s">
        <v>1528</v>
      </c>
      <c r="E91" s="226" t="s">
        <v>648</v>
      </c>
      <c r="F91" s="226" t="s">
        <v>3714</v>
      </c>
      <c r="G91" s="226" t="s">
        <v>3784</v>
      </c>
      <c r="H91" s="226" t="s">
        <v>3787</v>
      </c>
    </row>
    <row r="92" spans="3:8" ht="57">
      <c r="C92" t="s">
        <v>651</v>
      </c>
      <c r="D92" s="70" t="s">
        <v>1528</v>
      </c>
      <c r="E92" s="226" t="s">
        <v>652</v>
      </c>
      <c r="F92" s="226" t="s">
        <v>3714</v>
      </c>
      <c r="G92" s="226" t="s">
        <v>3788</v>
      </c>
      <c r="H92" s="226" t="s">
        <v>3789</v>
      </c>
    </row>
    <row r="93" spans="3:8" ht="57">
      <c r="C93" t="s">
        <v>653</v>
      </c>
      <c r="D93" s="70" t="s">
        <v>1528</v>
      </c>
      <c r="E93" s="226" t="s">
        <v>654</v>
      </c>
      <c r="F93" s="226" t="s">
        <v>3714</v>
      </c>
      <c r="G93" s="226" t="s">
        <v>3788</v>
      </c>
      <c r="H93" s="226" t="s">
        <v>3790</v>
      </c>
    </row>
    <row r="94" spans="3:8" ht="57">
      <c r="C94" t="s">
        <v>649</v>
      </c>
      <c r="D94" s="70" t="s">
        <v>1528</v>
      </c>
      <c r="E94" s="226" t="s">
        <v>1400</v>
      </c>
      <c r="F94" s="226" t="s">
        <v>3714</v>
      </c>
      <c r="G94" s="226" t="s">
        <v>3788</v>
      </c>
      <c r="H94" s="226" t="s">
        <v>3791</v>
      </c>
    </row>
    <row r="95" spans="3:8" ht="28.5">
      <c r="C95" t="s">
        <v>655</v>
      </c>
      <c r="D95" s="70" t="s">
        <v>1528</v>
      </c>
      <c r="E95" s="226" t="s">
        <v>656</v>
      </c>
      <c r="F95" s="226" t="s">
        <v>3714</v>
      </c>
      <c r="G95" s="226" t="s">
        <v>3792</v>
      </c>
      <c r="H95" s="226" t="s">
        <v>3793</v>
      </c>
    </row>
    <row r="96" spans="3:8" ht="28.5">
      <c r="C96" t="s">
        <v>657</v>
      </c>
      <c r="D96" s="70" t="s">
        <v>1528</v>
      </c>
      <c r="E96" s="226" t="s">
        <v>658</v>
      </c>
      <c r="F96" s="226" t="s">
        <v>3714</v>
      </c>
      <c r="G96" s="226" t="s">
        <v>3792</v>
      </c>
      <c r="H96" s="226" t="s">
        <v>3794</v>
      </c>
    </row>
    <row r="97" spans="3:8" ht="28.5">
      <c r="C97" t="s">
        <v>659</v>
      </c>
      <c r="D97" s="70" t="s">
        <v>1528</v>
      </c>
      <c r="E97" s="226" t="s">
        <v>1401</v>
      </c>
      <c r="F97" s="226" t="s">
        <v>3714</v>
      </c>
      <c r="G97" s="226" t="s">
        <v>3792</v>
      </c>
      <c r="H97" s="226" t="s">
        <v>3795</v>
      </c>
    </row>
    <row r="98" spans="3:8" ht="42.75">
      <c r="C98" t="s">
        <v>661</v>
      </c>
      <c r="D98" s="70" t="s">
        <v>1528</v>
      </c>
      <c r="E98" s="226" t="s">
        <v>662</v>
      </c>
      <c r="F98" s="226" t="s">
        <v>3714</v>
      </c>
      <c r="G98" s="226" t="s">
        <v>3792</v>
      </c>
      <c r="H98" s="226" t="s">
        <v>3796</v>
      </c>
    </row>
    <row r="99" spans="3:8" ht="42.75">
      <c r="C99" t="s">
        <v>663</v>
      </c>
      <c r="D99" s="70" t="s">
        <v>1528</v>
      </c>
      <c r="E99" s="226" t="s">
        <v>664</v>
      </c>
      <c r="F99" s="226" t="s">
        <v>3714</v>
      </c>
      <c r="G99" s="226" t="s">
        <v>3797</v>
      </c>
      <c r="H99" s="226" t="s">
        <v>3798</v>
      </c>
    </row>
    <row r="100" spans="3:8" ht="42.75">
      <c r="C100" t="s">
        <v>665</v>
      </c>
      <c r="D100" s="70" t="s">
        <v>1528</v>
      </c>
      <c r="E100" s="226" t="s">
        <v>666</v>
      </c>
      <c r="F100" s="226" t="s">
        <v>3714</v>
      </c>
      <c r="G100" s="226" t="s">
        <v>3797</v>
      </c>
      <c r="H100" s="226" t="s">
        <v>3799</v>
      </c>
    </row>
    <row r="101" spans="3:8" ht="42.75">
      <c r="C101" t="s">
        <v>667</v>
      </c>
      <c r="D101" s="70" t="s">
        <v>1528</v>
      </c>
      <c r="E101" s="226" t="s">
        <v>668</v>
      </c>
      <c r="F101" s="226" t="s">
        <v>3714</v>
      </c>
      <c r="G101" s="226" t="s">
        <v>3797</v>
      </c>
      <c r="H101" s="226" t="s">
        <v>3800</v>
      </c>
    </row>
    <row r="102" spans="3:8" ht="42.75">
      <c r="C102" t="s">
        <v>669</v>
      </c>
      <c r="D102" s="70" t="s">
        <v>1528</v>
      </c>
      <c r="E102" s="226" t="s">
        <v>670</v>
      </c>
      <c r="F102" s="226" t="s">
        <v>3714</v>
      </c>
      <c r="G102" s="226" t="s">
        <v>3797</v>
      </c>
      <c r="H102" s="226" t="s">
        <v>2414</v>
      </c>
    </row>
    <row r="103" spans="3:8" ht="42.75">
      <c r="C103" t="s">
        <v>671</v>
      </c>
      <c r="D103" s="70" t="s">
        <v>1528</v>
      </c>
      <c r="E103" s="226" t="s">
        <v>672</v>
      </c>
      <c r="F103" s="226" t="s">
        <v>3714</v>
      </c>
      <c r="G103" s="226" t="s">
        <v>3801</v>
      </c>
      <c r="H103" s="226" t="s">
        <v>3802</v>
      </c>
    </row>
    <row r="104" spans="3:8" ht="42.75">
      <c r="C104" t="s">
        <v>673</v>
      </c>
      <c r="D104" s="70" t="s">
        <v>1528</v>
      </c>
      <c r="E104" s="226" t="s">
        <v>674</v>
      </c>
      <c r="F104" s="226" t="s">
        <v>3714</v>
      </c>
      <c r="G104" s="226" t="s">
        <v>3801</v>
      </c>
      <c r="H104" s="226" t="s">
        <v>3803</v>
      </c>
    </row>
    <row r="105" spans="3:8" ht="42.75">
      <c r="C105" t="s">
        <v>675</v>
      </c>
      <c r="D105" s="70" t="s">
        <v>1528</v>
      </c>
      <c r="E105" s="226" t="s">
        <v>676</v>
      </c>
      <c r="F105" s="226" t="s">
        <v>3714</v>
      </c>
      <c r="G105" s="226" t="s">
        <v>3801</v>
      </c>
      <c r="H105" s="226" t="s">
        <v>3804</v>
      </c>
    </row>
    <row r="106" spans="3:8" ht="42.75">
      <c r="C106" t="s">
        <v>677</v>
      </c>
      <c r="D106" s="70" t="s">
        <v>1528</v>
      </c>
      <c r="E106" s="226" t="s">
        <v>678</v>
      </c>
      <c r="F106" s="226" t="s">
        <v>3714</v>
      </c>
      <c r="G106" s="226" t="s">
        <v>3801</v>
      </c>
      <c r="H106" s="226" t="s">
        <v>3805</v>
      </c>
    </row>
    <row r="107" spans="3:8" ht="42.75">
      <c r="C107" t="s">
        <v>679</v>
      </c>
      <c r="D107" s="70" t="s">
        <v>1528</v>
      </c>
      <c r="E107" s="226" t="s">
        <v>680</v>
      </c>
      <c r="F107" s="226" t="s">
        <v>3714</v>
      </c>
      <c r="G107" s="226" t="s">
        <v>3801</v>
      </c>
      <c r="H107" s="226" t="s">
        <v>3806</v>
      </c>
    </row>
    <row r="108" spans="3:8" ht="42.75">
      <c r="C108" t="s">
        <v>681</v>
      </c>
      <c r="D108" s="70" t="s">
        <v>1528</v>
      </c>
      <c r="E108" s="226" t="s">
        <v>682</v>
      </c>
      <c r="F108" s="226" t="s">
        <v>3714</v>
      </c>
      <c r="G108" s="226" t="s">
        <v>3801</v>
      </c>
      <c r="H108" s="226" t="s">
        <v>3807</v>
      </c>
    </row>
    <row r="109" spans="3:8" ht="71.25">
      <c r="C109" t="s">
        <v>683</v>
      </c>
      <c r="D109" s="70" t="s">
        <v>1528</v>
      </c>
      <c r="E109" s="226" t="s">
        <v>684</v>
      </c>
      <c r="F109" s="226" t="s">
        <v>3714</v>
      </c>
      <c r="G109" s="226" t="s">
        <v>3801</v>
      </c>
      <c r="H109" s="226" t="s">
        <v>3808</v>
      </c>
    </row>
    <row r="110" spans="3:8" ht="42.75">
      <c r="C110" t="s">
        <v>685</v>
      </c>
      <c r="D110" s="70" t="s">
        <v>1528</v>
      </c>
      <c r="E110" s="226" t="s">
        <v>686</v>
      </c>
      <c r="F110" s="226" t="s">
        <v>3714</v>
      </c>
      <c r="G110" s="226" t="s">
        <v>3801</v>
      </c>
      <c r="H110" s="226" t="s">
        <v>3809</v>
      </c>
    </row>
    <row r="111" spans="3:8" ht="85.5">
      <c r="C111" t="s">
        <v>687</v>
      </c>
      <c r="D111" s="70" t="s">
        <v>1528</v>
      </c>
      <c r="E111" s="226" t="s">
        <v>688</v>
      </c>
      <c r="F111" s="226" t="s">
        <v>3714</v>
      </c>
      <c r="G111" s="226" t="s">
        <v>3810</v>
      </c>
      <c r="H111" s="226" t="s">
        <v>3811</v>
      </c>
    </row>
    <row r="112" spans="3:8" ht="42.75">
      <c r="C112" t="s">
        <v>689</v>
      </c>
      <c r="D112" s="70" t="s">
        <v>1528</v>
      </c>
      <c r="E112" s="226" t="s">
        <v>690</v>
      </c>
      <c r="F112" s="226" t="s">
        <v>3714</v>
      </c>
      <c r="G112" s="226" t="s">
        <v>3810</v>
      </c>
      <c r="H112" s="226" t="s">
        <v>3812</v>
      </c>
    </row>
    <row r="113" spans="3:8" ht="42.75">
      <c r="C113" t="s">
        <v>691</v>
      </c>
      <c r="D113" s="70" t="s">
        <v>1528</v>
      </c>
      <c r="E113" s="226" t="s">
        <v>692</v>
      </c>
      <c r="F113" s="226" t="s">
        <v>3714</v>
      </c>
      <c r="G113" s="226" t="s">
        <v>3810</v>
      </c>
      <c r="H113" s="226" t="s">
        <v>2437</v>
      </c>
    </row>
    <row r="114" spans="3:8" ht="42.75">
      <c r="C114" t="s">
        <v>693</v>
      </c>
      <c r="D114" s="70" t="s">
        <v>1528</v>
      </c>
      <c r="E114" s="226" t="s">
        <v>694</v>
      </c>
      <c r="F114" s="226" t="s">
        <v>3714</v>
      </c>
      <c r="G114" s="226" t="s">
        <v>3813</v>
      </c>
      <c r="H114" s="226" t="s">
        <v>3814</v>
      </c>
    </row>
    <row r="115" spans="3:8" ht="42.75">
      <c r="C115" t="s">
        <v>695</v>
      </c>
      <c r="D115" s="70" t="s">
        <v>1528</v>
      </c>
      <c r="E115" s="226" t="s">
        <v>696</v>
      </c>
      <c r="F115" s="226" t="s">
        <v>3714</v>
      </c>
      <c r="G115" s="226" t="s">
        <v>3813</v>
      </c>
      <c r="H115" s="226" t="s">
        <v>3815</v>
      </c>
    </row>
    <row r="116" spans="3:8" ht="28.5">
      <c r="C116" t="s">
        <v>697</v>
      </c>
      <c r="D116" s="70" t="s">
        <v>1528</v>
      </c>
      <c r="E116" s="226" t="s">
        <v>698</v>
      </c>
      <c r="F116" s="226" t="s">
        <v>3714</v>
      </c>
      <c r="G116" s="226" t="s">
        <v>3813</v>
      </c>
      <c r="H116" s="226" t="s">
        <v>3816</v>
      </c>
    </row>
    <row r="117" spans="3:8" ht="42.75">
      <c r="C117" t="s">
        <v>701</v>
      </c>
      <c r="D117" s="70" t="s">
        <v>1528</v>
      </c>
      <c r="E117" s="226" t="s">
        <v>702</v>
      </c>
      <c r="F117" s="226" t="s">
        <v>3714</v>
      </c>
      <c r="G117" s="226" t="s">
        <v>3817</v>
      </c>
      <c r="H117" s="226" t="s">
        <v>3818</v>
      </c>
    </row>
    <row r="118" spans="3:8" ht="42.75">
      <c r="C118" t="s">
        <v>703</v>
      </c>
      <c r="D118" s="70" t="s">
        <v>1528</v>
      </c>
      <c r="E118" s="226" t="s">
        <v>704</v>
      </c>
      <c r="F118" s="226" t="s">
        <v>3714</v>
      </c>
      <c r="G118" s="226" t="s">
        <v>3817</v>
      </c>
      <c r="H118" s="226" t="s">
        <v>3819</v>
      </c>
    </row>
    <row r="119" spans="3:8" ht="85.5">
      <c r="C119" t="s">
        <v>705</v>
      </c>
      <c r="D119" s="70" t="s">
        <v>1528</v>
      </c>
      <c r="E119" s="226" t="s">
        <v>706</v>
      </c>
      <c r="F119" s="226" t="s">
        <v>3714</v>
      </c>
      <c r="G119" s="226" t="s">
        <v>3817</v>
      </c>
      <c r="H119" s="226" t="s">
        <v>3820</v>
      </c>
    </row>
    <row r="120" spans="3:8" ht="57">
      <c r="C120" t="s">
        <v>707</v>
      </c>
      <c r="D120" s="70" t="s">
        <v>1528</v>
      </c>
      <c r="E120" s="226" t="s">
        <v>708</v>
      </c>
      <c r="F120" s="226" t="s">
        <v>3714</v>
      </c>
      <c r="G120" s="226" t="s">
        <v>3821</v>
      </c>
      <c r="H120" s="226" t="s">
        <v>3822</v>
      </c>
    </row>
    <row r="121" spans="3:8" ht="57">
      <c r="C121" t="s">
        <v>709</v>
      </c>
      <c r="D121" s="70" t="s">
        <v>1528</v>
      </c>
      <c r="E121" s="226" t="s">
        <v>710</v>
      </c>
      <c r="F121" s="226" t="s">
        <v>3714</v>
      </c>
      <c r="G121" s="226" t="s">
        <v>3821</v>
      </c>
      <c r="H121" s="226" t="s">
        <v>3823</v>
      </c>
    </row>
    <row r="122" spans="3:8" ht="57">
      <c r="C122" t="s">
        <v>711</v>
      </c>
      <c r="D122" s="70" t="s">
        <v>1528</v>
      </c>
      <c r="E122" s="226" t="s">
        <v>712</v>
      </c>
      <c r="F122" s="226" t="s">
        <v>3714</v>
      </c>
      <c r="G122" s="226" t="s">
        <v>3821</v>
      </c>
      <c r="H122" s="226" t="s">
        <v>3824</v>
      </c>
    </row>
    <row r="123" spans="3:8" ht="57">
      <c r="C123" t="s">
        <v>713</v>
      </c>
      <c r="D123" s="70" t="s">
        <v>1528</v>
      </c>
      <c r="E123" s="226" t="s">
        <v>714</v>
      </c>
      <c r="F123" s="226" t="s">
        <v>3714</v>
      </c>
      <c r="G123" s="226" t="s">
        <v>3821</v>
      </c>
      <c r="H123" s="226" t="s">
        <v>3825</v>
      </c>
    </row>
    <row r="124" spans="3:8" ht="57">
      <c r="C124" t="s">
        <v>715</v>
      </c>
      <c r="D124" s="70" t="s">
        <v>1528</v>
      </c>
      <c r="E124" s="226" t="s">
        <v>716</v>
      </c>
      <c r="F124" s="226" t="s">
        <v>3714</v>
      </c>
      <c r="G124" s="226" t="s">
        <v>3821</v>
      </c>
      <c r="H124" s="226" t="s">
        <v>3826</v>
      </c>
    </row>
    <row r="125" spans="3:8" ht="57">
      <c r="C125" t="s">
        <v>717</v>
      </c>
      <c r="D125" s="70" t="s">
        <v>1528</v>
      </c>
      <c r="E125" s="226" t="s">
        <v>718</v>
      </c>
      <c r="F125" s="226" t="s">
        <v>3714</v>
      </c>
      <c r="G125" s="226" t="s">
        <v>3821</v>
      </c>
      <c r="H125" s="226" t="s">
        <v>3827</v>
      </c>
    </row>
    <row r="126" spans="3:8" ht="57">
      <c r="C126" t="s">
        <v>719</v>
      </c>
      <c r="D126" s="70" t="s">
        <v>1528</v>
      </c>
      <c r="E126" s="226" t="s">
        <v>720</v>
      </c>
      <c r="F126" s="226" t="s">
        <v>3714</v>
      </c>
      <c r="G126" s="226" t="s">
        <v>3821</v>
      </c>
      <c r="H126" s="226" t="s">
        <v>3828</v>
      </c>
    </row>
    <row r="127" spans="3:8" ht="57">
      <c r="C127" t="s">
        <v>721</v>
      </c>
      <c r="D127" s="70" t="s">
        <v>1528</v>
      </c>
      <c r="E127" s="226" t="s">
        <v>722</v>
      </c>
      <c r="F127" s="226" t="s">
        <v>3714</v>
      </c>
      <c r="G127" s="226" t="s">
        <v>3821</v>
      </c>
      <c r="H127" s="226" t="s">
        <v>3829</v>
      </c>
    </row>
    <row r="128" spans="3:8" ht="57">
      <c r="C128" t="s">
        <v>723</v>
      </c>
      <c r="D128" s="70" t="s">
        <v>1528</v>
      </c>
      <c r="E128" s="226" t="s">
        <v>724</v>
      </c>
      <c r="F128" s="226" t="s">
        <v>3714</v>
      </c>
      <c r="G128" s="226" t="s">
        <v>3821</v>
      </c>
      <c r="H128" s="226" t="s">
        <v>3830</v>
      </c>
    </row>
    <row r="129" spans="3:8" ht="42.75">
      <c r="C129" t="s">
        <v>699</v>
      </c>
      <c r="D129" s="70" t="s">
        <v>1528</v>
      </c>
      <c r="E129" s="226" t="s">
        <v>700</v>
      </c>
      <c r="F129" s="226" t="s">
        <v>3714</v>
      </c>
      <c r="G129" s="226" t="s">
        <v>3831</v>
      </c>
      <c r="H129" s="226" t="s">
        <v>3832</v>
      </c>
    </row>
    <row r="130" spans="3:8" ht="42.75">
      <c r="C130" t="s">
        <v>725</v>
      </c>
      <c r="D130" s="70" t="s">
        <v>1528</v>
      </c>
      <c r="E130" s="226" t="s">
        <v>726</v>
      </c>
      <c r="F130" s="226" t="s">
        <v>3714</v>
      </c>
      <c r="G130" s="226" t="s">
        <v>3833</v>
      </c>
      <c r="H130" s="226" t="s">
        <v>3834</v>
      </c>
    </row>
    <row r="131" spans="3:8" ht="28.5">
      <c r="C131" t="s">
        <v>727</v>
      </c>
      <c r="D131" s="70" t="s">
        <v>1528</v>
      </c>
      <c r="E131" s="226" t="s">
        <v>728</v>
      </c>
      <c r="F131" s="226" t="s">
        <v>3714</v>
      </c>
      <c r="G131" s="226" t="s">
        <v>3835</v>
      </c>
      <c r="H131" s="226" t="s">
        <v>3836</v>
      </c>
    </row>
    <row r="132" spans="3:8" ht="28.5">
      <c r="C132" t="s">
        <v>729</v>
      </c>
      <c r="D132" s="70" t="s">
        <v>1528</v>
      </c>
      <c r="E132" s="226" t="s">
        <v>730</v>
      </c>
      <c r="F132" s="226" t="s">
        <v>3714</v>
      </c>
      <c r="G132" s="226" t="s">
        <v>3835</v>
      </c>
      <c r="H132" s="226" t="s">
        <v>3837</v>
      </c>
    </row>
    <row r="133" spans="3:8" ht="28.5">
      <c r="C133" t="s">
        <v>731</v>
      </c>
      <c r="D133" s="70" t="s">
        <v>1528</v>
      </c>
      <c r="E133" s="226" t="s">
        <v>732</v>
      </c>
      <c r="F133" s="226" t="s">
        <v>3714</v>
      </c>
      <c r="G133" s="226" t="s">
        <v>3838</v>
      </c>
      <c r="H133" s="226" t="s">
        <v>3839</v>
      </c>
    </row>
    <row r="134" spans="3:8" ht="28.5">
      <c r="C134" t="s">
        <v>733</v>
      </c>
      <c r="D134" s="70" t="s">
        <v>1528</v>
      </c>
      <c r="E134" s="226" t="s">
        <v>734</v>
      </c>
      <c r="F134" s="226" t="s">
        <v>3714</v>
      </c>
      <c r="G134" s="226" t="s">
        <v>3838</v>
      </c>
      <c r="H134" s="226" t="s">
        <v>2481</v>
      </c>
    </row>
    <row r="135" spans="3:8" ht="28.5">
      <c r="C135" t="s">
        <v>735</v>
      </c>
      <c r="D135" s="70" t="s">
        <v>1528</v>
      </c>
      <c r="E135" s="226" t="s">
        <v>736</v>
      </c>
      <c r="F135" s="226" t="s">
        <v>3714</v>
      </c>
      <c r="G135" s="226" t="s">
        <v>3838</v>
      </c>
      <c r="H135" s="226" t="s">
        <v>2483</v>
      </c>
    </row>
    <row r="136" spans="3:8" ht="28.5">
      <c r="C136" t="s">
        <v>737</v>
      </c>
      <c r="D136" s="70" t="s">
        <v>1528</v>
      </c>
      <c r="E136" s="226" t="s">
        <v>738</v>
      </c>
      <c r="F136" s="226" t="s">
        <v>3714</v>
      </c>
      <c r="G136" s="226" t="s">
        <v>3838</v>
      </c>
      <c r="H136" s="226" t="s">
        <v>2485</v>
      </c>
    </row>
    <row r="137" spans="3:8" ht="57">
      <c r="C137" t="s">
        <v>739</v>
      </c>
      <c r="D137" s="70" t="s">
        <v>1528</v>
      </c>
      <c r="E137" s="226" t="s">
        <v>740</v>
      </c>
      <c r="F137" s="226" t="s">
        <v>3714</v>
      </c>
      <c r="G137" s="226" t="s">
        <v>3838</v>
      </c>
      <c r="H137" s="226" t="s">
        <v>3840</v>
      </c>
    </row>
    <row r="138" spans="3:8" ht="28.5">
      <c r="C138" t="s">
        <v>741</v>
      </c>
      <c r="D138" s="70" t="s">
        <v>1528</v>
      </c>
      <c r="E138" s="226" t="s">
        <v>742</v>
      </c>
      <c r="F138" s="226" t="s">
        <v>3714</v>
      </c>
      <c r="G138" s="226" t="s">
        <v>3841</v>
      </c>
      <c r="H138" s="226" t="s">
        <v>3842</v>
      </c>
    </row>
    <row r="139" spans="3:8" ht="42.75">
      <c r="C139" t="s">
        <v>743</v>
      </c>
      <c r="D139" s="70" t="s">
        <v>1528</v>
      </c>
      <c r="E139" s="226" t="s">
        <v>744</v>
      </c>
      <c r="F139" s="226" t="s">
        <v>3714</v>
      </c>
      <c r="G139" s="226" t="s">
        <v>3841</v>
      </c>
      <c r="H139" s="226" t="s">
        <v>3843</v>
      </c>
    </row>
    <row r="140" spans="3:8" ht="28.5">
      <c r="C140" t="s">
        <v>745</v>
      </c>
      <c r="D140" s="70" t="s">
        <v>1528</v>
      </c>
      <c r="E140" s="226" t="s">
        <v>746</v>
      </c>
      <c r="F140" s="226" t="s">
        <v>3714</v>
      </c>
      <c r="G140" s="226" t="s">
        <v>3841</v>
      </c>
      <c r="H140" s="226" t="s">
        <v>2493</v>
      </c>
    </row>
    <row r="141" spans="3:8" ht="28.5">
      <c r="C141" t="s">
        <v>747</v>
      </c>
      <c r="D141" s="70" t="s">
        <v>1528</v>
      </c>
      <c r="E141" s="226" t="s">
        <v>748</v>
      </c>
      <c r="F141" s="226" t="s">
        <v>3714</v>
      </c>
      <c r="G141" s="226" t="s">
        <v>3841</v>
      </c>
      <c r="H141" s="226" t="s">
        <v>3844</v>
      </c>
    </row>
    <row r="142" spans="3:8" ht="42.75">
      <c r="C142" t="s">
        <v>749</v>
      </c>
      <c r="D142" s="70" t="s">
        <v>1528</v>
      </c>
      <c r="E142" s="226" t="s">
        <v>750</v>
      </c>
      <c r="F142" s="226" t="s">
        <v>3714</v>
      </c>
      <c r="G142" s="226" t="s">
        <v>3845</v>
      </c>
      <c r="H142" s="226" t="s">
        <v>2497</v>
      </c>
    </row>
    <row r="143" spans="3:8" ht="42.75">
      <c r="C143" t="s">
        <v>751</v>
      </c>
      <c r="D143" s="70" t="s">
        <v>1528</v>
      </c>
      <c r="E143" s="226" t="s">
        <v>752</v>
      </c>
      <c r="F143" s="226" t="s">
        <v>3714</v>
      </c>
      <c r="G143" s="226" t="s">
        <v>3845</v>
      </c>
      <c r="H143" s="226" t="s">
        <v>2499</v>
      </c>
    </row>
    <row r="144" spans="3:8" ht="42.75">
      <c r="C144" t="s">
        <v>753</v>
      </c>
      <c r="D144" s="70" t="s">
        <v>1528</v>
      </c>
      <c r="E144" s="226" t="s">
        <v>754</v>
      </c>
      <c r="F144" s="226" t="s">
        <v>3714</v>
      </c>
      <c r="G144" s="226" t="s">
        <v>3845</v>
      </c>
      <c r="H144" s="226" t="s">
        <v>3846</v>
      </c>
    </row>
    <row r="145" spans="3:8" ht="42.75">
      <c r="C145" t="s">
        <v>755</v>
      </c>
      <c r="D145" s="70" t="s">
        <v>1528</v>
      </c>
      <c r="E145" s="226" t="s">
        <v>756</v>
      </c>
      <c r="F145" s="226" t="s">
        <v>3714</v>
      </c>
      <c r="G145" s="226" t="s">
        <v>3845</v>
      </c>
      <c r="H145" s="226" t="s">
        <v>2503</v>
      </c>
    </row>
    <row r="146" spans="3:8" ht="42.75">
      <c r="C146" t="s">
        <v>757</v>
      </c>
      <c r="D146" s="70" t="s">
        <v>1528</v>
      </c>
      <c r="E146" s="226" t="s">
        <v>758</v>
      </c>
      <c r="F146" s="226" t="s">
        <v>3714</v>
      </c>
      <c r="G146" s="226" t="s">
        <v>3845</v>
      </c>
      <c r="H146" s="226" t="s">
        <v>3847</v>
      </c>
    </row>
    <row r="147" spans="3:8" ht="57">
      <c r="C147" t="s">
        <v>759</v>
      </c>
      <c r="D147" s="70" t="s">
        <v>1528</v>
      </c>
      <c r="E147" s="226" t="s">
        <v>760</v>
      </c>
      <c r="F147" s="226" t="s">
        <v>3714</v>
      </c>
      <c r="G147" s="226" t="s">
        <v>3845</v>
      </c>
      <c r="H147" s="226" t="s">
        <v>3848</v>
      </c>
    </row>
    <row r="148" spans="3:8" ht="28.5">
      <c r="C148" t="s">
        <v>761</v>
      </c>
      <c r="D148" s="70" t="s">
        <v>1528</v>
      </c>
      <c r="E148" s="226" t="s">
        <v>762</v>
      </c>
      <c r="F148" s="226" t="s">
        <v>3714</v>
      </c>
      <c r="G148" s="226" t="s">
        <v>3849</v>
      </c>
      <c r="H148" s="226" t="s">
        <v>3850</v>
      </c>
    </row>
    <row r="149" spans="3:8" ht="28.5">
      <c r="C149" t="s">
        <v>763</v>
      </c>
      <c r="D149" s="70" t="s">
        <v>1528</v>
      </c>
      <c r="E149" s="226" t="s">
        <v>764</v>
      </c>
      <c r="F149" s="226" t="s">
        <v>3714</v>
      </c>
      <c r="G149" s="226" t="s">
        <v>3849</v>
      </c>
      <c r="H149" s="226" t="s">
        <v>3851</v>
      </c>
    </row>
    <row r="150" spans="3:8" ht="28.5">
      <c r="C150" t="s">
        <v>765</v>
      </c>
      <c r="D150" s="70" t="s">
        <v>1528</v>
      </c>
      <c r="E150" s="226" t="s">
        <v>766</v>
      </c>
      <c r="F150" s="226" t="s">
        <v>3714</v>
      </c>
      <c r="G150" s="226" t="s">
        <v>3849</v>
      </c>
      <c r="H150" s="226" t="s">
        <v>3852</v>
      </c>
    </row>
    <row r="151" spans="3:8" ht="28.5">
      <c r="C151" t="s">
        <v>767</v>
      </c>
      <c r="D151" s="70" t="s">
        <v>1528</v>
      </c>
      <c r="E151" s="226" t="s">
        <v>768</v>
      </c>
      <c r="F151" s="226" t="s">
        <v>3714</v>
      </c>
      <c r="G151" s="226" t="s">
        <v>3853</v>
      </c>
      <c r="H151" s="226" t="s">
        <v>2515</v>
      </c>
    </row>
    <row r="152" spans="3:8" ht="28.5">
      <c r="C152" t="s">
        <v>769</v>
      </c>
      <c r="D152" s="70" t="s">
        <v>1528</v>
      </c>
      <c r="E152" s="226" t="s">
        <v>770</v>
      </c>
      <c r="F152" s="226" t="s">
        <v>3714</v>
      </c>
      <c r="G152" s="226" t="s">
        <v>3853</v>
      </c>
      <c r="H152" s="226" t="s">
        <v>3854</v>
      </c>
    </row>
    <row r="153" spans="3:8" ht="28.5">
      <c r="C153" t="s">
        <v>771</v>
      </c>
      <c r="D153" s="70" t="s">
        <v>1528</v>
      </c>
      <c r="E153" s="226" t="s">
        <v>772</v>
      </c>
      <c r="F153" s="226" t="s">
        <v>3714</v>
      </c>
      <c r="G153" s="226" t="s">
        <v>3853</v>
      </c>
      <c r="H153" s="226" t="s">
        <v>2519</v>
      </c>
    </row>
    <row r="154" spans="3:8" ht="42.75">
      <c r="C154" t="s">
        <v>773</v>
      </c>
      <c r="D154" s="70" t="s">
        <v>1528</v>
      </c>
      <c r="E154" s="226" t="s">
        <v>774</v>
      </c>
      <c r="F154" s="226" t="s">
        <v>3714</v>
      </c>
      <c r="G154" s="226" t="s">
        <v>3853</v>
      </c>
      <c r="H154" s="226" t="s">
        <v>3855</v>
      </c>
    </row>
    <row r="155" spans="3:8" ht="28.5">
      <c r="C155" t="s">
        <v>775</v>
      </c>
      <c r="D155" s="70" t="s">
        <v>1528</v>
      </c>
      <c r="E155" s="226" t="s">
        <v>776</v>
      </c>
      <c r="F155" s="226" t="s">
        <v>3714</v>
      </c>
      <c r="G155" s="226" t="s">
        <v>3856</v>
      </c>
      <c r="H155" s="226" t="s">
        <v>3857</v>
      </c>
    </row>
    <row r="156" spans="3:8" ht="28.5">
      <c r="C156" t="s">
        <v>777</v>
      </c>
      <c r="D156" s="70" t="s">
        <v>1528</v>
      </c>
      <c r="E156" s="226" t="s">
        <v>778</v>
      </c>
      <c r="F156" s="226" t="s">
        <v>3714</v>
      </c>
      <c r="G156" s="226" t="s">
        <v>3856</v>
      </c>
      <c r="H156" s="226" t="s">
        <v>3858</v>
      </c>
    </row>
    <row r="157" spans="3:8" ht="28.5">
      <c r="C157" t="s">
        <v>779</v>
      </c>
      <c r="D157" s="70" t="s">
        <v>1528</v>
      </c>
      <c r="E157" s="226" t="s">
        <v>780</v>
      </c>
      <c r="F157" s="226" t="s">
        <v>3714</v>
      </c>
      <c r="G157" s="226" t="s">
        <v>3856</v>
      </c>
      <c r="H157" s="226" t="s">
        <v>2528</v>
      </c>
    </row>
    <row r="158" spans="3:8" ht="28.5">
      <c r="C158" t="s">
        <v>781</v>
      </c>
      <c r="D158" s="70" t="s">
        <v>1528</v>
      </c>
      <c r="E158" s="226" t="s">
        <v>782</v>
      </c>
      <c r="F158" s="226" t="s">
        <v>3714</v>
      </c>
      <c r="G158" s="226" t="s">
        <v>3856</v>
      </c>
      <c r="H158" s="226" t="s">
        <v>3859</v>
      </c>
    </row>
    <row r="159" spans="3:8" ht="28.5">
      <c r="C159" t="s">
        <v>783</v>
      </c>
      <c r="D159" s="70" t="s">
        <v>1528</v>
      </c>
      <c r="E159" s="226" t="s">
        <v>784</v>
      </c>
      <c r="F159" s="226" t="s">
        <v>3714</v>
      </c>
      <c r="G159" s="226" t="s">
        <v>3856</v>
      </c>
      <c r="H159" s="226" t="s">
        <v>3860</v>
      </c>
    </row>
    <row r="160" spans="3:8" ht="42.75">
      <c r="C160" t="s">
        <v>785</v>
      </c>
      <c r="D160" s="70" t="s">
        <v>1528</v>
      </c>
      <c r="E160" s="226" t="s">
        <v>786</v>
      </c>
      <c r="F160" s="226" t="s">
        <v>3714</v>
      </c>
      <c r="G160" s="226" t="s">
        <v>3856</v>
      </c>
      <c r="H160" s="226" t="s">
        <v>3861</v>
      </c>
    </row>
    <row r="161" spans="3:8" ht="57">
      <c r="C161" t="s">
        <v>787</v>
      </c>
      <c r="D161" s="70" t="s">
        <v>1528</v>
      </c>
      <c r="E161" s="226" t="s">
        <v>788</v>
      </c>
      <c r="F161" s="226" t="s">
        <v>3714</v>
      </c>
      <c r="G161" s="226" t="s">
        <v>3856</v>
      </c>
      <c r="H161" s="226" t="s">
        <v>3862</v>
      </c>
    </row>
    <row r="162" spans="3:8" ht="28.5">
      <c r="C162" t="s">
        <v>789</v>
      </c>
      <c r="D162" s="70" t="s">
        <v>1528</v>
      </c>
      <c r="E162" s="226" t="s">
        <v>17</v>
      </c>
      <c r="F162" s="226" t="s">
        <v>3714</v>
      </c>
      <c r="G162" s="226" t="s">
        <v>3863</v>
      </c>
      <c r="H162" s="226" t="s">
        <v>3864</v>
      </c>
    </row>
    <row r="163" spans="3:8" ht="42.75">
      <c r="C163" t="s">
        <v>790</v>
      </c>
      <c r="D163" s="70" t="s">
        <v>1528</v>
      </c>
      <c r="E163" s="226" t="s">
        <v>791</v>
      </c>
      <c r="F163" s="226" t="s">
        <v>3714</v>
      </c>
      <c r="G163" s="226" t="s">
        <v>3863</v>
      </c>
      <c r="H163" s="226" t="s">
        <v>3865</v>
      </c>
    </row>
    <row r="164" spans="3:8" ht="42.75">
      <c r="C164" t="s">
        <v>792</v>
      </c>
      <c r="D164" s="70" t="s">
        <v>1528</v>
      </c>
      <c r="E164" s="226" t="s">
        <v>793</v>
      </c>
      <c r="F164" s="226" t="s">
        <v>3714</v>
      </c>
      <c r="G164" s="226" t="s">
        <v>3863</v>
      </c>
      <c r="H164" s="226" t="s">
        <v>3866</v>
      </c>
    </row>
    <row r="165" spans="3:8" ht="28.5">
      <c r="C165" t="s">
        <v>794</v>
      </c>
      <c r="D165" s="70" t="s">
        <v>1528</v>
      </c>
      <c r="E165" s="226" t="s">
        <v>795</v>
      </c>
      <c r="F165" s="226" t="s">
        <v>3714</v>
      </c>
      <c r="G165" s="226" t="s">
        <v>3863</v>
      </c>
      <c r="H165" s="226" t="s">
        <v>2548</v>
      </c>
    </row>
    <row r="166" spans="3:8" ht="42.75">
      <c r="C166" t="s">
        <v>796</v>
      </c>
      <c r="D166" s="70" t="s">
        <v>1528</v>
      </c>
      <c r="E166" s="226" t="s">
        <v>797</v>
      </c>
      <c r="F166" s="226" t="s">
        <v>3714</v>
      </c>
      <c r="G166" s="226" t="s">
        <v>3863</v>
      </c>
      <c r="H166" s="226" t="s">
        <v>3867</v>
      </c>
    </row>
    <row r="167" spans="3:8" ht="42.75">
      <c r="C167" t="s">
        <v>798</v>
      </c>
      <c r="D167" s="70" t="s">
        <v>1528</v>
      </c>
      <c r="E167" s="226" t="s">
        <v>799</v>
      </c>
      <c r="F167" s="226" t="s">
        <v>3714</v>
      </c>
      <c r="G167" s="226" t="s">
        <v>3868</v>
      </c>
      <c r="H167" s="226" t="s">
        <v>3869</v>
      </c>
    </row>
    <row r="168" spans="3:8" ht="42.75">
      <c r="C168" t="s">
        <v>800</v>
      </c>
      <c r="D168" s="70" t="s">
        <v>1528</v>
      </c>
      <c r="E168" s="226" t="s">
        <v>801</v>
      </c>
      <c r="F168" s="226" t="s">
        <v>3714</v>
      </c>
      <c r="G168" s="226" t="s">
        <v>3870</v>
      </c>
      <c r="H168" s="226" t="s">
        <v>3871</v>
      </c>
    </row>
    <row r="169" spans="3:8" ht="28.5">
      <c r="C169" t="s">
        <v>802</v>
      </c>
      <c r="D169" s="70" t="s">
        <v>1528</v>
      </c>
      <c r="E169" s="226" t="s">
        <v>803</v>
      </c>
      <c r="F169" s="226" t="s">
        <v>3714</v>
      </c>
      <c r="G169" s="226" t="s">
        <v>3870</v>
      </c>
      <c r="H169" s="226" t="s">
        <v>2559</v>
      </c>
    </row>
    <row r="170" spans="3:8" ht="28.5">
      <c r="C170" t="s">
        <v>804</v>
      </c>
      <c r="D170" s="70" t="s">
        <v>1528</v>
      </c>
      <c r="E170" s="226" t="s">
        <v>805</v>
      </c>
      <c r="F170" s="226" t="s">
        <v>3714</v>
      </c>
      <c r="G170" s="226" t="s">
        <v>3872</v>
      </c>
      <c r="H170" s="226" t="s">
        <v>3873</v>
      </c>
    </row>
    <row r="171" spans="3:8" ht="28.5">
      <c r="C171" t="s">
        <v>806</v>
      </c>
      <c r="D171" s="70" t="s">
        <v>1528</v>
      </c>
      <c r="E171" s="226" t="s">
        <v>807</v>
      </c>
      <c r="F171" s="226" t="s">
        <v>3714</v>
      </c>
      <c r="G171" s="226" t="s">
        <v>3872</v>
      </c>
      <c r="H171" s="226" t="s">
        <v>3874</v>
      </c>
    </row>
    <row r="172" spans="3:8" ht="28.5">
      <c r="C172" t="s">
        <v>808</v>
      </c>
      <c r="D172" s="70" t="s">
        <v>1528</v>
      </c>
      <c r="E172" s="226" t="s">
        <v>18</v>
      </c>
      <c r="F172" s="226" t="s">
        <v>3714</v>
      </c>
      <c r="G172" s="226" t="s">
        <v>3872</v>
      </c>
      <c r="H172" s="226" t="s">
        <v>3875</v>
      </c>
    </row>
    <row r="173" spans="3:8" ht="57">
      <c r="C173" t="s">
        <v>809</v>
      </c>
      <c r="D173" s="70" t="s">
        <v>1528</v>
      </c>
      <c r="E173" s="226" t="s">
        <v>810</v>
      </c>
      <c r="F173" s="226" t="s">
        <v>3714</v>
      </c>
      <c r="G173" s="226" t="s">
        <v>3876</v>
      </c>
      <c r="H173" s="226" t="s">
        <v>3877</v>
      </c>
    </row>
    <row r="174" spans="3:8" ht="57">
      <c r="C174" t="s">
        <v>811</v>
      </c>
      <c r="D174" s="70" t="s">
        <v>1528</v>
      </c>
      <c r="E174" s="226" t="s">
        <v>812</v>
      </c>
      <c r="F174" s="226" t="s">
        <v>3714</v>
      </c>
      <c r="G174" s="226" t="s">
        <v>3876</v>
      </c>
      <c r="H174" s="226" t="s">
        <v>2569</v>
      </c>
    </row>
    <row r="175" spans="3:8" ht="57">
      <c r="C175" t="s">
        <v>813</v>
      </c>
      <c r="D175" s="70" t="s">
        <v>1528</v>
      </c>
      <c r="E175" s="226" t="s">
        <v>814</v>
      </c>
      <c r="F175" s="226" t="s">
        <v>3714</v>
      </c>
      <c r="G175" s="226" t="s">
        <v>3876</v>
      </c>
      <c r="H175" s="226" t="s">
        <v>3878</v>
      </c>
    </row>
    <row r="176" spans="3:8" ht="57">
      <c r="C176" t="s">
        <v>815</v>
      </c>
      <c r="D176" s="70" t="s">
        <v>1528</v>
      </c>
      <c r="E176" s="226" t="s">
        <v>816</v>
      </c>
      <c r="F176" s="226" t="s">
        <v>3714</v>
      </c>
      <c r="G176" s="226" t="s">
        <v>3876</v>
      </c>
      <c r="H176" s="226" t="s">
        <v>3879</v>
      </c>
    </row>
    <row r="177" spans="3:8" ht="57">
      <c r="C177" t="s">
        <v>817</v>
      </c>
      <c r="D177" s="70" t="s">
        <v>1528</v>
      </c>
      <c r="E177" s="226" t="s">
        <v>1402</v>
      </c>
      <c r="F177" s="226" t="s">
        <v>3714</v>
      </c>
      <c r="G177" s="226" t="s">
        <v>3876</v>
      </c>
      <c r="H177" s="226" t="s">
        <v>3880</v>
      </c>
    </row>
    <row r="178" spans="3:8" ht="42.75">
      <c r="C178" t="s">
        <v>819</v>
      </c>
      <c r="D178" s="70" t="s">
        <v>1528</v>
      </c>
      <c r="E178" s="226" t="s">
        <v>820</v>
      </c>
      <c r="F178" s="226" t="s">
        <v>3714</v>
      </c>
      <c r="G178" s="226" t="s">
        <v>3881</v>
      </c>
      <c r="H178" s="226" t="s">
        <v>3882</v>
      </c>
    </row>
    <row r="179" spans="3:8" ht="42.75">
      <c r="C179" t="s">
        <v>821</v>
      </c>
      <c r="D179" s="70" t="s">
        <v>1528</v>
      </c>
      <c r="E179" s="226" t="s">
        <v>822</v>
      </c>
      <c r="F179" s="226" t="s">
        <v>3714</v>
      </c>
      <c r="G179" s="226" t="s">
        <v>3881</v>
      </c>
      <c r="H179" s="226" t="s">
        <v>3883</v>
      </c>
    </row>
    <row r="180" spans="3:8" ht="42.75">
      <c r="C180" t="s">
        <v>823</v>
      </c>
      <c r="D180" s="70" t="s">
        <v>1528</v>
      </c>
      <c r="E180" s="226" t="s">
        <v>824</v>
      </c>
      <c r="F180" s="226" t="s">
        <v>3714</v>
      </c>
      <c r="G180" s="226" t="s">
        <v>3884</v>
      </c>
      <c r="H180" s="226" t="s">
        <v>3885</v>
      </c>
    </row>
    <row r="181" spans="3:8" ht="42.75">
      <c r="C181" t="s">
        <v>825</v>
      </c>
      <c r="D181" s="70" t="s">
        <v>1528</v>
      </c>
      <c r="E181" s="226" t="s">
        <v>826</v>
      </c>
      <c r="F181" s="226" t="s">
        <v>3714</v>
      </c>
      <c r="G181" s="226" t="s">
        <v>3886</v>
      </c>
      <c r="H181" s="226" t="s">
        <v>3887</v>
      </c>
    </row>
    <row r="182" spans="3:8" ht="42.75">
      <c r="C182" t="s">
        <v>827</v>
      </c>
      <c r="D182" s="70" t="s">
        <v>1528</v>
      </c>
      <c r="E182" s="226" t="s">
        <v>828</v>
      </c>
      <c r="F182" s="226" t="s">
        <v>3714</v>
      </c>
      <c r="G182" s="226" t="s">
        <v>3886</v>
      </c>
      <c r="H182" s="226" t="s">
        <v>3888</v>
      </c>
    </row>
    <row r="183" spans="3:8" ht="28.5">
      <c r="C183" t="s">
        <v>829</v>
      </c>
      <c r="D183" s="70" t="s">
        <v>1528</v>
      </c>
      <c r="E183" s="226" t="s">
        <v>830</v>
      </c>
      <c r="F183" s="226" t="s">
        <v>3714</v>
      </c>
      <c r="G183" s="226" t="s">
        <v>3886</v>
      </c>
      <c r="H183" s="226" t="s">
        <v>3889</v>
      </c>
    </row>
    <row r="184" spans="3:8" ht="28.5">
      <c r="C184" t="s">
        <v>831</v>
      </c>
      <c r="D184" s="70" t="s">
        <v>1528</v>
      </c>
      <c r="E184" s="226" t="s">
        <v>832</v>
      </c>
      <c r="F184" s="226" t="s">
        <v>3714</v>
      </c>
      <c r="G184" s="226" t="s">
        <v>3886</v>
      </c>
      <c r="H184" s="226" t="s">
        <v>3890</v>
      </c>
    </row>
    <row r="185" spans="3:8" ht="28.5">
      <c r="C185" t="s">
        <v>833</v>
      </c>
      <c r="D185" s="70" t="s">
        <v>1528</v>
      </c>
      <c r="E185" s="226" t="s">
        <v>834</v>
      </c>
      <c r="F185" s="226" t="s">
        <v>3714</v>
      </c>
      <c r="G185" s="226" t="s">
        <v>3886</v>
      </c>
      <c r="H185" s="226" t="s">
        <v>3891</v>
      </c>
    </row>
    <row r="186" spans="3:8" ht="71.25">
      <c r="C186" t="s">
        <v>835</v>
      </c>
      <c r="D186" s="70" t="s">
        <v>1528</v>
      </c>
      <c r="E186" s="226" t="s">
        <v>836</v>
      </c>
      <c r="F186" s="226" t="s">
        <v>3714</v>
      </c>
      <c r="G186" s="226" t="s">
        <v>3892</v>
      </c>
      <c r="H186" s="226" t="s">
        <v>3893</v>
      </c>
    </row>
    <row r="187" spans="3:8" ht="28.5">
      <c r="C187" t="s">
        <v>837</v>
      </c>
      <c r="D187" s="70" t="s">
        <v>1528</v>
      </c>
      <c r="E187" s="226" t="s">
        <v>838</v>
      </c>
      <c r="F187" s="226" t="s">
        <v>3714</v>
      </c>
      <c r="G187" s="226" t="s">
        <v>3892</v>
      </c>
      <c r="H187" s="226" t="s">
        <v>2598</v>
      </c>
    </row>
    <row r="188" spans="3:8" ht="28.5">
      <c r="C188" t="s">
        <v>839</v>
      </c>
      <c r="D188" s="70" t="s">
        <v>1528</v>
      </c>
      <c r="E188" s="226" t="s">
        <v>840</v>
      </c>
      <c r="F188" s="226" t="s">
        <v>3714</v>
      </c>
      <c r="G188" s="226" t="s">
        <v>3892</v>
      </c>
      <c r="H188" s="226" t="s">
        <v>3894</v>
      </c>
    </row>
    <row r="189" spans="3:8" ht="28.5">
      <c r="C189" t="s">
        <v>841</v>
      </c>
      <c r="D189" s="70" t="s">
        <v>1528</v>
      </c>
      <c r="E189" s="226" t="s">
        <v>842</v>
      </c>
      <c r="F189" s="226" t="s">
        <v>3714</v>
      </c>
      <c r="G189" s="226" t="s">
        <v>3892</v>
      </c>
      <c r="H189" s="226" t="s">
        <v>3895</v>
      </c>
    </row>
    <row r="190" spans="3:8" ht="28.5">
      <c r="C190" t="s">
        <v>843</v>
      </c>
      <c r="D190" s="70" t="s">
        <v>1528</v>
      </c>
      <c r="E190" s="226" t="s">
        <v>844</v>
      </c>
      <c r="F190" s="226" t="s">
        <v>3714</v>
      </c>
      <c r="G190" s="226" t="s">
        <v>3892</v>
      </c>
      <c r="H190" s="226" t="s">
        <v>3896</v>
      </c>
    </row>
    <row r="191" spans="3:8" ht="57">
      <c r="C191" t="s">
        <v>845</v>
      </c>
      <c r="D191" s="70" t="s">
        <v>1528</v>
      </c>
      <c r="E191" s="226" t="s">
        <v>846</v>
      </c>
      <c r="F191" s="226" t="s">
        <v>3714</v>
      </c>
      <c r="G191" s="226" t="s">
        <v>3892</v>
      </c>
      <c r="H191" s="226" t="s">
        <v>3897</v>
      </c>
    </row>
    <row r="192" spans="3:8" ht="28.5">
      <c r="C192" t="s">
        <v>381</v>
      </c>
      <c r="D192" s="70" t="s">
        <v>1528</v>
      </c>
      <c r="E192" s="226" t="s">
        <v>382</v>
      </c>
      <c r="F192" s="226" t="s">
        <v>3714</v>
      </c>
      <c r="G192" s="226" t="s">
        <v>3898</v>
      </c>
      <c r="H192" s="226" t="s">
        <v>3899</v>
      </c>
    </row>
    <row r="193" spans="3:8" ht="28.5">
      <c r="C193" t="s">
        <v>383</v>
      </c>
      <c r="D193" s="70" t="s">
        <v>1528</v>
      </c>
      <c r="E193" s="226" t="s">
        <v>384</v>
      </c>
      <c r="F193" s="226" t="s">
        <v>3714</v>
      </c>
      <c r="G193" s="226" t="s">
        <v>3898</v>
      </c>
      <c r="H193" s="226" t="s">
        <v>3900</v>
      </c>
    </row>
    <row r="194" spans="3:8" ht="28.5">
      <c r="C194" t="s">
        <v>385</v>
      </c>
      <c r="D194" s="70" t="s">
        <v>1528</v>
      </c>
      <c r="E194" s="226" t="s">
        <v>386</v>
      </c>
      <c r="F194" s="226" t="s">
        <v>3714</v>
      </c>
      <c r="G194" s="226" t="s">
        <v>3901</v>
      </c>
      <c r="H194" s="226" t="s">
        <v>3902</v>
      </c>
    </row>
    <row r="195" spans="3:8" ht="28.5">
      <c r="C195" t="s">
        <v>387</v>
      </c>
      <c r="D195" s="70" t="s">
        <v>1528</v>
      </c>
      <c r="E195" s="226" t="s">
        <v>388</v>
      </c>
      <c r="F195" s="226" t="s">
        <v>3714</v>
      </c>
      <c r="G195" s="226" t="s">
        <v>3901</v>
      </c>
      <c r="H195" s="226" t="s">
        <v>3903</v>
      </c>
    </row>
    <row r="196" spans="3:8" ht="28.5">
      <c r="C196" t="s">
        <v>391</v>
      </c>
      <c r="D196" s="70" t="s">
        <v>1528</v>
      </c>
      <c r="E196" s="226" t="s">
        <v>392</v>
      </c>
      <c r="F196" s="226" t="s">
        <v>3714</v>
      </c>
      <c r="G196" s="226" t="s">
        <v>3901</v>
      </c>
      <c r="H196" s="226" t="s">
        <v>3904</v>
      </c>
    </row>
    <row r="197" spans="3:8" ht="28.5">
      <c r="C197" t="s">
        <v>389</v>
      </c>
      <c r="D197" s="70" t="s">
        <v>1528</v>
      </c>
      <c r="E197" s="226" t="s">
        <v>1398</v>
      </c>
      <c r="F197" s="226" t="s">
        <v>3714</v>
      </c>
      <c r="G197" s="226" t="s">
        <v>3901</v>
      </c>
      <c r="H197" s="226" t="s">
        <v>3905</v>
      </c>
    </row>
    <row r="198" spans="3:8" ht="28.5">
      <c r="C198" t="s">
        <v>393</v>
      </c>
      <c r="D198" s="70" t="s">
        <v>1528</v>
      </c>
      <c r="E198" s="226" t="s">
        <v>394</v>
      </c>
      <c r="F198" s="226" t="s">
        <v>3714</v>
      </c>
      <c r="G198" s="226" t="s">
        <v>3901</v>
      </c>
      <c r="H198" s="226" t="s">
        <v>2620</v>
      </c>
    </row>
    <row r="199" spans="3:8" ht="42.75">
      <c r="C199" t="s">
        <v>395</v>
      </c>
      <c r="D199" s="70" t="s">
        <v>1528</v>
      </c>
      <c r="E199" s="226" t="s">
        <v>396</v>
      </c>
      <c r="F199" s="226" t="s">
        <v>3714</v>
      </c>
      <c r="G199" s="226" t="s">
        <v>3906</v>
      </c>
      <c r="H199" s="226" t="s">
        <v>3907</v>
      </c>
    </row>
    <row r="200" spans="3:8" ht="42.75">
      <c r="C200" t="s">
        <v>397</v>
      </c>
      <c r="D200" s="70" t="s">
        <v>1528</v>
      </c>
      <c r="E200" s="226" t="s">
        <v>398</v>
      </c>
      <c r="F200" s="226" t="s">
        <v>3714</v>
      </c>
      <c r="G200" s="226" t="s">
        <v>3908</v>
      </c>
      <c r="H200" s="226" t="s">
        <v>3909</v>
      </c>
    </row>
    <row r="201" spans="3:8" ht="57">
      <c r="C201" t="s">
        <v>399</v>
      </c>
      <c r="D201" s="70" t="s">
        <v>1528</v>
      </c>
      <c r="E201" s="226" t="s">
        <v>400</v>
      </c>
      <c r="F201" s="226" t="s">
        <v>3714</v>
      </c>
      <c r="G201" s="226" t="s">
        <v>3908</v>
      </c>
      <c r="H201" s="226" t="s">
        <v>3910</v>
      </c>
    </row>
    <row r="202" spans="3:8" ht="28.5">
      <c r="C202" t="s">
        <v>401</v>
      </c>
      <c r="D202" s="70" t="s">
        <v>1528</v>
      </c>
      <c r="E202" s="226" t="s">
        <v>402</v>
      </c>
      <c r="F202" s="226" t="s">
        <v>3714</v>
      </c>
      <c r="G202" s="226" t="s">
        <v>3911</v>
      </c>
      <c r="H202" s="226" t="s">
        <v>2628</v>
      </c>
    </row>
    <row r="203" spans="3:8" ht="28.5">
      <c r="C203" t="s">
        <v>403</v>
      </c>
      <c r="D203" s="70" t="s">
        <v>1528</v>
      </c>
      <c r="E203" s="226" t="s">
        <v>404</v>
      </c>
      <c r="F203" s="226" t="s">
        <v>3714</v>
      </c>
      <c r="G203" s="226" t="s">
        <v>3911</v>
      </c>
      <c r="H203" s="226" t="s">
        <v>3912</v>
      </c>
    </row>
    <row r="204" spans="3:8" ht="28.5">
      <c r="C204" t="s">
        <v>405</v>
      </c>
      <c r="D204" s="70" t="s">
        <v>1528</v>
      </c>
      <c r="E204" s="226" t="s">
        <v>406</v>
      </c>
      <c r="F204" s="226" t="s">
        <v>3714</v>
      </c>
      <c r="G204" s="226" t="s">
        <v>3911</v>
      </c>
      <c r="H204" s="226" t="s">
        <v>3913</v>
      </c>
    </row>
    <row r="205" spans="3:8" ht="28.5">
      <c r="C205" t="s">
        <v>407</v>
      </c>
      <c r="D205" s="70" t="s">
        <v>1528</v>
      </c>
      <c r="E205" s="226" t="s">
        <v>408</v>
      </c>
      <c r="F205" s="226" t="s">
        <v>3714</v>
      </c>
      <c r="G205" s="226" t="s">
        <v>3911</v>
      </c>
      <c r="H205" s="226" t="s">
        <v>3914</v>
      </c>
    </row>
    <row r="206" spans="3:8" ht="28.5">
      <c r="C206" t="s">
        <v>409</v>
      </c>
      <c r="D206" s="70" t="s">
        <v>1528</v>
      </c>
      <c r="E206" s="226" t="s">
        <v>410</v>
      </c>
      <c r="F206" s="226" t="s">
        <v>3714</v>
      </c>
      <c r="G206" s="226" t="s">
        <v>3915</v>
      </c>
      <c r="H206" s="226" t="s">
        <v>2637</v>
      </c>
    </row>
    <row r="207" spans="3:8" ht="42.75">
      <c r="C207" t="s">
        <v>411</v>
      </c>
      <c r="D207" s="70" t="s">
        <v>1528</v>
      </c>
      <c r="E207" s="226" t="s">
        <v>412</v>
      </c>
      <c r="F207" s="226" t="s">
        <v>3714</v>
      </c>
      <c r="G207" s="226" t="s">
        <v>3915</v>
      </c>
      <c r="H207" s="226" t="s">
        <v>3916</v>
      </c>
    </row>
    <row r="208" spans="3:8" ht="42.75">
      <c r="C208" t="s">
        <v>413</v>
      </c>
      <c r="D208" s="70" t="s">
        <v>1528</v>
      </c>
      <c r="E208" s="226" t="s">
        <v>414</v>
      </c>
      <c r="F208" s="226" t="s">
        <v>3714</v>
      </c>
      <c r="G208" s="226" t="s">
        <v>3917</v>
      </c>
      <c r="H208" s="226" t="s">
        <v>3918</v>
      </c>
    </row>
    <row r="209" spans="3:8" ht="28.5">
      <c r="C209" t="s">
        <v>415</v>
      </c>
      <c r="D209" s="70" t="s">
        <v>1528</v>
      </c>
      <c r="E209" s="226" t="s">
        <v>416</v>
      </c>
      <c r="F209" s="226" t="s">
        <v>3714</v>
      </c>
      <c r="G209" s="226" t="s">
        <v>3919</v>
      </c>
      <c r="H209" s="226" t="s">
        <v>2644</v>
      </c>
    </row>
    <row r="210" spans="3:8" ht="42.75">
      <c r="C210" t="s">
        <v>417</v>
      </c>
      <c r="D210" s="70" t="s">
        <v>1528</v>
      </c>
      <c r="E210" s="226" t="s">
        <v>418</v>
      </c>
      <c r="F210" s="226" t="s">
        <v>3714</v>
      </c>
      <c r="G210" s="226" t="s">
        <v>3919</v>
      </c>
      <c r="H210" s="226" t="s">
        <v>3920</v>
      </c>
    </row>
    <row r="211" spans="3:8" ht="42.75">
      <c r="C211" t="s">
        <v>419</v>
      </c>
      <c r="D211" s="70" t="s">
        <v>1528</v>
      </c>
      <c r="E211" s="226" t="s">
        <v>420</v>
      </c>
      <c r="F211" s="226" t="s">
        <v>3714</v>
      </c>
      <c r="G211" s="226" t="s">
        <v>3921</v>
      </c>
      <c r="H211" s="226" t="s">
        <v>3922</v>
      </c>
    </row>
    <row r="212" spans="3:8" ht="28.5">
      <c r="C212" t="s">
        <v>421</v>
      </c>
      <c r="D212" s="70" t="s">
        <v>1528</v>
      </c>
      <c r="E212" s="226" t="s">
        <v>422</v>
      </c>
      <c r="F212" s="226" t="s">
        <v>3714</v>
      </c>
      <c r="G212" s="226" t="s">
        <v>3921</v>
      </c>
      <c r="H212" s="226" t="s">
        <v>3923</v>
      </c>
    </row>
    <row r="213" spans="3:8" ht="28.5">
      <c r="C213" t="s">
        <v>423</v>
      </c>
      <c r="D213" s="70" t="s">
        <v>1528</v>
      </c>
      <c r="E213" s="226" t="s">
        <v>424</v>
      </c>
      <c r="F213" s="226" t="s">
        <v>3714</v>
      </c>
      <c r="G213" s="226" t="s">
        <v>3921</v>
      </c>
      <c r="H213" s="226" t="s">
        <v>2653</v>
      </c>
    </row>
    <row r="214" spans="3:8" ht="57">
      <c r="C214" t="s">
        <v>425</v>
      </c>
      <c r="D214" s="70" t="s">
        <v>1528</v>
      </c>
      <c r="E214" s="226" t="s">
        <v>426</v>
      </c>
      <c r="F214" s="226" t="s">
        <v>3714</v>
      </c>
      <c r="G214" s="226" t="s">
        <v>3921</v>
      </c>
      <c r="H214" s="226" t="s">
        <v>3924</v>
      </c>
    </row>
    <row r="215" spans="3:8" ht="57">
      <c r="C215" t="s">
        <v>427</v>
      </c>
      <c r="D215" s="70" t="s">
        <v>1528</v>
      </c>
      <c r="E215" s="226" t="s">
        <v>428</v>
      </c>
      <c r="F215" s="226" t="s">
        <v>3714</v>
      </c>
      <c r="G215" s="226" t="s">
        <v>3921</v>
      </c>
      <c r="H215" s="226" t="s">
        <v>3925</v>
      </c>
    </row>
    <row r="216" spans="3:8" ht="28.5">
      <c r="C216" t="s">
        <v>429</v>
      </c>
      <c r="D216" s="70" t="s">
        <v>1528</v>
      </c>
      <c r="E216" s="226" t="s">
        <v>430</v>
      </c>
      <c r="F216" s="226" t="s">
        <v>3714</v>
      </c>
      <c r="G216" s="226" t="s">
        <v>3926</v>
      </c>
      <c r="H216" s="226" t="s">
        <v>3927</v>
      </c>
    </row>
    <row r="217" spans="3:8" ht="28.5">
      <c r="C217" t="s">
        <v>431</v>
      </c>
      <c r="D217" s="70" t="s">
        <v>1528</v>
      </c>
      <c r="E217" s="226" t="s">
        <v>432</v>
      </c>
      <c r="F217" s="226" t="s">
        <v>3714</v>
      </c>
      <c r="G217" s="226" t="s">
        <v>3926</v>
      </c>
      <c r="H217" s="226" t="s">
        <v>3928</v>
      </c>
    </row>
    <row r="218" spans="3:8" ht="28.5">
      <c r="C218" t="s">
        <v>433</v>
      </c>
      <c r="D218" s="70" t="s">
        <v>1528</v>
      </c>
      <c r="E218" s="226" t="s">
        <v>434</v>
      </c>
      <c r="F218" s="226" t="s">
        <v>3714</v>
      </c>
      <c r="G218" s="226" t="s">
        <v>3926</v>
      </c>
      <c r="H218" s="226" t="s">
        <v>3929</v>
      </c>
    </row>
    <row r="219" spans="3:8" ht="28.5">
      <c r="C219" t="s">
        <v>435</v>
      </c>
      <c r="D219" s="70" t="s">
        <v>1528</v>
      </c>
      <c r="E219" s="226" t="s">
        <v>436</v>
      </c>
      <c r="F219" s="226" t="s">
        <v>3714</v>
      </c>
      <c r="G219" s="226" t="s">
        <v>3926</v>
      </c>
      <c r="H219" s="226" t="s">
        <v>3930</v>
      </c>
    </row>
    <row r="220" spans="3:8" ht="28.5">
      <c r="C220" t="s">
        <v>437</v>
      </c>
      <c r="D220" s="70" t="s">
        <v>1528</v>
      </c>
      <c r="E220" s="226" t="s">
        <v>438</v>
      </c>
      <c r="F220" s="226" t="s">
        <v>3714</v>
      </c>
      <c r="G220" s="226" t="s">
        <v>3931</v>
      </c>
      <c r="H220" s="226" t="s">
        <v>3932</v>
      </c>
    </row>
    <row r="221" spans="3:8" ht="28.5">
      <c r="C221" t="s">
        <v>439</v>
      </c>
      <c r="D221" s="70" t="s">
        <v>1528</v>
      </c>
      <c r="E221" s="226" t="s">
        <v>440</v>
      </c>
      <c r="F221" s="226" t="s">
        <v>3714</v>
      </c>
      <c r="G221" s="226" t="s">
        <v>3933</v>
      </c>
      <c r="H221" s="226" t="s">
        <v>3934</v>
      </c>
    </row>
    <row r="222" spans="3:8">
      <c r="C222" t="s">
        <v>441</v>
      </c>
      <c r="D222" s="70" t="s">
        <v>1528</v>
      </c>
      <c r="E222" s="226" t="s">
        <v>442</v>
      </c>
      <c r="F222" s="226" t="s">
        <v>3714</v>
      </c>
      <c r="G222" s="226" t="s">
        <v>3935</v>
      </c>
      <c r="H222" s="226" t="s">
        <v>3936</v>
      </c>
    </row>
    <row r="223" spans="3:8" ht="42.75">
      <c r="C223" t="s">
        <v>443</v>
      </c>
      <c r="D223" s="70" t="s">
        <v>1528</v>
      </c>
      <c r="E223" s="226" t="s">
        <v>444</v>
      </c>
      <c r="F223" s="226" t="s">
        <v>3714</v>
      </c>
      <c r="G223" s="226" t="s">
        <v>3937</v>
      </c>
      <c r="H223" s="226" t="s">
        <v>3938</v>
      </c>
    </row>
    <row r="224" spans="3:8" ht="28.5">
      <c r="C224" t="s">
        <v>445</v>
      </c>
      <c r="D224" s="70" t="s">
        <v>1528</v>
      </c>
      <c r="E224" s="226" t="s">
        <v>446</v>
      </c>
      <c r="F224" s="226" t="s">
        <v>3714</v>
      </c>
      <c r="G224" s="226" t="s">
        <v>3939</v>
      </c>
      <c r="H224" s="226" t="s">
        <v>3940</v>
      </c>
    </row>
    <row r="225" spans="3:8" ht="28.5">
      <c r="C225" t="s">
        <v>447</v>
      </c>
      <c r="D225" s="70" t="s">
        <v>1528</v>
      </c>
      <c r="E225" s="226" t="s">
        <v>448</v>
      </c>
      <c r="F225" s="226" t="s">
        <v>3714</v>
      </c>
      <c r="G225" s="226" t="s">
        <v>3939</v>
      </c>
      <c r="H225" s="226" t="s">
        <v>3941</v>
      </c>
    </row>
    <row r="226" spans="3:8" ht="28.5">
      <c r="C226" t="s">
        <v>449</v>
      </c>
      <c r="D226" s="70" t="s">
        <v>1528</v>
      </c>
      <c r="E226" s="226" t="s">
        <v>450</v>
      </c>
      <c r="F226" s="226" t="s">
        <v>3714</v>
      </c>
      <c r="G226" s="226" t="s">
        <v>3942</v>
      </c>
      <c r="H226" s="226" t="s">
        <v>3943</v>
      </c>
    </row>
    <row r="227" spans="3:8" ht="71.25">
      <c r="C227" t="s">
        <v>451</v>
      </c>
      <c r="D227" s="70" t="s">
        <v>1528</v>
      </c>
      <c r="E227" s="226" t="s">
        <v>452</v>
      </c>
      <c r="F227" s="226" t="s">
        <v>3714</v>
      </c>
      <c r="G227" s="226" t="s">
        <v>3944</v>
      </c>
      <c r="H227" s="226" t="s">
        <v>3945</v>
      </c>
    </row>
    <row r="228" spans="3:8" ht="85.5">
      <c r="C228" t="s">
        <v>453</v>
      </c>
      <c r="D228" s="70" t="s">
        <v>1528</v>
      </c>
      <c r="E228" s="226" t="s">
        <v>454</v>
      </c>
      <c r="F228" s="226" t="s">
        <v>3714</v>
      </c>
      <c r="G228" s="226" t="s">
        <v>3946</v>
      </c>
      <c r="H228" s="226" t="s">
        <v>3947</v>
      </c>
    </row>
    <row r="229" spans="3:8" ht="28.5">
      <c r="C229" t="s">
        <v>463</v>
      </c>
      <c r="D229" s="70" t="s">
        <v>1528</v>
      </c>
      <c r="E229" s="226" t="s">
        <v>464</v>
      </c>
      <c r="F229" s="226" t="s">
        <v>3714</v>
      </c>
      <c r="G229" s="226" t="s">
        <v>3948</v>
      </c>
      <c r="H229" s="226" t="s">
        <v>3949</v>
      </c>
    </row>
    <row r="230" spans="3:8" ht="28.5">
      <c r="C230" t="s">
        <v>465</v>
      </c>
      <c r="D230" s="70" t="s">
        <v>1528</v>
      </c>
      <c r="E230" s="226" t="s">
        <v>466</v>
      </c>
      <c r="F230" s="226" t="s">
        <v>3714</v>
      </c>
      <c r="G230" s="226" t="s">
        <v>3948</v>
      </c>
      <c r="H230" s="226" t="s">
        <v>3950</v>
      </c>
    </row>
    <row r="231" spans="3:8" ht="28.5">
      <c r="C231" t="s">
        <v>467</v>
      </c>
      <c r="D231" s="70" t="s">
        <v>1528</v>
      </c>
      <c r="E231" s="226" t="s">
        <v>468</v>
      </c>
      <c r="F231" s="226" t="s">
        <v>3714</v>
      </c>
      <c r="G231" s="226" t="s">
        <v>3948</v>
      </c>
      <c r="H231" s="226" t="s">
        <v>3951</v>
      </c>
    </row>
    <row r="232" spans="3:8" ht="42.75">
      <c r="C232" t="s">
        <v>469</v>
      </c>
      <c r="D232" s="70" t="s">
        <v>1528</v>
      </c>
      <c r="E232" s="226" t="s">
        <v>470</v>
      </c>
      <c r="F232" s="226" t="s">
        <v>3714</v>
      </c>
      <c r="G232" s="226" t="s">
        <v>3952</v>
      </c>
      <c r="H232" s="226" t="s">
        <v>3953</v>
      </c>
    </row>
    <row r="233" spans="3:8" ht="42.75">
      <c r="C233" t="s">
        <v>471</v>
      </c>
      <c r="D233" s="70" t="s">
        <v>1528</v>
      </c>
      <c r="E233" s="226" t="s">
        <v>472</v>
      </c>
      <c r="F233" s="226" t="s">
        <v>3714</v>
      </c>
      <c r="G233" s="226" t="s">
        <v>3952</v>
      </c>
      <c r="H233" s="226" t="s">
        <v>3954</v>
      </c>
    </row>
    <row r="234" spans="3:8" ht="28.5">
      <c r="C234" t="s">
        <v>473</v>
      </c>
      <c r="D234" s="70" t="s">
        <v>1528</v>
      </c>
      <c r="E234" s="226" t="s">
        <v>474</v>
      </c>
      <c r="F234" s="226" t="s">
        <v>3714</v>
      </c>
      <c r="G234" s="226" t="s">
        <v>3952</v>
      </c>
      <c r="H234" s="226" t="s">
        <v>3955</v>
      </c>
    </row>
    <row r="235" spans="3:8" ht="28.5">
      <c r="C235" t="s">
        <v>475</v>
      </c>
      <c r="D235" s="70" t="s">
        <v>1528</v>
      </c>
      <c r="E235" s="226" t="s">
        <v>476</v>
      </c>
      <c r="F235" s="226" t="s">
        <v>3714</v>
      </c>
      <c r="G235" s="226" t="s">
        <v>3952</v>
      </c>
      <c r="H235" s="226" t="s">
        <v>3956</v>
      </c>
    </row>
    <row r="236" spans="3:8" ht="28.5">
      <c r="C236" t="s">
        <v>477</v>
      </c>
      <c r="D236" s="70" t="s">
        <v>1528</v>
      </c>
      <c r="E236" s="226" t="s">
        <v>478</v>
      </c>
      <c r="F236" s="226" t="s">
        <v>3714</v>
      </c>
      <c r="G236" s="226" t="s">
        <v>3952</v>
      </c>
      <c r="H236" s="226" t="s">
        <v>3957</v>
      </c>
    </row>
    <row r="237" spans="3:8" ht="42.75">
      <c r="C237" t="s">
        <v>479</v>
      </c>
      <c r="D237" s="70" t="s">
        <v>1528</v>
      </c>
      <c r="E237" s="226" t="s">
        <v>480</v>
      </c>
      <c r="F237" s="226" t="s">
        <v>3714</v>
      </c>
      <c r="G237" s="226" t="s">
        <v>3958</v>
      </c>
      <c r="H237" s="226" t="s">
        <v>3959</v>
      </c>
    </row>
    <row r="238" spans="3:8" ht="28.5">
      <c r="C238" t="s">
        <v>481</v>
      </c>
      <c r="D238" s="70" t="s">
        <v>1528</v>
      </c>
      <c r="E238" s="226" t="s">
        <v>482</v>
      </c>
      <c r="F238" s="226" t="s">
        <v>3714</v>
      </c>
      <c r="G238" s="226" t="s">
        <v>3958</v>
      </c>
      <c r="H238" s="226" t="s">
        <v>3960</v>
      </c>
    </row>
    <row r="239" spans="3:8" ht="28.5">
      <c r="C239" t="s">
        <v>483</v>
      </c>
      <c r="D239" s="70" t="s">
        <v>1528</v>
      </c>
      <c r="E239" s="226" t="s">
        <v>484</v>
      </c>
      <c r="F239" s="226" t="s">
        <v>3714</v>
      </c>
      <c r="G239" s="226" t="s">
        <v>3961</v>
      </c>
      <c r="H239" s="226" t="s">
        <v>3962</v>
      </c>
    </row>
    <row r="240" spans="3:8" ht="28.5">
      <c r="C240" t="s">
        <v>485</v>
      </c>
      <c r="D240" s="70" t="s">
        <v>1528</v>
      </c>
      <c r="E240" s="226" t="s">
        <v>486</v>
      </c>
      <c r="F240" s="226" t="s">
        <v>3714</v>
      </c>
      <c r="G240" s="226" t="s">
        <v>3961</v>
      </c>
      <c r="H240" s="226" t="s">
        <v>2713</v>
      </c>
    </row>
    <row r="241" spans="3:8" ht="28.5">
      <c r="C241" t="s">
        <v>487</v>
      </c>
      <c r="D241" s="70" t="s">
        <v>1528</v>
      </c>
      <c r="E241" s="226" t="s">
        <v>488</v>
      </c>
      <c r="F241" s="226" t="s">
        <v>3714</v>
      </c>
      <c r="G241" s="226" t="s">
        <v>3961</v>
      </c>
      <c r="H241" s="226" t="s">
        <v>2715</v>
      </c>
    </row>
    <row r="242" spans="3:8" ht="28.5">
      <c r="C242" t="s">
        <v>489</v>
      </c>
      <c r="D242" s="70" t="s">
        <v>1528</v>
      </c>
      <c r="E242" s="226" t="s">
        <v>490</v>
      </c>
      <c r="F242" s="226" t="s">
        <v>3714</v>
      </c>
      <c r="G242" s="226" t="s">
        <v>3961</v>
      </c>
      <c r="H242" s="226" t="s">
        <v>3963</v>
      </c>
    </row>
    <row r="243" spans="3:8" ht="42.75">
      <c r="C243" t="s">
        <v>491</v>
      </c>
      <c r="D243" s="70" t="s">
        <v>1528</v>
      </c>
      <c r="E243" s="226" t="s">
        <v>492</v>
      </c>
      <c r="F243" s="226" t="s">
        <v>3714</v>
      </c>
      <c r="G243" s="226" t="s">
        <v>3964</v>
      </c>
      <c r="H243" s="226" t="s">
        <v>3965</v>
      </c>
    </row>
    <row r="244" spans="3:8" ht="28.5">
      <c r="C244" t="s">
        <v>493</v>
      </c>
      <c r="D244" s="70" t="s">
        <v>1528</v>
      </c>
      <c r="E244" s="226" t="s">
        <v>494</v>
      </c>
      <c r="F244" s="226" t="s">
        <v>3714</v>
      </c>
      <c r="G244" s="226" t="s">
        <v>3964</v>
      </c>
      <c r="H244" s="226" t="s">
        <v>3966</v>
      </c>
    </row>
    <row r="245" spans="3:8" ht="28.5">
      <c r="C245" t="s">
        <v>495</v>
      </c>
      <c r="D245" s="70" t="s">
        <v>1528</v>
      </c>
      <c r="E245" s="226" t="s">
        <v>496</v>
      </c>
      <c r="F245" s="226" t="s">
        <v>3714</v>
      </c>
      <c r="G245" s="226" t="s">
        <v>3964</v>
      </c>
      <c r="H245" s="226" t="s">
        <v>3967</v>
      </c>
    </row>
    <row r="246" spans="3:8" ht="28.5">
      <c r="C246" t="s">
        <v>497</v>
      </c>
      <c r="D246" s="70" t="s">
        <v>1528</v>
      </c>
      <c r="E246" s="226" t="s">
        <v>498</v>
      </c>
      <c r="F246" s="226" t="s">
        <v>3714</v>
      </c>
      <c r="G246" s="226" t="s">
        <v>3964</v>
      </c>
      <c r="H246" s="226" t="s">
        <v>2725</v>
      </c>
    </row>
    <row r="247" spans="3:8" ht="28.5">
      <c r="C247" t="s">
        <v>499</v>
      </c>
      <c r="D247" s="70" t="s">
        <v>1528</v>
      </c>
      <c r="E247" s="226" t="s">
        <v>500</v>
      </c>
      <c r="F247" s="226" t="s">
        <v>3714</v>
      </c>
      <c r="G247" s="226" t="s">
        <v>3964</v>
      </c>
      <c r="H247" s="226" t="s">
        <v>3968</v>
      </c>
    </row>
    <row r="248" spans="3:8" ht="57">
      <c r="C248" t="s">
        <v>501</v>
      </c>
      <c r="D248" s="70" t="s">
        <v>1528</v>
      </c>
      <c r="E248" s="226" t="s">
        <v>502</v>
      </c>
      <c r="F248" s="226" t="s">
        <v>3714</v>
      </c>
      <c r="G248" s="226" t="s">
        <v>3969</v>
      </c>
      <c r="H248" s="226" t="s">
        <v>3970</v>
      </c>
    </row>
    <row r="249" spans="3:8" ht="57">
      <c r="C249" t="s">
        <v>503</v>
      </c>
      <c r="D249" s="70" t="s">
        <v>1528</v>
      </c>
      <c r="E249" s="226" t="s">
        <v>504</v>
      </c>
      <c r="F249" s="226" t="s">
        <v>3714</v>
      </c>
      <c r="G249" s="226" t="s">
        <v>3969</v>
      </c>
      <c r="H249" s="226" t="s">
        <v>3971</v>
      </c>
    </row>
    <row r="250" spans="3:8" ht="28.5">
      <c r="C250" t="s">
        <v>509</v>
      </c>
      <c r="D250" s="70" t="s">
        <v>1528</v>
      </c>
      <c r="E250" s="226" t="s">
        <v>510</v>
      </c>
      <c r="F250" s="226" t="s">
        <v>3714</v>
      </c>
      <c r="G250" s="226" t="s">
        <v>3972</v>
      </c>
      <c r="H250" s="226" t="s">
        <v>3973</v>
      </c>
    </row>
    <row r="251" spans="3:8" ht="42.75">
      <c r="C251" t="s">
        <v>511</v>
      </c>
      <c r="D251" s="70" t="s">
        <v>1528</v>
      </c>
      <c r="E251" s="226" t="s">
        <v>512</v>
      </c>
      <c r="F251" s="226" t="s">
        <v>3714</v>
      </c>
      <c r="G251" s="226" t="s">
        <v>3972</v>
      </c>
      <c r="H251" s="226" t="s">
        <v>3974</v>
      </c>
    </row>
    <row r="252" spans="3:8" ht="28.5">
      <c r="C252" t="s">
        <v>513</v>
      </c>
      <c r="D252" s="70" t="s">
        <v>1528</v>
      </c>
      <c r="E252" s="226" t="s">
        <v>514</v>
      </c>
      <c r="F252" s="226" t="s">
        <v>3714</v>
      </c>
      <c r="G252" s="226" t="s">
        <v>3972</v>
      </c>
      <c r="H252" s="226" t="s">
        <v>3975</v>
      </c>
    </row>
    <row r="253" spans="3:8" ht="28.5">
      <c r="C253" t="s">
        <v>515</v>
      </c>
      <c r="D253" s="70" t="s">
        <v>1528</v>
      </c>
      <c r="E253" s="226" t="s">
        <v>516</v>
      </c>
      <c r="F253" s="226" t="s">
        <v>3714</v>
      </c>
      <c r="G253" s="226" t="s">
        <v>3972</v>
      </c>
      <c r="H253" s="226" t="s">
        <v>3976</v>
      </c>
    </row>
    <row r="254" spans="3:8" ht="42.75">
      <c r="C254" t="s">
        <v>505</v>
      </c>
      <c r="D254" s="70" t="s">
        <v>1528</v>
      </c>
      <c r="E254" s="226" t="s">
        <v>506</v>
      </c>
      <c r="F254" s="226" t="s">
        <v>3714</v>
      </c>
      <c r="G254" s="226" t="s">
        <v>3977</v>
      </c>
      <c r="H254" s="226" t="s">
        <v>3978</v>
      </c>
    </row>
    <row r="255" spans="3:8" ht="42.75">
      <c r="C255" t="s">
        <v>507</v>
      </c>
      <c r="D255" s="70" t="s">
        <v>1528</v>
      </c>
      <c r="E255" s="226" t="s">
        <v>508</v>
      </c>
      <c r="F255" s="226" t="s">
        <v>3714</v>
      </c>
      <c r="G255" s="226" t="s">
        <v>3977</v>
      </c>
      <c r="H255" s="226" t="s">
        <v>2745</v>
      </c>
    </row>
    <row r="256" spans="3:8" ht="42.75">
      <c r="C256" t="s">
        <v>517</v>
      </c>
      <c r="D256" s="70" t="s">
        <v>1528</v>
      </c>
      <c r="E256" s="226" t="s">
        <v>518</v>
      </c>
      <c r="F256" s="226" t="s">
        <v>3714</v>
      </c>
      <c r="G256" s="226" t="s">
        <v>3979</v>
      </c>
      <c r="H256" s="226" t="s">
        <v>3980</v>
      </c>
    </row>
    <row r="257" spans="3:8" ht="28.5">
      <c r="C257" t="s">
        <v>519</v>
      </c>
      <c r="D257" s="70" t="s">
        <v>1528</v>
      </c>
      <c r="E257" s="226" t="s">
        <v>520</v>
      </c>
      <c r="F257" s="226" t="s">
        <v>3714</v>
      </c>
      <c r="G257" s="226" t="s">
        <v>3979</v>
      </c>
      <c r="H257" s="226" t="s">
        <v>3981</v>
      </c>
    </row>
    <row r="258" spans="3:8" ht="42.75">
      <c r="C258" t="s">
        <v>521</v>
      </c>
      <c r="D258" s="70" t="s">
        <v>1528</v>
      </c>
      <c r="E258" s="226" t="s">
        <v>522</v>
      </c>
      <c r="F258" s="226" t="s">
        <v>3714</v>
      </c>
      <c r="G258" s="226" t="s">
        <v>3982</v>
      </c>
      <c r="H258" s="226" t="s">
        <v>3983</v>
      </c>
    </row>
    <row r="259" spans="3:8" ht="42.75">
      <c r="C259" t="s">
        <v>523</v>
      </c>
      <c r="D259" s="70" t="s">
        <v>1528</v>
      </c>
      <c r="E259" s="226" t="s">
        <v>524</v>
      </c>
      <c r="F259" s="226" t="s">
        <v>3714</v>
      </c>
      <c r="G259" s="226" t="s">
        <v>3982</v>
      </c>
      <c r="H259" s="226" t="s">
        <v>3984</v>
      </c>
    </row>
    <row r="260" spans="3:8" ht="42.75">
      <c r="C260" t="s">
        <v>525</v>
      </c>
      <c r="D260" s="70" t="s">
        <v>1528</v>
      </c>
      <c r="E260" s="226" t="s">
        <v>526</v>
      </c>
      <c r="F260" s="226" t="s">
        <v>3714</v>
      </c>
      <c r="G260" s="226" t="s">
        <v>3985</v>
      </c>
      <c r="H260" s="226" t="s">
        <v>2755</v>
      </c>
    </row>
    <row r="261" spans="3:8" ht="71.25">
      <c r="C261" t="s">
        <v>527</v>
      </c>
      <c r="D261" s="70" t="s">
        <v>1528</v>
      </c>
      <c r="E261" s="226" t="s">
        <v>528</v>
      </c>
      <c r="F261" s="226" t="s">
        <v>3714</v>
      </c>
      <c r="G261" s="226" t="s">
        <v>3985</v>
      </c>
      <c r="H261" s="226" t="s">
        <v>3986</v>
      </c>
    </row>
    <row r="262" spans="3:8" ht="28.5">
      <c r="C262" t="s">
        <v>529</v>
      </c>
      <c r="D262" s="70" t="s">
        <v>1528</v>
      </c>
      <c r="E262" s="226" t="s">
        <v>530</v>
      </c>
      <c r="F262" s="226" t="s">
        <v>3714</v>
      </c>
      <c r="G262" s="226" t="s">
        <v>3987</v>
      </c>
      <c r="H262" s="226" t="s">
        <v>3988</v>
      </c>
    </row>
    <row r="263" spans="3:8" ht="28.5">
      <c r="C263" t="s">
        <v>531</v>
      </c>
      <c r="D263" s="70" t="s">
        <v>1528</v>
      </c>
      <c r="E263" s="226" t="s">
        <v>532</v>
      </c>
      <c r="F263" s="226" t="s">
        <v>3714</v>
      </c>
      <c r="G263" s="226" t="s">
        <v>3987</v>
      </c>
      <c r="H263" s="226" t="s">
        <v>3989</v>
      </c>
    </row>
    <row r="264" spans="3:8" ht="28.5">
      <c r="C264" t="s">
        <v>533</v>
      </c>
      <c r="D264" s="70" t="s">
        <v>1528</v>
      </c>
      <c r="E264" s="226" t="s">
        <v>534</v>
      </c>
      <c r="F264" s="226" t="s">
        <v>3714</v>
      </c>
      <c r="G264" s="226" t="s">
        <v>3987</v>
      </c>
      <c r="H264" s="226" t="s">
        <v>3990</v>
      </c>
    </row>
    <row r="265" spans="3:8" ht="28.5">
      <c r="C265" t="s">
        <v>535</v>
      </c>
      <c r="D265" s="70" t="s">
        <v>1528</v>
      </c>
      <c r="E265" s="226" t="s">
        <v>536</v>
      </c>
      <c r="F265" s="226" t="s">
        <v>3714</v>
      </c>
      <c r="G265" s="226" t="s">
        <v>3987</v>
      </c>
      <c r="H265" s="226" t="s">
        <v>2766</v>
      </c>
    </row>
    <row r="266" spans="3:8" ht="28.5">
      <c r="C266" t="s">
        <v>537</v>
      </c>
      <c r="D266" s="70" t="s">
        <v>1528</v>
      </c>
      <c r="E266" s="226" t="s">
        <v>538</v>
      </c>
      <c r="F266" s="226" t="s">
        <v>3714</v>
      </c>
      <c r="G266" s="226" t="s">
        <v>3987</v>
      </c>
      <c r="H266" s="226" t="s">
        <v>2768</v>
      </c>
    </row>
    <row r="267" spans="3:8" ht="28.5">
      <c r="C267" t="s">
        <v>539</v>
      </c>
      <c r="D267" s="70" t="s">
        <v>1528</v>
      </c>
      <c r="E267" s="226" t="s">
        <v>540</v>
      </c>
      <c r="F267" s="226" t="s">
        <v>3714</v>
      </c>
      <c r="G267" s="226" t="s">
        <v>3987</v>
      </c>
      <c r="H267" s="226" t="s">
        <v>2770</v>
      </c>
    </row>
    <row r="268" spans="3:8" ht="28.5">
      <c r="C268" t="s">
        <v>541</v>
      </c>
      <c r="D268" s="70" t="s">
        <v>1528</v>
      </c>
      <c r="E268" s="226" t="s">
        <v>542</v>
      </c>
      <c r="F268" s="226" t="s">
        <v>3714</v>
      </c>
      <c r="G268" s="226" t="s">
        <v>3987</v>
      </c>
      <c r="H268" s="226" t="s">
        <v>3991</v>
      </c>
    </row>
    <row r="269" spans="3:8" ht="28.5">
      <c r="C269" t="s">
        <v>543</v>
      </c>
      <c r="D269" s="70" t="s">
        <v>1528</v>
      </c>
      <c r="E269" s="226" t="s">
        <v>544</v>
      </c>
      <c r="F269" s="226" t="s">
        <v>3714</v>
      </c>
      <c r="G269" s="226" t="s">
        <v>3992</v>
      </c>
      <c r="H269" s="226" t="s">
        <v>2774</v>
      </c>
    </row>
    <row r="270" spans="3:8" ht="28.5">
      <c r="C270" t="s">
        <v>545</v>
      </c>
      <c r="D270" s="70" t="s">
        <v>1528</v>
      </c>
      <c r="E270" s="226" t="s">
        <v>546</v>
      </c>
      <c r="F270" s="226" t="s">
        <v>3714</v>
      </c>
      <c r="G270" s="226" t="s">
        <v>3992</v>
      </c>
      <c r="H270" s="226" t="s">
        <v>2776</v>
      </c>
    </row>
    <row r="271" spans="3:8" ht="28.5">
      <c r="C271" t="s">
        <v>547</v>
      </c>
      <c r="D271" s="70" t="s">
        <v>1528</v>
      </c>
      <c r="E271" s="226" t="s">
        <v>548</v>
      </c>
      <c r="F271" s="226" t="s">
        <v>3714</v>
      </c>
      <c r="G271" s="226" t="s">
        <v>3992</v>
      </c>
      <c r="H271" s="226" t="s">
        <v>3993</v>
      </c>
    </row>
    <row r="272" spans="3:8" ht="57">
      <c r="C272" t="s">
        <v>849</v>
      </c>
      <c r="D272" s="70" t="s">
        <v>1528</v>
      </c>
      <c r="E272" s="226" t="s">
        <v>850</v>
      </c>
      <c r="F272" s="226" t="s">
        <v>3994</v>
      </c>
      <c r="G272" s="226" t="s">
        <v>3995</v>
      </c>
      <c r="H272" s="226" t="s">
        <v>3996</v>
      </c>
    </row>
    <row r="273" spans="3:8" ht="57">
      <c r="C273" t="s">
        <v>851</v>
      </c>
      <c r="D273" s="70" t="s">
        <v>1528</v>
      </c>
      <c r="E273" s="226" t="s">
        <v>852</v>
      </c>
      <c r="F273" s="226" t="s">
        <v>3994</v>
      </c>
      <c r="G273" s="226" t="s">
        <v>3997</v>
      </c>
      <c r="H273" s="226" t="s">
        <v>3998</v>
      </c>
    </row>
    <row r="274" spans="3:8" ht="57">
      <c r="C274" t="s">
        <v>853</v>
      </c>
      <c r="D274" s="70" t="s">
        <v>1528</v>
      </c>
      <c r="E274" s="226" t="s">
        <v>854</v>
      </c>
      <c r="F274" s="226" t="s">
        <v>3994</v>
      </c>
      <c r="G274" s="226" t="s">
        <v>3999</v>
      </c>
      <c r="H274" s="226" t="s">
        <v>4000</v>
      </c>
    </row>
    <row r="275" spans="3:8" ht="42.75">
      <c r="C275" t="s">
        <v>855</v>
      </c>
      <c r="D275" s="70" t="s">
        <v>1528</v>
      </c>
      <c r="E275" s="226" t="s">
        <v>856</v>
      </c>
      <c r="F275" s="226" t="s">
        <v>3994</v>
      </c>
      <c r="G275" s="226" t="s">
        <v>4001</v>
      </c>
      <c r="H275" s="226" t="s">
        <v>4002</v>
      </c>
    </row>
    <row r="276" spans="3:8" ht="28.5">
      <c r="C276" t="s">
        <v>857</v>
      </c>
      <c r="D276" s="70" t="s">
        <v>1528</v>
      </c>
      <c r="E276" s="226" t="s">
        <v>858</v>
      </c>
      <c r="F276" s="226" t="s">
        <v>3994</v>
      </c>
      <c r="G276" s="226"/>
      <c r="H276" s="226" t="s">
        <v>4003</v>
      </c>
    </row>
    <row r="277" spans="3:8" ht="42.75">
      <c r="C277" t="s">
        <v>859</v>
      </c>
      <c r="D277" s="70" t="s">
        <v>1528</v>
      </c>
      <c r="E277" s="226" t="s">
        <v>1918</v>
      </c>
      <c r="F277" s="226" t="s">
        <v>3994</v>
      </c>
      <c r="G277" s="226" t="s">
        <v>4004</v>
      </c>
      <c r="H277" s="226" t="s">
        <v>4005</v>
      </c>
    </row>
    <row r="278" spans="3:8" ht="42.75">
      <c r="C278" t="s">
        <v>861</v>
      </c>
      <c r="D278" s="70" t="s">
        <v>1528</v>
      </c>
      <c r="E278" s="226" t="s">
        <v>862</v>
      </c>
      <c r="F278" s="226" t="s">
        <v>3994</v>
      </c>
      <c r="G278" s="226" t="s">
        <v>4006</v>
      </c>
      <c r="H278" s="226" t="s">
        <v>4007</v>
      </c>
    </row>
    <row r="279" spans="3:8" ht="42.75">
      <c r="C279" t="s">
        <v>863</v>
      </c>
      <c r="D279" s="70" t="s">
        <v>1528</v>
      </c>
      <c r="E279" s="226" t="s">
        <v>864</v>
      </c>
      <c r="F279" s="226" t="s">
        <v>3994</v>
      </c>
      <c r="G279" s="226" t="s">
        <v>4008</v>
      </c>
      <c r="H279" s="226" t="s">
        <v>4009</v>
      </c>
    </row>
    <row r="280" spans="3:8" ht="28.5">
      <c r="C280" t="s">
        <v>865</v>
      </c>
      <c r="D280" s="70" t="s">
        <v>1528</v>
      </c>
      <c r="E280" s="226" t="s">
        <v>866</v>
      </c>
      <c r="F280" s="226" t="s">
        <v>3994</v>
      </c>
      <c r="G280" s="226"/>
      <c r="H280" s="226" t="s">
        <v>4010</v>
      </c>
    </row>
    <row r="281" spans="3:8" ht="42.75">
      <c r="C281" t="s">
        <v>867</v>
      </c>
      <c r="D281" s="70" t="s">
        <v>1528</v>
      </c>
      <c r="E281" s="226" t="s">
        <v>868</v>
      </c>
      <c r="F281" s="226" t="s">
        <v>3994</v>
      </c>
      <c r="G281" s="226" t="s">
        <v>4011</v>
      </c>
      <c r="H281" s="226" t="s">
        <v>4012</v>
      </c>
    </row>
    <row r="282" spans="3:8">
      <c r="C282" t="s">
        <v>847</v>
      </c>
      <c r="D282" s="70" t="s">
        <v>1528</v>
      </c>
      <c r="E282" s="226" t="s">
        <v>848</v>
      </c>
      <c r="F282" s="226" t="s">
        <v>3994</v>
      </c>
      <c r="G282" s="226"/>
      <c r="H282" s="226" t="s">
        <v>2804</v>
      </c>
    </row>
    <row r="283" spans="3:8" ht="71.25">
      <c r="C283" t="s">
        <v>869</v>
      </c>
      <c r="D283" s="70" t="s">
        <v>1528</v>
      </c>
      <c r="E283" s="226" t="s">
        <v>870</v>
      </c>
      <c r="F283" s="226" t="s">
        <v>4013</v>
      </c>
      <c r="G283" s="226" t="s">
        <v>4014</v>
      </c>
      <c r="H283" s="226" t="s">
        <v>4015</v>
      </c>
    </row>
    <row r="284" spans="3:8" ht="42.75">
      <c r="C284" t="s">
        <v>873</v>
      </c>
      <c r="D284" s="70" t="s">
        <v>1528</v>
      </c>
      <c r="E284" s="226" t="s">
        <v>19</v>
      </c>
      <c r="F284" s="226" t="s">
        <v>4013</v>
      </c>
      <c r="G284" s="226" t="s">
        <v>4016</v>
      </c>
      <c r="H284" s="226" t="s">
        <v>4017</v>
      </c>
    </row>
    <row r="285" spans="3:8" ht="57">
      <c r="C285" t="s">
        <v>880</v>
      </c>
      <c r="D285" s="70" t="s">
        <v>1528</v>
      </c>
      <c r="E285" s="226" t="s">
        <v>20</v>
      </c>
      <c r="F285" s="226" t="s">
        <v>4013</v>
      </c>
      <c r="G285" s="226" t="s">
        <v>4018</v>
      </c>
      <c r="H285" s="226" t="s">
        <v>2810</v>
      </c>
    </row>
    <row r="286" spans="3:8" ht="42.75">
      <c r="C286" t="s">
        <v>871</v>
      </c>
      <c r="D286" s="70" t="s">
        <v>1528</v>
      </c>
      <c r="E286" s="226" t="s">
        <v>872</v>
      </c>
      <c r="F286" s="226" t="s">
        <v>4013</v>
      </c>
      <c r="G286" s="226" t="s">
        <v>4019</v>
      </c>
      <c r="H286" s="226" t="s">
        <v>4020</v>
      </c>
    </row>
    <row r="287" spans="3:8" ht="28.5">
      <c r="C287" t="s">
        <v>874</v>
      </c>
      <c r="D287" s="70" t="s">
        <v>1528</v>
      </c>
      <c r="E287" s="226" t="s">
        <v>875</v>
      </c>
      <c r="F287" s="226" t="s">
        <v>4013</v>
      </c>
      <c r="G287" s="226" t="s">
        <v>4021</v>
      </c>
      <c r="H287" s="226" t="s">
        <v>4022</v>
      </c>
    </row>
    <row r="288" spans="3:8">
      <c r="C288" t="s">
        <v>876</v>
      </c>
      <c r="D288" s="70" t="s">
        <v>1528</v>
      </c>
      <c r="E288" s="226" t="s">
        <v>877</v>
      </c>
      <c r="F288" s="226" t="s">
        <v>4013</v>
      </c>
      <c r="G288" s="226" t="s">
        <v>4023</v>
      </c>
      <c r="H288" s="226" t="s">
        <v>4024</v>
      </c>
    </row>
    <row r="289" spans="3:8" ht="28.5">
      <c r="C289" t="s">
        <v>878</v>
      </c>
      <c r="D289" s="70" t="s">
        <v>1528</v>
      </c>
      <c r="E289" s="226" t="s">
        <v>879</v>
      </c>
      <c r="F289" s="226" t="s">
        <v>4013</v>
      </c>
      <c r="G289" s="226" t="s">
        <v>4025</v>
      </c>
      <c r="H289" s="226" t="s">
        <v>4026</v>
      </c>
    </row>
    <row r="290" spans="3:8" ht="28.5">
      <c r="C290" t="s">
        <v>881</v>
      </c>
      <c r="D290" s="70" t="s">
        <v>1528</v>
      </c>
      <c r="E290" s="226" t="s">
        <v>882</v>
      </c>
      <c r="F290" s="226" t="s">
        <v>4013</v>
      </c>
      <c r="G290" s="226" t="s">
        <v>4027</v>
      </c>
      <c r="H290" s="226" t="s">
        <v>4028</v>
      </c>
    </row>
    <row r="291" spans="3:8" ht="28.5">
      <c r="C291" t="s">
        <v>903</v>
      </c>
      <c r="D291" s="70" t="s">
        <v>1528</v>
      </c>
      <c r="E291" s="226" t="s">
        <v>103</v>
      </c>
      <c r="F291" s="226" t="s">
        <v>4013</v>
      </c>
      <c r="G291" s="226"/>
      <c r="H291" s="226" t="s">
        <v>4029</v>
      </c>
    </row>
    <row r="292" spans="3:8" ht="99.75">
      <c r="C292" t="s">
        <v>891</v>
      </c>
      <c r="D292" s="70" t="s">
        <v>1528</v>
      </c>
      <c r="E292" s="226" t="s">
        <v>892</v>
      </c>
      <c r="F292" s="226" t="s">
        <v>4030</v>
      </c>
      <c r="G292" s="226" t="s">
        <v>4031</v>
      </c>
      <c r="H292" s="226" t="s">
        <v>4032</v>
      </c>
    </row>
    <row r="293" spans="3:8" ht="42.75">
      <c r="C293" t="s">
        <v>893</v>
      </c>
      <c r="D293" s="70" t="s">
        <v>1528</v>
      </c>
      <c r="E293" s="226" t="s">
        <v>894</v>
      </c>
      <c r="F293" s="226" t="s">
        <v>4030</v>
      </c>
      <c r="G293" s="226" t="s">
        <v>4033</v>
      </c>
      <c r="H293" s="226" t="s">
        <v>4034</v>
      </c>
    </row>
    <row r="294" spans="3:8" ht="171">
      <c r="C294" t="s">
        <v>895</v>
      </c>
      <c r="D294" s="70" t="s">
        <v>1528</v>
      </c>
      <c r="E294" s="226" t="s">
        <v>896</v>
      </c>
      <c r="F294" s="226" t="s">
        <v>4030</v>
      </c>
      <c r="G294" s="226"/>
      <c r="H294" s="226" t="s">
        <v>4035</v>
      </c>
    </row>
    <row r="295" spans="3:8" ht="42.75">
      <c r="C295" t="s">
        <v>905</v>
      </c>
      <c r="D295" s="70" t="s">
        <v>1528</v>
      </c>
      <c r="E295" s="226" t="s">
        <v>906</v>
      </c>
      <c r="F295" s="226" t="s">
        <v>4036</v>
      </c>
      <c r="G295" s="226" t="s">
        <v>4037</v>
      </c>
      <c r="H295" s="226" t="s">
        <v>4038</v>
      </c>
    </row>
    <row r="296" spans="3:8" ht="42.75">
      <c r="C296" t="s">
        <v>907</v>
      </c>
      <c r="D296" s="70" t="s">
        <v>1528</v>
      </c>
      <c r="E296" s="226" t="s">
        <v>908</v>
      </c>
      <c r="F296" s="226" t="s">
        <v>4036</v>
      </c>
      <c r="G296" s="226" t="s">
        <v>4037</v>
      </c>
      <c r="H296" s="226" t="s">
        <v>4039</v>
      </c>
    </row>
    <row r="297" spans="3:8" ht="42.75">
      <c r="C297" t="s">
        <v>909</v>
      </c>
      <c r="D297" s="70" t="s">
        <v>1528</v>
      </c>
      <c r="E297" s="226" t="s">
        <v>910</v>
      </c>
      <c r="F297" s="226" t="s">
        <v>4036</v>
      </c>
      <c r="G297" s="226" t="s">
        <v>4037</v>
      </c>
      <c r="H297" s="226" t="s">
        <v>4040</v>
      </c>
    </row>
    <row r="298" spans="3:8" ht="42.75">
      <c r="C298" t="s">
        <v>911</v>
      </c>
      <c r="D298" s="70" t="s">
        <v>1528</v>
      </c>
      <c r="E298" s="226" t="s">
        <v>912</v>
      </c>
      <c r="F298" s="226" t="s">
        <v>4036</v>
      </c>
      <c r="G298" s="226" t="s">
        <v>4037</v>
      </c>
      <c r="H298" s="226" t="s">
        <v>4041</v>
      </c>
    </row>
    <row r="299" spans="3:8" ht="42.75">
      <c r="C299" t="s">
        <v>913</v>
      </c>
      <c r="D299" s="70" t="s">
        <v>1528</v>
      </c>
      <c r="E299" s="226" t="s">
        <v>914</v>
      </c>
      <c r="F299" s="226" t="s">
        <v>4036</v>
      </c>
      <c r="G299" s="226" t="s">
        <v>4042</v>
      </c>
      <c r="H299" s="226" t="s">
        <v>4043</v>
      </c>
    </row>
    <row r="300" spans="3:8" ht="42.75">
      <c r="C300" t="s">
        <v>915</v>
      </c>
      <c r="D300" s="70" t="s">
        <v>1528</v>
      </c>
      <c r="E300" s="226" t="s">
        <v>916</v>
      </c>
      <c r="F300" s="226" t="s">
        <v>4036</v>
      </c>
      <c r="G300" s="226" t="s">
        <v>4044</v>
      </c>
      <c r="H300" s="226" t="s">
        <v>4045</v>
      </c>
    </row>
    <row r="301" spans="3:8" ht="28.5">
      <c r="C301" t="s">
        <v>917</v>
      </c>
      <c r="D301" s="70" t="s">
        <v>1528</v>
      </c>
      <c r="E301" s="226" t="s">
        <v>918</v>
      </c>
      <c r="F301" s="226" t="s">
        <v>4036</v>
      </c>
      <c r="G301" s="226" t="s">
        <v>4046</v>
      </c>
      <c r="H301" s="226" t="s">
        <v>4047</v>
      </c>
    </row>
    <row r="302" spans="3:8" ht="28.5">
      <c r="C302" t="s">
        <v>919</v>
      </c>
      <c r="D302" s="70" t="s">
        <v>1528</v>
      </c>
      <c r="E302" s="226" t="s">
        <v>920</v>
      </c>
      <c r="F302" s="226" t="s">
        <v>4036</v>
      </c>
      <c r="G302" s="226" t="s">
        <v>4048</v>
      </c>
      <c r="H302" s="226" t="s">
        <v>4049</v>
      </c>
    </row>
    <row r="303" spans="3:8" ht="42.75">
      <c r="C303" t="s">
        <v>921</v>
      </c>
      <c r="D303" s="70" t="s">
        <v>1528</v>
      </c>
      <c r="E303" s="226" t="s">
        <v>922</v>
      </c>
      <c r="F303" s="226" t="s">
        <v>4036</v>
      </c>
      <c r="G303" s="226" t="s">
        <v>4050</v>
      </c>
      <c r="H303" s="226" t="s">
        <v>4051</v>
      </c>
    </row>
    <row r="304" spans="3:8" ht="71.25">
      <c r="C304" t="s">
        <v>923</v>
      </c>
      <c r="D304" s="70" t="s">
        <v>1528</v>
      </c>
      <c r="E304" s="226" t="s">
        <v>924</v>
      </c>
      <c r="F304" s="226" t="s">
        <v>4036</v>
      </c>
      <c r="G304" s="226" t="s">
        <v>4052</v>
      </c>
      <c r="H304" s="226" t="s">
        <v>4053</v>
      </c>
    </row>
    <row r="305" spans="3:8" ht="42.75">
      <c r="C305" t="s">
        <v>925</v>
      </c>
      <c r="D305" s="70" t="s">
        <v>1528</v>
      </c>
      <c r="E305" s="226" t="s">
        <v>926</v>
      </c>
      <c r="F305" s="226" t="s">
        <v>4036</v>
      </c>
      <c r="G305" s="226" t="s">
        <v>4054</v>
      </c>
      <c r="H305" s="226" t="s">
        <v>4055</v>
      </c>
    </row>
    <row r="306" spans="3:8" ht="99.75">
      <c r="C306" t="s">
        <v>927</v>
      </c>
      <c r="D306" s="70" t="s">
        <v>1528</v>
      </c>
      <c r="E306" s="226" t="s">
        <v>928</v>
      </c>
      <c r="F306" s="226" t="s">
        <v>4036</v>
      </c>
      <c r="G306" s="226" t="s">
        <v>4056</v>
      </c>
      <c r="H306" s="226" t="s">
        <v>4057</v>
      </c>
    </row>
    <row r="307" spans="3:8" ht="57">
      <c r="C307" t="s">
        <v>929</v>
      </c>
      <c r="D307" s="70" t="s">
        <v>1528</v>
      </c>
      <c r="E307" s="226" t="s">
        <v>930</v>
      </c>
      <c r="F307" s="226" t="s">
        <v>4036</v>
      </c>
      <c r="G307" s="226" t="s">
        <v>4058</v>
      </c>
      <c r="H307" s="226" t="s">
        <v>4059</v>
      </c>
    </row>
    <row r="308" spans="3:8" ht="71.25">
      <c r="C308" t="s">
        <v>931</v>
      </c>
      <c r="D308" s="70" t="s">
        <v>1528</v>
      </c>
      <c r="E308" s="226" t="s">
        <v>932</v>
      </c>
      <c r="F308" s="226" t="s">
        <v>4036</v>
      </c>
      <c r="G308" s="226" t="s">
        <v>4060</v>
      </c>
      <c r="H308" s="226" t="s">
        <v>4061</v>
      </c>
    </row>
    <row r="309" spans="3:8" ht="57">
      <c r="C309" t="s">
        <v>933</v>
      </c>
      <c r="D309" s="70" t="s">
        <v>1528</v>
      </c>
      <c r="E309" s="226" t="s">
        <v>934</v>
      </c>
      <c r="F309" s="226" t="s">
        <v>4036</v>
      </c>
      <c r="G309" s="226" t="s">
        <v>4060</v>
      </c>
      <c r="H309" s="226" t="s">
        <v>4062</v>
      </c>
    </row>
    <row r="310" spans="3:8" ht="42.75">
      <c r="C310" t="s">
        <v>935</v>
      </c>
      <c r="D310" s="70" t="s">
        <v>1528</v>
      </c>
      <c r="E310" s="226" t="s">
        <v>936</v>
      </c>
      <c r="F310" s="226" t="s">
        <v>4063</v>
      </c>
      <c r="G310" s="226" t="s">
        <v>4064</v>
      </c>
      <c r="H310" s="226" t="s">
        <v>4065</v>
      </c>
    </row>
    <row r="311" spans="3:8" ht="288">
      <c r="C311" t="s">
        <v>949</v>
      </c>
      <c r="D311" s="70" t="s">
        <v>1528</v>
      </c>
      <c r="E311" s="226" t="s">
        <v>950</v>
      </c>
      <c r="F311" s="226" t="s">
        <v>4063</v>
      </c>
      <c r="G311" s="226" t="s">
        <v>4066</v>
      </c>
      <c r="H311" s="311" t="s">
        <v>4067</v>
      </c>
    </row>
    <row r="312" spans="3:8" ht="42.75">
      <c r="C312" t="s">
        <v>937</v>
      </c>
      <c r="D312" s="70" t="s">
        <v>1528</v>
      </c>
      <c r="E312" s="226" t="s">
        <v>938</v>
      </c>
      <c r="F312" s="226" t="s">
        <v>4063</v>
      </c>
      <c r="G312" s="226" t="s">
        <v>4068</v>
      </c>
      <c r="H312" s="226" t="s">
        <v>4069</v>
      </c>
    </row>
    <row r="313" spans="3:8" ht="57">
      <c r="C313" t="s">
        <v>939</v>
      </c>
      <c r="D313" s="70" t="s">
        <v>1528</v>
      </c>
      <c r="E313" s="226" t="s">
        <v>940</v>
      </c>
      <c r="F313" s="226" t="s">
        <v>4063</v>
      </c>
      <c r="G313" s="226" t="s">
        <v>4070</v>
      </c>
      <c r="H313" s="226" t="s">
        <v>4071</v>
      </c>
    </row>
    <row r="314" spans="3:8" ht="28.5">
      <c r="C314" t="s">
        <v>941</v>
      </c>
      <c r="D314" s="70" t="s">
        <v>1528</v>
      </c>
      <c r="E314" s="226" t="s">
        <v>942</v>
      </c>
      <c r="F314" s="226" t="s">
        <v>4063</v>
      </c>
      <c r="G314" s="226" t="s">
        <v>4072</v>
      </c>
      <c r="H314" s="226" t="s">
        <v>4073</v>
      </c>
    </row>
    <row r="315" spans="3:8" ht="71.25">
      <c r="C315" t="s">
        <v>943</v>
      </c>
      <c r="D315" s="70" t="s">
        <v>1528</v>
      </c>
      <c r="E315" s="226" t="s">
        <v>944</v>
      </c>
      <c r="F315" s="226" t="s">
        <v>4063</v>
      </c>
      <c r="G315" s="226" t="s">
        <v>4072</v>
      </c>
      <c r="H315" s="226" t="s">
        <v>4074</v>
      </c>
    </row>
    <row r="316" spans="3:8" ht="42.75">
      <c r="C316" t="s">
        <v>945</v>
      </c>
      <c r="D316" s="70" t="s">
        <v>1528</v>
      </c>
      <c r="E316" s="226" t="s">
        <v>946</v>
      </c>
      <c r="F316" s="226" t="s">
        <v>4063</v>
      </c>
      <c r="G316" s="226" t="s">
        <v>4075</v>
      </c>
      <c r="H316" s="226" t="s">
        <v>4076</v>
      </c>
    </row>
    <row r="317" spans="3:8" ht="85.5">
      <c r="C317" t="s">
        <v>947</v>
      </c>
      <c r="D317" s="70" t="s">
        <v>1528</v>
      </c>
      <c r="E317" s="226" t="s">
        <v>948</v>
      </c>
      <c r="F317" s="226" t="s">
        <v>4063</v>
      </c>
      <c r="G317" s="226" t="s">
        <v>4077</v>
      </c>
      <c r="H317" s="226" t="s">
        <v>4078</v>
      </c>
    </row>
    <row r="318" spans="3:8" ht="28.5">
      <c r="C318" t="s">
        <v>951</v>
      </c>
      <c r="D318" s="70" t="s">
        <v>1528</v>
      </c>
      <c r="E318" s="226" t="s">
        <v>952</v>
      </c>
      <c r="F318" s="226" t="s">
        <v>4079</v>
      </c>
      <c r="G318" s="226"/>
      <c r="H318" s="226" t="s">
        <v>2902</v>
      </c>
    </row>
    <row r="319" spans="3:8" ht="28.5">
      <c r="C319" t="s">
        <v>953</v>
      </c>
      <c r="D319" s="70" t="s">
        <v>1528</v>
      </c>
      <c r="E319" s="226" t="s">
        <v>954</v>
      </c>
      <c r="F319" s="226" t="s">
        <v>4079</v>
      </c>
      <c r="G319" s="226"/>
      <c r="H319" s="226" t="s">
        <v>2904</v>
      </c>
    </row>
    <row r="320" spans="3:8" ht="142.5">
      <c r="C320" t="s">
        <v>955</v>
      </c>
      <c r="D320" s="70" t="s">
        <v>1528</v>
      </c>
      <c r="E320" s="226" t="s">
        <v>21</v>
      </c>
      <c r="F320" s="226" t="s">
        <v>4079</v>
      </c>
      <c r="G320" s="226"/>
      <c r="H320" s="226" t="s">
        <v>4080</v>
      </c>
    </row>
    <row r="321" spans="3:8" ht="42.75">
      <c r="C321" t="s">
        <v>956</v>
      </c>
      <c r="D321" s="70" t="s">
        <v>1528</v>
      </c>
      <c r="E321" s="226" t="s">
        <v>957</v>
      </c>
      <c r="F321" s="226" t="s">
        <v>4079</v>
      </c>
      <c r="G321" s="226" t="s">
        <v>4081</v>
      </c>
      <c r="H321" s="226" t="s">
        <v>4082</v>
      </c>
    </row>
    <row r="322" spans="3:8" ht="57">
      <c r="C322" t="s">
        <v>958</v>
      </c>
      <c r="D322" s="70" t="s">
        <v>1528</v>
      </c>
      <c r="E322" s="226" t="s">
        <v>959</v>
      </c>
      <c r="F322" s="226" t="s">
        <v>4079</v>
      </c>
      <c r="G322" s="226" t="s">
        <v>4083</v>
      </c>
      <c r="H322" s="226" t="s">
        <v>2911</v>
      </c>
    </row>
    <row r="323" spans="3:8" ht="142.5">
      <c r="C323" t="s">
        <v>960</v>
      </c>
      <c r="D323" s="70" t="s">
        <v>1528</v>
      </c>
      <c r="E323" s="226" t="s">
        <v>961</v>
      </c>
      <c r="F323" s="226" t="s">
        <v>4079</v>
      </c>
      <c r="G323" s="226" t="s">
        <v>4084</v>
      </c>
      <c r="H323" s="226" t="s">
        <v>4085</v>
      </c>
    </row>
    <row r="324" spans="3:8" ht="85.5">
      <c r="C324" t="s">
        <v>962</v>
      </c>
      <c r="D324" s="70" t="s">
        <v>1528</v>
      </c>
      <c r="E324" s="226" t="s">
        <v>963</v>
      </c>
      <c r="F324" s="226" t="s">
        <v>4079</v>
      </c>
      <c r="G324" s="226" t="s">
        <v>4086</v>
      </c>
      <c r="H324" s="226" t="s">
        <v>4087</v>
      </c>
    </row>
    <row r="325" spans="3:8" ht="28.5">
      <c r="C325" t="s">
        <v>964</v>
      </c>
      <c r="D325" s="70" t="s">
        <v>1528</v>
      </c>
      <c r="E325" s="226" t="s">
        <v>22</v>
      </c>
      <c r="F325" s="226" t="s">
        <v>4088</v>
      </c>
      <c r="G325" s="226" t="s">
        <v>4089</v>
      </c>
      <c r="H325" s="226" t="s">
        <v>4090</v>
      </c>
    </row>
    <row r="326" spans="3:8" ht="42.75">
      <c r="C326" t="s">
        <v>971</v>
      </c>
      <c r="D326" s="70" t="s">
        <v>1528</v>
      </c>
      <c r="E326" s="226" t="s">
        <v>972</v>
      </c>
      <c r="F326" s="226" t="s">
        <v>4088</v>
      </c>
      <c r="G326" s="226" t="s">
        <v>4091</v>
      </c>
      <c r="H326" s="226" t="s">
        <v>4092</v>
      </c>
    </row>
    <row r="327" spans="3:8" ht="42.75">
      <c r="C327" t="s">
        <v>973</v>
      </c>
      <c r="D327" s="70" t="s">
        <v>1528</v>
      </c>
      <c r="E327" s="226" t="s">
        <v>974</v>
      </c>
      <c r="F327" s="226" t="s">
        <v>4088</v>
      </c>
      <c r="G327" s="226" t="s">
        <v>4091</v>
      </c>
      <c r="H327" s="226" t="s">
        <v>4093</v>
      </c>
    </row>
    <row r="328" spans="3:8" ht="57">
      <c r="C328" t="s">
        <v>975</v>
      </c>
      <c r="D328" s="70" t="s">
        <v>1528</v>
      </c>
      <c r="E328" s="226" t="s">
        <v>976</v>
      </c>
      <c r="F328" s="226" t="s">
        <v>4088</v>
      </c>
      <c r="G328" s="226" t="s">
        <v>4091</v>
      </c>
      <c r="H328" s="226" t="s">
        <v>4094</v>
      </c>
    </row>
    <row r="329" spans="3:8" ht="42.75">
      <c r="C329" t="s">
        <v>965</v>
      </c>
      <c r="D329" s="70" t="s">
        <v>1528</v>
      </c>
      <c r="E329" s="226" t="s">
        <v>966</v>
      </c>
      <c r="F329" s="226" t="s">
        <v>4088</v>
      </c>
      <c r="G329" s="226" t="s">
        <v>4095</v>
      </c>
      <c r="H329" s="226" t="s">
        <v>4096</v>
      </c>
    </row>
    <row r="330" spans="3:8" ht="42.75">
      <c r="C330" t="s">
        <v>967</v>
      </c>
      <c r="D330" s="70" t="s">
        <v>1528</v>
      </c>
      <c r="E330" s="226" t="s">
        <v>968</v>
      </c>
      <c r="F330" s="226" t="s">
        <v>4088</v>
      </c>
      <c r="G330" s="226" t="s">
        <v>4097</v>
      </c>
      <c r="H330" s="226" t="s">
        <v>4098</v>
      </c>
    </row>
    <row r="331" spans="3:8" ht="42.75">
      <c r="C331" t="s">
        <v>977</v>
      </c>
      <c r="D331" s="70" t="s">
        <v>1528</v>
      </c>
      <c r="E331" s="226" t="s">
        <v>978</v>
      </c>
      <c r="F331" s="226" t="s">
        <v>4088</v>
      </c>
      <c r="G331" s="226" t="s">
        <v>4099</v>
      </c>
      <c r="H331" s="226" t="s">
        <v>4100</v>
      </c>
    </row>
    <row r="332" spans="3:8" ht="42.75">
      <c r="C332" t="s">
        <v>979</v>
      </c>
      <c r="D332" s="70" t="s">
        <v>1528</v>
      </c>
      <c r="E332" s="226" t="s">
        <v>980</v>
      </c>
      <c r="F332" s="226" t="s">
        <v>4088</v>
      </c>
      <c r="G332" s="226" t="s">
        <v>4099</v>
      </c>
      <c r="H332" s="226" t="s">
        <v>4101</v>
      </c>
    </row>
    <row r="333" spans="3:8" ht="42.75">
      <c r="C333" t="s">
        <v>981</v>
      </c>
      <c r="D333" s="70" t="s">
        <v>1528</v>
      </c>
      <c r="E333" s="226" t="s">
        <v>982</v>
      </c>
      <c r="F333" s="226" t="s">
        <v>4088</v>
      </c>
      <c r="G333" s="226" t="s">
        <v>4102</v>
      </c>
      <c r="H333" s="226" t="s">
        <v>4103</v>
      </c>
    </row>
    <row r="334" spans="3:8" ht="42.75">
      <c r="C334" t="s">
        <v>983</v>
      </c>
      <c r="D334" s="70" t="s">
        <v>1528</v>
      </c>
      <c r="E334" s="226" t="s">
        <v>984</v>
      </c>
      <c r="F334" s="226" t="s">
        <v>4088</v>
      </c>
      <c r="G334" s="226" t="s">
        <v>4104</v>
      </c>
      <c r="H334" s="226" t="s">
        <v>4105</v>
      </c>
    </row>
    <row r="335" spans="3:8" ht="28.5">
      <c r="C335" t="s">
        <v>969</v>
      </c>
      <c r="D335" s="70" t="s">
        <v>1528</v>
      </c>
      <c r="E335" s="226" t="s">
        <v>970</v>
      </c>
      <c r="F335" s="226" t="s">
        <v>4088</v>
      </c>
      <c r="G335" s="226" t="s">
        <v>4106</v>
      </c>
      <c r="H335" s="226" t="s">
        <v>4107</v>
      </c>
    </row>
    <row r="336" spans="3:8" ht="42.75">
      <c r="C336" t="s">
        <v>985</v>
      </c>
      <c r="D336" s="70" t="s">
        <v>1528</v>
      </c>
      <c r="E336" s="226" t="s">
        <v>986</v>
      </c>
      <c r="F336" s="226" t="s">
        <v>4088</v>
      </c>
      <c r="G336" s="226" t="s">
        <v>4108</v>
      </c>
      <c r="H336" s="226" t="s">
        <v>4109</v>
      </c>
    </row>
    <row r="337" spans="3:8" ht="42.75">
      <c r="C337" t="s">
        <v>987</v>
      </c>
      <c r="D337" s="70" t="s">
        <v>1528</v>
      </c>
      <c r="E337" s="226" t="s">
        <v>988</v>
      </c>
      <c r="F337" s="226" t="s">
        <v>4088</v>
      </c>
      <c r="G337" s="226" t="s">
        <v>4108</v>
      </c>
      <c r="H337" s="226" t="s">
        <v>4110</v>
      </c>
    </row>
    <row r="338" spans="3:8" ht="57">
      <c r="C338" t="s">
        <v>989</v>
      </c>
      <c r="D338" s="70" t="s">
        <v>1528</v>
      </c>
      <c r="E338" s="226" t="s">
        <v>990</v>
      </c>
      <c r="F338" s="226" t="s">
        <v>4088</v>
      </c>
      <c r="G338" s="226" t="s">
        <v>4108</v>
      </c>
      <c r="H338" s="226" t="s">
        <v>4111</v>
      </c>
    </row>
    <row r="339" spans="3:8" ht="99.75">
      <c r="C339" t="s">
        <v>991</v>
      </c>
      <c r="D339" s="70" t="s">
        <v>1528</v>
      </c>
      <c r="E339" s="226" t="s">
        <v>992</v>
      </c>
      <c r="F339" s="226" t="s">
        <v>4112</v>
      </c>
      <c r="G339" s="226" t="s">
        <v>4113</v>
      </c>
      <c r="H339" s="226" t="s">
        <v>4114</v>
      </c>
    </row>
    <row r="340" spans="3:8">
      <c r="C340" t="s">
        <v>997</v>
      </c>
      <c r="D340" s="70" t="s">
        <v>1528</v>
      </c>
      <c r="E340" s="226" t="s">
        <v>998</v>
      </c>
      <c r="F340" s="226" t="s">
        <v>4115</v>
      </c>
      <c r="G340" s="226" t="s">
        <v>4116</v>
      </c>
      <c r="H340" s="226" t="s">
        <v>4117</v>
      </c>
    </row>
    <row r="341" spans="3:8" ht="28.5">
      <c r="C341" t="s">
        <v>1005</v>
      </c>
      <c r="D341" s="70" t="s">
        <v>1528</v>
      </c>
      <c r="E341" s="226" t="s">
        <v>1006</v>
      </c>
      <c r="F341" s="226" t="s">
        <v>4115</v>
      </c>
      <c r="G341" s="226" t="s">
        <v>4118</v>
      </c>
      <c r="H341" s="226" t="s">
        <v>4119</v>
      </c>
    </row>
    <row r="342" spans="3:8" ht="42.75">
      <c r="C342" t="s">
        <v>993</v>
      </c>
      <c r="D342" s="70" t="s">
        <v>1528</v>
      </c>
      <c r="E342" s="226" t="s">
        <v>994</v>
      </c>
      <c r="F342" s="226" t="s">
        <v>4115</v>
      </c>
      <c r="G342" s="226" t="s">
        <v>4120</v>
      </c>
      <c r="H342" s="226" t="s">
        <v>4121</v>
      </c>
    </row>
    <row r="343" spans="3:8" ht="71.25">
      <c r="C343" t="s">
        <v>995</v>
      </c>
      <c r="D343" s="70" t="s">
        <v>1528</v>
      </c>
      <c r="E343" s="226" t="s">
        <v>996</v>
      </c>
      <c r="F343" s="226" t="s">
        <v>4115</v>
      </c>
      <c r="G343" s="226" t="s">
        <v>4122</v>
      </c>
      <c r="H343" s="226" t="s">
        <v>4123</v>
      </c>
    </row>
    <row r="344" spans="3:8" ht="28.5">
      <c r="C344" t="s">
        <v>999</v>
      </c>
      <c r="D344" s="70" t="s">
        <v>1528</v>
      </c>
      <c r="E344" s="226" t="s">
        <v>1000</v>
      </c>
      <c r="F344" s="226" t="s">
        <v>4115</v>
      </c>
      <c r="G344" s="226" t="s">
        <v>4124</v>
      </c>
      <c r="H344" s="226" t="s">
        <v>2960</v>
      </c>
    </row>
    <row r="345" spans="3:8" ht="28.5">
      <c r="C345" t="s">
        <v>1001</v>
      </c>
      <c r="D345" s="70" t="s">
        <v>1528</v>
      </c>
      <c r="E345" s="226" t="s">
        <v>1002</v>
      </c>
      <c r="F345" s="226" t="s">
        <v>4115</v>
      </c>
      <c r="G345" s="226" t="s">
        <v>4125</v>
      </c>
      <c r="H345" s="226" t="s">
        <v>4126</v>
      </c>
    </row>
    <row r="346" spans="3:8" ht="28.5">
      <c r="C346" t="s">
        <v>1003</v>
      </c>
      <c r="D346" s="70" t="s">
        <v>1528</v>
      </c>
      <c r="E346" s="226" t="s">
        <v>1004</v>
      </c>
      <c r="F346" s="226" t="s">
        <v>4115</v>
      </c>
      <c r="G346" s="226" t="s">
        <v>4127</v>
      </c>
      <c r="H346" s="226" t="s">
        <v>4128</v>
      </c>
    </row>
    <row r="347" spans="3:8" ht="28.5">
      <c r="C347" t="s">
        <v>1007</v>
      </c>
      <c r="D347" s="70" t="s">
        <v>1528</v>
      </c>
      <c r="E347" s="226" t="s">
        <v>1008</v>
      </c>
      <c r="F347" s="226" t="s">
        <v>4115</v>
      </c>
      <c r="G347" s="226" t="s">
        <v>4129</v>
      </c>
      <c r="H347" s="226" t="s">
        <v>2967</v>
      </c>
    </row>
    <row r="348" spans="3:8" ht="28.5">
      <c r="C348" t="s">
        <v>1011</v>
      </c>
      <c r="D348" s="70" t="s">
        <v>1528</v>
      </c>
      <c r="E348" s="226" t="s">
        <v>1012</v>
      </c>
      <c r="F348" s="226" t="s">
        <v>4130</v>
      </c>
      <c r="G348" s="226" t="s">
        <v>4131</v>
      </c>
      <c r="H348" s="226" t="s">
        <v>2979</v>
      </c>
    </row>
    <row r="349" spans="3:8" ht="99.75">
      <c r="C349" t="s">
        <v>1013</v>
      </c>
      <c r="D349" s="70" t="s">
        <v>1528</v>
      </c>
      <c r="E349" s="226" t="s">
        <v>1014</v>
      </c>
      <c r="F349" s="226" t="s">
        <v>4130</v>
      </c>
      <c r="G349" s="226"/>
      <c r="H349" s="226" t="s">
        <v>4132</v>
      </c>
    </row>
    <row r="350" spans="3:8" ht="99.75">
      <c r="C350" t="s">
        <v>1015</v>
      </c>
      <c r="D350" s="70" t="s">
        <v>1528</v>
      </c>
      <c r="E350" s="226" t="s">
        <v>1016</v>
      </c>
      <c r="F350" s="226" t="s">
        <v>4130</v>
      </c>
      <c r="G350" s="226"/>
      <c r="H350" s="226" t="s">
        <v>4133</v>
      </c>
    </row>
    <row r="351" spans="3:8" ht="42.75">
      <c r="C351" t="s">
        <v>1017</v>
      </c>
      <c r="D351" s="70" t="s">
        <v>1528</v>
      </c>
      <c r="E351" s="226" t="s">
        <v>1018</v>
      </c>
      <c r="F351" s="226" t="s">
        <v>4134</v>
      </c>
      <c r="G351" s="226" t="s">
        <v>4135</v>
      </c>
      <c r="H351" s="226" t="s">
        <v>4136</v>
      </c>
    </row>
    <row r="352" spans="3:8" ht="42.75">
      <c r="C352" t="s">
        <v>1019</v>
      </c>
      <c r="D352" s="70" t="s">
        <v>1528</v>
      </c>
      <c r="E352" s="226" t="s">
        <v>1020</v>
      </c>
      <c r="F352" s="226" t="s">
        <v>4134</v>
      </c>
      <c r="G352" s="226" t="s">
        <v>4137</v>
      </c>
      <c r="H352" s="226" t="s">
        <v>4138</v>
      </c>
    </row>
    <row r="353" spans="3:8" ht="42.75">
      <c r="C353" t="s">
        <v>1021</v>
      </c>
      <c r="D353" s="70" t="s">
        <v>1528</v>
      </c>
      <c r="E353" s="226" t="s">
        <v>1022</v>
      </c>
      <c r="F353" s="226" t="s">
        <v>4134</v>
      </c>
      <c r="G353" s="226" t="s">
        <v>4139</v>
      </c>
      <c r="H353" s="226" t="s">
        <v>2991</v>
      </c>
    </row>
    <row r="354" spans="3:8" ht="28.5">
      <c r="C354" t="s">
        <v>1023</v>
      </c>
      <c r="D354" s="70" t="s">
        <v>1528</v>
      </c>
      <c r="E354" s="226" t="s">
        <v>1024</v>
      </c>
      <c r="F354" s="226" t="s">
        <v>4134</v>
      </c>
      <c r="G354" s="226" t="s">
        <v>4140</v>
      </c>
      <c r="H354" s="226" t="s">
        <v>4141</v>
      </c>
    </row>
    <row r="355" spans="3:8" ht="28.5">
      <c r="C355" t="s">
        <v>1025</v>
      </c>
      <c r="D355" s="70" t="s">
        <v>1528</v>
      </c>
      <c r="E355" s="226" t="s">
        <v>1026</v>
      </c>
      <c r="F355" s="226" t="s">
        <v>4134</v>
      </c>
      <c r="G355" s="226" t="s">
        <v>4142</v>
      </c>
      <c r="H355" s="226" t="s">
        <v>4143</v>
      </c>
    </row>
    <row r="356" spans="3:8" ht="42.75">
      <c r="C356" t="s">
        <v>1027</v>
      </c>
      <c r="D356" s="70" t="s">
        <v>1528</v>
      </c>
      <c r="E356" s="226" t="s">
        <v>1028</v>
      </c>
      <c r="F356" s="226" t="s">
        <v>4134</v>
      </c>
      <c r="G356" s="226" t="s">
        <v>4144</v>
      </c>
      <c r="H356" s="226" t="s">
        <v>4145</v>
      </c>
    </row>
    <row r="357" spans="3:8" ht="28.5">
      <c r="C357" t="s">
        <v>1029</v>
      </c>
      <c r="D357" s="70" t="s">
        <v>1528</v>
      </c>
      <c r="E357" s="226" t="s">
        <v>1030</v>
      </c>
      <c r="F357" s="226" t="s">
        <v>4134</v>
      </c>
      <c r="G357" s="226" t="s">
        <v>4146</v>
      </c>
      <c r="H357" s="226" t="s">
        <v>4147</v>
      </c>
    </row>
    <row r="358" spans="3:8" ht="42.75">
      <c r="C358" t="s">
        <v>1031</v>
      </c>
      <c r="D358" s="70" t="s">
        <v>1528</v>
      </c>
      <c r="E358" s="226" t="s">
        <v>23</v>
      </c>
      <c r="F358" s="226" t="s">
        <v>4134</v>
      </c>
      <c r="G358" s="226" t="s">
        <v>4148</v>
      </c>
      <c r="H358" s="226" t="s">
        <v>4149</v>
      </c>
    </row>
    <row r="359" spans="3:8" ht="99.75">
      <c r="C359" t="s">
        <v>1032</v>
      </c>
      <c r="D359" s="70" t="s">
        <v>1528</v>
      </c>
      <c r="E359" s="226" t="s">
        <v>1033</v>
      </c>
      <c r="F359" s="226" t="s">
        <v>4134</v>
      </c>
      <c r="G359" s="226" t="s">
        <v>4150</v>
      </c>
      <c r="H359" s="226" t="s">
        <v>4151</v>
      </c>
    </row>
    <row r="360" spans="3:8" ht="99.75">
      <c r="C360" t="s">
        <v>1034</v>
      </c>
      <c r="D360" s="70" t="s">
        <v>1528</v>
      </c>
      <c r="E360" s="226" t="s">
        <v>1035</v>
      </c>
      <c r="F360" s="226" t="s">
        <v>4134</v>
      </c>
      <c r="G360" s="226" t="s">
        <v>4152</v>
      </c>
      <c r="H360" s="226" t="s">
        <v>4153</v>
      </c>
    </row>
    <row r="361" spans="3:8" ht="28.5">
      <c r="C361" t="s">
        <v>1036</v>
      </c>
      <c r="D361" s="70" t="s">
        <v>1528</v>
      </c>
      <c r="E361" s="226" t="s">
        <v>1037</v>
      </c>
      <c r="F361" s="226" t="s">
        <v>4134</v>
      </c>
      <c r="G361" s="226" t="s">
        <v>4154</v>
      </c>
      <c r="H361" s="226" t="s">
        <v>4155</v>
      </c>
    </row>
    <row r="362" spans="3:8" ht="28.5">
      <c r="C362" t="s">
        <v>1038</v>
      </c>
      <c r="D362" s="70" t="s">
        <v>1528</v>
      </c>
      <c r="E362" s="226" t="s">
        <v>1039</v>
      </c>
      <c r="F362" s="226" t="s">
        <v>4134</v>
      </c>
      <c r="G362" s="226" t="s">
        <v>4156</v>
      </c>
      <c r="H362" s="226" t="s">
        <v>4157</v>
      </c>
    </row>
    <row r="363" spans="3:8" ht="99.75">
      <c r="C363" t="s">
        <v>1040</v>
      </c>
      <c r="D363" s="70" t="s">
        <v>1528</v>
      </c>
      <c r="E363" s="226" t="s">
        <v>1041</v>
      </c>
      <c r="F363" s="226" t="s">
        <v>4134</v>
      </c>
      <c r="G363" s="226" t="s">
        <v>4158</v>
      </c>
      <c r="H363" s="226" t="s">
        <v>4159</v>
      </c>
    </row>
    <row r="364" spans="3:8" ht="28.5">
      <c r="C364" t="s">
        <v>1042</v>
      </c>
      <c r="D364" s="70" t="s">
        <v>1528</v>
      </c>
      <c r="E364" s="226" t="s">
        <v>1043</v>
      </c>
      <c r="F364" s="226" t="s">
        <v>4160</v>
      </c>
      <c r="G364" s="226" t="s">
        <v>4161</v>
      </c>
      <c r="H364" s="226" t="s">
        <v>4162</v>
      </c>
    </row>
    <row r="365" spans="3:8" ht="57">
      <c r="C365" t="s">
        <v>1044</v>
      </c>
      <c r="D365" s="70" t="s">
        <v>1528</v>
      </c>
      <c r="E365" s="226" t="s">
        <v>1045</v>
      </c>
      <c r="F365" s="226" t="s">
        <v>4160</v>
      </c>
      <c r="G365" s="226" t="s">
        <v>4163</v>
      </c>
      <c r="H365" s="226" t="s">
        <v>4164</v>
      </c>
    </row>
    <row r="366" spans="3:8" ht="42.75">
      <c r="C366" t="s">
        <v>1046</v>
      </c>
      <c r="D366" s="70" t="s">
        <v>1528</v>
      </c>
      <c r="E366" s="226" t="s">
        <v>1047</v>
      </c>
      <c r="F366" s="226" t="s">
        <v>4160</v>
      </c>
      <c r="G366" s="226" t="s">
        <v>4165</v>
      </c>
      <c r="H366" s="226" t="s">
        <v>4166</v>
      </c>
    </row>
    <row r="367" spans="3:8" ht="128.25">
      <c r="C367" t="s">
        <v>1048</v>
      </c>
      <c r="D367" s="70" t="s">
        <v>1528</v>
      </c>
      <c r="E367" s="226" t="s">
        <v>1049</v>
      </c>
      <c r="F367" s="226" t="s">
        <v>4160</v>
      </c>
      <c r="G367" s="226" t="s">
        <v>4167</v>
      </c>
      <c r="H367" s="226" t="s">
        <v>4168</v>
      </c>
    </row>
    <row r="368" spans="3:8" ht="42.75">
      <c r="C368" t="s">
        <v>1050</v>
      </c>
      <c r="D368" s="70" t="s">
        <v>1528</v>
      </c>
      <c r="E368" s="226" t="s">
        <v>1051</v>
      </c>
      <c r="F368" s="226" t="s">
        <v>4160</v>
      </c>
      <c r="G368" s="226" t="s">
        <v>4169</v>
      </c>
      <c r="H368" s="226" t="s">
        <v>4170</v>
      </c>
    </row>
    <row r="369" spans="3:8" ht="28.5">
      <c r="C369" t="s">
        <v>1052</v>
      </c>
      <c r="D369" s="70" t="s">
        <v>1528</v>
      </c>
      <c r="E369" s="226" t="s">
        <v>1053</v>
      </c>
      <c r="F369" s="226" t="s">
        <v>4160</v>
      </c>
      <c r="G369" s="226" t="s">
        <v>4171</v>
      </c>
      <c r="H369" s="226" t="s">
        <v>3028</v>
      </c>
    </row>
    <row r="370" spans="3:8" ht="28.5">
      <c r="C370" t="s">
        <v>1054</v>
      </c>
      <c r="D370" s="70" t="s">
        <v>1528</v>
      </c>
      <c r="E370" s="226" t="s">
        <v>1055</v>
      </c>
      <c r="F370" s="226" t="s">
        <v>4160</v>
      </c>
      <c r="G370" s="226" t="s">
        <v>4172</v>
      </c>
      <c r="H370" s="226" t="s">
        <v>4173</v>
      </c>
    </row>
    <row r="371" spans="3:8" ht="42.75">
      <c r="C371" t="s">
        <v>1056</v>
      </c>
      <c r="D371" s="70" t="s">
        <v>1528</v>
      </c>
      <c r="E371" s="226" t="s">
        <v>1057</v>
      </c>
      <c r="F371" s="226" t="s">
        <v>4160</v>
      </c>
      <c r="G371" s="226" t="s">
        <v>4174</v>
      </c>
      <c r="H371" s="226" t="s">
        <v>4175</v>
      </c>
    </row>
    <row r="372" spans="3:8" ht="142.5">
      <c r="C372" t="s">
        <v>1058</v>
      </c>
      <c r="D372" s="70" t="s">
        <v>1528</v>
      </c>
      <c r="E372" s="226" t="s">
        <v>1059</v>
      </c>
      <c r="F372" s="226" t="s">
        <v>4176</v>
      </c>
      <c r="G372" s="226" t="s">
        <v>4177</v>
      </c>
      <c r="H372" s="226" t="s">
        <v>4178</v>
      </c>
    </row>
    <row r="373" spans="3:8" ht="28.5">
      <c r="C373" t="s">
        <v>1060</v>
      </c>
      <c r="D373" s="70" t="s">
        <v>1528</v>
      </c>
      <c r="E373" s="226" t="s">
        <v>1061</v>
      </c>
      <c r="F373" s="226" t="s">
        <v>4176</v>
      </c>
      <c r="G373" s="226" t="s">
        <v>4179</v>
      </c>
      <c r="H373" s="226" t="s">
        <v>4180</v>
      </c>
    </row>
    <row r="374" spans="3:8" ht="42.75">
      <c r="C374" t="s">
        <v>1062</v>
      </c>
      <c r="D374" s="70" t="s">
        <v>1528</v>
      </c>
      <c r="E374" s="226" t="s">
        <v>1063</v>
      </c>
      <c r="F374" s="226" t="s">
        <v>4176</v>
      </c>
      <c r="G374" s="226" t="s">
        <v>4179</v>
      </c>
      <c r="H374" s="226" t="s">
        <v>4181</v>
      </c>
    </row>
    <row r="375" spans="3:8" ht="42.75">
      <c r="C375" t="s">
        <v>1064</v>
      </c>
      <c r="D375" s="70" t="s">
        <v>1528</v>
      </c>
      <c r="E375" s="226" t="s">
        <v>1065</v>
      </c>
      <c r="F375" s="226" t="s">
        <v>4176</v>
      </c>
      <c r="G375" s="226" t="s">
        <v>4182</v>
      </c>
      <c r="H375" s="226" t="s">
        <v>4183</v>
      </c>
    </row>
    <row r="376" spans="3:8" ht="42.75">
      <c r="C376" t="s">
        <v>1066</v>
      </c>
      <c r="D376" s="70" t="s">
        <v>1528</v>
      </c>
      <c r="E376" s="226" t="s">
        <v>1067</v>
      </c>
      <c r="F376" s="226" t="s">
        <v>4184</v>
      </c>
      <c r="G376" s="226" t="s">
        <v>4185</v>
      </c>
      <c r="H376" s="226" t="s">
        <v>4186</v>
      </c>
    </row>
    <row r="377" spans="3:8" ht="42.75">
      <c r="C377" t="s">
        <v>1068</v>
      </c>
      <c r="D377" s="70" t="s">
        <v>1528</v>
      </c>
      <c r="E377" s="226" t="s">
        <v>1069</v>
      </c>
      <c r="F377" s="226" t="s">
        <v>4184</v>
      </c>
      <c r="G377" s="226" t="s">
        <v>4187</v>
      </c>
      <c r="H377" s="226" t="s">
        <v>4188</v>
      </c>
    </row>
    <row r="378" spans="3:8" ht="71.25">
      <c r="C378" t="s">
        <v>1070</v>
      </c>
      <c r="D378" s="70" t="s">
        <v>1528</v>
      </c>
      <c r="E378" s="226" t="s">
        <v>1071</v>
      </c>
      <c r="F378" s="226" t="s">
        <v>4184</v>
      </c>
      <c r="G378" s="226" t="s">
        <v>4189</v>
      </c>
      <c r="H378" s="226" t="s">
        <v>4190</v>
      </c>
    </row>
    <row r="379" spans="3:8" ht="42.75">
      <c r="C379" t="s">
        <v>1072</v>
      </c>
      <c r="D379" s="70" t="s">
        <v>1528</v>
      </c>
      <c r="E379" s="226" t="s">
        <v>1073</v>
      </c>
      <c r="F379" s="226" t="s">
        <v>4184</v>
      </c>
      <c r="G379" s="226" t="s">
        <v>4191</v>
      </c>
      <c r="H379" s="226" t="s">
        <v>4192</v>
      </c>
    </row>
    <row r="380" spans="3:8" ht="28.5">
      <c r="C380" t="s">
        <v>1074</v>
      </c>
      <c r="D380" s="70" t="s">
        <v>1528</v>
      </c>
      <c r="E380" s="226" t="s">
        <v>1075</v>
      </c>
      <c r="F380" s="226" t="s">
        <v>4184</v>
      </c>
      <c r="G380" s="226" t="s">
        <v>4193</v>
      </c>
      <c r="H380" s="226" t="s">
        <v>4194</v>
      </c>
    </row>
    <row r="381" spans="3:8" ht="28.5">
      <c r="C381" t="s">
        <v>1076</v>
      </c>
      <c r="D381" s="70" t="s">
        <v>1528</v>
      </c>
      <c r="E381" s="226" t="s">
        <v>1077</v>
      </c>
      <c r="F381" s="226" t="s">
        <v>4184</v>
      </c>
      <c r="G381" s="226" t="s">
        <v>4195</v>
      </c>
      <c r="H381" s="226" t="s">
        <v>4196</v>
      </c>
    </row>
    <row r="382" spans="3:8" ht="28.5">
      <c r="C382" t="s">
        <v>1078</v>
      </c>
      <c r="D382" s="70" t="s">
        <v>1528</v>
      </c>
      <c r="E382" s="226" t="s">
        <v>1079</v>
      </c>
      <c r="F382" s="226" t="s">
        <v>4184</v>
      </c>
      <c r="G382" s="226" t="s">
        <v>4197</v>
      </c>
      <c r="H382" s="226" t="s">
        <v>4198</v>
      </c>
    </row>
    <row r="383" spans="3:8" ht="42.75">
      <c r="C383" t="s">
        <v>1080</v>
      </c>
      <c r="D383" s="70" t="s">
        <v>1528</v>
      </c>
      <c r="E383" s="226" t="s">
        <v>1081</v>
      </c>
      <c r="F383" s="226" t="s">
        <v>4184</v>
      </c>
      <c r="G383" s="226" t="s">
        <v>4199</v>
      </c>
      <c r="H383" s="226" t="s">
        <v>4200</v>
      </c>
    </row>
    <row r="384" spans="3:8" ht="28.5">
      <c r="C384" t="s">
        <v>1082</v>
      </c>
      <c r="D384" s="70" t="s">
        <v>1528</v>
      </c>
      <c r="E384" s="226" t="s">
        <v>1083</v>
      </c>
      <c r="F384" s="226" t="s">
        <v>4184</v>
      </c>
      <c r="G384" s="226" t="s">
        <v>4201</v>
      </c>
      <c r="H384" s="226" t="s">
        <v>4202</v>
      </c>
    </row>
    <row r="385" spans="3:8" ht="85.5">
      <c r="C385" t="s">
        <v>1084</v>
      </c>
      <c r="D385" s="70" t="s">
        <v>1528</v>
      </c>
      <c r="E385" s="226" t="s">
        <v>1085</v>
      </c>
      <c r="F385" s="226" t="s">
        <v>4184</v>
      </c>
      <c r="G385" s="226" t="s">
        <v>4203</v>
      </c>
      <c r="H385" s="226" t="s">
        <v>4204</v>
      </c>
    </row>
    <row r="386" spans="3:8" ht="85.5">
      <c r="C386" t="s">
        <v>1086</v>
      </c>
      <c r="D386" s="268" t="s">
        <v>1528</v>
      </c>
      <c r="E386" s="421" t="s">
        <v>1087</v>
      </c>
      <c r="F386" s="421" t="s">
        <v>4184</v>
      </c>
      <c r="G386" s="421" t="s">
        <v>4205</v>
      </c>
      <c r="H386" s="421" t="s">
        <v>4206</v>
      </c>
    </row>
    <row r="387" spans="3:8" ht="57" customHeight="1">
      <c r="C387" s="70" t="s">
        <v>883</v>
      </c>
      <c r="D387" s="70" t="s">
        <v>1528</v>
      </c>
      <c r="E387" s="70" t="s">
        <v>884</v>
      </c>
      <c r="F387" s="226" t="s">
        <v>4030</v>
      </c>
      <c r="G387" s="226" t="s">
        <v>4207</v>
      </c>
      <c r="H387" s="226" t="s">
        <v>4208</v>
      </c>
    </row>
    <row r="388" spans="3:8" ht="85.5">
      <c r="C388" s="70" t="s">
        <v>885</v>
      </c>
      <c r="D388" s="70" t="s">
        <v>1528</v>
      </c>
      <c r="E388" s="70" t="s">
        <v>886</v>
      </c>
      <c r="F388" s="226" t="s">
        <v>4030</v>
      </c>
      <c r="G388" s="226" t="s">
        <v>4209</v>
      </c>
      <c r="H388" s="226" t="s">
        <v>4210</v>
      </c>
    </row>
    <row r="389" spans="3:8" ht="57">
      <c r="C389" s="70" t="s">
        <v>887</v>
      </c>
      <c r="D389" s="70" t="s">
        <v>1528</v>
      </c>
      <c r="E389" s="70" t="s">
        <v>888</v>
      </c>
      <c r="F389" s="226" t="s">
        <v>4030</v>
      </c>
      <c r="G389" s="226" t="s">
        <v>4211</v>
      </c>
      <c r="H389" s="226" t="s">
        <v>4212</v>
      </c>
    </row>
    <row r="390" spans="3:8" ht="114">
      <c r="C390" s="70" t="s">
        <v>889</v>
      </c>
      <c r="D390" s="70" t="s">
        <v>1528</v>
      </c>
      <c r="E390" s="70" t="s">
        <v>890</v>
      </c>
      <c r="F390" s="226" t="s">
        <v>4030</v>
      </c>
      <c r="G390" s="226" t="s">
        <v>4213</v>
      </c>
      <c r="H390" s="226" t="s">
        <v>4214</v>
      </c>
    </row>
    <row r="391" spans="3:8" ht="85.5">
      <c r="C391" s="70" t="s">
        <v>899</v>
      </c>
      <c r="D391" s="70" t="s">
        <v>1528</v>
      </c>
      <c r="E391" s="70" t="s">
        <v>900</v>
      </c>
      <c r="F391" s="226" t="s">
        <v>4030</v>
      </c>
      <c r="G391" s="226" t="s">
        <v>4215</v>
      </c>
      <c r="H391" s="226" t="s">
        <v>4216</v>
      </c>
    </row>
    <row r="392" spans="3:8" ht="99.75">
      <c r="C392" s="70" t="s">
        <v>897</v>
      </c>
      <c r="D392" s="70" t="s">
        <v>1528</v>
      </c>
      <c r="E392" s="70" t="s">
        <v>898</v>
      </c>
      <c r="F392" s="226" t="s">
        <v>4030</v>
      </c>
      <c r="G392" s="226" t="s">
        <v>4217</v>
      </c>
      <c r="H392" s="226" t="s">
        <v>4218</v>
      </c>
    </row>
    <row r="393" spans="3:8" ht="85.5">
      <c r="C393" s="70" t="s">
        <v>901</v>
      </c>
      <c r="D393" s="70" t="s">
        <v>1528</v>
      </c>
      <c r="E393" s="70" t="s">
        <v>902</v>
      </c>
      <c r="F393" s="226" t="s">
        <v>4030</v>
      </c>
      <c r="G393" s="226" t="s">
        <v>4219</v>
      </c>
      <c r="H393" s="226" t="s">
        <v>4220</v>
      </c>
    </row>
    <row r="394" spans="3:8">
      <c r="D394" s="448"/>
      <c r="E394" s="462"/>
      <c r="F394" s="462"/>
      <c r="G394" s="462"/>
      <c r="H394" s="46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2" tint="-0.249977111117893"/>
  </sheetPr>
  <dimension ref="A1:DT280"/>
  <sheetViews>
    <sheetView zoomScaleNormal="100" workbookViewId="0">
      <pane ySplit="2" topLeftCell="A12" activePane="bottomLeft" state="frozen"/>
      <selection activeCell="E11" sqref="E11"/>
      <selection pane="bottomLeft" activeCell="DK18" sqref="DK18"/>
    </sheetView>
  </sheetViews>
  <sheetFormatPr defaultColWidth="10.5" defaultRowHeight="12.75"/>
  <cols>
    <col min="1" max="1" width="5.875" style="804" customWidth="1"/>
    <col min="2" max="2" width="1.125" style="815" customWidth="1"/>
    <col min="3" max="3" width="30.875" style="834" customWidth="1"/>
    <col min="4" max="4" width="11.375" style="804" customWidth="1"/>
    <col min="5" max="5" width="13" style="834" customWidth="1"/>
    <col min="6" max="6" width="13" style="804" customWidth="1"/>
    <col min="7" max="7" width="10.125" style="860" customWidth="1"/>
    <col min="8" max="8" width="13" style="804" customWidth="1"/>
    <col min="9" max="9" width="10.125" style="860" customWidth="1"/>
    <col min="10" max="10" width="17.375" style="804" customWidth="1"/>
    <col min="11" max="11" width="1.125" style="815" customWidth="1"/>
    <col min="12" max="12" width="13.125" style="834" customWidth="1"/>
    <col min="13" max="13" width="14.125" style="834" customWidth="1"/>
    <col min="14" max="14" width="17.625" style="834" customWidth="1"/>
    <col min="15" max="21" width="14.125" style="834" customWidth="1"/>
    <col min="22" max="22" width="24.25" style="834" customWidth="1"/>
    <col min="23" max="23" width="1.125" style="815" customWidth="1"/>
    <col min="24" max="24" width="27" style="834" customWidth="1"/>
    <col min="25" max="25" width="18.125" style="834" customWidth="1"/>
    <col min="26" max="26" width="17.625" style="834" bestFit="1" customWidth="1"/>
    <col min="27" max="27" width="19" style="834" customWidth="1"/>
    <col min="28" max="28" width="9.375" style="834" bestFit="1" customWidth="1"/>
    <col min="29" max="29" width="16.875" style="834" customWidth="1"/>
    <col min="30" max="30" width="1.125" style="815" customWidth="1"/>
    <col min="31" max="31" width="9.375" style="834" bestFit="1" customWidth="1"/>
    <col min="32" max="32" width="15.125" style="834" customWidth="1"/>
    <col min="33" max="33" width="1.125" style="815" customWidth="1"/>
    <col min="34" max="34" width="25.875" style="834" customWidth="1"/>
    <col min="35" max="35" width="1.125" style="815" customWidth="1"/>
    <col min="36" max="36" width="25.875" style="834" customWidth="1"/>
    <col min="37" max="37" width="1.125" style="815" customWidth="1"/>
    <col min="38" max="38" width="10.5" style="834"/>
    <col min="39" max="39" width="1.125" style="815" customWidth="1"/>
    <col min="40" max="40" width="46.5" style="834" customWidth="1"/>
    <col min="41" max="41" width="1.125" style="815" customWidth="1"/>
    <col min="42" max="42" width="38.875" style="844" bestFit="1" customWidth="1"/>
    <col min="43" max="43" width="1.125" style="815" customWidth="1"/>
    <col min="44" max="44" width="10.5" style="804"/>
    <col min="45" max="45" width="11.375" style="804" customWidth="1"/>
    <col min="46" max="46" width="1.125" style="815" customWidth="1"/>
    <col min="47" max="47" width="22.375" style="834" bestFit="1" customWidth="1"/>
    <col min="48" max="48" width="1.125" style="815" customWidth="1"/>
    <col min="49" max="51" width="26.375" style="834" customWidth="1"/>
    <col min="52" max="54" width="10.5" style="834" customWidth="1"/>
    <col min="55" max="55" width="20.75" style="834" customWidth="1"/>
    <col min="56" max="56" width="10.5" style="834" customWidth="1"/>
    <col min="57" max="57" width="12.625" style="834" customWidth="1"/>
    <col min="58" max="58" width="12.375" style="834" customWidth="1"/>
    <col min="59" max="59" width="10.5" style="834" customWidth="1"/>
    <col min="60" max="60" width="11.875" style="834" customWidth="1"/>
    <col min="61" max="61" width="8" style="834" customWidth="1"/>
    <col min="62" max="62" width="15.125" style="834" customWidth="1"/>
    <col min="63" max="63" width="6.625" style="834" customWidth="1"/>
    <col min="64" max="64" width="11.375" style="834" customWidth="1"/>
    <col min="65" max="66" width="9.625" style="834" customWidth="1"/>
    <col min="67" max="68" width="5.5" style="834" customWidth="1"/>
    <col min="69" max="69" width="11.75" style="834" customWidth="1"/>
    <col min="70" max="70" width="13.875" style="834" customWidth="1"/>
    <col min="71" max="71" width="17" style="834" customWidth="1"/>
    <col min="72" max="72" width="24.5" style="834" customWidth="1"/>
    <col min="73" max="73" width="26.75" style="834" customWidth="1"/>
    <col min="74" max="75" width="30.875" style="834" customWidth="1"/>
    <col min="76" max="76" width="24.75" style="834" bestFit="1" customWidth="1"/>
    <col min="77" max="77" width="1.125" style="815" customWidth="1"/>
    <col min="78" max="78" width="13.625" style="834" customWidth="1"/>
    <col min="79" max="87" width="10.5" style="834"/>
    <col min="88" max="88" width="1.125" style="815" customWidth="1"/>
    <col min="89" max="89" width="40.75" style="834" customWidth="1"/>
    <col min="90" max="90" width="1.125" style="815" customWidth="1"/>
    <col min="91" max="91" width="10.5" style="804"/>
    <col min="92" max="92" width="1.125" style="815" customWidth="1"/>
    <col min="93" max="93" width="6.625" style="804" customWidth="1"/>
    <col min="94" max="97" width="10.5" style="804"/>
    <col min="98" max="98" width="1.125" style="815" customWidth="1"/>
    <col min="99" max="99" width="12.375" style="804" customWidth="1"/>
    <col min="100" max="100" width="12" style="834" customWidth="1"/>
    <col min="101" max="101" width="26.125" style="834" customWidth="1"/>
    <col min="102" max="102" width="13.25" style="834" customWidth="1"/>
    <col min="103" max="103" width="1.125" style="815" customWidth="1"/>
    <col min="104" max="104" width="10.5" style="804"/>
    <col min="105" max="105" width="1.125" style="815" customWidth="1"/>
    <col min="106" max="106" width="10.5" style="834"/>
    <col min="107" max="107" width="21.375" style="834" customWidth="1"/>
    <col min="108" max="108" width="16" style="834" customWidth="1"/>
    <col min="109" max="109" width="1.125" style="815" customWidth="1"/>
    <col min="110" max="110" width="19.875" style="834" customWidth="1"/>
    <col min="111" max="111" width="1.125" style="815" customWidth="1"/>
    <col min="112" max="112" width="35.75" style="834" customWidth="1"/>
    <col min="113" max="113" width="15.125" style="834" bestFit="1" customWidth="1"/>
    <col min="114" max="114" width="23.625" style="834" bestFit="1" customWidth="1"/>
    <col min="115" max="116" width="10.5" style="834"/>
    <col min="117" max="117" width="1.125" style="815" customWidth="1"/>
    <col min="118" max="118" width="26.75" style="834" customWidth="1"/>
    <col min="119" max="119" width="13.5" style="834" customWidth="1"/>
    <col min="120" max="120" width="1.125" style="815" customWidth="1"/>
    <col min="121" max="121" width="36.125" style="834" customWidth="1"/>
    <col min="122" max="122" width="1.125" style="815" customWidth="1"/>
    <col min="123" max="124" width="20.875" style="834" customWidth="1"/>
    <col min="125" max="16384" width="10.5" style="834"/>
  </cols>
  <sheetData>
    <row r="1" spans="1:124" s="804" customFormat="1" ht="15" customHeight="1">
      <c r="A1" s="1142" t="s">
        <v>24</v>
      </c>
      <c r="B1" s="797"/>
      <c r="C1" s="1140" t="s">
        <v>4399</v>
      </c>
      <c r="D1" s="1140" t="s">
        <v>4507</v>
      </c>
      <c r="E1" s="1140" t="s">
        <v>4508</v>
      </c>
      <c r="F1" s="1140" t="s">
        <v>4509</v>
      </c>
      <c r="G1" s="1144" t="s">
        <v>1380</v>
      </c>
      <c r="H1" s="1140" t="s">
        <v>4510</v>
      </c>
      <c r="I1" s="1144" t="s">
        <v>1380</v>
      </c>
      <c r="J1" s="1145" t="s">
        <v>4511</v>
      </c>
      <c r="K1" s="797"/>
      <c r="L1" s="1140" t="s">
        <v>4512</v>
      </c>
      <c r="M1" s="1140" t="s">
        <v>4513</v>
      </c>
      <c r="N1" s="1140" t="s">
        <v>5697</v>
      </c>
      <c r="O1" s="1140" t="s">
        <v>4514</v>
      </c>
      <c r="P1" s="1140" t="s">
        <v>5688</v>
      </c>
      <c r="Q1" s="1140" t="s">
        <v>5689</v>
      </c>
      <c r="R1" s="1140" t="s">
        <v>5690</v>
      </c>
      <c r="S1" s="1140" t="s">
        <v>4515</v>
      </c>
      <c r="T1" s="1140" t="s">
        <v>4516</v>
      </c>
      <c r="U1" s="1140" t="s">
        <v>4517</v>
      </c>
      <c r="V1" s="1140" t="s">
        <v>4511</v>
      </c>
      <c r="W1" s="797"/>
      <c r="X1" s="1140" t="s">
        <v>5708</v>
      </c>
      <c r="Y1" s="1140" t="s">
        <v>4518</v>
      </c>
      <c r="Z1" s="1140" t="s">
        <v>4519</v>
      </c>
      <c r="AA1" s="1140" t="s">
        <v>4520</v>
      </c>
      <c r="AB1" s="1140" t="s">
        <v>1380</v>
      </c>
      <c r="AC1" s="1140" t="s">
        <v>4511</v>
      </c>
      <c r="AD1" s="797"/>
      <c r="AE1" s="1140" t="s">
        <v>4521</v>
      </c>
      <c r="AF1" s="1140" t="s">
        <v>4522</v>
      </c>
      <c r="AG1" s="797"/>
      <c r="AH1" s="1140" t="s">
        <v>4523</v>
      </c>
      <c r="AI1" s="797"/>
      <c r="AJ1" s="1140" t="s">
        <v>4524</v>
      </c>
      <c r="AK1" s="797"/>
      <c r="AL1" s="1140" t="s">
        <v>4525</v>
      </c>
      <c r="AM1" s="797"/>
      <c r="AN1" s="1140" t="s">
        <v>4370</v>
      </c>
      <c r="AO1" s="797"/>
      <c r="AP1" s="1140" t="s">
        <v>4526</v>
      </c>
      <c r="AQ1" s="797"/>
      <c r="AR1" s="1140" t="s">
        <v>4527</v>
      </c>
      <c r="AS1" s="1140" t="s">
        <v>4528</v>
      </c>
      <c r="AT1" s="797"/>
      <c r="AU1" s="1140" t="s">
        <v>4529</v>
      </c>
      <c r="AV1" s="797"/>
      <c r="AW1" s="799"/>
      <c r="AX1" s="799"/>
      <c r="AY1" s="799"/>
      <c r="AZ1" s="1147" t="s">
        <v>4530</v>
      </c>
      <c r="BA1" s="1148"/>
      <c r="BB1" s="1147" t="s">
        <v>4531</v>
      </c>
      <c r="BC1" s="1148"/>
      <c r="BD1" s="1147" t="s">
        <v>4532</v>
      </c>
      <c r="BE1" s="1148"/>
      <c r="BF1" s="1148"/>
      <c r="BG1" s="1149"/>
      <c r="BH1" s="1150" t="s">
        <v>4533</v>
      </c>
      <c r="BI1" s="1151"/>
      <c r="BJ1" s="1151"/>
      <c r="BK1" s="1151"/>
      <c r="BL1" s="1151"/>
      <c r="BM1" s="1151"/>
      <c r="BN1" s="1151"/>
      <c r="BO1" s="1151"/>
      <c r="BP1" s="1151"/>
      <c r="BQ1" s="1152"/>
      <c r="BR1" s="1147" t="s">
        <v>4417</v>
      </c>
      <c r="BS1" s="1148"/>
      <c r="BT1" s="1148"/>
      <c r="BU1" s="1148"/>
      <c r="BV1" s="1148"/>
      <c r="BW1" s="1148"/>
      <c r="BX1" s="1148"/>
      <c r="BY1" s="800"/>
      <c r="BZ1" s="1153" t="s">
        <v>4534</v>
      </c>
      <c r="CA1" s="1166" t="s">
        <v>4533</v>
      </c>
      <c r="CB1" s="1167"/>
      <c r="CC1" s="1167"/>
      <c r="CD1" s="1167"/>
      <c r="CE1" s="1167"/>
      <c r="CF1" s="1167"/>
      <c r="CG1" s="1167"/>
      <c r="CH1" s="1167"/>
      <c r="CI1" s="1168"/>
      <c r="CJ1" s="801"/>
      <c r="CK1" s="1140" t="s">
        <v>4535</v>
      </c>
      <c r="CL1" s="797"/>
      <c r="CM1" s="1140" t="s">
        <v>4536</v>
      </c>
      <c r="CN1" s="797"/>
      <c r="CO1" s="1169" t="s">
        <v>4537</v>
      </c>
      <c r="CP1" s="1170"/>
      <c r="CQ1" s="1169" t="s">
        <v>4538</v>
      </c>
      <c r="CR1" s="1170"/>
      <c r="CS1" s="1171" t="s">
        <v>1380</v>
      </c>
      <c r="CT1" s="797"/>
      <c r="CU1" s="1158" t="str">
        <f>+L3</f>
        <v>Natural gas</v>
      </c>
      <c r="CV1" s="1160" t="str">
        <f>+L7</f>
        <v>Liquefied Petroleum Gases (LPG)</v>
      </c>
      <c r="CW1" s="1160" t="s">
        <v>4539</v>
      </c>
      <c r="CX1" s="1161" t="s">
        <v>4540</v>
      </c>
      <c r="CY1" s="797"/>
      <c r="CZ1" s="1140" t="s">
        <v>4541</v>
      </c>
      <c r="DA1" s="797"/>
      <c r="DB1" s="1163" t="s">
        <v>4542</v>
      </c>
      <c r="DC1" s="1164"/>
      <c r="DD1" s="1165"/>
      <c r="DE1" s="797"/>
      <c r="DF1" s="1140" t="s">
        <v>4543</v>
      </c>
      <c r="DG1" s="797"/>
      <c r="DH1" s="799"/>
      <c r="DI1" s="799"/>
      <c r="DJ1" s="799"/>
      <c r="DK1" s="1147" t="s">
        <v>4544</v>
      </c>
      <c r="DL1" s="1148"/>
      <c r="DM1" s="797"/>
      <c r="DN1" s="799" t="s">
        <v>4545</v>
      </c>
      <c r="DO1" s="799"/>
      <c r="DP1" s="797"/>
      <c r="DQ1" s="799" t="s">
        <v>4546</v>
      </c>
      <c r="DR1" s="797"/>
      <c r="DS1" s="799" t="s">
        <v>5720</v>
      </c>
      <c r="DT1" s="1139" t="s">
        <v>5725</v>
      </c>
    </row>
    <row r="2" spans="1:124" s="813" customFormat="1" ht="27" customHeight="1" thickBot="1">
      <c r="A2" s="1143"/>
      <c r="B2" s="805"/>
      <c r="C2" s="1141"/>
      <c r="D2" s="1141"/>
      <c r="E2" s="1141"/>
      <c r="F2" s="1141"/>
      <c r="G2" s="1144"/>
      <c r="H2" s="1141"/>
      <c r="I2" s="1144"/>
      <c r="J2" s="1146"/>
      <c r="K2" s="805"/>
      <c r="L2" s="1141"/>
      <c r="M2" s="1141"/>
      <c r="N2" s="1141"/>
      <c r="O2" s="1141"/>
      <c r="P2" s="1141"/>
      <c r="Q2" s="1141"/>
      <c r="R2" s="1141"/>
      <c r="S2" s="1141"/>
      <c r="T2" s="1141"/>
      <c r="U2" s="1141"/>
      <c r="V2" s="1141"/>
      <c r="W2" s="805"/>
      <c r="X2" s="1141"/>
      <c r="Y2" s="1141"/>
      <c r="Z2" s="1141"/>
      <c r="AA2" s="1141"/>
      <c r="AB2" s="1141"/>
      <c r="AC2" s="1141"/>
      <c r="AD2" s="805"/>
      <c r="AE2" s="1141"/>
      <c r="AF2" s="1141"/>
      <c r="AG2" s="805"/>
      <c r="AH2" s="1141"/>
      <c r="AI2" s="805"/>
      <c r="AJ2" s="1141"/>
      <c r="AK2" s="805"/>
      <c r="AL2" s="1141"/>
      <c r="AM2" s="805"/>
      <c r="AN2" s="1141"/>
      <c r="AO2" s="805"/>
      <c r="AP2" s="1141"/>
      <c r="AQ2" s="805"/>
      <c r="AR2" s="1141"/>
      <c r="AS2" s="1141"/>
      <c r="AT2" s="805"/>
      <c r="AU2" s="1141"/>
      <c r="AV2" s="805"/>
      <c r="AW2" s="806" t="s">
        <v>206</v>
      </c>
      <c r="AX2" s="807" t="s">
        <v>4547</v>
      </c>
      <c r="AY2" s="807" t="s">
        <v>4548</v>
      </c>
      <c r="AZ2" s="806" t="s">
        <v>4549</v>
      </c>
      <c r="BA2" s="806" t="s">
        <v>4505</v>
      </c>
      <c r="BB2" s="806" t="s">
        <v>4550</v>
      </c>
      <c r="BC2" s="798" t="s">
        <v>4505</v>
      </c>
      <c r="BD2" s="806" t="s">
        <v>4551</v>
      </c>
      <c r="BE2" s="806" t="s">
        <v>4552</v>
      </c>
      <c r="BF2" s="798" t="s">
        <v>1380</v>
      </c>
      <c r="BG2" s="806" t="s">
        <v>4511</v>
      </c>
      <c r="BH2" s="806" t="str">
        <f>+'Aux residuos'!I3</f>
        <v>Paper/ cardboard</v>
      </c>
      <c r="BI2" s="806" t="str">
        <f>+'Aux residuos'!I4</f>
        <v>Textiles</v>
      </c>
      <c r="BJ2" s="806" t="str">
        <f>+'Aux residuos'!I5</f>
        <v>Food waste</v>
      </c>
      <c r="BK2" s="806" t="str">
        <f>+'Aux residuos'!I6</f>
        <v>Wood</v>
      </c>
      <c r="BL2" s="806" t="str">
        <f>+'Aux residuos'!I7</f>
        <v>Garden and Park waste</v>
      </c>
      <c r="BM2" s="806" t="str">
        <f>+'Aux residuos'!I8</f>
        <v>Nappies</v>
      </c>
      <c r="BN2" s="806" t="str">
        <f>+'Aux residuos'!I9</f>
        <v>Plastics</v>
      </c>
      <c r="BO2" s="806" t="str">
        <f>+'Aux residuos'!I10</f>
        <v>Other</v>
      </c>
      <c r="BP2" s="802" t="s">
        <v>228</v>
      </c>
      <c r="BQ2" s="803" t="s">
        <v>1380</v>
      </c>
      <c r="BR2" s="806" t="s">
        <v>4553</v>
      </c>
      <c r="BS2" s="806" t="s">
        <v>4554</v>
      </c>
      <c r="BT2" s="806" t="s">
        <v>4420</v>
      </c>
      <c r="BU2" s="806" t="s">
        <v>4421</v>
      </c>
      <c r="BV2" s="806" t="s">
        <v>4422</v>
      </c>
      <c r="BW2" s="802" t="s">
        <v>2</v>
      </c>
      <c r="BX2" s="803" t="s">
        <v>1380</v>
      </c>
      <c r="BY2" s="808"/>
      <c r="BZ2" s="1154"/>
      <c r="CA2" s="809" t="str">
        <f t="shared" ref="CA2:CH2" si="0">+BH2</f>
        <v>Paper/ cardboard</v>
      </c>
      <c r="CB2" s="809" t="str">
        <f t="shared" si="0"/>
        <v>Textiles</v>
      </c>
      <c r="CC2" s="809" t="str">
        <f t="shared" si="0"/>
        <v>Food waste</v>
      </c>
      <c r="CD2" s="809" t="str">
        <f t="shared" si="0"/>
        <v>Wood</v>
      </c>
      <c r="CE2" s="809" t="str">
        <f t="shared" si="0"/>
        <v>Garden and Park waste</v>
      </c>
      <c r="CF2" s="809" t="str">
        <f t="shared" si="0"/>
        <v>Nappies</v>
      </c>
      <c r="CG2" s="809" t="str">
        <f t="shared" si="0"/>
        <v>Plastics</v>
      </c>
      <c r="CH2" s="809" t="str">
        <f t="shared" si="0"/>
        <v>Other</v>
      </c>
      <c r="CI2" s="810" t="s">
        <v>228</v>
      </c>
      <c r="CJ2" s="811"/>
      <c r="CK2" s="1141"/>
      <c r="CL2" s="805"/>
      <c r="CM2" s="1141" t="s">
        <v>4555</v>
      </c>
      <c r="CN2" s="805"/>
      <c r="CO2" s="803" t="s">
        <v>4445</v>
      </c>
      <c r="CP2" s="803" t="s">
        <v>2</v>
      </c>
      <c r="CQ2" s="803" t="s">
        <v>4445</v>
      </c>
      <c r="CR2" s="803" t="s">
        <v>4556</v>
      </c>
      <c r="CS2" s="1171"/>
      <c r="CT2" s="805"/>
      <c r="CU2" s="1159"/>
      <c r="CV2" s="1160"/>
      <c r="CW2" s="1160"/>
      <c r="CX2" s="1162"/>
      <c r="CY2" s="805"/>
      <c r="CZ2" s="1141" t="s">
        <v>4555</v>
      </c>
      <c r="DA2" s="805"/>
      <c r="DB2" s="812" t="s">
        <v>4427</v>
      </c>
      <c r="DC2" s="812" t="s">
        <v>4557</v>
      </c>
      <c r="DD2" s="812" t="s">
        <v>1380</v>
      </c>
      <c r="DE2" s="805"/>
      <c r="DF2" s="1141" t="s">
        <v>4555</v>
      </c>
      <c r="DG2" s="805"/>
      <c r="DH2" s="806" t="s">
        <v>206</v>
      </c>
      <c r="DI2" s="807" t="s">
        <v>4547</v>
      </c>
      <c r="DJ2" s="807" t="s">
        <v>4548</v>
      </c>
      <c r="DK2" s="806" t="s">
        <v>4558</v>
      </c>
      <c r="DL2" s="806" t="s">
        <v>4559</v>
      </c>
      <c r="DM2" s="805"/>
      <c r="DN2" s="806" t="s">
        <v>4560</v>
      </c>
      <c r="DO2" s="807" t="s">
        <v>1525</v>
      </c>
      <c r="DP2" s="805"/>
      <c r="DQ2" s="806" t="s">
        <v>4561</v>
      </c>
      <c r="DR2" s="805"/>
      <c r="DS2" s="806" t="s">
        <v>5722</v>
      </c>
      <c r="DT2" s="1139"/>
    </row>
    <row r="3" spans="1:124" ht="38.25">
      <c r="A3" s="814">
        <v>2015</v>
      </c>
      <c r="C3" s="632" t="s">
        <v>4562</v>
      </c>
      <c r="D3" s="767" t="s">
        <v>4563</v>
      </c>
      <c r="E3" s="816">
        <v>25</v>
      </c>
      <c r="F3" s="817"/>
      <c r="G3" s="818" t="s">
        <v>4564</v>
      </c>
      <c r="H3" s="817"/>
      <c r="I3" s="818"/>
      <c r="J3" s="817"/>
      <c r="L3" s="819" t="s">
        <v>249</v>
      </c>
      <c r="M3" s="820" t="s">
        <v>4565</v>
      </c>
      <c r="N3" s="820">
        <v>0.7</v>
      </c>
      <c r="O3" s="814">
        <v>48</v>
      </c>
      <c r="P3" s="820">
        <v>56.1</v>
      </c>
      <c r="Q3" s="814">
        <v>5.0000000000000001E-3</v>
      </c>
      <c r="R3" s="814">
        <v>1E-4</v>
      </c>
      <c r="S3" s="820">
        <v>56.1</v>
      </c>
      <c r="T3" s="820">
        <v>9.1999999999999998E-2</v>
      </c>
      <c r="U3" s="820">
        <v>3.0000000000000001E-3</v>
      </c>
      <c r="V3" s="820" t="s">
        <v>4566</v>
      </c>
      <c r="X3" s="821" t="s">
        <v>4567</v>
      </c>
      <c r="Y3" s="822">
        <f>451.11/$Y$25</f>
        <v>280.30745523009432</v>
      </c>
      <c r="Z3" s="823">
        <f>0.0005/$Y$25</f>
        <v>3.1068636832490336E-4</v>
      </c>
      <c r="AA3" s="823">
        <f>0.001/$Y$25</f>
        <v>6.2137273664980672E-4</v>
      </c>
      <c r="AB3" s="824" t="s">
        <v>4568</v>
      </c>
      <c r="AC3" s="823"/>
      <c r="AE3" s="825" t="s">
        <v>4562</v>
      </c>
      <c r="AF3" s="814">
        <v>4</v>
      </c>
      <c r="AH3" s="825" t="str">
        <f>+X3</f>
        <v>Private car (diesel)</v>
      </c>
      <c r="AJ3" s="825" t="str">
        <f>+X3</f>
        <v>Private car (diesel)</v>
      </c>
      <c r="AL3" s="825">
        <v>4</v>
      </c>
      <c r="AN3" s="917" t="s">
        <v>5659</v>
      </c>
      <c r="AP3" s="661" t="s">
        <v>4569</v>
      </c>
      <c r="AR3" s="826" t="s">
        <v>4570</v>
      </c>
      <c r="AS3" s="814">
        <v>52</v>
      </c>
      <c r="AU3" s="825" t="s">
        <v>4571</v>
      </c>
      <c r="AW3" s="916" t="s">
        <v>4843</v>
      </c>
      <c r="AX3" s="827" t="s">
        <v>4572</v>
      </c>
      <c r="AY3" s="828" t="str">
        <f>+BZ4</f>
        <v>South-Central Asia</v>
      </c>
      <c r="AZ3" s="827">
        <v>206</v>
      </c>
      <c r="BA3" s="665" t="s">
        <v>4573</v>
      </c>
      <c r="BB3" s="829">
        <v>13.490630673342661</v>
      </c>
      <c r="BC3" s="665" t="s">
        <v>4574</v>
      </c>
      <c r="BD3" s="830"/>
      <c r="BE3" s="830"/>
      <c r="BF3" s="665"/>
      <c r="BG3" s="830"/>
      <c r="BH3" s="831">
        <f t="shared" ref="BH3:BH10" si="1">+VLOOKUP($AY3,$BZ$3:$CH$21,2,FALSE)</f>
        <v>11.3</v>
      </c>
      <c r="BI3" s="831">
        <f t="shared" ref="BI3:BI10" si="2">+VLOOKUP($AY3,$BZ$3:$CH$21,3,FALSE)</f>
        <v>2.5</v>
      </c>
      <c r="BJ3" s="831">
        <f t="shared" ref="BJ3:BJ10" si="3">+VLOOKUP($AY3,$BZ$3:$CH$21,4,FALSE)</f>
        <v>40.299999999999997</v>
      </c>
      <c r="BK3" s="831">
        <f t="shared" ref="BK3:BK10" si="4">+VLOOKUP($AY3,$BZ$3:$CH$21,5,FALSE)</f>
        <v>7.9</v>
      </c>
      <c r="BL3" s="831">
        <f t="shared" ref="BL3:BL10" si="5">+VLOOKUP($AY3,$BZ$3:$CH$21,6,FALSE)</f>
        <v>9.5</v>
      </c>
      <c r="BM3" s="831">
        <f t="shared" ref="BM3:BM10" si="6">+VLOOKUP($AY3,$BZ$3:$CH$21,7,FALSE)</f>
        <v>5.6</v>
      </c>
      <c r="BN3" s="831">
        <f t="shared" ref="BN3:BN10" si="7">+VLOOKUP($AY3,$BZ$3:$CH$21,8,FALSE)</f>
        <v>6.4</v>
      </c>
      <c r="BO3" s="831">
        <f t="shared" ref="BO3:BO10" si="8">+VLOOKUP($AY3,$BZ$3:$CH$21,9,FALSE)</f>
        <v>16.5</v>
      </c>
      <c r="BP3" s="831">
        <f t="shared" ref="BP3:BP8" si="9">+SUM(BH3:BO3)</f>
        <v>100</v>
      </c>
      <c r="BQ3" s="665" t="s">
        <v>4575</v>
      </c>
      <c r="BR3" s="832"/>
      <c r="BS3" s="832"/>
      <c r="BT3" s="832"/>
      <c r="BU3" s="832"/>
      <c r="BV3" s="832"/>
      <c r="BW3" s="832"/>
      <c r="BX3" s="665"/>
      <c r="BZ3" s="833" t="s">
        <v>4576</v>
      </c>
      <c r="CA3" s="831">
        <v>18.8</v>
      </c>
      <c r="CB3" s="831">
        <v>3.5</v>
      </c>
      <c r="CC3" s="831">
        <v>26.2</v>
      </c>
      <c r="CD3" s="831">
        <v>3.5</v>
      </c>
      <c r="CE3" s="831">
        <v>9.5</v>
      </c>
      <c r="CF3" s="831">
        <v>5.6</v>
      </c>
      <c r="CG3" s="831">
        <v>14.3</v>
      </c>
      <c r="CH3" s="831">
        <f>100-SUM(CA3:CG3)</f>
        <v>18.600000000000009</v>
      </c>
      <c r="CI3" s="831">
        <f>+SUM(CA3:CH3)</f>
        <v>100</v>
      </c>
      <c r="CK3" s="834" t="str">
        <f>+'Results &amp; Summary'!B25</f>
        <v>Capital goods</v>
      </c>
      <c r="CM3" s="804" t="s">
        <v>4451</v>
      </c>
      <c r="CO3" s="804">
        <v>1</v>
      </c>
      <c r="CP3" s="804" t="s">
        <v>4577</v>
      </c>
      <c r="CQ3" s="835">
        <f>1/(+ROUND(1/0.001026,6)/CQ4)</f>
        <v>3.6228813574030939E-2</v>
      </c>
      <c r="CR3" s="804" t="s">
        <v>4578</v>
      </c>
      <c r="CS3" s="665" t="s">
        <v>4579</v>
      </c>
      <c r="CU3" s="804" t="s">
        <v>4577</v>
      </c>
      <c r="CV3" s="804" t="s">
        <v>264</v>
      </c>
      <c r="CW3" s="804" t="s">
        <v>4580</v>
      </c>
      <c r="CX3" s="804" t="s">
        <v>264</v>
      </c>
      <c r="CZ3" s="804" t="s">
        <v>4581</v>
      </c>
      <c r="DB3" s="804" t="s">
        <v>4582</v>
      </c>
      <c r="DC3" s="804">
        <v>0.5</v>
      </c>
      <c r="DD3" s="665" t="s">
        <v>4583</v>
      </c>
      <c r="DF3" s="804" t="s">
        <v>264</v>
      </c>
      <c r="DH3" s="834" t="str">
        <f t="shared" ref="DH3:DJ19" si="10">AW3</f>
        <v>Canada-Alberta (AB)</v>
      </c>
      <c r="DI3" s="834" t="str">
        <f t="shared" si="10"/>
        <v>Asia</v>
      </c>
      <c r="DJ3" s="834" t="str">
        <f t="shared" si="10"/>
        <v>South-Central Asia</v>
      </c>
      <c r="DL3" s="834" t="s">
        <v>4584</v>
      </c>
      <c r="DN3" s="834" t="s">
        <v>4585</v>
      </c>
      <c r="DO3" s="834" t="s">
        <v>4586</v>
      </c>
      <c r="DQ3" s="834" t="s">
        <v>4587</v>
      </c>
      <c r="DS3" s="959" t="s">
        <v>4418</v>
      </c>
      <c r="DT3" s="834" t="s">
        <v>5726</v>
      </c>
    </row>
    <row r="4" spans="1:124" ht="39" customHeight="1">
      <c r="A4" s="814">
        <f>+A3+1</f>
        <v>2016</v>
      </c>
      <c r="C4" s="632" t="s">
        <v>4588</v>
      </c>
      <c r="D4" s="767" t="s">
        <v>4563</v>
      </c>
      <c r="E4" s="816">
        <v>298</v>
      </c>
      <c r="F4" s="817" t="s">
        <v>4589</v>
      </c>
      <c r="G4" s="818" t="s">
        <v>4564</v>
      </c>
      <c r="H4" s="836">
        <v>1.875</v>
      </c>
      <c r="I4" s="818" t="s">
        <v>4590</v>
      </c>
      <c r="J4" s="817" t="s">
        <v>4591</v>
      </c>
      <c r="L4" s="819" t="s">
        <v>296</v>
      </c>
      <c r="M4" s="820" t="s">
        <v>4459</v>
      </c>
      <c r="N4" s="820">
        <v>0.84</v>
      </c>
      <c r="O4" s="820">
        <v>43</v>
      </c>
      <c r="P4" s="814">
        <v>74.099999999999994</v>
      </c>
      <c r="Q4" s="814">
        <v>0.01</v>
      </c>
      <c r="R4" s="814">
        <v>5.9999999999999995E-4</v>
      </c>
      <c r="S4" s="820">
        <v>74.099999999999994</v>
      </c>
      <c r="T4" s="820">
        <v>3.8999999999999998E-3</v>
      </c>
      <c r="U4" s="820">
        <v>3.8999999999999998E-3</v>
      </c>
      <c r="V4" s="820" t="s">
        <v>5687</v>
      </c>
      <c r="X4" s="821" t="s">
        <v>4593</v>
      </c>
      <c r="Y4" s="822">
        <f>391.5/$Y$25</f>
        <v>243.26742639839935</v>
      </c>
      <c r="Z4" s="823">
        <f>0.0147/$Y$25</f>
        <v>9.1341792287521588E-3</v>
      </c>
      <c r="AA4" s="823">
        <f>0.0079/$Y$25</f>
        <v>4.9088446195334739E-3</v>
      </c>
      <c r="AB4" s="824" t="s">
        <v>4568</v>
      </c>
      <c r="AC4" s="823"/>
      <c r="AE4" s="825" t="s">
        <v>4588</v>
      </c>
      <c r="AF4" s="814">
        <v>0.3</v>
      </c>
      <c r="AH4" s="825" t="str">
        <f>+X4</f>
        <v>Private car (gasoline)</v>
      </c>
      <c r="AJ4" s="825" t="str">
        <f>+X4</f>
        <v>Private car (gasoline)</v>
      </c>
      <c r="AL4" s="825">
        <v>8</v>
      </c>
      <c r="AN4" s="917" t="s">
        <v>5660</v>
      </c>
      <c r="AP4" s="661" t="s">
        <v>4594</v>
      </c>
      <c r="AR4" s="826" t="s">
        <v>4595</v>
      </c>
      <c r="AS4" s="814">
        <v>12</v>
      </c>
      <c r="AU4" s="825" t="s">
        <v>4596</v>
      </c>
      <c r="AW4" s="916" t="s">
        <v>4850</v>
      </c>
      <c r="AX4" s="827" t="s">
        <v>4597</v>
      </c>
      <c r="AY4" s="828" t="str">
        <f>+BZ14</f>
        <v>Southern Europe</v>
      </c>
      <c r="AZ4" s="827">
        <v>43</v>
      </c>
      <c r="BA4" s="665" t="s">
        <v>4573</v>
      </c>
      <c r="BB4" s="829">
        <v>23.69</v>
      </c>
      <c r="BC4" s="665" t="s">
        <v>4598</v>
      </c>
      <c r="BD4" s="830"/>
      <c r="BE4" s="830"/>
      <c r="BF4" s="665"/>
      <c r="BG4" s="830"/>
      <c r="BH4" s="831">
        <f t="shared" si="1"/>
        <v>17</v>
      </c>
      <c r="BI4" s="831">
        <f t="shared" si="2"/>
        <v>6.8</v>
      </c>
      <c r="BJ4" s="831">
        <f t="shared" si="3"/>
        <v>36.9</v>
      </c>
      <c r="BK4" s="831">
        <f t="shared" si="4"/>
        <v>10.6</v>
      </c>
      <c r="BL4" s="831">
        <f t="shared" si="5"/>
        <v>9.5</v>
      </c>
      <c r="BM4" s="831">
        <f t="shared" si="6"/>
        <v>5.6</v>
      </c>
      <c r="BN4" s="831">
        <f t="shared" si="7"/>
        <v>6.8</v>
      </c>
      <c r="BO4" s="831">
        <f t="shared" si="8"/>
        <v>6.8</v>
      </c>
      <c r="BP4" s="831">
        <f t="shared" si="9"/>
        <v>99.999999999999986</v>
      </c>
      <c r="BQ4" s="665" t="s">
        <v>4575</v>
      </c>
      <c r="BR4" s="832"/>
      <c r="BS4" s="832"/>
      <c r="BT4" s="832"/>
      <c r="BU4" s="832"/>
      <c r="BV4" s="832"/>
      <c r="BW4" s="832"/>
      <c r="BX4" s="665"/>
      <c r="BZ4" s="833" t="s">
        <v>4599</v>
      </c>
      <c r="CA4" s="831">
        <v>11.3</v>
      </c>
      <c r="CB4" s="831">
        <v>2.5</v>
      </c>
      <c r="CC4" s="831">
        <v>40.299999999999997</v>
      </c>
      <c r="CD4" s="831">
        <v>7.9</v>
      </c>
      <c r="CE4" s="831">
        <v>9.5</v>
      </c>
      <c r="CF4" s="831">
        <v>5.6</v>
      </c>
      <c r="CG4" s="831">
        <v>6.4</v>
      </c>
      <c r="CH4" s="831">
        <f t="shared" ref="CH4:CH13" si="11">100-SUM(CA4:CG4)</f>
        <v>16.5</v>
      </c>
      <c r="CI4" s="831">
        <f t="shared" ref="CI4:CI21" si="12">+SUM(CA4:CH4)</f>
        <v>100</v>
      </c>
      <c r="CK4" s="834" t="str">
        <f>+'Results &amp; Summary'!B34</f>
        <v>Use of sold products</v>
      </c>
      <c r="CM4" s="804" t="s">
        <v>4426</v>
      </c>
      <c r="CO4" s="804">
        <v>1</v>
      </c>
      <c r="CP4" s="804" t="s">
        <v>4577</v>
      </c>
      <c r="CQ4" s="837">
        <f>1/0.02832</f>
        <v>35.310734463276837</v>
      </c>
      <c r="CR4" s="804" t="s">
        <v>4600</v>
      </c>
      <c r="CS4" s="665" t="s">
        <v>4579</v>
      </c>
      <c r="CU4" s="804" t="s">
        <v>4578</v>
      </c>
      <c r="CV4" s="804" t="s">
        <v>268</v>
      </c>
      <c r="CW4" s="804" t="s">
        <v>4390</v>
      </c>
      <c r="CX4" s="804" t="s">
        <v>268</v>
      </c>
      <c r="CZ4" s="804" t="s">
        <v>4601</v>
      </c>
      <c r="DB4" s="804" t="s">
        <v>4602</v>
      </c>
      <c r="DC4" s="804">
        <v>0.02</v>
      </c>
      <c r="DD4" s="665" t="s">
        <v>4583</v>
      </c>
      <c r="DF4" s="804" t="s">
        <v>4390</v>
      </c>
      <c r="DH4" s="834" t="str">
        <f t="shared" si="10"/>
        <v>Canada-British Columbia (BC)</v>
      </c>
      <c r="DI4" s="834" t="str">
        <f t="shared" si="10"/>
        <v>Europe</v>
      </c>
      <c r="DJ4" s="834" t="str">
        <f t="shared" si="10"/>
        <v>Southern Europe</v>
      </c>
      <c r="DL4" s="834" t="s">
        <v>4584</v>
      </c>
      <c r="DN4" s="834" t="s">
        <v>4603</v>
      </c>
      <c r="DO4" s="834" t="s">
        <v>4604</v>
      </c>
      <c r="DQ4" s="834" t="s">
        <v>4411</v>
      </c>
      <c r="DS4" s="960" t="s">
        <v>5719</v>
      </c>
      <c r="DT4" s="834" t="s">
        <v>5727</v>
      </c>
    </row>
    <row r="5" spans="1:124" ht="63.75">
      <c r="A5" s="814">
        <f>+A4+1</f>
        <v>2017</v>
      </c>
      <c r="C5" s="641" t="s">
        <v>4605</v>
      </c>
      <c r="D5" s="767"/>
      <c r="E5" s="816">
        <v>510</v>
      </c>
      <c r="F5" s="817" t="s">
        <v>4589</v>
      </c>
      <c r="G5" s="818" t="s">
        <v>4606</v>
      </c>
      <c r="H5" s="817"/>
      <c r="I5" s="818"/>
      <c r="J5" s="817"/>
      <c r="L5" s="819" t="s">
        <v>5745</v>
      </c>
      <c r="M5" s="820" t="s">
        <v>4459</v>
      </c>
      <c r="N5" s="820">
        <v>0.94</v>
      </c>
      <c r="O5" s="820">
        <v>40.4</v>
      </c>
      <c r="P5" s="814">
        <v>77.400000000000006</v>
      </c>
      <c r="Q5" s="814">
        <v>0.01</v>
      </c>
      <c r="R5" s="814">
        <v>5.9999999999999995E-4</v>
      </c>
      <c r="S5" s="814" t="s">
        <v>4563</v>
      </c>
      <c r="T5" s="814" t="s">
        <v>4563</v>
      </c>
      <c r="U5" s="814" t="s">
        <v>4563</v>
      </c>
      <c r="V5" s="820" t="s">
        <v>4632</v>
      </c>
      <c r="X5" s="821" t="s">
        <v>4608</v>
      </c>
      <c r="Y5" s="822">
        <v>214.19</v>
      </c>
      <c r="Z5" s="823">
        <v>0</v>
      </c>
      <c r="AA5" s="823">
        <v>0</v>
      </c>
      <c r="AB5" s="665" t="s">
        <v>4609</v>
      </c>
      <c r="AC5" s="838" t="s">
        <v>4610</v>
      </c>
      <c r="AE5" s="818" t="s">
        <v>4468</v>
      </c>
      <c r="AF5" s="665" t="s">
        <v>4611</v>
      </c>
      <c r="AH5" s="821" t="str">
        <f>+X5</f>
        <v>Private car (CNG)</v>
      </c>
      <c r="AJ5" s="821" t="str">
        <f>+X5</f>
        <v>Private car (CNG)</v>
      </c>
      <c r="AL5" s="825">
        <v>12</v>
      </c>
      <c r="AN5" s="917" t="s">
        <v>5669</v>
      </c>
      <c r="AP5" s="661" t="s">
        <v>4612</v>
      </c>
      <c r="AR5" s="826" t="s">
        <v>4613</v>
      </c>
      <c r="AS5" s="814">
        <v>1</v>
      </c>
      <c r="AU5" s="825" t="s">
        <v>4449</v>
      </c>
      <c r="AW5" s="916" t="s">
        <v>4854</v>
      </c>
      <c r="AX5" s="827" t="s">
        <v>4614</v>
      </c>
      <c r="AY5" s="828" t="str">
        <f>+BZ9</f>
        <v>Northern Africa</v>
      </c>
      <c r="AZ5" s="827">
        <v>429</v>
      </c>
      <c r="BA5" s="665" t="s">
        <v>4573</v>
      </c>
      <c r="BB5" s="829">
        <v>17.13</v>
      </c>
      <c r="BC5" s="665" t="s">
        <v>4598</v>
      </c>
      <c r="BD5" s="830"/>
      <c r="BE5" s="830"/>
      <c r="BF5" s="665"/>
      <c r="BG5" s="830"/>
      <c r="BH5" s="831">
        <f t="shared" si="1"/>
        <v>16.5</v>
      </c>
      <c r="BI5" s="831">
        <f t="shared" si="2"/>
        <v>2.5</v>
      </c>
      <c r="BJ5" s="831">
        <f t="shared" si="3"/>
        <v>51.1</v>
      </c>
      <c r="BK5" s="831">
        <f t="shared" si="4"/>
        <v>2</v>
      </c>
      <c r="BL5" s="831">
        <f t="shared" si="5"/>
        <v>9.5</v>
      </c>
      <c r="BM5" s="831">
        <f t="shared" si="6"/>
        <v>5.6</v>
      </c>
      <c r="BN5" s="831">
        <f t="shared" si="7"/>
        <v>4.5</v>
      </c>
      <c r="BO5" s="831">
        <f t="shared" si="8"/>
        <v>8.3000000000000114</v>
      </c>
      <c r="BP5" s="831">
        <f t="shared" si="9"/>
        <v>100</v>
      </c>
      <c r="BQ5" s="665" t="s">
        <v>4575</v>
      </c>
      <c r="BR5" s="832"/>
      <c r="BS5" s="832"/>
      <c r="BT5" s="832"/>
      <c r="BU5" s="832"/>
      <c r="BV5" s="832"/>
      <c r="BW5" s="832"/>
      <c r="BX5" s="665"/>
      <c r="BZ5" s="833" t="s">
        <v>4615</v>
      </c>
      <c r="CA5" s="831">
        <v>12.9</v>
      </c>
      <c r="CB5" s="831">
        <v>2.7</v>
      </c>
      <c r="CC5" s="831">
        <v>43.5</v>
      </c>
      <c r="CD5" s="831">
        <v>9.9</v>
      </c>
      <c r="CE5" s="831">
        <v>9.5</v>
      </c>
      <c r="CF5" s="831">
        <v>5.6</v>
      </c>
      <c r="CG5" s="831">
        <v>7.2</v>
      </c>
      <c r="CH5" s="831">
        <f t="shared" si="11"/>
        <v>8.7000000000000028</v>
      </c>
      <c r="CI5" s="831">
        <f t="shared" si="12"/>
        <v>100</v>
      </c>
      <c r="CK5" s="834" t="str">
        <f>+'Results &amp; Summary'!B11</f>
        <v>Refrigerants and Fire Suppression</v>
      </c>
      <c r="CO5" s="804">
        <v>1</v>
      </c>
      <c r="CP5" s="804" t="s">
        <v>4577</v>
      </c>
      <c r="CQ5" s="835">
        <f>1/(+ROUND(1/0.001026,6)/10/CQ4)</f>
        <v>0.36228813574030932</v>
      </c>
      <c r="CR5" s="804" t="s">
        <v>292</v>
      </c>
      <c r="CS5" s="665" t="s">
        <v>4579</v>
      </c>
      <c r="CU5" s="804" t="s">
        <v>4600</v>
      </c>
      <c r="CV5" s="804" t="s">
        <v>4580</v>
      </c>
      <c r="CW5" s="804"/>
      <c r="CX5" s="804" t="s">
        <v>4616</v>
      </c>
      <c r="DF5" s="804" t="s">
        <v>4580</v>
      </c>
      <c r="DH5" s="834" t="str">
        <f t="shared" si="10"/>
        <v>Canada-Manitoba (MT)</v>
      </c>
      <c r="DI5" s="834" t="str">
        <f t="shared" si="10"/>
        <v>Africa</v>
      </c>
      <c r="DJ5" s="834" t="str">
        <f t="shared" si="10"/>
        <v>Northern Africa</v>
      </c>
      <c r="DL5" s="834" t="s">
        <v>4584</v>
      </c>
      <c r="DN5" s="834" t="s">
        <v>4617</v>
      </c>
      <c r="DO5" s="834" t="s">
        <v>4618</v>
      </c>
      <c r="DQ5" s="834" t="s">
        <v>4619</v>
      </c>
      <c r="DS5" s="960" t="s">
        <v>262</v>
      </c>
      <c r="DT5" s="834" t="s">
        <v>5728</v>
      </c>
    </row>
    <row r="6" spans="1:124" ht="25.5">
      <c r="A6" s="814">
        <f>+A5+1</f>
        <v>2018</v>
      </c>
      <c r="C6" s="641" t="s">
        <v>4620</v>
      </c>
      <c r="D6" s="767"/>
      <c r="E6" s="816">
        <v>130</v>
      </c>
      <c r="F6" s="817" t="s">
        <v>4589</v>
      </c>
      <c r="G6" s="818" t="s">
        <v>4606</v>
      </c>
      <c r="H6" s="817"/>
      <c r="I6" s="818"/>
      <c r="J6" s="817"/>
      <c r="L6" s="819" t="s">
        <v>297</v>
      </c>
      <c r="M6" s="820" t="s">
        <v>4459</v>
      </c>
      <c r="N6" s="820">
        <v>0.74</v>
      </c>
      <c r="O6" s="820">
        <v>44.3</v>
      </c>
      <c r="P6" s="814">
        <v>69.3</v>
      </c>
      <c r="Q6" s="814">
        <v>0.01</v>
      </c>
      <c r="R6" s="814">
        <v>5.9999999999999995E-4</v>
      </c>
      <c r="S6" s="820">
        <v>69.3</v>
      </c>
      <c r="T6" s="820">
        <v>3.3000000000000002E-2</v>
      </c>
      <c r="U6" s="820">
        <v>3.2000000000000002E-3</v>
      </c>
      <c r="V6" s="820" t="s">
        <v>4607</v>
      </c>
      <c r="X6" s="821" t="s">
        <v>4621</v>
      </c>
      <c r="Y6" s="822">
        <f>296.36/1.9/1.08</f>
        <v>144.42495126705654</v>
      </c>
      <c r="Z6" s="839">
        <f>0.06/1.08/$E$3</f>
        <v>2.2222222222222222E-3</v>
      </c>
      <c r="AA6" s="839">
        <f>1.53/1.08/$E$4</f>
        <v>4.7539149888143175E-3</v>
      </c>
      <c r="AB6" s="824" t="s">
        <v>4622</v>
      </c>
      <c r="AC6" s="839"/>
      <c r="AH6" s="825" t="s">
        <v>4623</v>
      </c>
      <c r="AJ6" s="825" t="str">
        <f>+X9</f>
        <v>Bus</v>
      </c>
      <c r="AL6" s="825">
        <v>18</v>
      </c>
      <c r="AN6" s="917" t="s">
        <v>5661</v>
      </c>
      <c r="AP6" s="661" t="s">
        <v>4624</v>
      </c>
      <c r="AU6" s="825" t="s">
        <v>4625</v>
      </c>
      <c r="AW6" s="916" t="s">
        <v>4858</v>
      </c>
      <c r="AX6" s="827" t="s">
        <v>4626</v>
      </c>
      <c r="AY6" s="828" t="str">
        <f>+BZ17</f>
        <v>Rest of Oceania</v>
      </c>
      <c r="AZ6" s="827">
        <v>544</v>
      </c>
      <c r="BA6" s="665" t="s">
        <v>4573</v>
      </c>
      <c r="BB6" s="829">
        <v>5.4123414965002699</v>
      </c>
      <c r="BC6" s="665" t="s">
        <v>4627</v>
      </c>
      <c r="BD6" s="830"/>
      <c r="BE6" s="830"/>
      <c r="BF6" s="665"/>
      <c r="BG6" s="830"/>
      <c r="BH6" s="831">
        <f t="shared" si="1"/>
        <v>6</v>
      </c>
      <c r="BI6" s="831">
        <f t="shared" si="2"/>
        <v>2.97</v>
      </c>
      <c r="BJ6" s="831">
        <f t="shared" si="3"/>
        <v>67.5</v>
      </c>
      <c r="BK6" s="831">
        <f t="shared" si="4"/>
        <v>2.5</v>
      </c>
      <c r="BL6" s="831">
        <f t="shared" si="5"/>
        <v>9.5</v>
      </c>
      <c r="BM6" s="831">
        <f t="shared" si="6"/>
        <v>5.6</v>
      </c>
      <c r="BN6" s="831">
        <f t="shared" si="7"/>
        <v>2.97</v>
      </c>
      <c r="BO6" s="831">
        <f t="shared" si="8"/>
        <v>2.9666666666666668</v>
      </c>
      <c r="BP6" s="831">
        <f t="shared" si="9"/>
        <v>100.00666666666666</v>
      </c>
      <c r="BQ6" s="665" t="s">
        <v>4575</v>
      </c>
      <c r="BR6" s="832"/>
      <c r="BS6" s="832"/>
      <c r="BT6" s="832"/>
      <c r="BU6" s="832"/>
      <c r="BV6" s="832"/>
      <c r="BW6" s="832"/>
      <c r="BX6" s="665"/>
      <c r="BZ6" s="833" t="s">
        <v>4628</v>
      </c>
      <c r="CA6" s="831">
        <v>18</v>
      </c>
      <c r="CB6" s="831">
        <v>2.9</v>
      </c>
      <c r="CC6" s="831">
        <v>41.1</v>
      </c>
      <c r="CD6" s="831">
        <v>9.8000000000000007</v>
      </c>
      <c r="CE6" s="831">
        <v>9.5</v>
      </c>
      <c r="CF6" s="831">
        <v>5.6</v>
      </c>
      <c r="CG6" s="831">
        <v>6.3</v>
      </c>
      <c r="CH6" s="831">
        <f t="shared" si="11"/>
        <v>6.8000000000000114</v>
      </c>
      <c r="CI6" s="831">
        <f t="shared" si="12"/>
        <v>100</v>
      </c>
      <c r="CK6" s="834">
        <f>+'Scope 1 and 2 Data'!B461</f>
        <v>0</v>
      </c>
      <c r="CO6" s="804">
        <v>1</v>
      </c>
      <c r="CP6" s="804" t="s">
        <v>264</v>
      </c>
      <c r="CQ6" s="840">
        <v>2.2050000000000001</v>
      </c>
      <c r="CR6" s="804" t="s">
        <v>268</v>
      </c>
      <c r="CS6" s="665" t="s">
        <v>4579</v>
      </c>
      <c r="CU6" s="804" t="s">
        <v>5723</v>
      </c>
      <c r="CV6" s="804" t="s">
        <v>4577</v>
      </c>
      <c r="CW6" s="804"/>
      <c r="CX6" s="804"/>
      <c r="DH6" s="834" t="str">
        <f t="shared" si="10"/>
        <v>Canada-New Brunswick (NB)</v>
      </c>
      <c r="DI6" s="834" t="str">
        <f t="shared" si="10"/>
        <v>Oceania</v>
      </c>
      <c r="DJ6" s="834" t="str">
        <f t="shared" si="10"/>
        <v>Rest of Oceania</v>
      </c>
      <c r="DL6" s="834" t="s">
        <v>4584</v>
      </c>
      <c r="DN6" s="834" t="s">
        <v>4629</v>
      </c>
      <c r="DO6" s="834" t="s">
        <v>4630</v>
      </c>
      <c r="DQ6" s="834" t="s">
        <v>249</v>
      </c>
      <c r="DS6" s="960" t="s">
        <v>5721</v>
      </c>
    </row>
    <row r="7" spans="1:124" ht="38.25">
      <c r="A7" s="814">
        <f>+A6+1</f>
        <v>2019</v>
      </c>
      <c r="C7" s="641" t="s">
        <v>4631</v>
      </c>
      <c r="D7" s="767"/>
      <c r="E7" s="816">
        <v>2540</v>
      </c>
      <c r="F7" s="817" t="s">
        <v>4589</v>
      </c>
      <c r="G7" s="818" t="s">
        <v>4606</v>
      </c>
      <c r="H7" s="817"/>
      <c r="I7" s="818"/>
      <c r="J7" s="817"/>
      <c r="L7" s="819" t="s">
        <v>4592</v>
      </c>
      <c r="M7" s="820" t="s">
        <v>264</v>
      </c>
      <c r="N7" s="820">
        <v>0.54</v>
      </c>
      <c r="O7" s="820">
        <v>47.3</v>
      </c>
      <c r="P7" s="814">
        <v>63.1</v>
      </c>
      <c r="Q7" s="814">
        <v>5.0000000000000001E-3</v>
      </c>
      <c r="R7" s="814">
        <v>1E-4</v>
      </c>
      <c r="S7" s="820">
        <v>63.1</v>
      </c>
      <c r="T7" s="820">
        <v>6.2E-2</v>
      </c>
      <c r="U7" s="820">
        <v>2.0000000000000001E-4</v>
      </c>
      <c r="V7" s="820"/>
      <c r="X7" s="821" t="s">
        <v>4633</v>
      </c>
      <c r="Y7" s="822">
        <f>168.85/1.9/1.08</f>
        <v>82.285575048732937</v>
      </c>
      <c r="Z7" s="839">
        <f>0.01/1.08/$E$3</f>
        <v>3.7037037037037035E-4</v>
      </c>
      <c r="AA7" s="839">
        <f>0.87/1.08/$E$4</f>
        <v>2.7032065622669649E-3</v>
      </c>
      <c r="AB7" s="824" t="s">
        <v>4622</v>
      </c>
      <c r="AC7" s="839"/>
      <c r="AH7" s="825" t="s">
        <v>238</v>
      </c>
      <c r="AJ7" s="821" t="str">
        <f t="shared" ref="AJ7:AJ13" si="13">+X11</f>
        <v>Private SUV or truck (diesel)</v>
      </c>
      <c r="AL7" s="825">
        <v>24</v>
      </c>
      <c r="AN7" s="917" t="s">
        <v>5662</v>
      </c>
      <c r="AP7" s="661" t="s">
        <v>4634</v>
      </c>
      <c r="AU7" s="825" t="s">
        <v>4635</v>
      </c>
      <c r="AW7" s="916" t="s">
        <v>4862</v>
      </c>
      <c r="AX7" s="827" t="s">
        <v>4597</v>
      </c>
      <c r="AY7" s="828" t="str">
        <f>+BZ14</f>
        <v>Southern Europe</v>
      </c>
      <c r="AZ7" s="827">
        <v>43</v>
      </c>
      <c r="BA7" s="665" t="s">
        <v>4573</v>
      </c>
      <c r="BB7" s="829">
        <v>6.2171813834411278</v>
      </c>
      <c r="BC7" s="665" t="s">
        <v>4636</v>
      </c>
      <c r="BD7" s="830"/>
      <c r="BE7" s="830"/>
      <c r="BF7" s="665"/>
      <c r="BG7" s="830"/>
      <c r="BH7" s="831">
        <f t="shared" si="1"/>
        <v>17</v>
      </c>
      <c r="BI7" s="831">
        <f t="shared" si="2"/>
        <v>6.8</v>
      </c>
      <c r="BJ7" s="831">
        <f t="shared" si="3"/>
        <v>36.9</v>
      </c>
      <c r="BK7" s="831">
        <f t="shared" si="4"/>
        <v>10.6</v>
      </c>
      <c r="BL7" s="831">
        <f t="shared" si="5"/>
        <v>9.5</v>
      </c>
      <c r="BM7" s="831">
        <f t="shared" si="6"/>
        <v>5.6</v>
      </c>
      <c r="BN7" s="831">
        <f t="shared" si="7"/>
        <v>6.8</v>
      </c>
      <c r="BO7" s="831">
        <f t="shared" si="8"/>
        <v>6.8</v>
      </c>
      <c r="BP7" s="831">
        <f t="shared" si="9"/>
        <v>99.999999999999986</v>
      </c>
      <c r="BQ7" s="665" t="s">
        <v>4575</v>
      </c>
      <c r="BR7" s="832"/>
      <c r="BS7" s="832"/>
      <c r="BT7" s="832"/>
      <c r="BU7" s="832"/>
      <c r="BV7" s="832"/>
      <c r="BW7" s="832"/>
      <c r="BX7" s="665"/>
      <c r="BZ7" s="833" t="s">
        <v>4637</v>
      </c>
      <c r="CA7" s="831">
        <v>7.7</v>
      </c>
      <c r="CB7" s="831">
        <v>1.7</v>
      </c>
      <c r="CC7" s="831">
        <v>53.9</v>
      </c>
      <c r="CD7" s="831">
        <v>7</v>
      </c>
      <c r="CE7" s="831">
        <v>9.5</v>
      </c>
      <c r="CF7" s="831">
        <v>5.6</v>
      </c>
      <c r="CG7" s="831">
        <v>5.5</v>
      </c>
      <c r="CH7" s="831">
        <f t="shared" si="11"/>
        <v>9.1000000000000085</v>
      </c>
      <c r="CI7" s="831">
        <f t="shared" si="12"/>
        <v>100</v>
      </c>
      <c r="CK7" s="834" t="str">
        <f>+'Results &amp; Summary'!B26</f>
        <v>Fuel- &amp; energy-related emissions</v>
      </c>
      <c r="CO7" s="804">
        <v>1</v>
      </c>
      <c r="CP7" s="804" t="s">
        <v>264</v>
      </c>
      <c r="CQ7" s="804">
        <f>1/1000</f>
        <v>1E-3</v>
      </c>
      <c r="CR7" s="804" t="s">
        <v>4616</v>
      </c>
      <c r="CS7" s="665" t="s">
        <v>4579</v>
      </c>
      <c r="CU7" s="804" t="s">
        <v>5724</v>
      </c>
      <c r="CV7" s="804" t="s">
        <v>4390</v>
      </c>
      <c r="DH7" s="834" t="str">
        <f t="shared" si="10"/>
        <v>Canada-Newfoundland and Labrador (NL)</v>
      </c>
      <c r="DI7" s="834" t="str">
        <f t="shared" si="10"/>
        <v>Europe</v>
      </c>
      <c r="DJ7" s="834" t="str">
        <f t="shared" si="10"/>
        <v>Southern Europe</v>
      </c>
      <c r="DL7" s="834" t="s">
        <v>4584</v>
      </c>
      <c r="DN7" s="834" t="s">
        <v>4638</v>
      </c>
      <c r="DO7" s="834" t="s">
        <v>4639</v>
      </c>
      <c r="DQ7" s="834" t="s">
        <v>4640</v>
      </c>
    </row>
    <row r="8" spans="1:124" ht="38.25">
      <c r="A8" s="814">
        <f t="shared" ref="A8:A13" si="14">+A7+1</f>
        <v>2020</v>
      </c>
      <c r="C8" s="632" t="s">
        <v>4270</v>
      </c>
      <c r="D8" s="767" t="s">
        <v>4563</v>
      </c>
      <c r="E8" s="816">
        <v>1</v>
      </c>
      <c r="F8" s="817"/>
      <c r="G8" s="818" t="s">
        <v>4564</v>
      </c>
      <c r="H8" s="836">
        <v>1.8720000000000001</v>
      </c>
      <c r="I8" s="818" t="s">
        <v>4641</v>
      </c>
      <c r="J8" s="817" t="s">
        <v>4591</v>
      </c>
      <c r="L8" s="819" t="s">
        <v>4642</v>
      </c>
      <c r="M8" s="820" t="s">
        <v>4459</v>
      </c>
      <c r="N8" s="820">
        <v>0.8</v>
      </c>
      <c r="O8" s="820">
        <v>43.8</v>
      </c>
      <c r="P8" s="814">
        <v>71.900000000000006</v>
      </c>
      <c r="Q8" s="814">
        <v>0.01</v>
      </c>
      <c r="R8" s="814">
        <v>5.9999999999999995E-4</v>
      </c>
      <c r="S8" s="814" t="s">
        <v>4563</v>
      </c>
      <c r="T8" s="814" t="s">
        <v>4563</v>
      </c>
      <c r="U8" s="814" t="s">
        <v>4563</v>
      </c>
      <c r="V8" s="820" t="s">
        <v>4643</v>
      </c>
      <c r="X8" s="821" t="s">
        <v>4644</v>
      </c>
      <c r="Y8" s="822">
        <f>197.09/1.9/1.08</f>
        <v>96.047758284600391</v>
      </c>
      <c r="Z8" s="839">
        <f>0.01/1.08/$E$3</f>
        <v>3.7037037037037035E-4</v>
      </c>
      <c r="AA8" s="839">
        <f>1.03/1.08/$E$4</f>
        <v>3.2003479990057172E-3</v>
      </c>
      <c r="AB8" s="824" t="s">
        <v>4622</v>
      </c>
      <c r="AC8" s="839"/>
      <c r="AH8" s="821" t="str">
        <f t="shared" ref="AH8:AH14" si="15">+X11</f>
        <v>Private SUV or truck (diesel)</v>
      </c>
      <c r="AJ8" s="821" t="str">
        <f t="shared" si="13"/>
        <v>Private SUV (gasolina)</v>
      </c>
      <c r="AN8" s="917" t="s">
        <v>5663</v>
      </c>
      <c r="AP8" s="661" t="s">
        <v>4645</v>
      </c>
      <c r="AU8" s="825" t="s">
        <v>4646</v>
      </c>
      <c r="AW8" s="916" t="s">
        <v>4866</v>
      </c>
      <c r="AX8" s="827" t="s">
        <v>4614</v>
      </c>
      <c r="AY8" s="828" t="str">
        <f>+BZ8</f>
        <v>Middle Africa</v>
      </c>
      <c r="AZ8" s="827">
        <v>426</v>
      </c>
      <c r="BA8" s="665" t="s">
        <v>4573</v>
      </c>
      <c r="BB8" s="829">
        <v>11.27</v>
      </c>
      <c r="BC8" s="665" t="s">
        <v>4598</v>
      </c>
      <c r="BD8" s="830"/>
      <c r="BE8" s="830"/>
      <c r="BF8" s="665"/>
      <c r="BG8" s="830"/>
      <c r="BH8" s="831">
        <f t="shared" si="1"/>
        <v>16.8</v>
      </c>
      <c r="BI8" s="831">
        <f t="shared" si="2"/>
        <v>2.5</v>
      </c>
      <c r="BJ8" s="831">
        <f t="shared" si="3"/>
        <v>43.4</v>
      </c>
      <c r="BK8" s="831">
        <f t="shared" si="4"/>
        <v>6.5</v>
      </c>
      <c r="BL8" s="831">
        <f t="shared" si="5"/>
        <v>9.5</v>
      </c>
      <c r="BM8" s="831">
        <f t="shared" si="6"/>
        <v>5.6</v>
      </c>
      <c r="BN8" s="831">
        <f t="shared" si="7"/>
        <v>4.5</v>
      </c>
      <c r="BO8" s="831">
        <f t="shared" si="8"/>
        <v>11.200000000000003</v>
      </c>
      <c r="BP8" s="831">
        <f t="shared" si="9"/>
        <v>100</v>
      </c>
      <c r="BQ8" s="665" t="s">
        <v>4575</v>
      </c>
      <c r="BR8" s="832"/>
      <c r="BS8" s="832"/>
      <c r="BT8" s="832"/>
      <c r="BU8" s="832"/>
      <c r="BV8" s="832"/>
      <c r="BW8" s="832"/>
      <c r="BX8" s="665"/>
      <c r="BZ8" s="833" t="s">
        <v>4647</v>
      </c>
      <c r="CA8" s="831">
        <v>16.8</v>
      </c>
      <c r="CB8" s="831">
        <v>2.5</v>
      </c>
      <c r="CC8" s="831">
        <v>43.4</v>
      </c>
      <c r="CD8" s="831">
        <v>6.5</v>
      </c>
      <c r="CE8" s="831">
        <v>9.5</v>
      </c>
      <c r="CF8" s="831">
        <v>5.6</v>
      </c>
      <c r="CG8" s="831">
        <v>4.5</v>
      </c>
      <c r="CH8" s="831">
        <f t="shared" si="11"/>
        <v>11.200000000000003</v>
      </c>
      <c r="CI8" s="831">
        <f t="shared" si="12"/>
        <v>100</v>
      </c>
      <c r="CK8" s="834">
        <f>+Supply_Chain</f>
        <v>0</v>
      </c>
      <c r="CO8" s="804">
        <v>1</v>
      </c>
      <c r="CP8" s="804" t="s">
        <v>4580</v>
      </c>
      <c r="CQ8" s="840">
        <v>0.26419999999999999</v>
      </c>
      <c r="CR8" s="804" t="s">
        <v>278</v>
      </c>
      <c r="CS8" s="665" t="s">
        <v>4579</v>
      </c>
      <c r="CU8" s="804" t="s">
        <v>4467</v>
      </c>
      <c r="CV8" s="804" t="s">
        <v>5724</v>
      </c>
      <c r="DH8" s="834" t="str">
        <f t="shared" si="10"/>
        <v>Canada-Nova Scotia (NS)</v>
      </c>
      <c r="DI8" s="834" t="str">
        <f t="shared" si="10"/>
        <v>Africa</v>
      </c>
      <c r="DJ8" s="834" t="str">
        <f t="shared" si="10"/>
        <v>Middle Africa</v>
      </c>
      <c r="DL8" s="834" t="s">
        <v>4584</v>
      </c>
      <c r="DN8" s="834" t="s">
        <v>4648</v>
      </c>
      <c r="DO8" s="834" t="s">
        <v>4649</v>
      </c>
      <c r="DQ8" s="834" t="s">
        <v>4490</v>
      </c>
    </row>
    <row r="9" spans="1:124" ht="25.5">
      <c r="A9" s="814">
        <f t="shared" si="14"/>
        <v>2021</v>
      </c>
      <c r="C9" s="632" t="s">
        <v>4650</v>
      </c>
      <c r="D9" s="841" t="s">
        <v>4651</v>
      </c>
      <c r="E9" s="816">
        <v>14800</v>
      </c>
      <c r="F9" s="817" t="s">
        <v>4652</v>
      </c>
      <c r="G9" s="818" t="s">
        <v>4564</v>
      </c>
      <c r="H9" s="817"/>
      <c r="I9" s="818"/>
      <c r="J9" s="817"/>
      <c r="L9" s="819" t="s">
        <v>339</v>
      </c>
      <c r="M9" s="820" t="s">
        <v>264</v>
      </c>
      <c r="N9" s="814" t="s">
        <v>4563</v>
      </c>
      <c r="O9" s="820">
        <v>25.8</v>
      </c>
      <c r="P9" s="814">
        <v>94.6</v>
      </c>
      <c r="Q9" s="814">
        <v>1E-3</v>
      </c>
      <c r="R9" s="814">
        <v>1.5E-3</v>
      </c>
      <c r="S9" s="814" t="s">
        <v>4563</v>
      </c>
      <c r="T9" s="814" t="s">
        <v>4563</v>
      </c>
      <c r="U9" s="814" t="s">
        <v>4563</v>
      </c>
      <c r="V9" s="820" t="s">
        <v>4653</v>
      </c>
      <c r="X9" s="821" t="s">
        <v>238</v>
      </c>
      <c r="Y9" s="822">
        <v>157.26</v>
      </c>
      <c r="Z9" s="839">
        <v>9.5200000000000007E-3</v>
      </c>
      <c r="AA9" s="839">
        <v>4.1000000000000003E-3</v>
      </c>
      <c r="AB9" s="824" t="s">
        <v>4654</v>
      </c>
      <c r="AC9" s="839"/>
      <c r="AH9" s="821" t="str">
        <f t="shared" si="15"/>
        <v>Private SUV (gasolina)</v>
      </c>
      <c r="AJ9" s="821" t="str">
        <f t="shared" si="13"/>
        <v>Private SUC or truck (CNG)</v>
      </c>
      <c r="AN9" s="917" t="s">
        <v>5664</v>
      </c>
      <c r="AP9" s="661" t="s">
        <v>4655</v>
      </c>
      <c r="AU9" s="825" t="s">
        <v>4656</v>
      </c>
      <c r="AW9" s="916" t="s">
        <v>4870</v>
      </c>
      <c r="AX9" s="842" t="s">
        <v>4657</v>
      </c>
      <c r="AY9" s="828" t="str">
        <f>+BZ21</f>
        <v>Caribbean</v>
      </c>
      <c r="AZ9" s="827">
        <v>493</v>
      </c>
      <c r="BA9" s="665" t="s">
        <v>4573</v>
      </c>
      <c r="BB9" s="829">
        <v>9.3894684857089938</v>
      </c>
      <c r="BC9" s="665" t="s">
        <v>4658</v>
      </c>
      <c r="BD9" s="830"/>
      <c r="BE9" s="830"/>
      <c r="BF9" s="665"/>
      <c r="BG9" s="830"/>
      <c r="BH9" s="831">
        <f t="shared" si="1"/>
        <v>17</v>
      </c>
      <c r="BI9" s="831">
        <f t="shared" si="2"/>
        <v>5.0999999999999996</v>
      </c>
      <c r="BJ9" s="831">
        <f t="shared" si="3"/>
        <v>46.9</v>
      </c>
      <c r="BK9" s="831">
        <f t="shared" si="4"/>
        <v>2.4</v>
      </c>
      <c r="BL9" s="831">
        <f t="shared" si="5"/>
        <v>9.5</v>
      </c>
      <c r="BM9" s="831">
        <f t="shared" si="6"/>
        <v>5.6</v>
      </c>
      <c r="BN9" s="831">
        <f t="shared" si="7"/>
        <v>9.9</v>
      </c>
      <c r="BO9" s="831">
        <f t="shared" si="8"/>
        <v>3.5999999999999943</v>
      </c>
      <c r="BP9" s="831">
        <f t="shared" ref="BP9:BP67" si="16">+SUM(BH9:BO9)</f>
        <v>100</v>
      </c>
      <c r="BQ9" s="665" t="s">
        <v>4575</v>
      </c>
      <c r="BR9" s="832"/>
      <c r="BS9" s="832"/>
      <c r="BT9" s="832"/>
      <c r="BU9" s="832"/>
      <c r="BV9" s="832"/>
      <c r="BW9" s="832"/>
      <c r="BX9" s="665"/>
      <c r="BZ9" s="833" t="s">
        <v>4659</v>
      </c>
      <c r="CA9" s="831">
        <v>16.5</v>
      </c>
      <c r="CB9" s="831">
        <v>2.5</v>
      </c>
      <c r="CC9" s="831">
        <v>51.1</v>
      </c>
      <c r="CD9" s="831">
        <v>2</v>
      </c>
      <c r="CE9" s="831">
        <v>9.5</v>
      </c>
      <c r="CF9" s="831">
        <v>5.6</v>
      </c>
      <c r="CG9" s="831">
        <v>4.5</v>
      </c>
      <c r="CH9" s="831">
        <f t="shared" si="11"/>
        <v>8.3000000000000114</v>
      </c>
      <c r="CI9" s="831">
        <f t="shared" si="12"/>
        <v>100</v>
      </c>
      <c r="CK9" s="834" t="str">
        <f>+'Results &amp; Summary'!B35</f>
        <v>End-of-life treatment of sold products</v>
      </c>
      <c r="CO9" s="804">
        <v>1</v>
      </c>
      <c r="CP9" s="804" t="s">
        <v>264</v>
      </c>
      <c r="CQ9" s="843">
        <f>1/$N$7/1000</f>
        <v>1.8518518518518517E-3</v>
      </c>
      <c r="CR9" s="804" t="s">
        <v>4577</v>
      </c>
      <c r="CS9" s="665" t="s">
        <v>4660</v>
      </c>
      <c r="CV9" s="962" t="s">
        <v>4467</v>
      </c>
      <c r="DH9" s="834" t="str">
        <f t="shared" si="10"/>
        <v>Canada-Northwest Territories (NT)</v>
      </c>
      <c r="DI9" s="834" t="str">
        <f t="shared" si="10"/>
        <v>Americas</v>
      </c>
      <c r="DJ9" s="834" t="str">
        <f t="shared" si="10"/>
        <v>Caribbean</v>
      </c>
      <c r="DL9" s="834" t="s">
        <v>4584</v>
      </c>
      <c r="DN9" s="834" t="s">
        <v>4661</v>
      </c>
      <c r="DO9" s="834" t="s">
        <v>4662</v>
      </c>
      <c r="DQ9" s="834" t="s">
        <v>4663</v>
      </c>
    </row>
    <row r="10" spans="1:124" ht="25.5">
      <c r="A10" s="814">
        <f t="shared" si="14"/>
        <v>2022</v>
      </c>
      <c r="C10" s="632" t="s">
        <v>4664</v>
      </c>
      <c r="D10" s="841" t="s">
        <v>4651</v>
      </c>
      <c r="E10" s="816">
        <v>675</v>
      </c>
      <c r="F10" s="817" t="s">
        <v>4652</v>
      </c>
      <c r="G10" s="818" t="s">
        <v>4564</v>
      </c>
      <c r="H10" s="817"/>
      <c r="I10" s="818"/>
      <c r="J10" s="817"/>
      <c r="L10" s="819" t="s">
        <v>4304</v>
      </c>
      <c r="M10" s="820" t="s">
        <v>264</v>
      </c>
      <c r="N10" s="814" t="s">
        <v>4563</v>
      </c>
      <c r="O10" s="820">
        <v>15.6</v>
      </c>
      <c r="P10" s="814">
        <v>0</v>
      </c>
      <c r="Q10" s="814">
        <v>0.3</v>
      </c>
      <c r="R10" s="814">
        <v>4.0000000000000001E-3</v>
      </c>
      <c r="S10" s="814" t="s">
        <v>4563</v>
      </c>
      <c r="T10" s="814" t="s">
        <v>4563</v>
      </c>
      <c r="U10" s="814" t="s">
        <v>4563</v>
      </c>
      <c r="V10" s="820" t="s">
        <v>4665</v>
      </c>
      <c r="X10" s="821" t="s">
        <v>4666</v>
      </c>
      <c r="Y10" s="822">
        <v>30</v>
      </c>
      <c r="Z10" s="839">
        <v>3.81E-3</v>
      </c>
      <c r="AA10" s="839">
        <v>1.8E-3</v>
      </c>
      <c r="AB10" s="824" t="s">
        <v>4654</v>
      </c>
      <c r="AC10" s="839"/>
      <c r="AH10" s="821" t="str">
        <f t="shared" si="15"/>
        <v>Private SUC or truck (CNG)</v>
      </c>
      <c r="AJ10" s="825" t="str">
        <f t="shared" si="13"/>
        <v>Subway</v>
      </c>
      <c r="AN10" s="917" t="s">
        <v>5665</v>
      </c>
      <c r="AU10" s="825" t="s">
        <v>4667</v>
      </c>
      <c r="AW10" s="916" t="s">
        <v>4874</v>
      </c>
      <c r="AX10" s="842" t="s">
        <v>4657</v>
      </c>
      <c r="AY10" s="828" t="str">
        <f>+BZ21</f>
        <v>Caribbean</v>
      </c>
      <c r="AZ10" s="827">
        <v>527</v>
      </c>
      <c r="BA10" s="665" t="s">
        <v>4573</v>
      </c>
      <c r="BB10" s="829">
        <v>9.3894684857089938</v>
      </c>
      <c r="BC10" s="665" t="s">
        <v>4658</v>
      </c>
      <c r="BD10" s="830"/>
      <c r="BE10" s="830"/>
      <c r="BF10" s="665"/>
      <c r="BG10" s="830"/>
      <c r="BH10" s="831">
        <f t="shared" si="1"/>
        <v>17</v>
      </c>
      <c r="BI10" s="831">
        <f t="shared" si="2"/>
        <v>5.0999999999999996</v>
      </c>
      <c r="BJ10" s="831">
        <f t="shared" si="3"/>
        <v>46.9</v>
      </c>
      <c r="BK10" s="831">
        <f t="shared" si="4"/>
        <v>2.4</v>
      </c>
      <c r="BL10" s="831">
        <f t="shared" si="5"/>
        <v>9.5</v>
      </c>
      <c r="BM10" s="831">
        <f t="shared" si="6"/>
        <v>5.6</v>
      </c>
      <c r="BN10" s="831">
        <f t="shared" si="7"/>
        <v>9.9</v>
      </c>
      <c r="BO10" s="831">
        <f t="shared" si="8"/>
        <v>3.5999999999999943</v>
      </c>
      <c r="BP10" s="831">
        <f t="shared" si="16"/>
        <v>100</v>
      </c>
      <c r="BQ10" s="665" t="s">
        <v>4575</v>
      </c>
      <c r="BR10" s="832"/>
      <c r="BS10" s="832"/>
      <c r="BT10" s="832"/>
      <c r="BU10" s="832"/>
      <c r="BV10" s="832"/>
      <c r="BW10" s="832"/>
      <c r="BX10" s="665"/>
      <c r="BZ10" s="833" t="s">
        <v>4668</v>
      </c>
      <c r="CA10" s="831">
        <v>25</v>
      </c>
      <c r="CB10" s="831">
        <f>+(100-$CA10-$CC10-$CD10-$CE10-$CF10)/3</f>
        <v>7.3</v>
      </c>
      <c r="CC10" s="831">
        <v>23</v>
      </c>
      <c r="CD10" s="831">
        <v>15</v>
      </c>
      <c r="CE10" s="831">
        <v>9.5</v>
      </c>
      <c r="CF10" s="831">
        <v>5.6</v>
      </c>
      <c r="CG10" s="831">
        <f>+(100-$CA10-$CC10-$CD10-$CE10-$CF10)/3</f>
        <v>7.3</v>
      </c>
      <c r="CH10" s="831">
        <f>+(100-$CA10-$CC10-$CD10-$CE10-$CF10)/3</f>
        <v>7.3</v>
      </c>
      <c r="CI10" s="831">
        <f t="shared" si="12"/>
        <v>99.999999999999986</v>
      </c>
      <c r="CK10" s="834">
        <f>+'Scope 1 and 2 Data'!B384</f>
        <v>0</v>
      </c>
      <c r="CO10" s="804">
        <v>1</v>
      </c>
      <c r="CP10" s="804" t="s">
        <v>264</v>
      </c>
      <c r="CQ10" s="845">
        <f>1/N7</f>
        <v>1.8518518518518516</v>
      </c>
      <c r="CR10" s="804" t="s">
        <v>4580</v>
      </c>
      <c r="CS10" s="665" t="s">
        <v>4660</v>
      </c>
      <c r="DH10" s="834" t="str">
        <f t="shared" si="10"/>
        <v>Canada-Nunavut (NU)</v>
      </c>
      <c r="DI10" s="834" t="str">
        <f t="shared" si="10"/>
        <v>Americas</v>
      </c>
      <c r="DJ10" s="834" t="str">
        <f t="shared" si="10"/>
        <v>Caribbean</v>
      </c>
      <c r="DL10" s="834" t="s">
        <v>4584</v>
      </c>
      <c r="DN10" s="834" t="s">
        <v>4669</v>
      </c>
      <c r="DO10" s="834" t="s">
        <v>4670</v>
      </c>
    </row>
    <row r="11" spans="1:124" ht="14.25">
      <c r="A11" s="814">
        <f t="shared" si="14"/>
        <v>2023</v>
      </c>
      <c r="C11" s="632" t="s">
        <v>4671</v>
      </c>
      <c r="D11" s="841" t="s">
        <v>4651</v>
      </c>
      <c r="E11" s="816">
        <v>92</v>
      </c>
      <c r="F11" s="817" t="s">
        <v>4652</v>
      </c>
      <c r="G11" s="818" t="s">
        <v>4564</v>
      </c>
      <c r="H11" s="817"/>
      <c r="I11" s="818"/>
      <c r="J11" s="817"/>
      <c r="L11" s="819" t="s">
        <v>298</v>
      </c>
      <c r="M11" s="820" t="s">
        <v>4459</v>
      </c>
      <c r="N11" s="820">
        <v>0.88</v>
      </c>
      <c r="O11" s="820">
        <v>27</v>
      </c>
      <c r="P11" s="814">
        <v>0</v>
      </c>
      <c r="Q11" s="814">
        <v>0.01</v>
      </c>
      <c r="R11" s="814">
        <v>5.9999999999999995E-4</v>
      </c>
      <c r="S11" s="814">
        <v>0</v>
      </c>
      <c r="T11" s="820">
        <v>3.8999999999999998E-3</v>
      </c>
      <c r="U11" s="820">
        <v>3.8999999999999998E-3</v>
      </c>
      <c r="X11" s="821" t="s">
        <v>4672</v>
      </c>
      <c r="Y11" s="822">
        <f>626.5/$Y$25</f>
        <v>389.29001951110394</v>
      </c>
      <c r="Z11" s="839">
        <f>0.001/$Y$25</f>
        <v>6.2137273664980672E-4</v>
      </c>
      <c r="AA11" s="839">
        <f>0.0015/$Y$25</f>
        <v>9.3205910497471019E-4</v>
      </c>
      <c r="AB11" s="824" t="s">
        <v>4568</v>
      </c>
      <c r="AC11" s="839"/>
      <c r="AH11" s="825" t="str">
        <f t="shared" si="15"/>
        <v>Subway</v>
      </c>
      <c r="AJ11" s="825" t="str">
        <f t="shared" si="13"/>
        <v>Motorbike</v>
      </c>
      <c r="AN11" s="917" t="s">
        <v>5666</v>
      </c>
      <c r="AU11" s="825" t="s">
        <v>4673</v>
      </c>
      <c r="AW11" s="916" t="s">
        <v>4878</v>
      </c>
      <c r="AX11" s="842" t="s">
        <v>4657</v>
      </c>
      <c r="AY11" s="846" t="str">
        <f>+BZ20</f>
        <v>South America</v>
      </c>
      <c r="AZ11" s="842">
        <v>366</v>
      </c>
      <c r="BA11" s="665" t="s">
        <v>4674</v>
      </c>
      <c r="BB11" s="847">
        <v>14.66</v>
      </c>
      <c r="BC11" s="665" t="s">
        <v>4598</v>
      </c>
      <c r="BD11" s="842">
        <v>9.7000000000000003E-2</v>
      </c>
      <c r="BE11" s="842">
        <v>0.112</v>
      </c>
      <c r="BF11" s="665" t="s">
        <v>4675</v>
      </c>
      <c r="BG11" s="830"/>
      <c r="BH11" s="814">
        <v>13.99</v>
      </c>
      <c r="BI11" s="814">
        <v>3.08</v>
      </c>
      <c r="BJ11" s="814">
        <v>49.94</v>
      </c>
      <c r="BK11" s="814">
        <v>0.64</v>
      </c>
      <c r="BL11" s="814">
        <v>11.05</v>
      </c>
      <c r="BM11" s="814">
        <v>5.75</v>
      </c>
      <c r="BN11" s="814"/>
      <c r="BO11" s="814">
        <f>100-SUM(BH11:BN11)</f>
        <v>15.550000000000011</v>
      </c>
      <c r="BP11" s="831">
        <f t="shared" si="16"/>
        <v>100</v>
      </c>
      <c r="BQ11" s="665" t="s">
        <v>4676</v>
      </c>
      <c r="BR11" s="832"/>
      <c r="BS11" s="832"/>
      <c r="BT11" s="832"/>
      <c r="BU11" s="832"/>
      <c r="BV11" s="832"/>
      <c r="BW11" s="832"/>
      <c r="BX11" s="665"/>
      <c r="BZ11" s="833" t="s">
        <v>4677</v>
      </c>
      <c r="CA11" s="831">
        <v>9.8000000000000007</v>
      </c>
      <c r="CB11" s="831">
        <v>1</v>
      </c>
      <c r="CC11" s="831">
        <v>40.4</v>
      </c>
      <c r="CD11" s="831">
        <v>4.4000000000000004</v>
      </c>
      <c r="CE11" s="831">
        <v>9.5</v>
      </c>
      <c r="CF11" s="831">
        <v>5.6</v>
      </c>
      <c r="CG11" s="831">
        <v>3</v>
      </c>
      <c r="CH11" s="831">
        <f t="shared" si="11"/>
        <v>26.300000000000011</v>
      </c>
      <c r="CI11" s="831">
        <f t="shared" si="12"/>
        <v>100</v>
      </c>
      <c r="CK11" s="834" t="str">
        <f>+'Results &amp; Summary'!B12</f>
        <v>Inhaled Anesthetic Gases</v>
      </c>
      <c r="DH11" s="834" t="str">
        <f t="shared" si="10"/>
        <v>Canada-Ontario (ON)</v>
      </c>
      <c r="DI11" s="834" t="str">
        <f t="shared" si="10"/>
        <v>Americas</v>
      </c>
      <c r="DJ11" s="834" t="str">
        <f t="shared" si="10"/>
        <v>South America</v>
      </c>
      <c r="DL11" s="834" t="s">
        <v>4584</v>
      </c>
      <c r="DN11" s="834" t="s">
        <v>4678</v>
      </c>
      <c r="DO11" s="834" t="s">
        <v>4679</v>
      </c>
    </row>
    <row r="12" spans="1:124" ht="14.25">
      <c r="A12" s="814">
        <f t="shared" si="14"/>
        <v>2024</v>
      </c>
      <c r="C12" s="632" t="s">
        <v>4680</v>
      </c>
      <c r="D12" s="841" t="s">
        <v>4651</v>
      </c>
      <c r="E12" s="816">
        <v>3500</v>
      </c>
      <c r="F12" s="817" t="s">
        <v>4652</v>
      </c>
      <c r="G12" s="818" t="s">
        <v>4564</v>
      </c>
      <c r="H12" s="817"/>
      <c r="I12" s="818"/>
      <c r="J12" s="817"/>
      <c r="L12" s="825" t="s">
        <v>4681</v>
      </c>
      <c r="M12" s="820" t="s">
        <v>4459</v>
      </c>
      <c r="N12" s="820">
        <v>0.79200000000000004</v>
      </c>
      <c r="O12" s="820">
        <v>27</v>
      </c>
      <c r="P12" s="814">
        <v>0</v>
      </c>
      <c r="Q12" s="814">
        <v>0.01</v>
      </c>
      <c r="R12" s="814">
        <v>5.9999999999999995E-4</v>
      </c>
      <c r="S12" s="814">
        <v>0</v>
      </c>
      <c r="T12" s="820">
        <v>3.3000000000000002E-2</v>
      </c>
      <c r="U12" s="820">
        <v>3.2000000000000002E-3</v>
      </c>
      <c r="V12" s="820" t="s">
        <v>4682</v>
      </c>
      <c r="X12" s="821" t="s">
        <v>4683</v>
      </c>
      <c r="Y12" s="822">
        <f>543.8/$Y$25</f>
        <v>337.90249419016487</v>
      </c>
      <c r="Z12" s="823">
        <f>0.0157/$Y$25</f>
        <v>9.7555519654019644E-3</v>
      </c>
      <c r="AA12" s="823">
        <f>0.0101/$Y$25</f>
        <v>6.2758646401630484E-3</v>
      </c>
      <c r="AB12" s="824" t="s">
        <v>4568</v>
      </c>
      <c r="AC12" s="823"/>
      <c r="AH12" s="825" t="str">
        <f t="shared" si="15"/>
        <v>Motorbike</v>
      </c>
      <c r="AJ12" s="825" t="str">
        <f t="shared" si="13"/>
        <v>Taxi</v>
      </c>
      <c r="AN12" s="917" t="s">
        <v>5667</v>
      </c>
      <c r="AW12" s="916" t="s">
        <v>4882</v>
      </c>
      <c r="AX12" s="827" t="s">
        <v>4572</v>
      </c>
      <c r="AY12" s="828" t="str">
        <f>+BZ6</f>
        <v>Western Asia &amp; Middle East</v>
      </c>
      <c r="AZ12" s="827">
        <v>247</v>
      </c>
      <c r="BA12" s="665" t="s">
        <v>4573</v>
      </c>
      <c r="BB12" s="829">
        <v>11.99</v>
      </c>
      <c r="BC12" s="665" t="s">
        <v>4598</v>
      </c>
      <c r="BD12" s="830"/>
      <c r="BE12" s="830"/>
      <c r="BF12" s="665"/>
      <c r="BG12" s="830"/>
      <c r="BH12" s="831">
        <f t="shared" ref="BH12:BH72" si="17">+VLOOKUP($AY12,$BZ$3:$CH$21,2,FALSE)</f>
        <v>18</v>
      </c>
      <c r="BI12" s="831">
        <f t="shared" ref="BI12:BI72" si="18">+VLOOKUP($AY12,$BZ$3:$CH$21,3,FALSE)</f>
        <v>2.9</v>
      </c>
      <c r="BJ12" s="831">
        <f t="shared" ref="BJ12:BJ72" si="19">+VLOOKUP($AY12,$BZ$3:$CH$21,4,FALSE)</f>
        <v>41.1</v>
      </c>
      <c r="BK12" s="831">
        <f t="shared" ref="BK12:BK72" si="20">+VLOOKUP($AY12,$BZ$3:$CH$21,5,FALSE)</f>
        <v>9.8000000000000007</v>
      </c>
      <c r="BL12" s="831">
        <f t="shared" ref="BL12:BL72" si="21">+VLOOKUP($AY12,$BZ$3:$CH$21,6,FALSE)</f>
        <v>9.5</v>
      </c>
      <c r="BM12" s="831">
        <f t="shared" ref="BM12:BM72" si="22">+VLOOKUP($AY12,$BZ$3:$CH$21,7,FALSE)</f>
        <v>5.6</v>
      </c>
      <c r="BN12" s="831">
        <f t="shared" ref="BN12:BN72" si="23">+VLOOKUP($AY12,$BZ$3:$CH$21,8,FALSE)</f>
        <v>6.3</v>
      </c>
      <c r="BO12" s="831">
        <f t="shared" ref="BO12:BO72" si="24">+VLOOKUP($AY12,$BZ$3:$CH$21,9,FALSE)</f>
        <v>6.8000000000000114</v>
      </c>
      <c r="BP12" s="831">
        <f t="shared" si="16"/>
        <v>100</v>
      </c>
      <c r="BQ12" s="665" t="s">
        <v>4575</v>
      </c>
      <c r="BR12" s="832"/>
      <c r="BS12" s="832"/>
      <c r="BT12" s="832"/>
      <c r="BU12" s="832"/>
      <c r="BV12" s="832"/>
      <c r="BW12" s="832"/>
      <c r="BX12" s="665"/>
      <c r="BZ12" s="833" t="s">
        <v>4684</v>
      </c>
      <c r="CA12" s="831">
        <v>21.8</v>
      </c>
      <c r="CB12" s="831">
        <v>4.7</v>
      </c>
      <c r="CC12" s="831">
        <v>30.1</v>
      </c>
      <c r="CD12" s="831">
        <v>7.5</v>
      </c>
      <c r="CE12" s="831">
        <v>9.5</v>
      </c>
      <c r="CF12" s="831">
        <v>5.6</v>
      </c>
      <c r="CG12" s="831">
        <v>6.2</v>
      </c>
      <c r="CH12" s="831">
        <f t="shared" si="11"/>
        <v>14.600000000000009</v>
      </c>
      <c r="CI12" s="831">
        <f t="shared" si="12"/>
        <v>100</v>
      </c>
      <c r="CK12" s="834" t="str">
        <f>+'Results &amp; Summary'!B9</f>
        <v>Mobile Combustion</v>
      </c>
      <c r="DH12" s="834" t="str">
        <f t="shared" si="10"/>
        <v>Canada-Prince Edward Island (PE)</v>
      </c>
      <c r="DI12" s="834" t="str">
        <f t="shared" si="10"/>
        <v>Asia</v>
      </c>
      <c r="DJ12" s="834" t="str">
        <f t="shared" si="10"/>
        <v>Western Asia &amp; Middle East</v>
      </c>
      <c r="DL12" s="834" t="s">
        <v>4584</v>
      </c>
      <c r="DN12" s="834" t="s">
        <v>4685</v>
      </c>
      <c r="DO12" s="834" t="s">
        <v>4686</v>
      </c>
    </row>
    <row r="13" spans="1:124" ht="25.5">
      <c r="A13" s="814">
        <f t="shared" si="14"/>
        <v>2025</v>
      </c>
      <c r="C13" s="632" t="s">
        <v>4687</v>
      </c>
      <c r="D13" s="841" t="s">
        <v>4651</v>
      </c>
      <c r="E13" s="816">
        <v>1100</v>
      </c>
      <c r="F13" s="817" t="s">
        <v>4652</v>
      </c>
      <c r="G13" s="818" t="s">
        <v>4564</v>
      </c>
      <c r="H13" s="817"/>
      <c r="I13" s="818"/>
      <c r="J13" s="817"/>
      <c r="L13" s="848" t="s">
        <v>1380</v>
      </c>
      <c r="M13" s="849"/>
      <c r="N13" s="849" t="s">
        <v>4688</v>
      </c>
      <c r="O13" s="665" t="s">
        <v>4689</v>
      </c>
      <c r="P13" s="665" t="s">
        <v>4690</v>
      </c>
      <c r="Q13" s="665" t="s">
        <v>4690</v>
      </c>
      <c r="R13" s="665" t="s">
        <v>4690</v>
      </c>
      <c r="S13" s="665" t="s">
        <v>4691</v>
      </c>
      <c r="T13" s="665" t="s">
        <v>4692</v>
      </c>
      <c r="U13" s="665" t="s">
        <v>4692</v>
      </c>
      <c r="V13" s="665"/>
      <c r="X13" s="821" t="s">
        <v>4693</v>
      </c>
      <c r="Y13" s="822">
        <v>238.26</v>
      </c>
      <c r="Z13" s="823">
        <f>0.737/$Y$25</f>
        <v>0.45795170691090759</v>
      </c>
      <c r="AA13" s="823">
        <f>0.05/$Y$25</f>
        <v>3.1068636832490341E-2</v>
      </c>
      <c r="AB13" s="665" t="s">
        <v>4694</v>
      </c>
      <c r="AH13" s="825" t="str">
        <f t="shared" si="15"/>
        <v>Taxi</v>
      </c>
      <c r="AJ13" s="825" t="str">
        <f t="shared" si="13"/>
        <v>Train</v>
      </c>
      <c r="AN13" s="917" t="s">
        <v>5668</v>
      </c>
      <c r="AW13" s="916" t="s">
        <v>4886</v>
      </c>
      <c r="AX13" s="842" t="s">
        <v>4657</v>
      </c>
      <c r="AY13" s="828" t="str">
        <f>+BZ21</f>
        <v>Caribbean</v>
      </c>
      <c r="AZ13" s="827">
        <v>450</v>
      </c>
      <c r="BA13" s="665" t="s">
        <v>4573</v>
      </c>
      <c r="BB13" s="829">
        <v>9.3894684857089938</v>
      </c>
      <c r="BC13" s="665" t="s">
        <v>4658</v>
      </c>
      <c r="BD13" s="830"/>
      <c r="BE13" s="830"/>
      <c r="BF13" s="665"/>
      <c r="BG13" s="830"/>
      <c r="BH13" s="831">
        <f t="shared" si="17"/>
        <v>17</v>
      </c>
      <c r="BI13" s="831">
        <f t="shared" si="18"/>
        <v>5.0999999999999996</v>
      </c>
      <c r="BJ13" s="831">
        <f t="shared" si="19"/>
        <v>46.9</v>
      </c>
      <c r="BK13" s="831">
        <f t="shared" si="20"/>
        <v>2.4</v>
      </c>
      <c r="BL13" s="831">
        <f t="shared" si="21"/>
        <v>9.5</v>
      </c>
      <c r="BM13" s="831">
        <f t="shared" si="22"/>
        <v>5.6</v>
      </c>
      <c r="BN13" s="831">
        <f t="shared" si="23"/>
        <v>9.9</v>
      </c>
      <c r="BO13" s="831">
        <f t="shared" si="24"/>
        <v>3.5999999999999943</v>
      </c>
      <c r="BP13" s="831">
        <f t="shared" si="16"/>
        <v>100</v>
      </c>
      <c r="BQ13" s="665" t="s">
        <v>4575</v>
      </c>
      <c r="BR13" s="832"/>
      <c r="BS13" s="832"/>
      <c r="BT13" s="832"/>
      <c r="BU13" s="832"/>
      <c r="BV13" s="832"/>
      <c r="BW13" s="832"/>
      <c r="BX13" s="665"/>
      <c r="BZ13" s="833" t="s">
        <v>4695</v>
      </c>
      <c r="CA13" s="831">
        <v>30.6</v>
      </c>
      <c r="CB13" s="831">
        <v>2</v>
      </c>
      <c r="CC13" s="831">
        <v>23.8</v>
      </c>
      <c r="CD13" s="831">
        <v>10</v>
      </c>
      <c r="CE13" s="831">
        <v>9.5</v>
      </c>
      <c r="CF13" s="831">
        <v>5.6</v>
      </c>
      <c r="CG13" s="831">
        <v>13</v>
      </c>
      <c r="CH13" s="831">
        <f t="shared" si="11"/>
        <v>5.5</v>
      </c>
      <c r="CI13" s="831">
        <f t="shared" si="12"/>
        <v>100</v>
      </c>
      <c r="CK13" s="834" t="str">
        <f>+'Results &amp; Summary'!B27</f>
        <v>Upstream transportation &amp; distribution</v>
      </c>
      <c r="DH13" s="834" t="str">
        <f t="shared" si="10"/>
        <v>Canada-Quebec (QC)</v>
      </c>
      <c r="DI13" s="834" t="str">
        <f t="shared" si="10"/>
        <v>Americas</v>
      </c>
      <c r="DJ13" s="834" t="str">
        <f t="shared" si="10"/>
        <v>Caribbean</v>
      </c>
      <c r="DL13" s="834" t="s">
        <v>4584</v>
      </c>
      <c r="DN13" s="834" t="s">
        <v>4696</v>
      </c>
      <c r="DO13" s="834" t="s">
        <v>4697</v>
      </c>
    </row>
    <row r="14" spans="1:124">
      <c r="C14" s="632" t="s">
        <v>4450</v>
      </c>
      <c r="D14" s="841" t="s">
        <v>4651</v>
      </c>
      <c r="E14" s="816">
        <v>1430</v>
      </c>
      <c r="F14" s="817" t="s">
        <v>4652</v>
      </c>
      <c r="G14" s="818" t="s">
        <v>4564</v>
      </c>
      <c r="H14" s="817"/>
      <c r="I14" s="818"/>
      <c r="J14" s="817"/>
      <c r="M14" s="610"/>
      <c r="N14" s="610"/>
      <c r="O14" s="610"/>
      <c r="P14" s="610"/>
      <c r="Q14" s="610"/>
      <c r="R14" s="610"/>
      <c r="S14" s="610"/>
      <c r="T14" s="610"/>
      <c r="U14" s="610"/>
      <c r="V14" s="610"/>
      <c r="X14" s="821" t="s">
        <v>4698</v>
      </c>
      <c r="Y14" s="822">
        <v>74.14</v>
      </c>
      <c r="Z14" s="823">
        <v>1.9E-3</v>
      </c>
      <c r="AA14" s="823">
        <v>1.4E-3</v>
      </c>
      <c r="AB14" s="824" t="s">
        <v>4654</v>
      </c>
      <c r="AC14" s="823"/>
      <c r="AH14" s="825" t="str">
        <f t="shared" si="15"/>
        <v>Train</v>
      </c>
      <c r="AW14" s="916" t="s">
        <v>4890</v>
      </c>
      <c r="AX14" s="842" t="s">
        <v>4626</v>
      </c>
      <c r="AY14" s="846" t="str">
        <f>+BZ16</f>
        <v>Australia and New Zealand</v>
      </c>
      <c r="AZ14" s="842">
        <v>810</v>
      </c>
      <c r="BA14" s="665" t="s">
        <v>4699</v>
      </c>
      <c r="BB14" s="847">
        <v>4.78</v>
      </c>
      <c r="BC14" s="665" t="s">
        <v>4598</v>
      </c>
      <c r="BD14" s="830"/>
      <c r="BE14" s="830"/>
      <c r="BF14" s="665"/>
      <c r="BG14" s="830"/>
      <c r="BH14" s="831">
        <f t="shared" si="17"/>
        <v>30</v>
      </c>
      <c r="BI14" s="831">
        <f t="shared" si="18"/>
        <v>2</v>
      </c>
      <c r="BJ14" s="831">
        <f t="shared" si="19"/>
        <v>36</v>
      </c>
      <c r="BK14" s="831">
        <f t="shared" si="20"/>
        <v>24</v>
      </c>
      <c r="BL14" s="831">
        <f t="shared" si="21"/>
        <v>2</v>
      </c>
      <c r="BM14" s="831">
        <f t="shared" si="22"/>
        <v>2</v>
      </c>
      <c r="BN14" s="831">
        <f t="shared" si="23"/>
        <v>2</v>
      </c>
      <c r="BO14" s="831">
        <f t="shared" si="24"/>
        <v>2</v>
      </c>
      <c r="BP14" s="831">
        <f t="shared" si="16"/>
        <v>100</v>
      </c>
      <c r="BQ14" s="665" t="s">
        <v>4575</v>
      </c>
      <c r="BR14" s="832"/>
      <c r="BS14" s="832"/>
      <c r="BT14" s="832"/>
      <c r="BU14" s="832"/>
      <c r="BV14" s="832"/>
      <c r="BW14" s="832"/>
      <c r="BX14" s="665"/>
      <c r="BZ14" s="833" t="s">
        <v>4700</v>
      </c>
      <c r="CA14" s="831">
        <v>17</v>
      </c>
      <c r="CB14" s="831">
        <v>6.8</v>
      </c>
      <c r="CC14" s="831">
        <v>36.9</v>
      </c>
      <c r="CD14" s="831">
        <v>10.6</v>
      </c>
      <c r="CE14" s="831">
        <v>9.5</v>
      </c>
      <c r="CF14" s="831">
        <v>5.6</v>
      </c>
      <c r="CG14" s="831">
        <v>6.8</v>
      </c>
      <c r="CH14" s="831">
        <f>+(100-$CA14-$CC14-$CD14-$CE14-$CF14)/3</f>
        <v>6.8</v>
      </c>
      <c r="CI14" s="831">
        <f t="shared" si="12"/>
        <v>99.999999999999986</v>
      </c>
      <c r="CK14" s="834" t="str">
        <f>+'Results &amp; Summary'!B21</f>
        <v>Purchased Electricity</v>
      </c>
      <c r="DH14" s="834" t="str">
        <f t="shared" si="10"/>
        <v>Canada-Saskatchewan (SK)</v>
      </c>
      <c r="DI14" s="834" t="str">
        <f t="shared" si="10"/>
        <v>Oceania</v>
      </c>
      <c r="DJ14" s="834" t="str">
        <f t="shared" si="10"/>
        <v>Australia and New Zealand</v>
      </c>
      <c r="DK14" s="834" t="e">
        <f>VLOOKUP(DH14,#REF!,1)</f>
        <v>#REF!</v>
      </c>
      <c r="DL14" s="834" t="e">
        <f>VLOOKUP(DK14,#REF!,2,FALSE)</f>
        <v>#REF!</v>
      </c>
      <c r="DN14" s="834" t="s">
        <v>4701</v>
      </c>
      <c r="DO14" s="834" t="s">
        <v>4702</v>
      </c>
    </row>
    <row r="15" spans="1:124">
      <c r="C15" s="632" t="s">
        <v>4703</v>
      </c>
      <c r="D15" s="841" t="s">
        <v>4651</v>
      </c>
      <c r="E15" s="816">
        <v>353</v>
      </c>
      <c r="F15" s="817" t="s">
        <v>4652</v>
      </c>
      <c r="G15" s="818" t="s">
        <v>4564</v>
      </c>
      <c r="H15" s="817"/>
      <c r="I15" s="818"/>
      <c r="J15" s="817"/>
      <c r="L15" s="610"/>
      <c r="M15" s="610"/>
      <c r="N15" s="610"/>
      <c r="O15" s="610"/>
      <c r="P15" s="610"/>
      <c r="Q15" s="610"/>
      <c r="R15" s="610"/>
      <c r="S15" s="610"/>
      <c r="T15" s="610"/>
      <c r="U15" s="610"/>
      <c r="V15" s="610"/>
      <c r="X15" s="821" t="s">
        <v>4704</v>
      </c>
      <c r="Y15" s="822">
        <f>203/$Y$25</f>
        <v>126.13866553991078</v>
      </c>
      <c r="Z15" s="823">
        <f>0.0899/$Y$25</f>
        <v>5.5861409024817621E-2</v>
      </c>
      <c r="AA15" s="823">
        <f>0.0087/$Y$25</f>
        <v>5.405942808853318E-3</v>
      </c>
      <c r="AB15" s="824" t="s">
        <v>4568</v>
      </c>
      <c r="AC15" s="823"/>
      <c r="AW15" s="916" t="s">
        <v>4894</v>
      </c>
      <c r="AX15" s="842" t="s">
        <v>4626</v>
      </c>
      <c r="AY15" s="846" t="str">
        <f>+BZ16</f>
        <v>Australia and New Zealand</v>
      </c>
      <c r="AZ15" s="842">
        <v>1020</v>
      </c>
      <c r="BA15" s="665" t="s">
        <v>4699</v>
      </c>
      <c r="BB15" s="847">
        <v>4.78</v>
      </c>
      <c r="BC15" s="665" t="s">
        <v>4598</v>
      </c>
      <c r="BD15" s="830"/>
      <c r="BE15" s="830"/>
      <c r="BF15" s="665"/>
      <c r="BG15" s="830"/>
      <c r="BH15" s="831">
        <f t="shared" si="17"/>
        <v>30</v>
      </c>
      <c r="BI15" s="831">
        <f t="shared" si="18"/>
        <v>2</v>
      </c>
      <c r="BJ15" s="831">
        <f t="shared" si="19"/>
        <v>36</v>
      </c>
      <c r="BK15" s="831">
        <f t="shared" si="20"/>
        <v>24</v>
      </c>
      <c r="BL15" s="831">
        <f t="shared" si="21"/>
        <v>2</v>
      </c>
      <c r="BM15" s="831">
        <f t="shared" si="22"/>
        <v>2</v>
      </c>
      <c r="BN15" s="831">
        <f t="shared" si="23"/>
        <v>2</v>
      </c>
      <c r="BO15" s="831">
        <f t="shared" si="24"/>
        <v>2</v>
      </c>
      <c r="BP15" s="831">
        <f t="shared" si="16"/>
        <v>100</v>
      </c>
      <c r="BQ15" s="665" t="s">
        <v>4575</v>
      </c>
      <c r="BR15" s="832"/>
      <c r="BS15" s="832"/>
      <c r="BT15" s="832"/>
      <c r="BU15" s="832"/>
      <c r="BV15" s="832"/>
      <c r="BW15" s="832"/>
      <c r="BX15" s="665"/>
      <c r="BZ15" s="833" t="s">
        <v>4705</v>
      </c>
      <c r="CA15" s="831">
        <v>27.5</v>
      </c>
      <c r="CB15" s="831">
        <v>7.4</v>
      </c>
      <c r="CC15" s="831">
        <v>24.2</v>
      </c>
      <c r="CD15" s="831">
        <v>11</v>
      </c>
      <c r="CE15" s="831">
        <v>9.5</v>
      </c>
      <c r="CF15" s="831">
        <v>5.6</v>
      </c>
      <c r="CG15" s="831">
        <v>7.4</v>
      </c>
      <c r="CH15" s="831">
        <f>+(100-$CA15-$CC15-$CD15-$CE15-$CF15)/3</f>
        <v>7.3999999999999986</v>
      </c>
      <c r="CI15" s="831">
        <f t="shared" si="12"/>
        <v>100</v>
      </c>
      <c r="CK15" s="834" t="str">
        <f>+'Scope 1 and 2 Data'!B255</f>
        <v>Purchased Steam, Hot and Chilled Water</v>
      </c>
      <c r="DH15" s="834" t="str">
        <f t="shared" si="10"/>
        <v>Canada-Yukon Territory (YT)</v>
      </c>
      <c r="DI15" s="834" t="str">
        <f t="shared" si="10"/>
        <v>Oceania</v>
      </c>
      <c r="DJ15" s="834" t="str">
        <f t="shared" si="10"/>
        <v>Australia and New Zealand</v>
      </c>
      <c r="DK15" s="834" t="e">
        <f>VLOOKUP(DH15,#REF!,1)</f>
        <v>#REF!</v>
      </c>
      <c r="DL15" s="834" t="e">
        <f>VLOOKUP(DK15,#REF!,2,FALSE)</f>
        <v>#REF!</v>
      </c>
      <c r="DN15" s="834" t="s">
        <v>4706</v>
      </c>
      <c r="DO15" s="834" t="s">
        <v>4707</v>
      </c>
    </row>
    <row r="16" spans="1:124" ht="25.5">
      <c r="C16" s="632" t="s">
        <v>4708</v>
      </c>
      <c r="D16" s="841" t="s">
        <v>4651</v>
      </c>
      <c r="E16" s="816">
        <v>4470</v>
      </c>
      <c r="F16" s="817" t="s">
        <v>4652</v>
      </c>
      <c r="G16" s="818" t="s">
        <v>4564</v>
      </c>
      <c r="H16" s="817"/>
      <c r="I16" s="818"/>
      <c r="J16" s="817"/>
      <c r="M16" s="610"/>
      <c r="N16" s="610"/>
      <c r="O16" s="610"/>
      <c r="P16" s="610">
        <f>(2453847.952*'S1&amp;2 Lists'!N3*'S1&amp;2 Lists'!O3*'S1&amp;2 Lists'!P3)/1000</f>
        <v>4625405.2356019197</v>
      </c>
      <c r="Q16" s="610"/>
      <c r="R16" s="610"/>
      <c r="S16" s="610"/>
      <c r="T16" s="610"/>
      <c r="U16" s="610"/>
      <c r="V16" s="610"/>
      <c r="X16" s="821" t="s">
        <v>4709</v>
      </c>
      <c r="Y16" s="822">
        <v>152.30000000000001</v>
      </c>
      <c r="Z16" s="823">
        <v>1.6999999999999999E-3</v>
      </c>
      <c r="AA16" s="823">
        <v>3.8E-3</v>
      </c>
      <c r="AB16" s="824" t="s">
        <v>4654</v>
      </c>
      <c r="AC16" s="823"/>
      <c r="AW16" s="916" t="s">
        <v>5391</v>
      </c>
      <c r="AX16" s="842" t="s">
        <v>4626</v>
      </c>
      <c r="AY16" s="846" t="str">
        <f>+BZ16</f>
        <v>Australia and New Zealand</v>
      </c>
      <c r="AZ16" s="1098">
        <v>487.00766904800008</v>
      </c>
      <c r="BA16" s="665" t="s">
        <v>4699</v>
      </c>
      <c r="BB16" s="847">
        <v>4.78</v>
      </c>
      <c r="BC16" s="665" t="s">
        <v>4598</v>
      </c>
      <c r="BD16" s="830"/>
      <c r="BE16" s="830"/>
      <c r="BF16" s="665"/>
      <c r="BG16" s="830"/>
      <c r="BH16" s="831">
        <f t="shared" si="17"/>
        <v>30</v>
      </c>
      <c r="BI16" s="831">
        <f t="shared" si="18"/>
        <v>2</v>
      </c>
      <c r="BJ16" s="831">
        <f t="shared" si="19"/>
        <v>36</v>
      </c>
      <c r="BK16" s="831">
        <f t="shared" si="20"/>
        <v>24</v>
      </c>
      <c r="BL16" s="831">
        <f t="shared" si="21"/>
        <v>2</v>
      </c>
      <c r="BM16" s="831">
        <f t="shared" si="22"/>
        <v>2</v>
      </c>
      <c r="BN16" s="831">
        <f t="shared" si="23"/>
        <v>2</v>
      </c>
      <c r="BO16" s="831">
        <f t="shared" si="24"/>
        <v>2</v>
      </c>
      <c r="BP16" s="831">
        <f t="shared" si="16"/>
        <v>100</v>
      </c>
      <c r="BQ16" s="665" t="s">
        <v>4575</v>
      </c>
      <c r="BR16" s="832"/>
      <c r="BS16" s="832"/>
      <c r="BT16" s="832"/>
      <c r="BU16" s="832"/>
      <c r="BV16" s="832"/>
      <c r="BW16" s="832"/>
      <c r="BX16" s="665"/>
      <c r="BZ16" s="833" t="s">
        <v>4710</v>
      </c>
      <c r="CA16" s="831">
        <v>30</v>
      </c>
      <c r="CB16" s="831">
        <v>2</v>
      </c>
      <c r="CC16" s="831">
        <v>36</v>
      </c>
      <c r="CD16" s="831">
        <v>24</v>
      </c>
      <c r="CE16" s="831">
        <v>2</v>
      </c>
      <c r="CF16" s="831">
        <v>2</v>
      </c>
      <c r="CG16" s="831">
        <v>2</v>
      </c>
      <c r="CH16" s="831">
        <f>+(100-$CA16-$CC16-$CD16)/5</f>
        <v>2</v>
      </c>
      <c r="CI16" s="831">
        <f t="shared" si="12"/>
        <v>100</v>
      </c>
      <c r="CK16" s="834" t="str">
        <f>+'Results &amp; Summary'!B33</f>
        <v>Processing of sold products</v>
      </c>
      <c r="DH16" s="834" t="str">
        <f t="shared" si="10"/>
        <v>US-AKGD (ASCC Alaska Grid)</v>
      </c>
      <c r="DI16" s="834" t="str">
        <f t="shared" si="10"/>
        <v>Oceania</v>
      </c>
      <c r="DJ16" s="834" t="str">
        <f t="shared" si="10"/>
        <v>Australia and New Zealand</v>
      </c>
      <c r="DK16" s="834" t="e">
        <f>VLOOKUP(DH16,#REF!,1)</f>
        <v>#REF!</v>
      </c>
      <c r="DL16" s="834" t="e">
        <f>VLOOKUP(DK16,#REF!,2,FALSE)</f>
        <v>#REF!</v>
      </c>
      <c r="DN16" s="834" t="s">
        <v>4711</v>
      </c>
      <c r="DO16" s="834" t="s">
        <v>4712</v>
      </c>
    </row>
    <row r="17" spans="3:119" ht="12.75" customHeight="1">
      <c r="C17" s="632" t="s">
        <v>4713</v>
      </c>
      <c r="D17" s="841" t="s">
        <v>4651</v>
      </c>
      <c r="E17" s="816">
        <v>53</v>
      </c>
      <c r="F17" s="817" t="s">
        <v>4652</v>
      </c>
      <c r="G17" s="818" t="s">
        <v>4564</v>
      </c>
      <c r="H17" s="817"/>
      <c r="I17" s="818"/>
      <c r="J17" s="817"/>
      <c r="L17" s="610"/>
      <c r="M17" s="610"/>
      <c r="N17" s="610"/>
      <c r="O17" s="610"/>
      <c r="P17" s="610"/>
      <c r="Q17" s="610"/>
      <c r="R17" s="610"/>
      <c r="S17" s="610"/>
      <c r="T17" s="610"/>
      <c r="U17" s="610"/>
      <c r="V17" s="610"/>
      <c r="X17" s="821" t="s">
        <v>4714</v>
      </c>
      <c r="Y17" s="822">
        <v>76.8</v>
      </c>
      <c r="Z17" s="823">
        <v>1.9E-3</v>
      </c>
      <c r="AA17" s="823">
        <v>1.4E-3</v>
      </c>
      <c r="AB17" s="824" t="s">
        <v>4654</v>
      </c>
      <c r="AC17" s="823"/>
      <c r="AW17" s="916" t="s">
        <v>5393</v>
      </c>
      <c r="AX17" s="842" t="s">
        <v>4626</v>
      </c>
      <c r="AY17" s="846" t="str">
        <f>+BZ16</f>
        <v>Australia and New Zealand</v>
      </c>
      <c r="AZ17" s="1098">
        <v>220.93332340000001</v>
      </c>
      <c r="BA17" s="665" t="s">
        <v>4699</v>
      </c>
      <c r="BB17" s="847">
        <v>4.78</v>
      </c>
      <c r="BC17" s="665" t="s">
        <v>4598</v>
      </c>
      <c r="BD17" s="830"/>
      <c r="BE17" s="830"/>
      <c r="BF17" s="665"/>
      <c r="BG17" s="830"/>
      <c r="BH17" s="831">
        <f t="shared" si="17"/>
        <v>30</v>
      </c>
      <c r="BI17" s="831">
        <f t="shared" si="18"/>
        <v>2</v>
      </c>
      <c r="BJ17" s="831">
        <f t="shared" si="19"/>
        <v>36</v>
      </c>
      <c r="BK17" s="831">
        <f t="shared" si="20"/>
        <v>24</v>
      </c>
      <c r="BL17" s="831">
        <f t="shared" si="21"/>
        <v>2</v>
      </c>
      <c r="BM17" s="831">
        <f t="shared" si="22"/>
        <v>2</v>
      </c>
      <c r="BN17" s="831">
        <f t="shared" si="23"/>
        <v>2</v>
      </c>
      <c r="BO17" s="831">
        <f t="shared" si="24"/>
        <v>2</v>
      </c>
      <c r="BP17" s="831">
        <f t="shared" si="16"/>
        <v>100</v>
      </c>
      <c r="BQ17" s="665" t="s">
        <v>4575</v>
      </c>
      <c r="BR17" s="832"/>
      <c r="BS17" s="832"/>
      <c r="BT17" s="832"/>
      <c r="BU17" s="832"/>
      <c r="BV17" s="832"/>
      <c r="BW17" s="832"/>
      <c r="BX17" s="665"/>
      <c r="BZ17" s="833" t="s">
        <v>4715</v>
      </c>
      <c r="CA17" s="831">
        <v>6</v>
      </c>
      <c r="CB17" s="831">
        <v>2.97</v>
      </c>
      <c r="CC17" s="831">
        <v>67.5</v>
      </c>
      <c r="CD17" s="831">
        <v>2.5</v>
      </c>
      <c r="CE17" s="831">
        <v>9.5</v>
      </c>
      <c r="CF17" s="831">
        <v>5.6</v>
      </c>
      <c r="CG17" s="831">
        <v>2.97</v>
      </c>
      <c r="CH17" s="831">
        <f>+(100-$CA17-$CC17-$CD17-$CE17-$CF17)/3</f>
        <v>2.9666666666666668</v>
      </c>
      <c r="CI17" s="831">
        <f t="shared" si="12"/>
        <v>100.00666666666666</v>
      </c>
      <c r="CK17" s="834" t="str">
        <f>+'Results &amp; Summary'!B8</f>
        <v>Stationary Combustion</v>
      </c>
      <c r="DH17" s="834" t="str">
        <f t="shared" si="10"/>
        <v>US-AKMS (ASCC Miscellaneous)</v>
      </c>
      <c r="DI17" s="834" t="str">
        <f t="shared" si="10"/>
        <v>Oceania</v>
      </c>
      <c r="DJ17" s="834" t="str">
        <f t="shared" si="10"/>
        <v>Australia and New Zealand</v>
      </c>
      <c r="DK17" s="834" t="e">
        <f>VLOOKUP(DH17,#REF!,1)</f>
        <v>#REF!</v>
      </c>
      <c r="DL17" s="834" t="e">
        <f>VLOOKUP(DK17,#REF!,2,FALSE)</f>
        <v>#REF!</v>
      </c>
      <c r="DN17" s="834" t="s">
        <v>4716</v>
      </c>
      <c r="DO17" s="834" t="s">
        <v>4717</v>
      </c>
    </row>
    <row r="18" spans="3:119">
      <c r="C18" s="632" t="s">
        <v>4718</v>
      </c>
      <c r="D18" s="841" t="s">
        <v>4651</v>
      </c>
      <c r="E18" s="816">
        <v>124</v>
      </c>
      <c r="F18" s="817" t="s">
        <v>4652</v>
      </c>
      <c r="G18" s="818" t="s">
        <v>4564</v>
      </c>
      <c r="H18" s="817"/>
      <c r="I18" s="818"/>
      <c r="J18" s="817"/>
      <c r="L18" s="610"/>
      <c r="M18" s="610"/>
      <c r="N18" s="610"/>
      <c r="O18" s="610"/>
      <c r="P18" s="610"/>
      <c r="Q18" s="610"/>
      <c r="R18" s="610"/>
      <c r="S18" s="610"/>
      <c r="T18" s="610"/>
      <c r="U18" s="610"/>
      <c r="V18" s="610"/>
      <c r="X18" s="1155" t="str">
        <f>+"* Not applicable for "&amp;X3&amp;", "&amp;X4&amp;", "&amp;X11&amp;", "&amp;X12&amp;" y "&amp;X15&amp;" where units are [g(GAS)/km]"</f>
        <v>* Not applicable for Private car (diesel), Private car (gasoline), Private SUV or truck (diesel), Private SUV (gasolina) y Motorbike where units are [g(GAS)/km]</v>
      </c>
      <c r="Y18" s="1156"/>
      <c r="Z18" s="1156"/>
      <c r="AA18" s="1156"/>
      <c r="AB18" s="1156"/>
      <c r="AC18" s="1157"/>
      <c r="AW18" s="916" t="s">
        <v>5394</v>
      </c>
      <c r="AX18" s="842" t="s">
        <v>4626</v>
      </c>
      <c r="AY18" s="846" t="str">
        <f>+BZ16</f>
        <v>Australia and New Zealand</v>
      </c>
      <c r="AZ18" s="1098">
        <v>373.34477132000006</v>
      </c>
      <c r="BA18" s="665" t="s">
        <v>4699</v>
      </c>
      <c r="BB18" s="847">
        <v>4.78</v>
      </c>
      <c r="BC18" s="665" t="s">
        <v>4598</v>
      </c>
      <c r="BD18" s="830"/>
      <c r="BE18" s="830"/>
      <c r="BF18" s="665"/>
      <c r="BG18" s="830"/>
      <c r="BH18" s="831">
        <f t="shared" si="17"/>
        <v>30</v>
      </c>
      <c r="BI18" s="831">
        <f t="shared" si="18"/>
        <v>2</v>
      </c>
      <c r="BJ18" s="831">
        <f t="shared" si="19"/>
        <v>36</v>
      </c>
      <c r="BK18" s="831">
        <f t="shared" si="20"/>
        <v>24</v>
      </c>
      <c r="BL18" s="831">
        <f t="shared" si="21"/>
        <v>2</v>
      </c>
      <c r="BM18" s="831">
        <f t="shared" si="22"/>
        <v>2</v>
      </c>
      <c r="BN18" s="831">
        <f t="shared" si="23"/>
        <v>2</v>
      </c>
      <c r="BO18" s="831">
        <f t="shared" si="24"/>
        <v>2</v>
      </c>
      <c r="BP18" s="831">
        <f t="shared" si="16"/>
        <v>100</v>
      </c>
      <c r="BQ18" s="665" t="s">
        <v>4575</v>
      </c>
      <c r="BR18" s="832"/>
      <c r="BS18" s="832"/>
      <c r="BT18" s="832"/>
      <c r="BU18" s="832"/>
      <c r="BV18" s="832"/>
      <c r="BW18" s="832"/>
      <c r="BX18" s="665"/>
      <c r="BZ18" s="833" t="s">
        <v>4719</v>
      </c>
      <c r="CA18" s="831">
        <v>23.2</v>
      </c>
      <c r="CB18" s="831">
        <v>3.9</v>
      </c>
      <c r="CC18" s="831">
        <v>33.9</v>
      </c>
      <c r="CD18" s="831">
        <v>6.2</v>
      </c>
      <c r="CE18" s="831">
        <v>9.5</v>
      </c>
      <c r="CF18" s="831">
        <v>5.6</v>
      </c>
      <c r="CG18" s="831">
        <v>8.5</v>
      </c>
      <c r="CH18" s="831">
        <f>100-SUM(CA18:CG18)</f>
        <v>9.2000000000000028</v>
      </c>
      <c r="CI18" s="831">
        <f t="shared" si="12"/>
        <v>100</v>
      </c>
      <c r="DH18" s="834" t="str">
        <f t="shared" si="10"/>
        <v>US-AZNM (WECC Southwest)</v>
      </c>
      <c r="DI18" s="834" t="str">
        <f t="shared" si="10"/>
        <v>Oceania</v>
      </c>
      <c r="DJ18" s="834" t="str">
        <f t="shared" si="10"/>
        <v>Australia and New Zealand</v>
      </c>
      <c r="DK18" s="834" t="e">
        <f>VLOOKUP(DH18,#REF!,1)</f>
        <v>#REF!</v>
      </c>
      <c r="DL18" s="834" t="e">
        <f>VLOOKUP(DK18,#REF!,2,FALSE)</f>
        <v>#REF!</v>
      </c>
      <c r="DN18" s="834" t="s">
        <v>4720</v>
      </c>
      <c r="DO18" s="834" t="s">
        <v>4721</v>
      </c>
    </row>
    <row r="19" spans="3:119">
      <c r="C19" s="632" t="s">
        <v>4722</v>
      </c>
      <c r="D19" s="841" t="s">
        <v>4651</v>
      </c>
      <c r="E19" s="816">
        <v>12</v>
      </c>
      <c r="F19" s="817" t="s">
        <v>4652</v>
      </c>
      <c r="G19" s="818" t="s">
        <v>4564</v>
      </c>
      <c r="H19" s="817"/>
      <c r="I19" s="818"/>
      <c r="J19" s="817"/>
      <c r="L19" s="610"/>
      <c r="M19" s="610"/>
      <c r="N19" s="610"/>
      <c r="O19" s="610"/>
      <c r="P19" s="610"/>
      <c r="Q19" s="610"/>
      <c r="R19" s="610"/>
      <c r="S19" s="610"/>
      <c r="T19" s="610"/>
      <c r="U19" s="610"/>
      <c r="V19" s="610"/>
      <c r="AW19" s="916" t="s">
        <v>5395</v>
      </c>
      <c r="AX19" s="842" t="s">
        <v>4626</v>
      </c>
      <c r="AY19" s="846" t="str">
        <f>+BZ16</f>
        <v>Australia and New Zealand</v>
      </c>
      <c r="AZ19" s="1098">
        <v>242.039412752</v>
      </c>
      <c r="BA19" s="665" t="s">
        <v>4699</v>
      </c>
      <c r="BB19" s="847">
        <v>4.78</v>
      </c>
      <c r="BC19" s="665" t="s">
        <v>4598</v>
      </c>
      <c r="BD19" s="830"/>
      <c r="BE19" s="830"/>
      <c r="BF19" s="665"/>
      <c r="BG19" s="830"/>
      <c r="BH19" s="831">
        <f t="shared" si="17"/>
        <v>30</v>
      </c>
      <c r="BI19" s="831">
        <f t="shared" si="18"/>
        <v>2</v>
      </c>
      <c r="BJ19" s="831">
        <f t="shared" si="19"/>
        <v>36</v>
      </c>
      <c r="BK19" s="831">
        <f t="shared" si="20"/>
        <v>24</v>
      </c>
      <c r="BL19" s="831">
        <f t="shared" si="21"/>
        <v>2</v>
      </c>
      <c r="BM19" s="831">
        <f t="shared" si="22"/>
        <v>2</v>
      </c>
      <c r="BN19" s="831">
        <f t="shared" si="23"/>
        <v>2</v>
      </c>
      <c r="BO19" s="831">
        <f t="shared" si="24"/>
        <v>2</v>
      </c>
      <c r="BP19" s="831">
        <f t="shared" si="16"/>
        <v>100</v>
      </c>
      <c r="BQ19" s="665" t="s">
        <v>4575</v>
      </c>
      <c r="BR19" s="832"/>
      <c r="BS19" s="832"/>
      <c r="BT19" s="832"/>
      <c r="BU19" s="832"/>
      <c r="BV19" s="832"/>
      <c r="BW19" s="832"/>
      <c r="BX19" s="665"/>
      <c r="BZ19" s="833" t="s">
        <v>4723</v>
      </c>
      <c r="CA19" s="831">
        <v>13.7</v>
      </c>
      <c r="CB19" s="831">
        <v>2.6</v>
      </c>
      <c r="CC19" s="831">
        <v>43.8</v>
      </c>
      <c r="CD19" s="831">
        <v>13.5</v>
      </c>
      <c r="CE19" s="831">
        <v>9.5</v>
      </c>
      <c r="CF19" s="831">
        <v>5.6</v>
      </c>
      <c r="CG19" s="831">
        <v>6.7</v>
      </c>
      <c r="CH19" s="831">
        <f>100-SUM(CA19:CG19)</f>
        <v>4.6000000000000085</v>
      </c>
      <c r="CI19" s="831">
        <f t="shared" si="12"/>
        <v>100</v>
      </c>
      <c r="DH19" s="834" t="str">
        <f t="shared" si="10"/>
        <v>US-CAMX (WECC California)</v>
      </c>
      <c r="DI19" s="834" t="str">
        <f t="shared" si="10"/>
        <v>Oceania</v>
      </c>
      <c r="DJ19" s="834" t="str">
        <f t="shared" si="10"/>
        <v>Australia and New Zealand</v>
      </c>
      <c r="DK19" s="834" t="e">
        <f>VLOOKUP(DH19,#REF!,1)</f>
        <v>#REF!</v>
      </c>
      <c r="DL19" s="834" t="e">
        <f>VLOOKUP(DK19,#REF!,2,FALSE)</f>
        <v>#REF!</v>
      </c>
      <c r="DN19" s="834" t="s">
        <v>4724</v>
      </c>
      <c r="DO19" s="834" t="s">
        <v>4725</v>
      </c>
    </row>
    <row r="20" spans="3:119">
      <c r="C20" s="632" t="s">
        <v>4726</v>
      </c>
      <c r="D20" s="841" t="s">
        <v>4651</v>
      </c>
      <c r="E20" s="816">
        <v>3220</v>
      </c>
      <c r="F20" s="817" t="s">
        <v>4652</v>
      </c>
      <c r="G20" s="818" t="s">
        <v>4564</v>
      </c>
      <c r="H20" s="817"/>
      <c r="I20" s="818"/>
      <c r="J20" s="817"/>
      <c r="X20" s="806" t="s">
        <v>4727</v>
      </c>
      <c r="Y20" s="806" t="s">
        <v>4728</v>
      </c>
      <c r="Z20" s="806" t="s">
        <v>4729</v>
      </c>
      <c r="AA20" s="850" t="s">
        <v>1380</v>
      </c>
      <c r="AW20" s="916" t="s">
        <v>5396</v>
      </c>
      <c r="AX20" s="842" t="s">
        <v>4626</v>
      </c>
      <c r="AY20" s="846" t="str">
        <f>+BZ16</f>
        <v>Australia and New Zealand</v>
      </c>
      <c r="AZ20" s="1098">
        <v>370.66132104800005</v>
      </c>
      <c r="BA20" s="665" t="s">
        <v>4699</v>
      </c>
      <c r="BB20" s="847">
        <v>4.78</v>
      </c>
      <c r="BC20" s="665" t="s">
        <v>4598</v>
      </c>
      <c r="BD20" s="830"/>
      <c r="BE20" s="830"/>
      <c r="BF20" s="665"/>
      <c r="BG20" s="830"/>
      <c r="BH20" s="831">
        <f t="shared" si="17"/>
        <v>30</v>
      </c>
      <c r="BI20" s="831">
        <f t="shared" si="18"/>
        <v>2</v>
      </c>
      <c r="BJ20" s="831">
        <f t="shared" si="19"/>
        <v>36</v>
      </c>
      <c r="BK20" s="831">
        <f t="shared" si="20"/>
        <v>24</v>
      </c>
      <c r="BL20" s="831">
        <f t="shared" si="21"/>
        <v>2</v>
      </c>
      <c r="BM20" s="831">
        <f t="shared" si="22"/>
        <v>2</v>
      </c>
      <c r="BN20" s="831">
        <f t="shared" si="23"/>
        <v>2</v>
      </c>
      <c r="BO20" s="831">
        <f t="shared" si="24"/>
        <v>2</v>
      </c>
      <c r="BP20" s="831">
        <f t="shared" si="16"/>
        <v>100</v>
      </c>
      <c r="BQ20" s="665" t="s">
        <v>4575</v>
      </c>
      <c r="BR20" s="832"/>
      <c r="BS20" s="832"/>
      <c r="BT20" s="832"/>
      <c r="BU20" s="832"/>
      <c r="BV20" s="832"/>
      <c r="BW20" s="832"/>
      <c r="BX20" s="665"/>
      <c r="BZ20" s="833" t="s">
        <v>4730</v>
      </c>
      <c r="CA20" s="831">
        <v>17.100000000000001</v>
      </c>
      <c r="CB20" s="831">
        <v>2.6</v>
      </c>
      <c r="CC20" s="831">
        <v>44.9</v>
      </c>
      <c r="CD20" s="831">
        <v>4.7</v>
      </c>
      <c r="CE20" s="831">
        <v>9.5</v>
      </c>
      <c r="CF20" s="831">
        <v>5.6</v>
      </c>
      <c r="CG20" s="831">
        <v>10.8</v>
      </c>
      <c r="CH20" s="831">
        <f>100-SUM(CA20:CG20)</f>
        <v>4.8000000000000114</v>
      </c>
      <c r="CI20" s="831">
        <f t="shared" si="12"/>
        <v>100</v>
      </c>
      <c r="DH20" s="834" t="str">
        <f t="shared" ref="DH20:DJ39" si="25">AW20</f>
        <v>US-ERCT (ERCOT All)</v>
      </c>
      <c r="DI20" s="834" t="str">
        <f t="shared" si="25"/>
        <v>Oceania</v>
      </c>
      <c r="DJ20" s="834" t="str">
        <f t="shared" si="25"/>
        <v>Australia and New Zealand</v>
      </c>
      <c r="DK20" s="834" t="e">
        <f>VLOOKUP(DH20,#REF!,1)</f>
        <v>#REF!</v>
      </c>
      <c r="DL20" s="834" t="e">
        <f>VLOOKUP(DK20,#REF!,2,FALSE)</f>
        <v>#REF!</v>
      </c>
      <c r="DN20" s="834" t="s">
        <v>4731</v>
      </c>
      <c r="DO20" s="834" t="s">
        <v>4732</v>
      </c>
    </row>
    <row r="21" spans="3:119">
      <c r="C21" s="632" t="s">
        <v>4733</v>
      </c>
      <c r="D21" s="841" t="s">
        <v>4651</v>
      </c>
      <c r="E21" s="816">
        <v>1340</v>
      </c>
      <c r="F21" s="817" t="s">
        <v>4652</v>
      </c>
      <c r="G21" s="818" t="s">
        <v>4564</v>
      </c>
      <c r="H21" s="817"/>
      <c r="I21" s="818"/>
      <c r="J21" s="817"/>
      <c r="X21" s="825" t="s">
        <v>4734</v>
      </c>
      <c r="Y21" s="814">
        <v>0</v>
      </c>
      <c r="Z21" s="814">
        <v>500</v>
      </c>
      <c r="AA21" s="824" t="s">
        <v>4735</v>
      </c>
      <c r="AW21" s="916" t="s">
        <v>5397</v>
      </c>
      <c r="AX21" s="842" t="s">
        <v>4626</v>
      </c>
      <c r="AY21" s="846" t="str">
        <f>+BZ16</f>
        <v>Australia and New Zealand</v>
      </c>
      <c r="AZ21" s="1098">
        <v>379.35441172799995</v>
      </c>
      <c r="BA21" s="665" t="s">
        <v>4699</v>
      </c>
      <c r="BB21" s="847">
        <v>4.78</v>
      </c>
      <c r="BC21" s="665" t="s">
        <v>4598</v>
      </c>
      <c r="BD21" s="830"/>
      <c r="BE21" s="830"/>
      <c r="BF21" s="665"/>
      <c r="BG21" s="830"/>
      <c r="BH21" s="831">
        <f t="shared" si="17"/>
        <v>30</v>
      </c>
      <c r="BI21" s="831">
        <f t="shared" si="18"/>
        <v>2</v>
      </c>
      <c r="BJ21" s="831">
        <f t="shared" si="19"/>
        <v>36</v>
      </c>
      <c r="BK21" s="831">
        <f t="shared" si="20"/>
        <v>24</v>
      </c>
      <c r="BL21" s="831">
        <f t="shared" si="21"/>
        <v>2</v>
      </c>
      <c r="BM21" s="831">
        <f t="shared" si="22"/>
        <v>2</v>
      </c>
      <c r="BN21" s="831">
        <f t="shared" si="23"/>
        <v>2</v>
      </c>
      <c r="BO21" s="831">
        <f t="shared" si="24"/>
        <v>2</v>
      </c>
      <c r="BP21" s="831">
        <f t="shared" si="16"/>
        <v>100</v>
      </c>
      <c r="BQ21" s="665" t="s">
        <v>4575</v>
      </c>
      <c r="BR21" s="832"/>
      <c r="BS21" s="832"/>
      <c r="BT21" s="832"/>
      <c r="BU21" s="832"/>
      <c r="BV21" s="832"/>
      <c r="BW21" s="832"/>
      <c r="BX21" s="665"/>
      <c r="BZ21" s="833" t="s">
        <v>4736</v>
      </c>
      <c r="CA21" s="831">
        <v>17</v>
      </c>
      <c r="CB21" s="831">
        <v>5.0999999999999996</v>
      </c>
      <c r="CC21" s="831">
        <v>46.9</v>
      </c>
      <c r="CD21" s="831">
        <v>2.4</v>
      </c>
      <c r="CE21" s="831">
        <v>9.5</v>
      </c>
      <c r="CF21" s="831">
        <v>5.6</v>
      </c>
      <c r="CG21" s="831">
        <v>9.9</v>
      </c>
      <c r="CH21" s="831">
        <f>100-SUM(CA21:CG21)</f>
        <v>3.5999999999999943</v>
      </c>
      <c r="CI21" s="831">
        <f t="shared" si="12"/>
        <v>100</v>
      </c>
      <c r="DH21" s="834" t="str">
        <f t="shared" si="25"/>
        <v>US-FRCC (FRCC All)</v>
      </c>
      <c r="DI21" s="834" t="str">
        <f t="shared" si="25"/>
        <v>Oceania</v>
      </c>
      <c r="DJ21" s="834" t="str">
        <f t="shared" si="25"/>
        <v>Australia and New Zealand</v>
      </c>
      <c r="DK21" s="834" t="e">
        <f>VLOOKUP(DH21,#REF!,1)</f>
        <v>#REF!</v>
      </c>
      <c r="DL21" s="834" t="e">
        <f>VLOOKUP(DK21,#REF!,2,FALSE)</f>
        <v>#REF!</v>
      </c>
      <c r="DN21" s="834" t="s">
        <v>4737</v>
      </c>
      <c r="DO21" s="834" t="s">
        <v>4738</v>
      </c>
    </row>
    <row r="22" spans="3:119" ht="40.5" customHeight="1">
      <c r="C22" s="632" t="s">
        <v>4739</v>
      </c>
      <c r="D22" s="841" t="s">
        <v>4651</v>
      </c>
      <c r="E22" s="816">
        <v>1370</v>
      </c>
      <c r="F22" s="817" t="s">
        <v>4652</v>
      </c>
      <c r="G22" s="818" t="s">
        <v>4564</v>
      </c>
      <c r="H22" s="817"/>
      <c r="I22" s="818"/>
      <c r="J22" s="817"/>
      <c r="X22" s="825" t="s">
        <v>4740</v>
      </c>
      <c r="Y22" s="814">
        <v>500</v>
      </c>
      <c r="Z22" s="814">
        <v>3700</v>
      </c>
      <c r="AA22" s="824" t="s">
        <v>4741</v>
      </c>
      <c r="AW22" s="916" t="s">
        <v>5398</v>
      </c>
      <c r="AX22" s="842" t="s">
        <v>4626</v>
      </c>
      <c r="AY22" s="846" t="str">
        <f>+BZ16</f>
        <v>Australia and New Zealand</v>
      </c>
      <c r="AZ22" s="1098">
        <v>518.86570316799998</v>
      </c>
      <c r="BA22" s="665" t="s">
        <v>4699</v>
      </c>
      <c r="BB22" s="847">
        <v>4.78</v>
      </c>
      <c r="BC22" s="665" t="s">
        <v>4598</v>
      </c>
      <c r="BD22" s="830"/>
      <c r="BE22" s="830"/>
      <c r="BF22" s="665"/>
      <c r="BG22" s="830"/>
      <c r="BH22" s="831">
        <f t="shared" si="17"/>
        <v>30</v>
      </c>
      <c r="BI22" s="831">
        <f t="shared" si="18"/>
        <v>2</v>
      </c>
      <c r="BJ22" s="831">
        <f t="shared" si="19"/>
        <v>36</v>
      </c>
      <c r="BK22" s="831">
        <f t="shared" si="20"/>
        <v>24</v>
      </c>
      <c r="BL22" s="831">
        <f t="shared" si="21"/>
        <v>2</v>
      </c>
      <c r="BM22" s="831">
        <f t="shared" si="22"/>
        <v>2</v>
      </c>
      <c r="BN22" s="831">
        <f t="shared" si="23"/>
        <v>2</v>
      </c>
      <c r="BO22" s="831">
        <f t="shared" si="24"/>
        <v>2</v>
      </c>
      <c r="BP22" s="831">
        <f t="shared" si="16"/>
        <v>100</v>
      </c>
      <c r="BQ22" s="665" t="s">
        <v>4575</v>
      </c>
      <c r="BR22" s="832"/>
      <c r="BS22" s="832"/>
      <c r="BT22" s="832"/>
      <c r="BU22" s="832"/>
      <c r="BV22" s="832"/>
      <c r="BW22" s="832"/>
      <c r="BX22" s="665"/>
      <c r="DH22" s="834" t="str">
        <f t="shared" si="25"/>
        <v>US-HIMS (HICC Miscellaneous)</v>
      </c>
      <c r="DI22" s="834" t="str">
        <f t="shared" si="25"/>
        <v>Oceania</v>
      </c>
      <c r="DJ22" s="834" t="str">
        <f t="shared" si="25"/>
        <v>Australia and New Zealand</v>
      </c>
      <c r="DK22" s="834" t="e">
        <f>VLOOKUP(DH22,#REF!,1)</f>
        <v>#REF!</v>
      </c>
      <c r="DL22" s="834" t="e">
        <f>VLOOKUP(DK22,#REF!,2,FALSE)</f>
        <v>#REF!</v>
      </c>
      <c r="DN22" s="834" t="s">
        <v>4742</v>
      </c>
      <c r="DO22" s="834" t="s">
        <v>4743</v>
      </c>
    </row>
    <row r="23" spans="3:119">
      <c r="C23" s="632" t="s">
        <v>4744</v>
      </c>
      <c r="D23" s="841" t="s">
        <v>4651</v>
      </c>
      <c r="E23" s="816">
        <v>9810</v>
      </c>
      <c r="F23" s="817" t="s">
        <v>4652</v>
      </c>
      <c r="G23" s="818" t="s">
        <v>4564</v>
      </c>
      <c r="H23" s="817"/>
      <c r="I23" s="818"/>
      <c r="J23" s="817"/>
      <c r="X23" s="825" t="s">
        <v>4745</v>
      </c>
      <c r="Y23" s="814">
        <v>3700</v>
      </c>
      <c r="Z23" s="814" t="s">
        <v>4746</v>
      </c>
      <c r="AA23" s="824" t="s">
        <v>4741</v>
      </c>
      <c r="AW23" s="916" t="s">
        <v>4363</v>
      </c>
      <c r="AX23" s="827" t="s">
        <v>4597</v>
      </c>
      <c r="AY23" s="828" t="str">
        <f>+BZ15</f>
        <v>Western Europe</v>
      </c>
      <c r="AZ23" s="1099">
        <v>746.38654318399995</v>
      </c>
      <c r="BA23" s="665" t="s">
        <v>4747</v>
      </c>
      <c r="BB23" s="829">
        <v>5.33</v>
      </c>
      <c r="BC23" s="665" t="s">
        <v>4598</v>
      </c>
      <c r="BD23" s="842">
        <v>5.7500000000000002E-2</v>
      </c>
      <c r="BE23" s="842">
        <v>3.5000000000000003E-2</v>
      </c>
      <c r="BF23" s="665" t="s">
        <v>4748</v>
      </c>
      <c r="BG23" s="830"/>
      <c r="BH23" s="831">
        <f t="shared" si="17"/>
        <v>27.5</v>
      </c>
      <c r="BI23" s="831">
        <f t="shared" si="18"/>
        <v>7.4</v>
      </c>
      <c r="BJ23" s="831">
        <f t="shared" si="19"/>
        <v>24.2</v>
      </c>
      <c r="BK23" s="831">
        <f t="shared" si="20"/>
        <v>11</v>
      </c>
      <c r="BL23" s="831">
        <f t="shared" si="21"/>
        <v>9.5</v>
      </c>
      <c r="BM23" s="831">
        <f t="shared" si="22"/>
        <v>5.6</v>
      </c>
      <c r="BN23" s="831">
        <f t="shared" si="23"/>
        <v>7.4</v>
      </c>
      <c r="BO23" s="831">
        <f t="shared" si="24"/>
        <v>7.3999999999999986</v>
      </c>
      <c r="BP23" s="831">
        <f t="shared" si="16"/>
        <v>100</v>
      </c>
      <c r="BQ23" s="665" t="s">
        <v>4575</v>
      </c>
      <c r="BR23" s="832"/>
      <c r="BS23" s="832"/>
      <c r="BT23" s="832"/>
      <c r="BU23" s="832"/>
      <c r="BV23" s="832"/>
      <c r="BW23" s="832"/>
      <c r="BX23" s="665"/>
      <c r="DH23" s="834" t="str">
        <f t="shared" si="25"/>
        <v>US-HIOA (HICC Oahu)</v>
      </c>
      <c r="DI23" s="834" t="str">
        <f t="shared" si="25"/>
        <v>Europe</v>
      </c>
      <c r="DJ23" s="834" t="str">
        <f t="shared" si="25"/>
        <v>Western Europe</v>
      </c>
      <c r="DK23" s="834" t="e">
        <f>VLOOKUP(DH23,#REF!,1)</f>
        <v>#REF!</v>
      </c>
      <c r="DL23" s="834" t="e">
        <f>VLOOKUP(DK23,#REF!,2,FALSE)</f>
        <v>#REF!</v>
      </c>
      <c r="DN23" s="834" t="s">
        <v>4749</v>
      </c>
      <c r="DO23" s="834" t="s">
        <v>4750</v>
      </c>
    </row>
    <row r="24" spans="3:119">
      <c r="C24" s="632" t="s">
        <v>4751</v>
      </c>
      <c r="D24" s="841" t="s">
        <v>4651</v>
      </c>
      <c r="E24" s="816">
        <v>693</v>
      </c>
      <c r="F24" s="817" t="s">
        <v>4652</v>
      </c>
      <c r="G24" s="818" t="s">
        <v>4564</v>
      </c>
      <c r="H24" s="817"/>
      <c r="I24" s="818"/>
      <c r="J24" s="817"/>
      <c r="X24" s="851"/>
      <c r="AW24" s="916" t="s">
        <v>5399</v>
      </c>
      <c r="AX24" s="827" t="s">
        <v>4572</v>
      </c>
      <c r="AY24" s="828" t="str">
        <f>+BZ6</f>
        <v>Western Asia &amp; Middle East</v>
      </c>
      <c r="AZ24" s="1099">
        <v>722.24320180000007</v>
      </c>
      <c r="BA24" s="665" t="s">
        <v>4573</v>
      </c>
      <c r="BB24" s="829">
        <v>13.6</v>
      </c>
      <c r="BC24" s="665" t="s">
        <v>4598</v>
      </c>
      <c r="BD24" s="830"/>
      <c r="BE24" s="830"/>
      <c r="BF24" s="665"/>
      <c r="BG24" s="830"/>
      <c r="BH24" s="831">
        <f t="shared" si="17"/>
        <v>18</v>
      </c>
      <c r="BI24" s="831">
        <f t="shared" si="18"/>
        <v>2.9</v>
      </c>
      <c r="BJ24" s="831">
        <f t="shared" si="19"/>
        <v>41.1</v>
      </c>
      <c r="BK24" s="831">
        <f t="shared" si="20"/>
        <v>9.8000000000000007</v>
      </c>
      <c r="BL24" s="831">
        <f t="shared" si="21"/>
        <v>9.5</v>
      </c>
      <c r="BM24" s="831">
        <f t="shared" si="22"/>
        <v>5.6</v>
      </c>
      <c r="BN24" s="831">
        <f t="shared" si="23"/>
        <v>6.3</v>
      </c>
      <c r="BO24" s="831">
        <f t="shared" si="24"/>
        <v>6.8000000000000114</v>
      </c>
      <c r="BP24" s="831">
        <f t="shared" si="16"/>
        <v>100</v>
      </c>
      <c r="BQ24" s="665" t="s">
        <v>4575</v>
      </c>
      <c r="BR24" s="832"/>
      <c r="BS24" s="832"/>
      <c r="BT24" s="832"/>
      <c r="BU24" s="832"/>
      <c r="BV24" s="832"/>
      <c r="BW24" s="832"/>
      <c r="BX24" s="665"/>
      <c r="DH24" s="834" t="str">
        <f t="shared" si="25"/>
        <v>US-MROE (MRO East)</v>
      </c>
      <c r="DI24" s="834" t="str">
        <f t="shared" si="25"/>
        <v>Asia</v>
      </c>
      <c r="DJ24" s="834" t="str">
        <f t="shared" si="25"/>
        <v>Western Asia &amp; Middle East</v>
      </c>
      <c r="DL24" s="834" t="s">
        <v>4584</v>
      </c>
      <c r="DN24" s="834" t="s">
        <v>4752</v>
      </c>
      <c r="DO24" s="834" t="s">
        <v>4753</v>
      </c>
    </row>
    <row r="25" spans="3:119">
      <c r="C25" s="632" t="s">
        <v>4754</v>
      </c>
      <c r="D25" s="841" t="s">
        <v>4651</v>
      </c>
      <c r="E25" s="816">
        <v>1030</v>
      </c>
      <c r="F25" s="817" t="s">
        <v>4652</v>
      </c>
      <c r="G25" s="818" t="s">
        <v>4564</v>
      </c>
      <c r="H25" s="817"/>
      <c r="I25" s="818"/>
      <c r="J25" s="817"/>
      <c r="X25" s="834" t="s">
        <v>4755</v>
      </c>
      <c r="Y25" s="834">
        <v>1.60934</v>
      </c>
      <c r="Z25" s="834" t="s">
        <v>4756</v>
      </c>
      <c r="AW25" s="916" t="s">
        <v>5400</v>
      </c>
      <c r="AX25" s="827" t="s">
        <v>4597</v>
      </c>
      <c r="AY25" s="828" t="str">
        <f>+BZ14</f>
        <v>Southern Europe</v>
      </c>
      <c r="AZ25" s="1099">
        <v>454.97726996799992</v>
      </c>
      <c r="BA25" s="665" t="s">
        <v>4573</v>
      </c>
      <c r="BB25" s="829">
        <v>10.025212186531689</v>
      </c>
      <c r="BC25" s="665" t="s">
        <v>4757</v>
      </c>
      <c r="BD25" s="830"/>
      <c r="BE25" s="830"/>
      <c r="BF25" s="665"/>
      <c r="BG25" s="830"/>
      <c r="BH25" s="831">
        <f t="shared" si="17"/>
        <v>17</v>
      </c>
      <c r="BI25" s="831">
        <f t="shared" si="18"/>
        <v>6.8</v>
      </c>
      <c r="BJ25" s="831">
        <f t="shared" si="19"/>
        <v>36.9</v>
      </c>
      <c r="BK25" s="831">
        <f t="shared" si="20"/>
        <v>10.6</v>
      </c>
      <c r="BL25" s="831">
        <f t="shared" si="21"/>
        <v>9.5</v>
      </c>
      <c r="BM25" s="831">
        <f t="shared" si="22"/>
        <v>5.6</v>
      </c>
      <c r="BN25" s="831">
        <f t="shared" si="23"/>
        <v>6.8</v>
      </c>
      <c r="BO25" s="831">
        <f t="shared" si="24"/>
        <v>6.8</v>
      </c>
      <c r="BP25" s="831">
        <f t="shared" si="16"/>
        <v>99.999999999999986</v>
      </c>
      <c r="BQ25" s="665" t="s">
        <v>4575</v>
      </c>
      <c r="BR25" s="832"/>
      <c r="BS25" s="832"/>
      <c r="BT25" s="832"/>
      <c r="BU25" s="832"/>
      <c r="BV25" s="832"/>
      <c r="BW25" s="832"/>
      <c r="BX25" s="665"/>
      <c r="DH25" s="834" t="str">
        <f t="shared" si="25"/>
        <v>US-MROW (MRO West)</v>
      </c>
      <c r="DI25" s="834" t="str">
        <f t="shared" si="25"/>
        <v>Europe</v>
      </c>
      <c r="DJ25" s="834" t="str">
        <f t="shared" si="25"/>
        <v>Southern Europe</v>
      </c>
      <c r="DL25" s="834" t="s">
        <v>4584</v>
      </c>
      <c r="DN25" s="834" t="s">
        <v>4758</v>
      </c>
      <c r="DO25" s="834" t="s">
        <v>4759</v>
      </c>
    </row>
    <row r="26" spans="3:119" ht="25.5">
      <c r="C26" s="632" t="s">
        <v>4760</v>
      </c>
      <c r="D26" s="841" t="s">
        <v>4651</v>
      </c>
      <c r="E26" s="816">
        <v>794</v>
      </c>
      <c r="F26" s="817" t="s">
        <v>4652</v>
      </c>
      <c r="G26" s="818" t="s">
        <v>4564</v>
      </c>
      <c r="H26" s="817"/>
      <c r="I26" s="818"/>
      <c r="J26" s="817"/>
      <c r="AW26" s="916" t="s">
        <v>5401</v>
      </c>
      <c r="AX26" s="842" t="s">
        <v>4657</v>
      </c>
      <c r="AY26" s="828" t="str">
        <f>+BZ21</f>
        <v>Caribbean</v>
      </c>
      <c r="AZ26" s="1099">
        <v>246.74905848800003</v>
      </c>
      <c r="BA26" s="665" t="s">
        <v>4573</v>
      </c>
      <c r="BB26" s="829">
        <v>9.3894684857089938</v>
      </c>
      <c r="BC26" s="665" t="s">
        <v>4658</v>
      </c>
      <c r="BD26" s="830"/>
      <c r="BE26" s="830"/>
      <c r="BF26" s="665"/>
      <c r="BG26" s="830"/>
      <c r="BH26" s="831">
        <f t="shared" si="17"/>
        <v>17</v>
      </c>
      <c r="BI26" s="831">
        <f t="shared" si="18"/>
        <v>5.0999999999999996</v>
      </c>
      <c r="BJ26" s="831">
        <f t="shared" si="19"/>
        <v>46.9</v>
      </c>
      <c r="BK26" s="831">
        <f t="shared" si="20"/>
        <v>2.4</v>
      </c>
      <c r="BL26" s="831">
        <f t="shared" si="21"/>
        <v>9.5</v>
      </c>
      <c r="BM26" s="831">
        <f t="shared" si="22"/>
        <v>5.6</v>
      </c>
      <c r="BN26" s="831">
        <f t="shared" si="23"/>
        <v>9.9</v>
      </c>
      <c r="BO26" s="831">
        <f t="shared" si="24"/>
        <v>3.5999999999999943</v>
      </c>
      <c r="BP26" s="831">
        <f t="shared" si="16"/>
        <v>100</v>
      </c>
      <c r="BQ26" s="665" t="s">
        <v>4575</v>
      </c>
      <c r="BR26" s="832"/>
      <c r="BS26" s="832"/>
      <c r="BT26" s="832"/>
      <c r="BU26" s="832"/>
      <c r="BV26" s="832"/>
      <c r="BW26" s="832"/>
      <c r="BX26" s="665"/>
      <c r="DH26" s="834" t="str">
        <f t="shared" si="25"/>
        <v>US-NEWE (NPCC New England)</v>
      </c>
      <c r="DI26" s="834" t="str">
        <f t="shared" si="25"/>
        <v>Americas</v>
      </c>
      <c r="DJ26" s="834" t="str">
        <f t="shared" si="25"/>
        <v>Caribbean</v>
      </c>
      <c r="DL26" s="834" t="s">
        <v>4584</v>
      </c>
      <c r="DN26" s="834" t="s">
        <v>4761</v>
      </c>
      <c r="DO26" s="834" t="s">
        <v>4762</v>
      </c>
    </row>
    <row r="27" spans="3:119">
      <c r="C27" s="632" t="s">
        <v>4763</v>
      </c>
      <c r="D27" s="841" t="s">
        <v>4651</v>
      </c>
      <c r="E27" s="816">
        <v>1640</v>
      </c>
      <c r="F27" s="817" t="s">
        <v>4652</v>
      </c>
      <c r="G27" s="818" t="s">
        <v>4564</v>
      </c>
      <c r="H27" s="817"/>
      <c r="I27" s="818"/>
      <c r="J27" s="817"/>
      <c r="AW27" s="916" t="s">
        <v>5402</v>
      </c>
      <c r="AX27" s="827" t="s">
        <v>4572</v>
      </c>
      <c r="AY27" s="828" t="str">
        <f>+BZ6</f>
        <v>Western Asia &amp; Middle East</v>
      </c>
      <c r="AZ27" s="1099">
        <v>289.62892461600006</v>
      </c>
      <c r="BA27" s="665" t="s">
        <v>4573</v>
      </c>
      <c r="BB27" s="829">
        <v>3.94</v>
      </c>
      <c r="BC27" s="665" t="s">
        <v>4598</v>
      </c>
      <c r="BD27" s="830"/>
      <c r="BE27" s="830"/>
      <c r="BF27" s="665"/>
      <c r="BG27" s="830"/>
      <c r="BH27" s="831">
        <f t="shared" si="17"/>
        <v>18</v>
      </c>
      <c r="BI27" s="831">
        <f t="shared" si="18"/>
        <v>2.9</v>
      </c>
      <c r="BJ27" s="831">
        <f t="shared" si="19"/>
        <v>41.1</v>
      </c>
      <c r="BK27" s="831">
        <f t="shared" si="20"/>
        <v>9.8000000000000007</v>
      </c>
      <c r="BL27" s="831">
        <f t="shared" si="21"/>
        <v>9.5</v>
      </c>
      <c r="BM27" s="831">
        <f t="shared" si="22"/>
        <v>5.6</v>
      </c>
      <c r="BN27" s="831">
        <f t="shared" si="23"/>
        <v>6.3</v>
      </c>
      <c r="BO27" s="831">
        <f t="shared" si="24"/>
        <v>6.8000000000000114</v>
      </c>
      <c r="BP27" s="831">
        <f t="shared" si="16"/>
        <v>100</v>
      </c>
      <c r="BQ27" s="665" t="s">
        <v>4575</v>
      </c>
      <c r="BR27" s="832"/>
      <c r="BS27" s="832"/>
      <c r="BT27" s="832"/>
      <c r="BU27" s="832"/>
      <c r="BV27" s="832"/>
      <c r="BW27" s="832"/>
      <c r="BX27" s="665"/>
      <c r="DH27" s="834" t="str">
        <f t="shared" si="25"/>
        <v>US-NWPP (WECC Northwest)</v>
      </c>
      <c r="DI27" s="834" t="str">
        <f t="shared" si="25"/>
        <v>Asia</v>
      </c>
      <c r="DJ27" s="834" t="str">
        <f t="shared" si="25"/>
        <v>Western Asia &amp; Middle East</v>
      </c>
      <c r="DL27" s="834" t="s">
        <v>4584</v>
      </c>
      <c r="DN27" s="834" t="s">
        <v>4764</v>
      </c>
      <c r="DO27" s="834" t="s">
        <v>4765</v>
      </c>
    </row>
    <row r="28" spans="3:119">
      <c r="C28" s="852" t="s">
        <v>4766</v>
      </c>
      <c r="D28" s="767" t="s">
        <v>4563</v>
      </c>
      <c r="E28" s="816">
        <v>22800</v>
      </c>
      <c r="F28" s="817" t="s">
        <v>4652</v>
      </c>
      <c r="G28" s="818" t="s">
        <v>4564</v>
      </c>
      <c r="H28" s="817"/>
      <c r="I28" s="818"/>
      <c r="J28" s="817"/>
      <c r="AW28" s="916" t="s">
        <v>5403</v>
      </c>
      <c r="AX28" s="827" t="s">
        <v>4572</v>
      </c>
      <c r="AY28" s="828" t="str">
        <f>+BZ4</f>
        <v>South-Central Asia</v>
      </c>
      <c r="AZ28" s="1099">
        <v>370.98473214400002</v>
      </c>
      <c r="BA28" s="665" t="s">
        <v>4573</v>
      </c>
      <c r="BB28" s="829">
        <v>11.4</v>
      </c>
      <c r="BC28" s="665" t="s">
        <v>4598</v>
      </c>
      <c r="BD28" s="830"/>
      <c r="BE28" s="830"/>
      <c r="BF28" s="665"/>
      <c r="BG28" s="830"/>
      <c r="BH28" s="831">
        <f t="shared" si="17"/>
        <v>11.3</v>
      </c>
      <c r="BI28" s="831">
        <f t="shared" si="18"/>
        <v>2.5</v>
      </c>
      <c r="BJ28" s="831">
        <f t="shared" si="19"/>
        <v>40.299999999999997</v>
      </c>
      <c r="BK28" s="831">
        <f t="shared" si="20"/>
        <v>7.9</v>
      </c>
      <c r="BL28" s="831">
        <f t="shared" si="21"/>
        <v>9.5</v>
      </c>
      <c r="BM28" s="831">
        <f t="shared" si="22"/>
        <v>5.6</v>
      </c>
      <c r="BN28" s="831">
        <f t="shared" si="23"/>
        <v>6.4</v>
      </c>
      <c r="BO28" s="831">
        <f t="shared" si="24"/>
        <v>16.5</v>
      </c>
      <c r="BP28" s="831">
        <f t="shared" si="16"/>
        <v>100</v>
      </c>
      <c r="BQ28" s="665" t="s">
        <v>4575</v>
      </c>
      <c r="BR28" s="832"/>
      <c r="BS28" s="832"/>
      <c r="BT28" s="832"/>
      <c r="BU28" s="832"/>
      <c r="BV28" s="832"/>
      <c r="BW28" s="832"/>
      <c r="BX28" s="665"/>
      <c r="DH28" s="834" t="str">
        <f t="shared" si="25"/>
        <v>US-NYCW (NPCC NYC/Westchester)</v>
      </c>
      <c r="DI28" s="834" t="str">
        <f t="shared" si="25"/>
        <v>Asia</v>
      </c>
      <c r="DJ28" s="834" t="str">
        <f t="shared" si="25"/>
        <v>South-Central Asia</v>
      </c>
      <c r="DL28" s="834" t="s">
        <v>4584</v>
      </c>
      <c r="DN28" s="834" t="s">
        <v>4767</v>
      </c>
      <c r="DO28" s="834" t="s">
        <v>4768</v>
      </c>
    </row>
    <row r="29" spans="3:119" ht="25.5">
      <c r="C29" s="852" t="s">
        <v>4769</v>
      </c>
      <c r="D29" s="767" t="s">
        <v>4563</v>
      </c>
      <c r="E29" s="816">
        <v>17200</v>
      </c>
      <c r="F29" s="817" t="s">
        <v>4652</v>
      </c>
      <c r="G29" s="818" t="s">
        <v>4564</v>
      </c>
      <c r="H29" s="817"/>
      <c r="I29" s="818"/>
      <c r="J29" s="817"/>
      <c r="AW29" s="916" t="s">
        <v>5404</v>
      </c>
      <c r="AX29" s="842" t="s">
        <v>4657</v>
      </c>
      <c r="AY29" s="828" t="str">
        <f>+BZ21</f>
        <v>Caribbean</v>
      </c>
      <c r="AZ29" s="1099">
        <v>552.88963908800008</v>
      </c>
      <c r="BA29" s="665" t="s">
        <v>4573</v>
      </c>
      <c r="BB29" s="829">
        <v>9.3894684857089938</v>
      </c>
      <c r="BC29" s="665" t="s">
        <v>4658</v>
      </c>
      <c r="BD29" s="830"/>
      <c r="BE29" s="830"/>
      <c r="BF29" s="665"/>
      <c r="BG29" s="830"/>
      <c r="BH29" s="831">
        <f t="shared" si="17"/>
        <v>17</v>
      </c>
      <c r="BI29" s="831">
        <f t="shared" si="18"/>
        <v>5.0999999999999996</v>
      </c>
      <c r="BJ29" s="831">
        <f t="shared" si="19"/>
        <v>46.9</v>
      </c>
      <c r="BK29" s="831">
        <f t="shared" si="20"/>
        <v>2.4</v>
      </c>
      <c r="BL29" s="831">
        <f t="shared" si="21"/>
        <v>9.5</v>
      </c>
      <c r="BM29" s="831">
        <f t="shared" si="22"/>
        <v>5.6</v>
      </c>
      <c r="BN29" s="831">
        <f t="shared" si="23"/>
        <v>9.9</v>
      </c>
      <c r="BO29" s="831">
        <f t="shared" si="24"/>
        <v>3.5999999999999943</v>
      </c>
      <c r="BP29" s="831">
        <f t="shared" si="16"/>
        <v>100</v>
      </c>
      <c r="BQ29" s="665" t="s">
        <v>4575</v>
      </c>
      <c r="BR29" s="832"/>
      <c r="BS29" s="832"/>
      <c r="BT29" s="832"/>
      <c r="BU29" s="832"/>
      <c r="BV29" s="832"/>
      <c r="BW29" s="832"/>
      <c r="BX29" s="665"/>
      <c r="DH29" s="834" t="str">
        <f t="shared" si="25"/>
        <v>US-NYLI (NPCC Long Island)</v>
      </c>
      <c r="DI29" s="834" t="str">
        <f t="shared" si="25"/>
        <v>Americas</v>
      </c>
      <c r="DJ29" s="834" t="str">
        <f t="shared" si="25"/>
        <v>Caribbean</v>
      </c>
      <c r="DL29" s="834" t="s">
        <v>4584</v>
      </c>
      <c r="DN29" s="834" t="s">
        <v>4770</v>
      </c>
      <c r="DO29" s="834" t="s">
        <v>4771</v>
      </c>
    </row>
    <row r="30" spans="3:119">
      <c r="C30" s="632" t="s">
        <v>4772</v>
      </c>
      <c r="D30" s="841" t="s">
        <v>4773</v>
      </c>
      <c r="E30" s="816">
        <v>7390</v>
      </c>
      <c r="F30" s="817" t="s">
        <v>4652</v>
      </c>
      <c r="G30" s="818" t="s">
        <v>4564</v>
      </c>
      <c r="H30" s="817"/>
      <c r="I30" s="818"/>
      <c r="J30" s="817"/>
      <c r="AW30" s="916" t="s">
        <v>5405</v>
      </c>
      <c r="AX30" s="827" t="s">
        <v>4597</v>
      </c>
      <c r="AY30" s="828" t="str">
        <f>+BZ12</f>
        <v>Eastern Europe</v>
      </c>
      <c r="AZ30" s="1099">
        <v>106.152321392</v>
      </c>
      <c r="BA30" s="665" t="s">
        <v>4573</v>
      </c>
      <c r="BB30" s="829">
        <v>9.18</v>
      </c>
      <c r="BC30" s="665" t="s">
        <v>4598</v>
      </c>
      <c r="BD30" s="830"/>
      <c r="BE30" s="830"/>
      <c r="BF30" s="665"/>
      <c r="BG30" s="830"/>
      <c r="BH30" s="831">
        <f t="shared" si="17"/>
        <v>21.8</v>
      </c>
      <c r="BI30" s="831">
        <f t="shared" si="18"/>
        <v>4.7</v>
      </c>
      <c r="BJ30" s="831">
        <f t="shared" si="19"/>
        <v>30.1</v>
      </c>
      <c r="BK30" s="831">
        <f t="shared" si="20"/>
        <v>7.5</v>
      </c>
      <c r="BL30" s="831">
        <f t="shared" si="21"/>
        <v>9.5</v>
      </c>
      <c r="BM30" s="831">
        <f t="shared" si="22"/>
        <v>5.6</v>
      </c>
      <c r="BN30" s="831">
        <f t="shared" si="23"/>
        <v>6.2</v>
      </c>
      <c r="BO30" s="831">
        <f t="shared" si="24"/>
        <v>14.600000000000009</v>
      </c>
      <c r="BP30" s="831">
        <f t="shared" si="16"/>
        <v>100</v>
      </c>
      <c r="BQ30" s="665" t="s">
        <v>4575</v>
      </c>
      <c r="BR30" s="832"/>
      <c r="BS30" s="832"/>
      <c r="BT30" s="832"/>
      <c r="BU30" s="832"/>
      <c r="BV30" s="832"/>
      <c r="BW30" s="832"/>
      <c r="BX30" s="665"/>
      <c r="DH30" s="834" t="str">
        <f t="shared" si="25"/>
        <v>US-NYUP (NPCC Upstate NY)</v>
      </c>
      <c r="DI30" s="834" t="str">
        <f t="shared" si="25"/>
        <v>Europe</v>
      </c>
      <c r="DJ30" s="834" t="str">
        <f t="shared" si="25"/>
        <v>Eastern Europe</v>
      </c>
      <c r="DL30" s="834" t="s">
        <v>4584</v>
      </c>
      <c r="DN30" s="834" t="s">
        <v>4774</v>
      </c>
      <c r="DO30" s="834" t="s">
        <v>4775</v>
      </c>
    </row>
    <row r="31" spans="3:119">
      <c r="C31" s="632" t="s">
        <v>4776</v>
      </c>
      <c r="D31" s="841" t="s">
        <v>4773</v>
      </c>
      <c r="E31" s="816">
        <v>12200</v>
      </c>
      <c r="F31" s="817" t="s">
        <v>4652</v>
      </c>
      <c r="G31" s="818" t="s">
        <v>4564</v>
      </c>
      <c r="H31" s="817"/>
      <c r="I31" s="818"/>
      <c r="J31" s="817"/>
      <c r="AW31" s="916" t="s">
        <v>5406</v>
      </c>
      <c r="AX31" s="827" t="s">
        <v>4597</v>
      </c>
      <c r="AY31" s="828" t="str">
        <f>+BZ15</f>
        <v>Western Europe</v>
      </c>
      <c r="AZ31" s="1099">
        <v>306.62637763200001</v>
      </c>
      <c r="BA31" s="665" t="s">
        <v>4747</v>
      </c>
      <c r="BB31" s="829">
        <v>5.43</v>
      </c>
      <c r="BC31" s="665" t="s">
        <v>4598</v>
      </c>
      <c r="BD31" s="842">
        <v>5.7500000000000002E-2</v>
      </c>
      <c r="BE31" s="842">
        <v>8.5000000000000006E-2</v>
      </c>
      <c r="BF31" s="665" t="s">
        <v>4748</v>
      </c>
      <c r="BG31" s="830"/>
      <c r="BH31" s="831">
        <f t="shared" si="17"/>
        <v>27.5</v>
      </c>
      <c r="BI31" s="831">
        <f t="shared" si="18"/>
        <v>7.4</v>
      </c>
      <c r="BJ31" s="831">
        <f t="shared" si="19"/>
        <v>24.2</v>
      </c>
      <c r="BK31" s="831">
        <f t="shared" si="20"/>
        <v>11</v>
      </c>
      <c r="BL31" s="831">
        <f t="shared" si="21"/>
        <v>9.5</v>
      </c>
      <c r="BM31" s="831">
        <f t="shared" si="22"/>
        <v>5.6</v>
      </c>
      <c r="BN31" s="831">
        <f t="shared" si="23"/>
        <v>7.4</v>
      </c>
      <c r="BO31" s="831">
        <f t="shared" si="24"/>
        <v>7.3999999999999986</v>
      </c>
      <c r="BP31" s="831">
        <f t="shared" si="16"/>
        <v>100</v>
      </c>
      <c r="BQ31" s="665" t="s">
        <v>4575</v>
      </c>
      <c r="BR31" s="832"/>
      <c r="BS31" s="832"/>
      <c r="BT31" s="832"/>
      <c r="BU31" s="832"/>
      <c r="BV31" s="832"/>
      <c r="BW31" s="832"/>
      <c r="BX31" s="665"/>
      <c r="DH31" s="834" t="str">
        <f t="shared" si="25"/>
        <v>US-RFCE (RFC East)</v>
      </c>
      <c r="DI31" s="834" t="str">
        <f t="shared" si="25"/>
        <v>Europe</v>
      </c>
      <c r="DJ31" s="834" t="str">
        <f t="shared" si="25"/>
        <v>Western Europe</v>
      </c>
      <c r="DK31" s="834" t="e">
        <f>VLOOKUP(DH31,#REF!,1)</f>
        <v>#REF!</v>
      </c>
      <c r="DL31" s="834" t="e">
        <f>VLOOKUP(DK31,#REF!,2,FALSE)</f>
        <v>#REF!</v>
      </c>
      <c r="DN31" s="834" t="s">
        <v>4777</v>
      </c>
      <c r="DO31" s="834" t="s">
        <v>4778</v>
      </c>
    </row>
    <row r="32" spans="3:119" ht="25.5">
      <c r="C32" s="632" t="s">
        <v>4779</v>
      </c>
      <c r="D32" s="841" t="s">
        <v>4773</v>
      </c>
      <c r="E32" s="816">
        <v>8830</v>
      </c>
      <c r="F32" s="817" t="s">
        <v>4652</v>
      </c>
      <c r="G32" s="818" t="s">
        <v>4564</v>
      </c>
      <c r="H32" s="817"/>
      <c r="I32" s="818"/>
      <c r="J32" s="817"/>
      <c r="AW32" s="916" t="s">
        <v>5407</v>
      </c>
      <c r="AX32" s="842" t="s">
        <v>4657</v>
      </c>
      <c r="AY32" s="828" t="str">
        <f>+BZ19</f>
        <v>Central America</v>
      </c>
      <c r="AZ32" s="1099">
        <v>554.21684928000002</v>
      </c>
      <c r="BA32" s="665" t="s">
        <v>4573</v>
      </c>
      <c r="BB32" s="829">
        <v>15.618667277425265</v>
      </c>
      <c r="BC32" s="665" t="s">
        <v>4780</v>
      </c>
      <c r="BD32" s="830"/>
      <c r="BE32" s="830"/>
      <c r="BF32" s="665"/>
      <c r="BG32" s="830"/>
      <c r="BH32" s="831">
        <f t="shared" si="17"/>
        <v>13.7</v>
      </c>
      <c r="BI32" s="831">
        <f t="shared" si="18"/>
        <v>2.6</v>
      </c>
      <c r="BJ32" s="831">
        <f t="shared" si="19"/>
        <v>43.8</v>
      </c>
      <c r="BK32" s="831">
        <f t="shared" si="20"/>
        <v>13.5</v>
      </c>
      <c r="BL32" s="831">
        <f t="shared" si="21"/>
        <v>9.5</v>
      </c>
      <c r="BM32" s="831">
        <f t="shared" si="22"/>
        <v>5.6</v>
      </c>
      <c r="BN32" s="831">
        <f t="shared" si="23"/>
        <v>6.7</v>
      </c>
      <c r="BO32" s="831">
        <f t="shared" si="24"/>
        <v>4.6000000000000085</v>
      </c>
      <c r="BP32" s="831">
        <f t="shared" si="16"/>
        <v>100</v>
      </c>
      <c r="BQ32" s="665" t="s">
        <v>4575</v>
      </c>
      <c r="BR32" s="832"/>
      <c r="BS32" s="832"/>
      <c r="BT32" s="832"/>
      <c r="BU32" s="832"/>
      <c r="BV32" s="832"/>
      <c r="BW32" s="832"/>
      <c r="BX32" s="665"/>
      <c r="DH32" s="834" t="str">
        <f t="shared" si="25"/>
        <v>US-RFCM (RFC Michigan)</v>
      </c>
      <c r="DI32" s="834" t="str">
        <f t="shared" si="25"/>
        <v>Americas</v>
      </c>
      <c r="DJ32" s="834" t="str">
        <f t="shared" si="25"/>
        <v>Central America</v>
      </c>
      <c r="DL32" s="834" t="s">
        <v>4584</v>
      </c>
      <c r="DN32" s="834" t="s">
        <v>4781</v>
      </c>
      <c r="DO32" s="834" t="s">
        <v>4782</v>
      </c>
    </row>
    <row r="33" spans="3:119" ht="25.5">
      <c r="C33" s="632" t="s">
        <v>4783</v>
      </c>
      <c r="D33" s="841" t="s">
        <v>4773</v>
      </c>
      <c r="E33" s="816">
        <v>10300</v>
      </c>
      <c r="F33" s="817" t="s">
        <v>4652</v>
      </c>
      <c r="G33" s="818" t="s">
        <v>4564</v>
      </c>
      <c r="H33" s="817"/>
      <c r="I33" s="818"/>
      <c r="J33" s="817"/>
      <c r="AW33" s="916" t="s">
        <v>5408</v>
      </c>
      <c r="AX33" s="827" t="s">
        <v>4614</v>
      </c>
      <c r="AY33" s="828" t="str">
        <f>+BZ11</f>
        <v>Western Africa</v>
      </c>
      <c r="AZ33" s="1099">
        <v>477.42508445600004</v>
      </c>
      <c r="BA33" s="665" t="s">
        <v>4573</v>
      </c>
      <c r="BB33" s="829">
        <v>13.490630673342661</v>
      </c>
      <c r="BC33" s="665" t="s">
        <v>4784</v>
      </c>
      <c r="BD33" s="830"/>
      <c r="BE33" s="830"/>
      <c r="BF33" s="665"/>
      <c r="BG33" s="830"/>
      <c r="BH33" s="831">
        <f t="shared" si="17"/>
        <v>9.8000000000000007</v>
      </c>
      <c r="BI33" s="831">
        <f t="shared" si="18"/>
        <v>1</v>
      </c>
      <c r="BJ33" s="831">
        <f t="shared" si="19"/>
        <v>40.4</v>
      </c>
      <c r="BK33" s="831">
        <f t="shared" si="20"/>
        <v>4.4000000000000004</v>
      </c>
      <c r="BL33" s="831">
        <f t="shared" si="21"/>
        <v>9.5</v>
      </c>
      <c r="BM33" s="831">
        <f t="shared" si="22"/>
        <v>5.6</v>
      </c>
      <c r="BN33" s="831">
        <f t="shared" si="23"/>
        <v>3</v>
      </c>
      <c r="BO33" s="831">
        <f t="shared" si="24"/>
        <v>26.300000000000011</v>
      </c>
      <c r="BP33" s="831">
        <f t="shared" si="16"/>
        <v>100</v>
      </c>
      <c r="BQ33" s="665" t="s">
        <v>4575</v>
      </c>
      <c r="BR33" s="832"/>
      <c r="BS33" s="832"/>
      <c r="BT33" s="832"/>
      <c r="BU33" s="832"/>
      <c r="BV33" s="832"/>
      <c r="BW33" s="832"/>
      <c r="BX33" s="665"/>
      <c r="DH33" s="834" t="str">
        <f t="shared" si="25"/>
        <v>US-RFCW (RFC West)</v>
      </c>
      <c r="DI33" s="834" t="str">
        <f t="shared" si="25"/>
        <v>Africa</v>
      </c>
      <c r="DJ33" s="834" t="str">
        <f t="shared" si="25"/>
        <v>Western Africa</v>
      </c>
      <c r="DL33" s="834" t="s">
        <v>4584</v>
      </c>
      <c r="DN33" s="834" t="s">
        <v>4785</v>
      </c>
      <c r="DO33" s="834" t="s">
        <v>4786</v>
      </c>
    </row>
    <row r="34" spans="3:119" ht="25.5">
      <c r="C34" s="632" t="s">
        <v>4787</v>
      </c>
      <c r="D34" s="841" t="s">
        <v>4773</v>
      </c>
      <c r="E34" s="816">
        <v>8860</v>
      </c>
      <c r="F34" s="817" t="s">
        <v>4652</v>
      </c>
      <c r="G34" s="818" t="s">
        <v>4564</v>
      </c>
      <c r="H34" s="817"/>
      <c r="I34" s="818"/>
      <c r="J34" s="817"/>
      <c r="AW34" s="916" t="s">
        <v>5409</v>
      </c>
      <c r="AX34" s="842" t="s">
        <v>4657</v>
      </c>
      <c r="AY34" s="828" t="str">
        <f>+BZ18</f>
        <v>North America</v>
      </c>
      <c r="AZ34" s="1099">
        <v>528.99305175199993</v>
      </c>
      <c r="BA34" s="665" t="s">
        <v>4573</v>
      </c>
      <c r="BB34" s="829">
        <v>9.3894684857089938</v>
      </c>
      <c r="BC34" s="665" t="s">
        <v>4658</v>
      </c>
      <c r="BD34" s="830"/>
      <c r="BE34" s="830"/>
      <c r="BF34" s="665"/>
      <c r="BG34" s="830"/>
      <c r="BH34" s="831">
        <f t="shared" si="17"/>
        <v>23.2</v>
      </c>
      <c r="BI34" s="831">
        <f t="shared" si="18"/>
        <v>3.9</v>
      </c>
      <c r="BJ34" s="831">
        <f t="shared" si="19"/>
        <v>33.9</v>
      </c>
      <c r="BK34" s="831">
        <f t="shared" si="20"/>
        <v>6.2</v>
      </c>
      <c r="BL34" s="831">
        <f t="shared" si="21"/>
        <v>9.5</v>
      </c>
      <c r="BM34" s="831">
        <f t="shared" si="22"/>
        <v>5.6</v>
      </c>
      <c r="BN34" s="831">
        <f t="shared" si="23"/>
        <v>8.5</v>
      </c>
      <c r="BO34" s="831">
        <f t="shared" si="24"/>
        <v>9.2000000000000028</v>
      </c>
      <c r="BP34" s="831">
        <f t="shared" si="16"/>
        <v>100</v>
      </c>
      <c r="BQ34" s="665" t="s">
        <v>4575</v>
      </c>
      <c r="BR34" s="832"/>
      <c r="BS34" s="832"/>
      <c r="BT34" s="832"/>
      <c r="BU34" s="832"/>
      <c r="BV34" s="832"/>
      <c r="BW34" s="832"/>
      <c r="BX34" s="665"/>
      <c r="DH34" s="834" t="str">
        <f t="shared" si="25"/>
        <v>US-RMPA (WECC Rockies)</v>
      </c>
      <c r="DI34" s="834" t="str">
        <f t="shared" si="25"/>
        <v>Americas</v>
      </c>
      <c r="DJ34" s="834" t="str">
        <f t="shared" si="25"/>
        <v>North America</v>
      </c>
      <c r="DL34" s="834" t="s">
        <v>4584</v>
      </c>
      <c r="DN34" s="834" t="s">
        <v>4788</v>
      </c>
      <c r="DO34" s="834" t="s">
        <v>4789</v>
      </c>
    </row>
    <row r="35" spans="3:119">
      <c r="C35" s="632" t="s">
        <v>4790</v>
      </c>
      <c r="D35" s="841" t="s">
        <v>4773</v>
      </c>
      <c r="E35" s="816">
        <v>9160</v>
      </c>
      <c r="F35" s="817" t="s">
        <v>4652</v>
      </c>
      <c r="G35" s="818" t="s">
        <v>4564</v>
      </c>
      <c r="H35" s="817"/>
      <c r="I35" s="818"/>
      <c r="J35" s="817"/>
      <c r="AW35" s="916" t="s">
        <v>5410</v>
      </c>
      <c r="AX35" s="827" t="s">
        <v>4572</v>
      </c>
      <c r="AY35" s="828" t="str">
        <f>+BZ4</f>
        <v>South-Central Asia</v>
      </c>
      <c r="AZ35" s="1099">
        <v>453.18240642399996</v>
      </c>
      <c r="BA35" s="665" t="s">
        <v>4573</v>
      </c>
      <c r="BB35" s="829">
        <v>18.8367793271604</v>
      </c>
      <c r="BC35" s="665" t="s">
        <v>4791</v>
      </c>
      <c r="BD35" s="830"/>
      <c r="BE35" s="830"/>
      <c r="BF35" s="665"/>
      <c r="BG35" s="830"/>
      <c r="BH35" s="831">
        <f t="shared" si="17"/>
        <v>11.3</v>
      </c>
      <c r="BI35" s="831">
        <f t="shared" si="18"/>
        <v>2.5</v>
      </c>
      <c r="BJ35" s="831">
        <f t="shared" si="19"/>
        <v>40.299999999999997</v>
      </c>
      <c r="BK35" s="831">
        <f t="shared" si="20"/>
        <v>7.9</v>
      </c>
      <c r="BL35" s="831">
        <f t="shared" si="21"/>
        <v>9.5</v>
      </c>
      <c r="BM35" s="831">
        <f t="shared" si="22"/>
        <v>5.6</v>
      </c>
      <c r="BN35" s="831">
        <f t="shared" si="23"/>
        <v>6.4</v>
      </c>
      <c r="BO35" s="831">
        <f t="shared" si="24"/>
        <v>16.5</v>
      </c>
      <c r="BP35" s="831">
        <f t="shared" si="16"/>
        <v>100</v>
      </c>
      <c r="BQ35" s="665" t="s">
        <v>4575</v>
      </c>
      <c r="BR35" s="832"/>
      <c r="BS35" s="832"/>
      <c r="BT35" s="832"/>
      <c r="BU35" s="832"/>
      <c r="BV35" s="832"/>
      <c r="BW35" s="832"/>
      <c r="BX35" s="665"/>
      <c r="DH35" s="834" t="str">
        <f t="shared" si="25"/>
        <v>US-SPNO (SPP North)</v>
      </c>
      <c r="DI35" s="834" t="str">
        <f t="shared" si="25"/>
        <v>Asia</v>
      </c>
      <c r="DJ35" s="834" t="str">
        <f t="shared" si="25"/>
        <v>South-Central Asia</v>
      </c>
      <c r="DL35" s="834" t="s">
        <v>4584</v>
      </c>
      <c r="DN35" s="834" t="s">
        <v>4792</v>
      </c>
      <c r="DO35" s="834" t="s">
        <v>4793</v>
      </c>
    </row>
    <row r="36" spans="3:119">
      <c r="C36" s="632" t="s">
        <v>4794</v>
      </c>
      <c r="D36" s="841" t="s">
        <v>4773</v>
      </c>
      <c r="E36" s="816">
        <v>9300</v>
      </c>
      <c r="F36" s="817" t="s">
        <v>4652</v>
      </c>
      <c r="G36" s="818" t="s">
        <v>4564</v>
      </c>
      <c r="H36" s="817"/>
      <c r="I36" s="818"/>
      <c r="J36" s="817"/>
      <c r="AW36" s="916" t="s">
        <v>5411</v>
      </c>
      <c r="AX36" s="842" t="s">
        <v>4657</v>
      </c>
      <c r="AY36" s="846" t="str">
        <f>+BZ20</f>
        <v>South America</v>
      </c>
      <c r="AZ36" s="1099">
        <v>470.39667641599999</v>
      </c>
      <c r="BA36" s="665" t="s">
        <v>4573</v>
      </c>
      <c r="BB36" s="829">
        <v>9.19</v>
      </c>
      <c r="BC36" s="665" t="s">
        <v>4598</v>
      </c>
      <c r="BD36" s="830"/>
      <c r="BE36" s="830"/>
      <c r="BF36" s="665"/>
      <c r="BG36" s="830"/>
      <c r="BH36" s="831">
        <f t="shared" si="17"/>
        <v>17.100000000000001</v>
      </c>
      <c r="BI36" s="831">
        <f t="shared" si="18"/>
        <v>2.6</v>
      </c>
      <c r="BJ36" s="831">
        <f t="shared" si="19"/>
        <v>44.9</v>
      </c>
      <c r="BK36" s="831">
        <f t="shared" si="20"/>
        <v>4.7</v>
      </c>
      <c r="BL36" s="831">
        <f t="shared" si="21"/>
        <v>9.5</v>
      </c>
      <c r="BM36" s="831">
        <f t="shared" si="22"/>
        <v>5.6</v>
      </c>
      <c r="BN36" s="831">
        <f t="shared" si="23"/>
        <v>10.8</v>
      </c>
      <c r="BO36" s="831">
        <f t="shared" si="24"/>
        <v>4.8000000000000114</v>
      </c>
      <c r="BP36" s="831">
        <f t="shared" si="16"/>
        <v>100</v>
      </c>
      <c r="BQ36" s="665" t="s">
        <v>4575</v>
      </c>
      <c r="BR36" s="832"/>
      <c r="BS36" s="832"/>
      <c r="BT36" s="832"/>
      <c r="BU36" s="832"/>
      <c r="BV36" s="832"/>
      <c r="BW36" s="832"/>
      <c r="BX36" s="665"/>
      <c r="DH36" s="834" t="str">
        <f t="shared" si="25"/>
        <v>US-SPSO (SPP South)</v>
      </c>
      <c r="DI36" s="834" t="str">
        <f t="shared" si="25"/>
        <v>Americas</v>
      </c>
      <c r="DJ36" s="834" t="str">
        <f t="shared" si="25"/>
        <v>South America</v>
      </c>
      <c r="DL36" s="834" t="s">
        <v>4584</v>
      </c>
      <c r="DN36" s="834" t="s">
        <v>4795</v>
      </c>
      <c r="DO36" s="834" t="s">
        <v>4796</v>
      </c>
    </row>
    <row r="37" spans="3:119">
      <c r="C37" s="632" t="s">
        <v>4797</v>
      </c>
      <c r="D37" s="841" t="s">
        <v>4773</v>
      </c>
      <c r="E37" s="816">
        <v>7500</v>
      </c>
      <c r="F37" s="817" t="s">
        <v>4652</v>
      </c>
      <c r="G37" s="818" t="s">
        <v>4564</v>
      </c>
      <c r="H37" s="817"/>
      <c r="I37" s="818"/>
      <c r="J37" s="817"/>
      <c r="AW37" s="916" t="s">
        <v>5412</v>
      </c>
      <c r="AX37" s="827" t="s">
        <v>4597</v>
      </c>
      <c r="AY37" s="828" t="str">
        <f>+BZ14</f>
        <v>Southern Europe</v>
      </c>
      <c r="AZ37" s="1099">
        <v>351.71977271999998</v>
      </c>
      <c r="BA37" s="665" t="s">
        <v>4573</v>
      </c>
      <c r="BB37" s="829">
        <v>8.18</v>
      </c>
      <c r="BC37" s="665" t="s">
        <v>4598</v>
      </c>
      <c r="BD37" s="830"/>
      <c r="BE37" s="830"/>
      <c r="BF37" s="665"/>
      <c r="BG37" s="830"/>
      <c r="BH37" s="831">
        <f t="shared" si="17"/>
        <v>17</v>
      </c>
      <c r="BI37" s="831">
        <f t="shared" si="18"/>
        <v>6.8</v>
      </c>
      <c r="BJ37" s="831">
        <f t="shared" si="19"/>
        <v>36.9</v>
      </c>
      <c r="BK37" s="831">
        <f t="shared" si="20"/>
        <v>10.6</v>
      </c>
      <c r="BL37" s="831">
        <f t="shared" si="21"/>
        <v>9.5</v>
      </c>
      <c r="BM37" s="831">
        <f t="shared" si="22"/>
        <v>5.6</v>
      </c>
      <c r="BN37" s="831">
        <f t="shared" si="23"/>
        <v>6.8</v>
      </c>
      <c r="BO37" s="831">
        <f t="shared" si="24"/>
        <v>6.8</v>
      </c>
      <c r="BP37" s="831">
        <f t="shared" si="16"/>
        <v>99.999999999999986</v>
      </c>
      <c r="BQ37" s="665" t="s">
        <v>4575</v>
      </c>
      <c r="BR37" s="832"/>
      <c r="BS37" s="832"/>
      <c r="BT37" s="832"/>
      <c r="BU37" s="832"/>
      <c r="BV37" s="832"/>
      <c r="BW37" s="832"/>
      <c r="BX37" s="665"/>
      <c r="DH37" s="834" t="str">
        <f t="shared" si="25"/>
        <v>US-SRMV (SERC Mississippi Valley)</v>
      </c>
      <c r="DI37" s="834" t="str">
        <f t="shared" si="25"/>
        <v>Europe</v>
      </c>
      <c r="DJ37" s="834" t="str">
        <f t="shared" si="25"/>
        <v>Southern Europe</v>
      </c>
      <c r="DL37" s="834" t="s">
        <v>4584</v>
      </c>
      <c r="DN37" s="834" t="s">
        <v>4798</v>
      </c>
      <c r="DO37" s="834" t="s">
        <v>4799</v>
      </c>
    </row>
    <row r="38" spans="3:119">
      <c r="C38" s="852" t="s">
        <v>4800</v>
      </c>
      <c r="D38" s="841" t="s">
        <v>4773</v>
      </c>
      <c r="E38" s="816">
        <v>17700</v>
      </c>
      <c r="F38" s="817" t="s">
        <v>4652</v>
      </c>
      <c r="G38" s="818" t="s">
        <v>4564</v>
      </c>
      <c r="H38" s="817"/>
      <c r="I38" s="818"/>
      <c r="J38" s="817"/>
      <c r="AW38" s="916" t="s">
        <v>5413</v>
      </c>
      <c r="AX38" s="827" t="s">
        <v>4614</v>
      </c>
      <c r="AY38" s="828" t="str">
        <f>+BZ10</f>
        <v>Southern Africa</v>
      </c>
      <c r="AZ38" s="1099">
        <v>705.19993599200006</v>
      </c>
      <c r="BA38" s="665" t="s">
        <v>4573</v>
      </c>
      <c r="BB38" s="829">
        <v>11.02</v>
      </c>
      <c r="BC38" s="665" t="s">
        <v>4598</v>
      </c>
      <c r="BD38" s="830"/>
      <c r="BE38" s="830"/>
      <c r="BF38" s="665"/>
      <c r="BG38" s="830"/>
      <c r="BH38" s="831">
        <f t="shared" si="17"/>
        <v>25</v>
      </c>
      <c r="BI38" s="831">
        <f t="shared" si="18"/>
        <v>7.3</v>
      </c>
      <c r="BJ38" s="831">
        <f t="shared" si="19"/>
        <v>23</v>
      </c>
      <c r="BK38" s="831">
        <f t="shared" si="20"/>
        <v>15</v>
      </c>
      <c r="BL38" s="831">
        <f t="shared" si="21"/>
        <v>9.5</v>
      </c>
      <c r="BM38" s="831">
        <f t="shared" si="22"/>
        <v>5.6</v>
      </c>
      <c r="BN38" s="831">
        <f t="shared" si="23"/>
        <v>7.3</v>
      </c>
      <c r="BO38" s="831">
        <f t="shared" si="24"/>
        <v>7.3</v>
      </c>
      <c r="BP38" s="831">
        <f t="shared" si="16"/>
        <v>99.999999999999986</v>
      </c>
      <c r="BQ38" s="665" t="s">
        <v>4575</v>
      </c>
      <c r="BR38" s="832"/>
      <c r="BS38" s="832"/>
      <c r="BT38" s="832"/>
      <c r="BU38" s="832"/>
      <c r="BV38" s="832"/>
      <c r="BW38" s="832"/>
      <c r="BX38" s="665"/>
      <c r="DH38" s="834" t="str">
        <f t="shared" si="25"/>
        <v>US-SRMW (SERC Midwest)</v>
      </c>
      <c r="DI38" s="834" t="str">
        <f t="shared" si="25"/>
        <v>Africa</v>
      </c>
      <c r="DJ38" s="834" t="str">
        <f t="shared" si="25"/>
        <v>Southern Africa</v>
      </c>
      <c r="DL38" s="834" t="s">
        <v>4584</v>
      </c>
      <c r="DN38" s="834" t="s">
        <v>4801</v>
      </c>
      <c r="DO38" s="834" t="s">
        <v>4802</v>
      </c>
    </row>
    <row r="39" spans="3:119">
      <c r="C39" s="641" t="s">
        <v>4803</v>
      </c>
      <c r="D39" s="841" t="s">
        <v>4773</v>
      </c>
      <c r="E39" s="816">
        <v>17340</v>
      </c>
      <c r="F39" s="817" t="s">
        <v>4652</v>
      </c>
      <c r="G39" s="818" t="s">
        <v>4564</v>
      </c>
      <c r="H39" s="817"/>
      <c r="I39" s="818"/>
      <c r="J39" s="817"/>
      <c r="AW39" s="916" t="s">
        <v>5414</v>
      </c>
      <c r="AX39" s="842" t="s">
        <v>4657</v>
      </c>
      <c r="AY39" s="828" t="str">
        <f>+BZ20</f>
        <v>South America</v>
      </c>
      <c r="AZ39" s="1099">
        <v>406.61801248000006</v>
      </c>
      <c r="BA39" s="665" t="s">
        <v>4804</v>
      </c>
      <c r="BB39" s="829">
        <v>15.77</v>
      </c>
      <c r="BC39" s="665" t="s">
        <v>4598</v>
      </c>
      <c r="BD39" s="842">
        <v>0.11</v>
      </c>
      <c r="BE39" s="842">
        <v>0.44</v>
      </c>
      <c r="BF39" s="665" t="s">
        <v>4748</v>
      </c>
      <c r="BG39" s="830"/>
      <c r="BH39" s="831">
        <f t="shared" si="17"/>
        <v>17.100000000000001</v>
      </c>
      <c r="BI39" s="831">
        <f t="shared" si="18"/>
        <v>2.6</v>
      </c>
      <c r="BJ39" s="831">
        <f t="shared" si="19"/>
        <v>44.9</v>
      </c>
      <c r="BK39" s="831">
        <f t="shared" si="20"/>
        <v>4.7</v>
      </c>
      <c r="BL39" s="831">
        <f t="shared" si="21"/>
        <v>9.5</v>
      </c>
      <c r="BM39" s="831">
        <f t="shared" si="22"/>
        <v>5.6</v>
      </c>
      <c r="BN39" s="831">
        <f t="shared" si="23"/>
        <v>10.8</v>
      </c>
      <c r="BO39" s="831">
        <f t="shared" si="24"/>
        <v>4.8000000000000114</v>
      </c>
      <c r="BP39" s="831">
        <f t="shared" si="16"/>
        <v>100</v>
      </c>
      <c r="BQ39" s="665" t="s">
        <v>4575</v>
      </c>
      <c r="BR39" s="832"/>
      <c r="BS39" s="832"/>
      <c r="BT39" s="832"/>
      <c r="BU39" s="832"/>
      <c r="BV39" s="832"/>
      <c r="BW39" s="832"/>
      <c r="BX39" s="665"/>
      <c r="DH39" s="834" t="str">
        <f t="shared" si="25"/>
        <v>US-SRSO (SERC South)</v>
      </c>
      <c r="DI39" s="834" t="str">
        <f t="shared" si="25"/>
        <v>Americas</v>
      </c>
      <c r="DJ39" s="834" t="str">
        <f t="shared" si="25"/>
        <v>South America</v>
      </c>
      <c r="DK39" s="834" t="e">
        <f>VLOOKUP(DH39,#REF!,1)</f>
        <v>#REF!</v>
      </c>
      <c r="DL39" s="834" t="e">
        <f>VLOOKUP(DK39,#REF!,2,FALSE)</f>
        <v>#REF!</v>
      </c>
      <c r="DN39" s="834" t="s">
        <v>4805</v>
      </c>
      <c r="DO39" s="834" t="s">
        <v>4806</v>
      </c>
    </row>
    <row r="40" spans="3:119" ht="25.5">
      <c r="C40" s="641" t="s">
        <v>4807</v>
      </c>
      <c r="D40" s="841" t="s">
        <v>4808</v>
      </c>
      <c r="E40" s="816">
        <v>4750</v>
      </c>
      <c r="F40" s="817" t="s">
        <v>4652</v>
      </c>
      <c r="G40" s="818" t="s">
        <v>4564</v>
      </c>
      <c r="H40" s="817"/>
      <c r="I40" s="818"/>
      <c r="J40" s="817"/>
      <c r="AW40" s="916" t="s">
        <v>5415</v>
      </c>
      <c r="AX40" s="842" t="s">
        <v>4657</v>
      </c>
      <c r="AY40" s="828" t="str">
        <f>+BZ21</f>
        <v>Caribbean</v>
      </c>
      <c r="AZ40" s="1099">
        <v>425.22571709599998</v>
      </c>
      <c r="BA40" s="665" t="s">
        <v>4573</v>
      </c>
      <c r="BB40" s="829">
        <v>9.3894684857089938</v>
      </c>
      <c r="BC40" s="665" t="s">
        <v>4658</v>
      </c>
      <c r="BD40" s="830"/>
      <c r="BE40" s="830"/>
      <c r="BF40" s="665"/>
      <c r="BG40" s="830"/>
      <c r="BH40" s="831">
        <f t="shared" si="17"/>
        <v>17</v>
      </c>
      <c r="BI40" s="831">
        <f t="shared" si="18"/>
        <v>5.0999999999999996</v>
      </c>
      <c r="BJ40" s="831">
        <f t="shared" si="19"/>
        <v>46.9</v>
      </c>
      <c r="BK40" s="831">
        <f t="shared" si="20"/>
        <v>2.4</v>
      </c>
      <c r="BL40" s="831">
        <f t="shared" si="21"/>
        <v>9.5</v>
      </c>
      <c r="BM40" s="831">
        <f t="shared" si="22"/>
        <v>5.6</v>
      </c>
      <c r="BN40" s="831">
        <f t="shared" si="23"/>
        <v>9.9</v>
      </c>
      <c r="BO40" s="831">
        <f t="shared" si="24"/>
        <v>3.5999999999999943</v>
      </c>
      <c r="BP40" s="831">
        <f t="shared" si="16"/>
        <v>100</v>
      </c>
      <c r="BQ40" s="665" t="s">
        <v>4575</v>
      </c>
      <c r="BR40" s="832"/>
      <c r="BS40" s="832"/>
      <c r="BT40" s="832"/>
      <c r="BU40" s="832"/>
      <c r="BV40" s="832"/>
      <c r="BW40" s="832"/>
      <c r="BX40" s="665"/>
      <c r="DH40" s="834" t="str">
        <f t="shared" ref="DH40:DJ76" si="26">AW40</f>
        <v>US-SRTV (SERC Tennessee Valley)</v>
      </c>
      <c r="DI40" s="834" t="str">
        <f t="shared" si="26"/>
        <v>Americas</v>
      </c>
      <c r="DJ40" s="834" t="str">
        <f t="shared" si="26"/>
        <v>Caribbean</v>
      </c>
      <c r="DL40" s="834" t="s">
        <v>4584</v>
      </c>
      <c r="DN40" s="834" t="s">
        <v>4809</v>
      </c>
      <c r="DO40" s="834" t="s">
        <v>4810</v>
      </c>
    </row>
    <row r="41" spans="3:119">
      <c r="C41" s="641" t="s">
        <v>4811</v>
      </c>
      <c r="D41" s="841" t="s">
        <v>4808</v>
      </c>
      <c r="E41" s="816">
        <v>10900</v>
      </c>
      <c r="F41" s="817" t="s">
        <v>4652</v>
      </c>
      <c r="G41" s="818" t="s">
        <v>4812</v>
      </c>
      <c r="H41" s="817"/>
      <c r="I41" s="818"/>
      <c r="J41" s="817"/>
      <c r="AW41" s="916" t="s">
        <v>5416</v>
      </c>
      <c r="AX41" s="827" t="s">
        <v>4572</v>
      </c>
      <c r="AY41" s="828" t="str">
        <f>+BZ5</f>
        <v>South-Eastern Asia</v>
      </c>
      <c r="AZ41" s="1099">
        <v>291.59388516000001</v>
      </c>
      <c r="BA41" s="665" t="s">
        <v>4573</v>
      </c>
      <c r="BB41" s="829">
        <v>6.41</v>
      </c>
      <c r="BC41" s="665" t="s">
        <v>4598</v>
      </c>
      <c r="BD41" s="830"/>
      <c r="BE41" s="830"/>
      <c r="BF41" s="665"/>
      <c r="BG41" s="830"/>
      <c r="BH41" s="831">
        <f t="shared" si="17"/>
        <v>12.9</v>
      </c>
      <c r="BI41" s="831">
        <f t="shared" si="18"/>
        <v>2.7</v>
      </c>
      <c r="BJ41" s="831">
        <f t="shared" si="19"/>
        <v>43.5</v>
      </c>
      <c r="BK41" s="831">
        <f t="shared" si="20"/>
        <v>9.9</v>
      </c>
      <c r="BL41" s="831">
        <f t="shared" si="21"/>
        <v>9.5</v>
      </c>
      <c r="BM41" s="831">
        <f t="shared" si="22"/>
        <v>5.6</v>
      </c>
      <c r="BN41" s="831">
        <f t="shared" si="23"/>
        <v>7.2</v>
      </c>
      <c r="BO41" s="831">
        <f t="shared" si="24"/>
        <v>8.7000000000000028</v>
      </c>
      <c r="BP41" s="831">
        <f t="shared" si="16"/>
        <v>100</v>
      </c>
      <c r="BQ41" s="665" t="s">
        <v>4575</v>
      </c>
      <c r="BR41" s="832"/>
      <c r="BS41" s="832"/>
      <c r="BT41" s="832"/>
      <c r="BU41" s="832"/>
      <c r="BV41" s="832"/>
      <c r="BW41" s="832"/>
      <c r="BX41" s="665"/>
      <c r="DH41" s="834" t="str">
        <f t="shared" si="26"/>
        <v>US-SRVC (SERC Virginia/Carolina)</v>
      </c>
      <c r="DI41" s="834" t="str">
        <f t="shared" si="26"/>
        <v>Asia</v>
      </c>
      <c r="DJ41" s="834" t="str">
        <f t="shared" si="26"/>
        <v>South-Eastern Asia</v>
      </c>
      <c r="DL41" s="834" t="s">
        <v>4584</v>
      </c>
      <c r="DN41" s="834" t="s">
        <v>4813</v>
      </c>
      <c r="DO41" s="834" t="s">
        <v>4814</v>
      </c>
    </row>
    <row r="42" spans="3:119">
      <c r="C42" s="641" t="s">
        <v>4815</v>
      </c>
      <c r="D42" s="841" t="s">
        <v>4816</v>
      </c>
      <c r="E42" s="816">
        <v>1810</v>
      </c>
      <c r="F42" s="817" t="s">
        <v>4652</v>
      </c>
      <c r="G42" s="818" t="s">
        <v>4812</v>
      </c>
      <c r="H42" s="817"/>
      <c r="I42" s="818"/>
      <c r="J42" s="817"/>
      <c r="AW42" s="827" t="s">
        <v>4817</v>
      </c>
      <c r="AX42" s="827" t="s">
        <v>4597</v>
      </c>
      <c r="AY42" s="828" t="str">
        <f>+BZ12</f>
        <v>Eastern Europe</v>
      </c>
      <c r="AZ42" s="827"/>
      <c r="BA42" s="665" t="s">
        <v>4747</v>
      </c>
      <c r="BB42" s="829">
        <v>8.5500000000000007</v>
      </c>
      <c r="BC42" s="665" t="s">
        <v>4598</v>
      </c>
      <c r="BD42" s="842">
        <v>5.7500000000000002E-2</v>
      </c>
      <c r="BE42" s="842">
        <v>0.09</v>
      </c>
      <c r="BF42" s="665" t="s">
        <v>4748</v>
      </c>
      <c r="BG42" s="830"/>
      <c r="BH42" s="831">
        <f t="shared" si="17"/>
        <v>21.8</v>
      </c>
      <c r="BI42" s="831">
        <f t="shared" si="18"/>
        <v>4.7</v>
      </c>
      <c r="BJ42" s="831">
        <f t="shared" si="19"/>
        <v>30.1</v>
      </c>
      <c r="BK42" s="831">
        <f t="shared" si="20"/>
        <v>7.5</v>
      </c>
      <c r="BL42" s="831">
        <f t="shared" si="21"/>
        <v>9.5</v>
      </c>
      <c r="BM42" s="831">
        <f t="shared" si="22"/>
        <v>5.6</v>
      </c>
      <c r="BN42" s="831">
        <f t="shared" si="23"/>
        <v>6.2</v>
      </c>
      <c r="BO42" s="831">
        <f t="shared" si="24"/>
        <v>14.600000000000009</v>
      </c>
      <c r="BP42" s="831">
        <f t="shared" si="16"/>
        <v>100</v>
      </c>
      <c r="BQ42" s="665" t="s">
        <v>4575</v>
      </c>
      <c r="BR42" s="832"/>
      <c r="BS42" s="832"/>
      <c r="BT42" s="832"/>
      <c r="BU42" s="832"/>
      <c r="BV42" s="832"/>
      <c r="BW42" s="832"/>
      <c r="BX42" s="665"/>
      <c r="DH42" s="834" t="str">
        <f t="shared" si="26"/>
        <v>Bulgaria</v>
      </c>
      <c r="DI42" s="834" t="str">
        <f t="shared" si="26"/>
        <v>Europe</v>
      </c>
      <c r="DJ42" s="834" t="str">
        <f t="shared" si="26"/>
        <v>Eastern Europe</v>
      </c>
      <c r="DK42" s="834" t="e">
        <f>VLOOKUP(DH42,#REF!,1)</f>
        <v>#REF!</v>
      </c>
      <c r="DL42" s="834" t="e">
        <f>VLOOKUP(DK42,#REF!,2,FALSE)</f>
        <v>#REF!</v>
      </c>
      <c r="DN42" s="834" t="s">
        <v>4818</v>
      </c>
      <c r="DO42" s="834" t="s">
        <v>4819</v>
      </c>
    </row>
    <row r="43" spans="3:119" ht="25.5">
      <c r="C43" s="641" t="s">
        <v>4820</v>
      </c>
      <c r="D43" s="841" t="s">
        <v>4563</v>
      </c>
      <c r="E43" s="816">
        <v>1</v>
      </c>
      <c r="F43" s="817" t="s">
        <v>4652</v>
      </c>
      <c r="G43" s="818" t="s">
        <v>4564</v>
      </c>
      <c r="H43" s="817"/>
      <c r="I43" s="818"/>
      <c r="J43" s="817" t="s">
        <v>4270</v>
      </c>
      <c r="AW43" s="827" t="s">
        <v>4821</v>
      </c>
      <c r="AX43" s="827" t="s">
        <v>4614</v>
      </c>
      <c r="AY43" s="828" t="str">
        <f>+BZ11</f>
        <v>Western Africa</v>
      </c>
      <c r="AZ43" s="827">
        <v>636</v>
      </c>
      <c r="BA43" s="665" t="s">
        <v>4573</v>
      </c>
      <c r="BB43" s="829">
        <v>13.490630673342661</v>
      </c>
      <c r="BC43" s="665" t="s">
        <v>4784</v>
      </c>
      <c r="BD43" s="830"/>
      <c r="BE43" s="830"/>
      <c r="BF43" s="665"/>
      <c r="BG43" s="830"/>
      <c r="BH43" s="831">
        <f t="shared" si="17"/>
        <v>9.8000000000000007</v>
      </c>
      <c r="BI43" s="831">
        <f t="shared" si="18"/>
        <v>1</v>
      </c>
      <c r="BJ43" s="831">
        <f t="shared" si="19"/>
        <v>40.4</v>
      </c>
      <c r="BK43" s="831">
        <f t="shared" si="20"/>
        <v>4.4000000000000004</v>
      </c>
      <c r="BL43" s="831">
        <f t="shared" si="21"/>
        <v>9.5</v>
      </c>
      <c r="BM43" s="831">
        <f t="shared" si="22"/>
        <v>5.6</v>
      </c>
      <c r="BN43" s="831">
        <f t="shared" si="23"/>
        <v>3</v>
      </c>
      <c r="BO43" s="831">
        <f t="shared" si="24"/>
        <v>26.300000000000011</v>
      </c>
      <c r="BP43" s="831">
        <f t="shared" si="16"/>
        <v>100</v>
      </c>
      <c r="BQ43" s="665" t="s">
        <v>4575</v>
      </c>
      <c r="BR43" s="832"/>
      <c r="BS43" s="832"/>
      <c r="BT43" s="832"/>
      <c r="BU43" s="832"/>
      <c r="BV43" s="832"/>
      <c r="BW43" s="832"/>
      <c r="BX43" s="665"/>
      <c r="DH43" s="834" t="str">
        <f t="shared" si="26"/>
        <v>Burkina Faso</v>
      </c>
      <c r="DI43" s="834" t="str">
        <f t="shared" si="26"/>
        <v>Africa</v>
      </c>
      <c r="DJ43" s="834" t="str">
        <f t="shared" si="26"/>
        <v>Western Africa</v>
      </c>
      <c r="DL43" s="834" t="s">
        <v>4584</v>
      </c>
      <c r="DN43" s="834" t="s">
        <v>4822</v>
      </c>
      <c r="DO43" s="834" t="s">
        <v>4823</v>
      </c>
    </row>
    <row r="44" spans="3:119" ht="25.5">
      <c r="C44" s="641" t="s">
        <v>4824</v>
      </c>
      <c r="D44" s="841" t="s">
        <v>4816</v>
      </c>
      <c r="E44" s="816">
        <v>77</v>
      </c>
      <c r="F44" s="817" t="s">
        <v>4652</v>
      </c>
      <c r="G44" s="818" t="s">
        <v>4564</v>
      </c>
      <c r="H44" s="817"/>
      <c r="I44" s="818"/>
      <c r="J44" s="817"/>
      <c r="AW44" s="827" t="s">
        <v>4825</v>
      </c>
      <c r="AX44" s="827" t="s">
        <v>4614</v>
      </c>
      <c r="AY44" s="828" t="str">
        <f>+BZ7</f>
        <v>Eastern Africa</v>
      </c>
      <c r="AZ44" s="827">
        <v>316</v>
      </c>
      <c r="BA44" s="665" t="s">
        <v>4573</v>
      </c>
      <c r="BB44" s="829">
        <v>11.740747004194485</v>
      </c>
      <c r="BC44" s="665" t="s">
        <v>4826</v>
      </c>
      <c r="BD44" s="830"/>
      <c r="BE44" s="830"/>
      <c r="BF44" s="665"/>
      <c r="BG44" s="830"/>
      <c r="BH44" s="831">
        <f t="shared" si="17"/>
        <v>7.7</v>
      </c>
      <c r="BI44" s="831">
        <f t="shared" si="18"/>
        <v>1.7</v>
      </c>
      <c r="BJ44" s="831">
        <f t="shared" si="19"/>
        <v>53.9</v>
      </c>
      <c r="BK44" s="831">
        <f t="shared" si="20"/>
        <v>7</v>
      </c>
      <c r="BL44" s="831">
        <f t="shared" si="21"/>
        <v>9.5</v>
      </c>
      <c r="BM44" s="831">
        <f t="shared" si="22"/>
        <v>5.6</v>
      </c>
      <c r="BN44" s="831">
        <f t="shared" si="23"/>
        <v>5.5</v>
      </c>
      <c r="BO44" s="831">
        <f t="shared" si="24"/>
        <v>9.1000000000000085</v>
      </c>
      <c r="BP44" s="831">
        <f t="shared" si="16"/>
        <v>100</v>
      </c>
      <c r="BQ44" s="665" t="s">
        <v>4575</v>
      </c>
      <c r="BR44" s="832"/>
      <c r="BS44" s="832"/>
      <c r="BT44" s="832"/>
      <c r="BU44" s="832"/>
      <c r="BV44" s="832"/>
      <c r="BW44" s="832"/>
      <c r="BX44" s="665"/>
      <c r="DH44" s="834" t="str">
        <f t="shared" si="26"/>
        <v>Burundi</v>
      </c>
      <c r="DI44" s="834" t="str">
        <f t="shared" si="26"/>
        <v>Africa</v>
      </c>
      <c r="DJ44" s="834" t="str">
        <f t="shared" si="26"/>
        <v>Eastern Africa</v>
      </c>
      <c r="DL44" s="834" t="s">
        <v>4584</v>
      </c>
      <c r="DN44" s="834" t="s">
        <v>4827</v>
      </c>
      <c r="DO44" s="834" t="s">
        <v>4828</v>
      </c>
    </row>
    <row r="45" spans="3:119">
      <c r="C45" s="641" t="s">
        <v>4829</v>
      </c>
      <c r="D45" s="841" t="s">
        <v>4830</v>
      </c>
      <c r="E45" s="816">
        <v>3.3</v>
      </c>
      <c r="F45" s="817" t="s">
        <v>4652</v>
      </c>
      <c r="G45" s="818" t="s">
        <v>4831</v>
      </c>
      <c r="H45" s="817"/>
      <c r="I45" s="818"/>
      <c r="J45" s="817" t="s">
        <v>4832</v>
      </c>
      <c r="AW45" s="827" t="s">
        <v>4833</v>
      </c>
      <c r="AX45" s="827" t="s">
        <v>4572</v>
      </c>
      <c r="AY45" s="828" t="str">
        <f>+BZ5</f>
        <v>South-Eastern Asia</v>
      </c>
      <c r="AZ45" s="827">
        <v>580</v>
      </c>
      <c r="BA45" s="665" t="s">
        <v>4573</v>
      </c>
      <c r="BB45" s="829">
        <v>23.416067929457871</v>
      </c>
      <c r="BC45" s="665" t="s">
        <v>4598</v>
      </c>
      <c r="BD45" s="830"/>
      <c r="BE45" s="830"/>
      <c r="BF45" s="665"/>
      <c r="BG45" s="830"/>
      <c r="BH45" s="831">
        <f t="shared" si="17"/>
        <v>12.9</v>
      </c>
      <c r="BI45" s="831">
        <f t="shared" si="18"/>
        <v>2.7</v>
      </c>
      <c r="BJ45" s="831">
        <f t="shared" si="19"/>
        <v>43.5</v>
      </c>
      <c r="BK45" s="831">
        <f t="shared" si="20"/>
        <v>9.9</v>
      </c>
      <c r="BL45" s="831">
        <f t="shared" si="21"/>
        <v>9.5</v>
      </c>
      <c r="BM45" s="831">
        <f t="shared" si="22"/>
        <v>5.6</v>
      </c>
      <c r="BN45" s="831">
        <f t="shared" si="23"/>
        <v>7.2</v>
      </c>
      <c r="BO45" s="831">
        <f t="shared" si="24"/>
        <v>8.7000000000000028</v>
      </c>
      <c r="BP45" s="831">
        <f t="shared" si="16"/>
        <v>100</v>
      </c>
      <c r="BQ45" s="665" t="s">
        <v>4575</v>
      </c>
      <c r="BR45" s="832"/>
      <c r="BS45" s="832"/>
      <c r="BT45" s="832"/>
      <c r="BU45" s="832"/>
      <c r="BV45" s="832"/>
      <c r="BW45" s="832"/>
      <c r="BX45" s="665"/>
      <c r="DH45" s="834" t="str">
        <f t="shared" si="26"/>
        <v>Cambodia</v>
      </c>
      <c r="DI45" s="834" t="str">
        <f t="shared" si="26"/>
        <v>Asia</v>
      </c>
      <c r="DJ45" s="834" t="str">
        <f t="shared" si="26"/>
        <v>South-Eastern Asia</v>
      </c>
      <c r="DL45" s="834" t="s">
        <v>4584</v>
      </c>
      <c r="DN45" s="834" t="s">
        <v>4834</v>
      </c>
      <c r="DO45" s="834" t="s">
        <v>4835</v>
      </c>
    </row>
    <row r="46" spans="3:119">
      <c r="C46" s="641" t="s">
        <v>4836</v>
      </c>
      <c r="D46" s="841" t="s">
        <v>4837</v>
      </c>
      <c r="E46" s="816">
        <v>0</v>
      </c>
      <c r="F46" s="817" t="s">
        <v>4652</v>
      </c>
      <c r="G46" s="818" t="s">
        <v>4838</v>
      </c>
      <c r="H46" s="817"/>
      <c r="I46" s="818"/>
      <c r="J46" s="817"/>
      <c r="AW46" s="827" t="s">
        <v>4839</v>
      </c>
      <c r="AX46" s="827" t="s">
        <v>4614</v>
      </c>
      <c r="AY46" s="828" t="str">
        <f>+BZ8</f>
        <v>Middle Africa</v>
      </c>
      <c r="AZ46" s="827">
        <v>275</v>
      </c>
      <c r="BA46" s="665" t="s">
        <v>4573</v>
      </c>
      <c r="BB46" s="829">
        <v>11.053315994798439</v>
      </c>
      <c r="BC46" s="665" t="s">
        <v>4598</v>
      </c>
      <c r="BD46" s="830"/>
      <c r="BE46" s="830"/>
      <c r="BF46" s="665"/>
      <c r="BG46" s="830"/>
      <c r="BH46" s="831">
        <f t="shared" si="17"/>
        <v>16.8</v>
      </c>
      <c r="BI46" s="831">
        <f t="shared" si="18"/>
        <v>2.5</v>
      </c>
      <c r="BJ46" s="831">
        <f t="shared" si="19"/>
        <v>43.4</v>
      </c>
      <c r="BK46" s="831">
        <f t="shared" si="20"/>
        <v>6.5</v>
      </c>
      <c r="BL46" s="831">
        <f t="shared" si="21"/>
        <v>9.5</v>
      </c>
      <c r="BM46" s="831">
        <f t="shared" si="22"/>
        <v>5.6</v>
      </c>
      <c r="BN46" s="831">
        <f t="shared" si="23"/>
        <v>4.5</v>
      </c>
      <c r="BO46" s="831">
        <f t="shared" si="24"/>
        <v>11.200000000000003</v>
      </c>
      <c r="BP46" s="831">
        <f t="shared" si="16"/>
        <v>100</v>
      </c>
      <c r="BQ46" s="665" t="s">
        <v>4575</v>
      </c>
      <c r="BR46" s="853"/>
      <c r="BS46" s="853"/>
      <c r="BT46" s="853"/>
      <c r="BU46" s="853"/>
      <c r="BV46" s="853"/>
      <c r="BW46" s="832"/>
      <c r="BX46" s="665"/>
      <c r="DH46" s="834" t="str">
        <f t="shared" si="26"/>
        <v>Cameroon</v>
      </c>
      <c r="DI46" s="834" t="str">
        <f t="shared" si="26"/>
        <v>Africa</v>
      </c>
      <c r="DJ46" s="834" t="str">
        <f t="shared" si="26"/>
        <v>Middle Africa</v>
      </c>
      <c r="DL46" s="834" t="s">
        <v>4584</v>
      </c>
      <c r="DN46" s="834" t="s">
        <v>4840</v>
      </c>
      <c r="DO46" s="834" t="s">
        <v>4841</v>
      </c>
    </row>
    <row r="47" spans="3:119">
      <c r="C47" s="641" t="s">
        <v>4842</v>
      </c>
      <c r="D47" s="841" t="s">
        <v>4837</v>
      </c>
      <c r="E47" s="816">
        <v>16.12</v>
      </c>
      <c r="F47" s="817" t="s">
        <v>4652</v>
      </c>
      <c r="G47" s="818" t="s">
        <v>4838</v>
      </c>
      <c r="H47" s="817"/>
      <c r="I47" s="818"/>
      <c r="J47" s="817"/>
      <c r="AW47" s="842" t="s">
        <v>4843</v>
      </c>
      <c r="AX47" s="842" t="s">
        <v>4657</v>
      </c>
      <c r="AY47" s="846" t="str">
        <f>+BZ18</f>
        <v>North America</v>
      </c>
      <c r="AZ47" s="842">
        <v>750</v>
      </c>
      <c r="BA47" s="665" t="s">
        <v>4844</v>
      </c>
      <c r="BB47" s="847">
        <v>6.666666666666667</v>
      </c>
      <c r="BC47" s="665" t="s">
        <v>4844</v>
      </c>
      <c r="BD47" s="842">
        <v>0.02</v>
      </c>
      <c r="BE47" s="842">
        <v>7.0000000000000007E-2</v>
      </c>
      <c r="BF47" s="665" t="s">
        <v>4748</v>
      </c>
      <c r="BG47" s="830"/>
      <c r="BH47" s="831">
        <f t="shared" si="17"/>
        <v>23.2</v>
      </c>
      <c r="BI47" s="831">
        <f t="shared" si="18"/>
        <v>3.9</v>
      </c>
      <c r="BJ47" s="831">
        <f t="shared" si="19"/>
        <v>33.9</v>
      </c>
      <c r="BK47" s="831">
        <f t="shared" si="20"/>
        <v>6.2</v>
      </c>
      <c r="BL47" s="831">
        <f t="shared" si="21"/>
        <v>9.5</v>
      </c>
      <c r="BM47" s="831">
        <f t="shared" si="22"/>
        <v>5.6</v>
      </c>
      <c r="BN47" s="831">
        <f t="shared" si="23"/>
        <v>8.5</v>
      </c>
      <c r="BO47" s="831">
        <f t="shared" si="24"/>
        <v>9.2000000000000028</v>
      </c>
      <c r="BP47" s="831">
        <f t="shared" si="16"/>
        <v>100</v>
      </c>
      <c r="BQ47" s="665" t="s">
        <v>4575</v>
      </c>
      <c r="BR47" s="854">
        <v>8.8540000000000008E-2</v>
      </c>
      <c r="BS47" s="854">
        <v>8.8540000000000008E-2</v>
      </c>
      <c r="BT47" s="854">
        <v>1.719E-2</v>
      </c>
      <c r="BU47" s="854">
        <v>7.3859999999999995E-2</v>
      </c>
      <c r="BV47" s="854">
        <v>4.929E-2</v>
      </c>
      <c r="BW47" s="855" t="s">
        <v>4845</v>
      </c>
      <c r="BX47" s="665" t="s">
        <v>4846</v>
      </c>
      <c r="DH47" s="834" t="str">
        <f t="shared" si="26"/>
        <v>Canada-Alberta (AB)</v>
      </c>
      <c r="DI47" s="834" t="str">
        <f t="shared" si="26"/>
        <v>Americas</v>
      </c>
      <c r="DJ47" s="834" t="str">
        <f t="shared" si="26"/>
        <v>North America</v>
      </c>
      <c r="DK47" s="834" t="e">
        <f>VLOOKUP(DH47,#REF!,1)</f>
        <v>#REF!</v>
      </c>
      <c r="DL47" s="834" t="e">
        <f>VLOOKUP(DK47,#REF!,2,FALSE)</f>
        <v>#REF!</v>
      </c>
      <c r="DN47" s="834" t="s">
        <v>4847</v>
      </c>
      <c r="DO47" s="834" t="s">
        <v>4848</v>
      </c>
    </row>
    <row r="48" spans="3:119">
      <c r="C48" s="641" t="s">
        <v>4849</v>
      </c>
      <c r="D48" s="841" t="s">
        <v>4837</v>
      </c>
      <c r="E48" s="816">
        <v>13.64</v>
      </c>
      <c r="F48" s="817" t="s">
        <v>4652</v>
      </c>
      <c r="G48" s="818" t="s">
        <v>4838</v>
      </c>
      <c r="H48" s="817"/>
      <c r="I48" s="818"/>
      <c r="J48" s="817"/>
      <c r="AW48" s="842" t="s">
        <v>4850</v>
      </c>
      <c r="AX48" s="842" t="s">
        <v>4657</v>
      </c>
      <c r="AY48" s="846" t="str">
        <f>+BZ18</f>
        <v>North America</v>
      </c>
      <c r="AZ48" s="842">
        <v>9.3000000000000007</v>
      </c>
      <c r="BA48" s="665" t="s">
        <v>4844</v>
      </c>
      <c r="BB48" s="847">
        <v>4.301075268817204</v>
      </c>
      <c r="BC48" s="665" t="s">
        <v>4844</v>
      </c>
      <c r="BD48" s="842">
        <v>0.02</v>
      </c>
      <c r="BE48" s="842">
        <v>7.0000000000000007E-2</v>
      </c>
      <c r="BF48" s="665" t="s">
        <v>4748</v>
      </c>
      <c r="BG48" s="830"/>
      <c r="BH48" s="831">
        <f t="shared" si="17"/>
        <v>23.2</v>
      </c>
      <c r="BI48" s="831">
        <f t="shared" si="18"/>
        <v>3.9</v>
      </c>
      <c r="BJ48" s="831">
        <f t="shared" si="19"/>
        <v>33.9</v>
      </c>
      <c r="BK48" s="831">
        <f t="shared" si="20"/>
        <v>6.2</v>
      </c>
      <c r="BL48" s="831">
        <f t="shared" si="21"/>
        <v>9.5</v>
      </c>
      <c r="BM48" s="831">
        <f t="shared" si="22"/>
        <v>5.6</v>
      </c>
      <c r="BN48" s="831">
        <f t="shared" si="23"/>
        <v>8.5</v>
      </c>
      <c r="BO48" s="831">
        <f t="shared" si="24"/>
        <v>9.2000000000000028</v>
      </c>
      <c r="BP48" s="831">
        <f t="shared" si="16"/>
        <v>100</v>
      </c>
      <c r="BQ48" s="665" t="s">
        <v>4575</v>
      </c>
      <c r="BR48" s="854">
        <v>8.8540000000000008E-2</v>
      </c>
      <c r="BS48" s="854">
        <v>8.8540000000000008E-2</v>
      </c>
      <c r="BT48" s="854">
        <v>1.719E-2</v>
      </c>
      <c r="BU48" s="854">
        <v>7.3859999999999995E-2</v>
      </c>
      <c r="BV48" s="854">
        <v>4.929E-2</v>
      </c>
      <c r="BW48" s="855" t="s">
        <v>4845</v>
      </c>
      <c r="BX48" s="665" t="s">
        <v>4846</v>
      </c>
      <c r="DH48" s="834" t="str">
        <f t="shared" si="26"/>
        <v>Canada-British Columbia (BC)</v>
      </c>
      <c r="DI48" s="834" t="str">
        <f t="shared" si="26"/>
        <v>Americas</v>
      </c>
      <c r="DJ48" s="834" t="str">
        <f t="shared" si="26"/>
        <v>North America</v>
      </c>
      <c r="DK48" s="834" t="e">
        <f>VLOOKUP(DH48,#REF!,1)</f>
        <v>#REF!</v>
      </c>
      <c r="DL48" s="834" t="e">
        <f>VLOOKUP(DK48,#REF!,2,FALSE)</f>
        <v>#REF!</v>
      </c>
      <c r="DN48" s="834" t="s">
        <v>4851</v>
      </c>
      <c r="DO48" s="834" t="s">
        <v>4852</v>
      </c>
    </row>
    <row r="49" spans="3:119">
      <c r="C49" s="641" t="s">
        <v>4853</v>
      </c>
      <c r="D49" s="841" t="s">
        <v>4837</v>
      </c>
      <c r="E49" s="816">
        <v>18.599999999999998</v>
      </c>
      <c r="F49" s="817" t="s">
        <v>4652</v>
      </c>
      <c r="G49" s="818" t="s">
        <v>4838</v>
      </c>
      <c r="H49" s="817"/>
      <c r="I49" s="818"/>
      <c r="J49" s="817"/>
      <c r="AW49" s="842" t="s">
        <v>4854</v>
      </c>
      <c r="AX49" s="842" t="s">
        <v>4657</v>
      </c>
      <c r="AY49" s="846" t="str">
        <f>+BZ18</f>
        <v>North America</v>
      </c>
      <c r="AZ49" s="842">
        <v>1.9</v>
      </c>
      <c r="BA49" s="665" t="s">
        <v>4844</v>
      </c>
      <c r="BB49" s="847">
        <v>10.526315789473685</v>
      </c>
      <c r="BC49" s="665" t="s">
        <v>4844</v>
      </c>
      <c r="BD49" s="842">
        <v>0.02</v>
      </c>
      <c r="BE49" s="842">
        <v>7.0000000000000007E-2</v>
      </c>
      <c r="BF49" s="665" t="s">
        <v>4748</v>
      </c>
      <c r="BG49" s="830"/>
      <c r="BH49" s="831">
        <f t="shared" si="17"/>
        <v>23.2</v>
      </c>
      <c r="BI49" s="831">
        <f t="shared" si="18"/>
        <v>3.9</v>
      </c>
      <c r="BJ49" s="831">
        <f t="shared" si="19"/>
        <v>33.9</v>
      </c>
      <c r="BK49" s="831">
        <f t="shared" si="20"/>
        <v>6.2</v>
      </c>
      <c r="BL49" s="831">
        <f t="shared" si="21"/>
        <v>9.5</v>
      </c>
      <c r="BM49" s="831">
        <f t="shared" si="22"/>
        <v>5.6</v>
      </c>
      <c r="BN49" s="831">
        <f t="shared" si="23"/>
        <v>8.5</v>
      </c>
      <c r="BO49" s="831">
        <f t="shared" si="24"/>
        <v>9.2000000000000028</v>
      </c>
      <c r="BP49" s="831">
        <f t="shared" si="16"/>
        <v>100</v>
      </c>
      <c r="BQ49" s="665" t="s">
        <v>4575</v>
      </c>
      <c r="BR49" s="854">
        <v>8.8540000000000008E-2</v>
      </c>
      <c r="BS49" s="854">
        <v>8.8540000000000008E-2</v>
      </c>
      <c r="BT49" s="854">
        <v>1.719E-2</v>
      </c>
      <c r="BU49" s="854">
        <v>7.3859999999999995E-2</v>
      </c>
      <c r="BV49" s="854">
        <v>4.929E-2</v>
      </c>
      <c r="BW49" s="855" t="s">
        <v>4845</v>
      </c>
      <c r="BX49" s="665" t="s">
        <v>4846</v>
      </c>
      <c r="DH49" s="834" t="str">
        <f t="shared" si="26"/>
        <v>Canada-Manitoba (MT)</v>
      </c>
      <c r="DI49" s="834" t="str">
        <f t="shared" si="26"/>
        <v>Americas</v>
      </c>
      <c r="DJ49" s="834" t="str">
        <f t="shared" si="26"/>
        <v>North America</v>
      </c>
      <c r="DK49" s="834" t="e">
        <f>VLOOKUP(DH49,#REF!,1)</f>
        <v>#REF!</v>
      </c>
      <c r="DL49" s="834" t="e">
        <f>VLOOKUP(DK49,#REF!,2,FALSE)</f>
        <v>#REF!</v>
      </c>
      <c r="DN49" s="834" t="s">
        <v>4855</v>
      </c>
      <c r="DO49" s="834" t="s">
        <v>4856</v>
      </c>
    </row>
    <row r="50" spans="3:119">
      <c r="C50" s="641" t="s">
        <v>4857</v>
      </c>
      <c r="D50" s="841" t="s">
        <v>4837</v>
      </c>
      <c r="E50" s="816">
        <v>2100</v>
      </c>
      <c r="F50" s="817" t="s">
        <v>4652</v>
      </c>
      <c r="G50" s="818" t="s">
        <v>4838</v>
      </c>
      <c r="H50" s="817"/>
      <c r="I50" s="818"/>
      <c r="J50" s="817"/>
      <c r="AW50" s="842" t="s">
        <v>4858</v>
      </c>
      <c r="AX50" s="842" t="s">
        <v>4657</v>
      </c>
      <c r="AY50" s="846" t="str">
        <f>+BZ18</f>
        <v>North America</v>
      </c>
      <c r="AZ50" s="842">
        <v>310</v>
      </c>
      <c r="BA50" s="665" t="s">
        <v>4844</v>
      </c>
      <c r="BB50" s="847">
        <v>6.4516129032258061</v>
      </c>
      <c r="BC50" s="665" t="s">
        <v>4844</v>
      </c>
      <c r="BD50" s="842">
        <v>0.02</v>
      </c>
      <c r="BE50" s="842">
        <v>7.0000000000000007E-2</v>
      </c>
      <c r="BF50" s="665" t="s">
        <v>4748</v>
      </c>
      <c r="BG50" s="830"/>
      <c r="BH50" s="831">
        <f t="shared" si="17"/>
        <v>23.2</v>
      </c>
      <c r="BI50" s="831">
        <f t="shared" si="18"/>
        <v>3.9</v>
      </c>
      <c r="BJ50" s="831">
        <f t="shared" si="19"/>
        <v>33.9</v>
      </c>
      <c r="BK50" s="831">
        <f t="shared" si="20"/>
        <v>6.2</v>
      </c>
      <c r="BL50" s="831">
        <f t="shared" si="21"/>
        <v>9.5</v>
      </c>
      <c r="BM50" s="831">
        <f t="shared" si="22"/>
        <v>5.6</v>
      </c>
      <c r="BN50" s="831">
        <f t="shared" si="23"/>
        <v>8.5</v>
      </c>
      <c r="BO50" s="831">
        <f t="shared" si="24"/>
        <v>9.2000000000000028</v>
      </c>
      <c r="BP50" s="831">
        <f t="shared" si="16"/>
        <v>100</v>
      </c>
      <c r="BQ50" s="665" t="s">
        <v>4575</v>
      </c>
      <c r="BR50" s="854">
        <v>8.8540000000000008E-2</v>
      </c>
      <c r="BS50" s="854">
        <v>8.8540000000000008E-2</v>
      </c>
      <c r="BT50" s="854">
        <v>1.719E-2</v>
      </c>
      <c r="BU50" s="854">
        <v>7.3859999999999995E-2</v>
      </c>
      <c r="BV50" s="854">
        <v>4.929E-2</v>
      </c>
      <c r="BW50" s="855" t="s">
        <v>4845</v>
      </c>
      <c r="BX50" s="665" t="s">
        <v>4846</v>
      </c>
      <c r="DH50" s="834" t="str">
        <f t="shared" si="26"/>
        <v>Canada-New Brunswick (NB)</v>
      </c>
      <c r="DI50" s="834" t="str">
        <f t="shared" si="26"/>
        <v>Americas</v>
      </c>
      <c r="DJ50" s="834" t="str">
        <f t="shared" si="26"/>
        <v>North America</v>
      </c>
      <c r="DK50" s="834" t="e">
        <f>VLOOKUP(DH50,#REF!,1)</f>
        <v>#REF!</v>
      </c>
      <c r="DL50" s="834" t="e">
        <f>VLOOKUP(DK50,#REF!,2,FALSE)</f>
        <v>#REF!</v>
      </c>
      <c r="DN50" s="834" t="s">
        <v>4859</v>
      </c>
      <c r="DO50" s="834" t="s">
        <v>4860</v>
      </c>
    </row>
    <row r="51" spans="3:119" ht="25.5">
      <c r="C51" s="641" t="s">
        <v>4861</v>
      </c>
      <c r="D51" s="841" t="s">
        <v>4837</v>
      </c>
      <c r="E51" s="816">
        <v>1330</v>
      </c>
      <c r="F51" s="817" t="s">
        <v>4652</v>
      </c>
      <c r="G51" s="818" t="s">
        <v>4838</v>
      </c>
      <c r="H51" s="817"/>
      <c r="I51" s="818"/>
      <c r="J51" s="817"/>
      <c r="AW51" s="842" t="s">
        <v>4862</v>
      </c>
      <c r="AX51" s="842" t="s">
        <v>4657</v>
      </c>
      <c r="AY51" s="846" t="str">
        <f>+BZ18</f>
        <v>North America</v>
      </c>
      <c r="AZ51" s="842">
        <v>40</v>
      </c>
      <c r="BA51" s="665" t="s">
        <v>4844</v>
      </c>
      <c r="BB51" s="847">
        <v>0</v>
      </c>
      <c r="BC51" s="665" t="s">
        <v>4844</v>
      </c>
      <c r="BD51" s="842">
        <v>0.02</v>
      </c>
      <c r="BE51" s="842">
        <v>7.0000000000000007E-2</v>
      </c>
      <c r="BF51" s="665" t="s">
        <v>4748</v>
      </c>
      <c r="BG51" s="830"/>
      <c r="BH51" s="831">
        <f t="shared" si="17"/>
        <v>23.2</v>
      </c>
      <c r="BI51" s="831">
        <f t="shared" si="18"/>
        <v>3.9</v>
      </c>
      <c r="BJ51" s="831">
        <f t="shared" si="19"/>
        <v>33.9</v>
      </c>
      <c r="BK51" s="831">
        <f t="shared" si="20"/>
        <v>6.2</v>
      </c>
      <c r="BL51" s="831">
        <f t="shared" si="21"/>
        <v>9.5</v>
      </c>
      <c r="BM51" s="831">
        <f t="shared" si="22"/>
        <v>5.6</v>
      </c>
      <c r="BN51" s="831">
        <f t="shared" si="23"/>
        <v>8.5</v>
      </c>
      <c r="BO51" s="831">
        <f t="shared" si="24"/>
        <v>9.2000000000000028</v>
      </c>
      <c r="BP51" s="831">
        <f t="shared" si="16"/>
        <v>100</v>
      </c>
      <c r="BQ51" s="665" t="s">
        <v>4575</v>
      </c>
      <c r="BR51" s="854">
        <v>8.8540000000000008E-2</v>
      </c>
      <c r="BS51" s="854">
        <v>8.8540000000000008E-2</v>
      </c>
      <c r="BT51" s="854">
        <v>1.719E-2</v>
      </c>
      <c r="BU51" s="854">
        <v>7.3859999999999995E-2</v>
      </c>
      <c r="BV51" s="854">
        <v>4.929E-2</v>
      </c>
      <c r="BW51" s="855" t="s">
        <v>4845</v>
      </c>
      <c r="BX51" s="665" t="s">
        <v>4846</v>
      </c>
      <c r="DH51" s="834" t="str">
        <f t="shared" si="26"/>
        <v>Canada-Newfoundland and Labrador (NL)</v>
      </c>
      <c r="DI51" s="834" t="str">
        <f t="shared" si="26"/>
        <v>Americas</v>
      </c>
      <c r="DJ51" s="834" t="str">
        <f t="shared" si="26"/>
        <v>North America</v>
      </c>
      <c r="DK51" s="834" t="e">
        <f>VLOOKUP(DH51,#REF!,1)</f>
        <v>#REF!</v>
      </c>
      <c r="DL51" s="834" t="e">
        <f>VLOOKUP(DK51,#REF!,2,FALSE)</f>
        <v>#REF!</v>
      </c>
      <c r="DN51" s="834" t="s">
        <v>4863</v>
      </c>
      <c r="DO51" s="834" t="s">
        <v>4864</v>
      </c>
    </row>
    <row r="52" spans="3:119">
      <c r="C52" s="641" t="s">
        <v>4865</v>
      </c>
      <c r="D52" s="841" t="s">
        <v>4837</v>
      </c>
      <c r="E52" s="816">
        <v>1766</v>
      </c>
      <c r="F52" s="817" t="s">
        <v>4652</v>
      </c>
      <c r="G52" s="818" t="s">
        <v>4838</v>
      </c>
      <c r="H52" s="817"/>
      <c r="I52" s="818"/>
      <c r="J52" s="817"/>
      <c r="AW52" s="842" t="s">
        <v>4866</v>
      </c>
      <c r="AX52" s="842" t="s">
        <v>4657</v>
      </c>
      <c r="AY52" s="846" t="str">
        <f>+BZ18</f>
        <v>North America</v>
      </c>
      <c r="AZ52" s="842">
        <v>670</v>
      </c>
      <c r="BA52" s="665" t="s">
        <v>4844</v>
      </c>
      <c r="BB52" s="847">
        <v>7.4626865671641784</v>
      </c>
      <c r="BC52" s="665" t="s">
        <v>4844</v>
      </c>
      <c r="BD52" s="842">
        <v>0.02</v>
      </c>
      <c r="BE52" s="842">
        <v>7.0000000000000007E-2</v>
      </c>
      <c r="BF52" s="665" t="s">
        <v>4748</v>
      </c>
      <c r="BG52" s="830"/>
      <c r="BH52" s="831">
        <f t="shared" si="17"/>
        <v>23.2</v>
      </c>
      <c r="BI52" s="831">
        <f t="shared" si="18"/>
        <v>3.9</v>
      </c>
      <c r="BJ52" s="831">
        <f t="shared" si="19"/>
        <v>33.9</v>
      </c>
      <c r="BK52" s="831">
        <f t="shared" si="20"/>
        <v>6.2</v>
      </c>
      <c r="BL52" s="831">
        <f t="shared" si="21"/>
        <v>9.5</v>
      </c>
      <c r="BM52" s="831">
        <f t="shared" si="22"/>
        <v>5.6</v>
      </c>
      <c r="BN52" s="831">
        <f t="shared" si="23"/>
        <v>8.5</v>
      </c>
      <c r="BO52" s="831">
        <f t="shared" si="24"/>
        <v>9.2000000000000028</v>
      </c>
      <c r="BP52" s="831">
        <f t="shared" si="16"/>
        <v>100</v>
      </c>
      <c r="BQ52" s="665" t="s">
        <v>4575</v>
      </c>
      <c r="BR52" s="854">
        <v>8.8540000000000008E-2</v>
      </c>
      <c r="BS52" s="854">
        <v>8.8540000000000008E-2</v>
      </c>
      <c r="BT52" s="854">
        <v>1.719E-2</v>
      </c>
      <c r="BU52" s="854">
        <v>7.3859999999999995E-2</v>
      </c>
      <c r="BV52" s="854">
        <v>4.929E-2</v>
      </c>
      <c r="BW52" s="855" t="s">
        <v>4845</v>
      </c>
      <c r="BX52" s="665" t="s">
        <v>4846</v>
      </c>
      <c r="DH52" s="834" t="str">
        <f t="shared" si="26"/>
        <v>Canada-Nova Scotia (NS)</v>
      </c>
      <c r="DI52" s="834" t="str">
        <f t="shared" si="26"/>
        <v>Americas</v>
      </c>
      <c r="DJ52" s="834" t="str">
        <f t="shared" si="26"/>
        <v>North America</v>
      </c>
      <c r="DK52" s="834" t="e">
        <f>VLOOKUP(DH52,#REF!,1)</f>
        <v>#REF!</v>
      </c>
      <c r="DL52" s="834" t="e">
        <f>VLOOKUP(DK52,#REF!,2,FALSE)</f>
        <v>#REF!</v>
      </c>
      <c r="DN52" s="834" t="s">
        <v>4867</v>
      </c>
      <c r="DO52" s="834" t="s">
        <v>4868</v>
      </c>
    </row>
    <row r="53" spans="3:119">
      <c r="C53" s="641" t="s">
        <v>4869</v>
      </c>
      <c r="D53" s="841" t="s">
        <v>4837</v>
      </c>
      <c r="E53" s="816">
        <v>3443.7000000000003</v>
      </c>
      <c r="F53" s="817" t="s">
        <v>4652</v>
      </c>
      <c r="G53" s="818" t="s">
        <v>4838</v>
      </c>
      <c r="H53" s="817"/>
      <c r="I53" s="818"/>
      <c r="J53" s="817"/>
      <c r="AW53" s="842" t="s">
        <v>4870</v>
      </c>
      <c r="AX53" s="842" t="s">
        <v>4657</v>
      </c>
      <c r="AY53" s="846" t="str">
        <f>+BZ18</f>
        <v>North America</v>
      </c>
      <c r="AZ53" s="842">
        <v>180</v>
      </c>
      <c r="BA53" s="665" t="s">
        <v>4844</v>
      </c>
      <c r="BB53" s="847">
        <v>0</v>
      </c>
      <c r="BC53" s="665" t="s">
        <v>4844</v>
      </c>
      <c r="BD53" s="842">
        <v>0.02</v>
      </c>
      <c r="BE53" s="842">
        <v>7.0000000000000007E-2</v>
      </c>
      <c r="BF53" s="665" t="s">
        <v>4748</v>
      </c>
      <c r="BG53" s="830"/>
      <c r="BH53" s="831">
        <f t="shared" si="17"/>
        <v>23.2</v>
      </c>
      <c r="BI53" s="831">
        <f t="shared" si="18"/>
        <v>3.9</v>
      </c>
      <c r="BJ53" s="831">
        <f t="shared" si="19"/>
        <v>33.9</v>
      </c>
      <c r="BK53" s="831">
        <f t="shared" si="20"/>
        <v>6.2</v>
      </c>
      <c r="BL53" s="831">
        <f t="shared" si="21"/>
        <v>9.5</v>
      </c>
      <c r="BM53" s="831">
        <f t="shared" si="22"/>
        <v>5.6</v>
      </c>
      <c r="BN53" s="831">
        <f t="shared" si="23"/>
        <v>8.5</v>
      </c>
      <c r="BO53" s="831">
        <f t="shared" si="24"/>
        <v>9.2000000000000028</v>
      </c>
      <c r="BP53" s="831">
        <f t="shared" si="16"/>
        <v>100</v>
      </c>
      <c r="BQ53" s="665" t="s">
        <v>4575</v>
      </c>
      <c r="BR53" s="854">
        <v>8.8540000000000008E-2</v>
      </c>
      <c r="BS53" s="854">
        <v>8.8540000000000008E-2</v>
      </c>
      <c r="BT53" s="854">
        <v>1.719E-2</v>
      </c>
      <c r="BU53" s="854">
        <v>7.3859999999999995E-2</v>
      </c>
      <c r="BV53" s="854">
        <v>4.929E-2</v>
      </c>
      <c r="BW53" s="855" t="s">
        <v>4845</v>
      </c>
      <c r="BX53" s="665" t="s">
        <v>4846</v>
      </c>
      <c r="DH53" s="834" t="str">
        <f t="shared" si="26"/>
        <v>Canada-Northwest Territories (NT)</v>
      </c>
      <c r="DI53" s="834" t="str">
        <f t="shared" si="26"/>
        <v>Americas</v>
      </c>
      <c r="DJ53" s="834" t="str">
        <f t="shared" si="26"/>
        <v>North America</v>
      </c>
      <c r="DK53" s="834" t="e">
        <f>VLOOKUP(DH53,#REF!,1)</f>
        <v>#REF!</v>
      </c>
      <c r="DL53" s="834" t="e">
        <f>VLOOKUP(DK53,#REF!,2,FALSE)</f>
        <v>#REF!</v>
      </c>
      <c r="DN53" s="834" t="s">
        <v>4871</v>
      </c>
      <c r="DO53" s="834" t="s">
        <v>4872</v>
      </c>
    </row>
    <row r="54" spans="3:119">
      <c r="C54" s="641" t="s">
        <v>4873</v>
      </c>
      <c r="D54" s="841" t="s">
        <v>4837</v>
      </c>
      <c r="E54" s="816">
        <v>3921.6</v>
      </c>
      <c r="F54" s="817" t="s">
        <v>4652</v>
      </c>
      <c r="G54" s="818" t="s">
        <v>4838</v>
      </c>
      <c r="H54" s="817"/>
      <c r="I54" s="818"/>
      <c r="J54" s="817"/>
      <c r="AW54" s="842" t="s">
        <v>4874</v>
      </c>
      <c r="AX54" s="842" t="s">
        <v>4657</v>
      </c>
      <c r="AY54" s="846" t="str">
        <f>+BZ18</f>
        <v>North America</v>
      </c>
      <c r="AZ54" s="842">
        <v>750</v>
      </c>
      <c r="BA54" s="665" t="s">
        <v>4844</v>
      </c>
      <c r="BB54" s="847">
        <v>5.3333333333333339</v>
      </c>
      <c r="BC54" s="665" t="s">
        <v>4844</v>
      </c>
      <c r="BD54" s="842">
        <v>0.02</v>
      </c>
      <c r="BE54" s="842">
        <v>7.0000000000000007E-2</v>
      </c>
      <c r="BF54" s="665" t="s">
        <v>4748</v>
      </c>
      <c r="BG54" s="830"/>
      <c r="BH54" s="831">
        <f t="shared" si="17"/>
        <v>23.2</v>
      </c>
      <c r="BI54" s="831">
        <f t="shared" si="18"/>
        <v>3.9</v>
      </c>
      <c r="BJ54" s="831">
        <f t="shared" si="19"/>
        <v>33.9</v>
      </c>
      <c r="BK54" s="831">
        <f t="shared" si="20"/>
        <v>6.2</v>
      </c>
      <c r="BL54" s="831">
        <f t="shared" si="21"/>
        <v>9.5</v>
      </c>
      <c r="BM54" s="831">
        <f t="shared" si="22"/>
        <v>5.6</v>
      </c>
      <c r="BN54" s="831">
        <f t="shared" si="23"/>
        <v>8.5</v>
      </c>
      <c r="BO54" s="831">
        <f t="shared" si="24"/>
        <v>9.2000000000000028</v>
      </c>
      <c r="BP54" s="831">
        <f t="shared" si="16"/>
        <v>100</v>
      </c>
      <c r="BQ54" s="665" t="s">
        <v>4575</v>
      </c>
      <c r="BR54" s="854">
        <v>8.8540000000000008E-2</v>
      </c>
      <c r="BS54" s="854">
        <v>8.8540000000000008E-2</v>
      </c>
      <c r="BT54" s="854">
        <v>1.719E-2</v>
      </c>
      <c r="BU54" s="854">
        <v>7.3859999999999995E-2</v>
      </c>
      <c r="BV54" s="854">
        <v>4.929E-2</v>
      </c>
      <c r="BW54" s="855" t="s">
        <v>4845</v>
      </c>
      <c r="BX54" s="665" t="s">
        <v>4846</v>
      </c>
      <c r="DH54" s="834" t="str">
        <f t="shared" si="26"/>
        <v>Canada-Nunavut (NU)</v>
      </c>
      <c r="DI54" s="834" t="str">
        <f t="shared" si="26"/>
        <v>Americas</v>
      </c>
      <c r="DJ54" s="834" t="str">
        <f t="shared" si="26"/>
        <v>North America</v>
      </c>
      <c r="DK54" s="834" t="e">
        <f>VLOOKUP(DH54,#REF!,1)</f>
        <v>#REF!</v>
      </c>
      <c r="DL54" s="834" t="e">
        <f>VLOOKUP(DK54,#REF!,2,FALSE)</f>
        <v>#REF!</v>
      </c>
      <c r="DN54" s="834" t="s">
        <v>4875</v>
      </c>
      <c r="DO54" s="834" t="s">
        <v>4876</v>
      </c>
    </row>
    <row r="55" spans="3:119">
      <c r="C55" s="641" t="s">
        <v>4877</v>
      </c>
      <c r="D55" s="841" t="s">
        <v>4837</v>
      </c>
      <c r="E55" s="816">
        <v>0</v>
      </c>
      <c r="F55" s="817" t="s">
        <v>4652</v>
      </c>
      <c r="G55" s="818" t="s">
        <v>4838</v>
      </c>
      <c r="H55" s="817"/>
      <c r="I55" s="818"/>
      <c r="J55" s="817"/>
      <c r="AW55" s="842" t="s">
        <v>4878</v>
      </c>
      <c r="AX55" s="842" t="s">
        <v>4657</v>
      </c>
      <c r="AY55" s="846" t="str">
        <f>+BZ18</f>
        <v>North America</v>
      </c>
      <c r="AZ55" s="842">
        <v>17</v>
      </c>
      <c r="BA55" s="665" t="s">
        <v>4844</v>
      </c>
      <c r="BB55" s="847">
        <v>17.647058823529413</v>
      </c>
      <c r="BC55" s="665" t="s">
        <v>4844</v>
      </c>
      <c r="BD55" s="842">
        <v>0.02</v>
      </c>
      <c r="BE55" s="842">
        <v>7.0000000000000007E-2</v>
      </c>
      <c r="BF55" s="665" t="s">
        <v>4748</v>
      </c>
      <c r="BG55" s="830"/>
      <c r="BH55" s="831">
        <f t="shared" si="17"/>
        <v>23.2</v>
      </c>
      <c r="BI55" s="831">
        <f t="shared" si="18"/>
        <v>3.9</v>
      </c>
      <c r="BJ55" s="831">
        <f t="shared" si="19"/>
        <v>33.9</v>
      </c>
      <c r="BK55" s="831">
        <f t="shared" si="20"/>
        <v>6.2</v>
      </c>
      <c r="BL55" s="831">
        <f t="shared" si="21"/>
        <v>9.5</v>
      </c>
      <c r="BM55" s="831">
        <f t="shared" si="22"/>
        <v>5.6</v>
      </c>
      <c r="BN55" s="831">
        <f t="shared" si="23"/>
        <v>8.5</v>
      </c>
      <c r="BO55" s="831">
        <f t="shared" si="24"/>
        <v>9.2000000000000028</v>
      </c>
      <c r="BP55" s="831">
        <f t="shared" si="16"/>
        <v>100</v>
      </c>
      <c r="BQ55" s="665" t="s">
        <v>4575</v>
      </c>
      <c r="BR55" s="854">
        <v>8.8540000000000008E-2</v>
      </c>
      <c r="BS55" s="854">
        <v>8.8540000000000008E-2</v>
      </c>
      <c r="BT55" s="854">
        <v>1.719E-2</v>
      </c>
      <c r="BU55" s="854">
        <v>7.3859999999999995E-2</v>
      </c>
      <c r="BV55" s="854">
        <v>4.929E-2</v>
      </c>
      <c r="BW55" s="855" t="s">
        <v>4845</v>
      </c>
      <c r="BX55" s="665" t="s">
        <v>4846</v>
      </c>
      <c r="DH55" s="834" t="str">
        <f t="shared" si="26"/>
        <v>Canada-Ontario (ON)</v>
      </c>
      <c r="DI55" s="834" t="str">
        <f t="shared" si="26"/>
        <v>Americas</v>
      </c>
      <c r="DJ55" s="834" t="str">
        <f t="shared" si="26"/>
        <v>North America</v>
      </c>
      <c r="DK55" s="834" t="e">
        <f>VLOOKUP(DH55,#REF!,1)</f>
        <v>#REF!</v>
      </c>
      <c r="DL55" s="834" t="e">
        <f>VLOOKUP(DK55,#REF!,2,FALSE)</f>
        <v>#REF!</v>
      </c>
      <c r="DN55" s="834" t="s">
        <v>4879</v>
      </c>
      <c r="DO55" s="834" t="s">
        <v>4880</v>
      </c>
    </row>
    <row r="56" spans="3:119">
      <c r="C56" s="641" t="s">
        <v>4881</v>
      </c>
      <c r="D56" s="841" t="s">
        <v>4837</v>
      </c>
      <c r="E56" s="816">
        <v>2107</v>
      </c>
      <c r="F56" s="817" t="s">
        <v>4652</v>
      </c>
      <c r="G56" s="818" t="s">
        <v>4838</v>
      </c>
      <c r="H56" s="817"/>
      <c r="I56" s="818"/>
      <c r="J56" s="817"/>
      <c r="AW56" s="842" t="s">
        <v>4882</v>
      </c>
      <c r="AX56" s="842" t="s">
        <v>4657</v>
      </c>
      <c r="AY56" s="846" t="str">
        <f>+BZ18</f>
        <v>North America</v>
      </c>
      <c r="AZ56" s="842">
        <v>14</v>
      </c>
      <c r="BA56" s="665" t="s">
        <v>4844</v>
      </c>
      <c r="BB56" s="847">
        <v>0</v>
      </c>
      <c r="BC56" s="665" t="s">
        <v>4844</v>
      </c>
      <c r="BD56" s="842">
        <v>0.02</v>
      </c>
      <c r="BE56" s="842">
        <v>7.0000000000000007E-2</v>
      </c>
      <c r="BF56" s="665" t="s">
        <v>4748</v>
      </c>
      <c r="BG56" s="830"/>
      <c r="BH56" s="831">
        <f t="shared" si="17"/>
        <v>23.2</v>
      </c>
      <c r="BI56" s="831">
        <f t="shared" si="18"/>
        <v>3.9</v>
      </c>
      <c r="BJ56" s="831">
        <f t="shared" si="19"/>
        <v>33.9</v>
      </c>
      <c r="BK56" s="831">
        <f t="shared" si="20"/>
        <v>6.2</v>
      </c>
      <c r="BL56" s="831">
        <f t="shared" si="21"/>
        <v>9.5</v>
      </c>
      <c r="BM56" s="831">
        <f t="shared" si="22"/>
        <v>5.6</v>
      </c>
      <c r="BN56" s="831">
        <f t="shared" si="23"/>
        <v>8.5</v>
      </c>
      <c r="BO56" s="831">
        <f t="shared" si="24"/>
        <v>9.2000000000000028</v>
      </c>
      <c r="BP56" s="831">
        <f t="shared" si="16"/>
        <v>100</v>
      </c>
      <c r="BQ56" s="665" t="s">
        <v>4575</v>
      </c>
      <c r="BR56" s="854">
        <v>8.8540000000000008E-2</v>
      </c>
      <c r="BS56" s="854">
        <v>8.8540000000000008E-2</v>
      </c>
      <c r="BT56" s="854">
        <v>1.719E-2</v>
      </c>
      <c r="BU56" s="854">
        <v>7.3859999999999995E-2</v>
      </c>
      <c r="BV56" s="854">
        <v>4.929E-2</v>
      </c>
      <c r="BW56" s="855" t="s">
        <v>4845</v>
      </c>
      <c r="BX56" s="665" t="s">
        <v>4846</v>
      </c>
      <c r="DH56" s="834" t="str">
        <f t="shared" si="26"/>
        <v>Canada-Prince Edward Island (PE)</v>
      </c>
      <c r="DI56" s="834" t="str">
        <f t="shared" si="26"/>
        <v>Americas</v>
      </c>
      <c r="DJ56" s="834" t="str">
        <f t="shared" si="26"/>
        <v>North America</v>
      </c>
      <c r="DK56" s="834" t="e">
        <f>VLOOKUP(DH56,#REF!,1)</f>
        <v>#REF!</v>
      </c>
      <c r="DL56" s="834" t="e">
        <f>VLOOKUP(DK56,#REF!,2,FALSE)</f>
        <v>#REF!</v>
      </c>
      <c r="DN56" s="834" t="s">
        <v>4883</v>
      </c>
      <c r="DO56" s="834" t="s">
        <v>4884</v>
      </c>
    </row>
    <row r="57" spans="3:119">
      <c r="C57" s="641" t="s">
        <v>4885</v>
      </c>
      <c r="D57" s="841" t="s">
        <v>4837</v>
      </c>
      <c r="E57" s="816">
        <v>2803.5</v>
      </c>
      <c r="F57" s="817" t="s">
        <v>4652</v>
      </c>
      <c r="G57" s="818" t="s">
        <v>4838</v>
      </c>
      <c r="H57" s="817"/>
      <c r="I57" s="818"/>
      <c r="J57" s="817"/>
      <c r="AW57" s="842" t="s">
        <v>4886</v>
      </c>
      <c r="AX57" s="842" t="s">
        <v>4657</v>
      </c>
      <c r="AY57" s="846" t="str">
        <f>+BZ18</f>
        <v>North America</v>
      </c>
      <c r="AZ57" s="842">
        <v>1.3</v>
      </c>
      <c r="BA57" s="665" t="s">
        <v>4844</v>
      </c>
      <c r="BB57" s="847">
        <v>15.384615384615385</v>
      </c>
      <c r="BC57" s="665" t="s">
        <v>4844</v>
      </c>
      <c r="BD57" s="842">
        <v>0.02</v>
      </c>
      <c r="BE57" s="842">
        <v>7.0000000000000007E-2</v>
      </c>
      <c r="BF57" s="665" t="s">
        <v>4748</v>
      </c>
      <c r="BG57" s="830"/>
      <c r="BH57" s="831">
        <f t="shared" si="17"/>
        <v>23.2</v>
      </c>
      <c r="BI57" s="831">
        <f t="shared" si="18"/>
        <v>3.9</v>
      </c>
      <c r="BJ57" s="831">
        <f t="shared" si="19"/>
        <v>33.9</v>
      </c>
      <c r="BK57" s="831">
        <f t="shared" si="20"/>
        <v>6.2</v>
      </c>
      <c r="BL57" s="831">
        <f t="shared" si="21"/>
        <v>9.5</v>
      </c>
      <c r="BM57" s="831">
        <f t="shared" si="22"/>
        <v>5.6</v>
      </c>
      <c r="BN57" s="831">
        <f t="shared" si="23"/>
        <v>8.5</v>
      </c>
      <c r="BO57" s="831">
        <f t="shared" si="24"/>
        <v>9.2000000000000028</v>
      </c>
      <c r="BP57" s="831">
        <f t="shared" si="16"/>
        <v>100</v>
      </c>
      <c r="BQ57" s="665" t="s">
        <v>4575</v>
      </c>
      <c r="BR57" s="854">
        <v>8.8540000000000008E-2</v>
      </c>
      <c r="BS57" s="854">
        <v>8.8540000000000008E-2</v>
      </c>
      <c r="BT57" s="854">
        <v>1.719E-2</v>
      </c>
      <c r="BU57" s="854">
        <v>7.3859999999999995E-2</v>
      </c>
      <c r="BV57" s="854">
        <v>4.929E-2</v>
      </c>
      <c r="BW57" s="855" t="s">
        <v>4845</v>
      </c>
      <c r="BX57" s="665" t="s">
        <v>4846</v>
      </c>
      <c r="DH57" s="834" t="str">
        <f t="shared" si="26"/>
        <v>Canada-Quebec (QC)</v>
      </c>
      <c r="DI57" s="834" t="str">
        <f t="shared" si="26"/>
        <v>Americas</v>
      </c>
      <c r="DJ57" s="834" t="str">
        <f t="shared" si="26"/>
        <v>North America</v>
      </c>
      <c r="DK57" s="834" t="e">
        <f>VLOOKUP(DH57,#REF!,1)</f>
        <v>#REF!</v>
      </c>
      <c r="DL57" s="834" t="e">
        <f>VLOOKUP(DK57,#REF!,2,FALSE)</f>
        <v>#REF!</v>
      </c>
      <c r="DN57" s="834" t="s">
        <v>4887</v>
      </c>
      <c r="DO57" s="834" t="s">
        <v>4888</v>
      </c>
    </row>
    <row r="58" spans="3:119">
      <c r="C58" s="641" t="s">
        <v>4889</v>
      </c>
      <c r="D58" s="841" t="s">
        <v>4837</v>
      </c>
      <c r="E58" s="816">
        <v>1773.85</v>
      </c>
      <c r="F58" s="817" t="s">
        <v>4652</v>
      </c>
      <c r="G58" s="818" t="s">
        <v>4838</v>
      </c>
      <c r="H58" s="817"/>
      <c r="I58" s="818"/>
      <c r="J58" s="817"/>
      <c r="AW58" s="842" t="s">
        <v>4890</v>
      </c>
      <c r="AX58" s="842" t="s">
        <v>4657</v>
      </c>
      <c r="AY58" s="846" t="str">
        <f>+BZ18</f>
        <v>North America</v>
      </c>
      <c r="AZ58" s="842">
        <v>660</v>
      </c>
      <c r="BA58" s="665" t="s">
        <v>4844</v>
      </c>
      <c r="BB58" s="847">
        <v>7.5757575757575761</v>
      </c>
      <c r="BC58" s="665" t="s">
        <v>4844</v>
      </c>
      <c r="BD58" s="842">
        <v>0.02</v>
      </c>
      <c r="BE58" s="842">
        <v>7.0000000000000007E-2</v>
      </c>
      <c r="BF58" s="665" t="s">
        <v>4748</v>
      </c>
      <c r="BG58" s="830"/>
      <c r="BH58" s="831">
        <f t="shared" si="17"/>
        <v>23.2</v>
      </c>
      <c r="BI58" s="831">
        <f t="shared" si="18"/>
        <v>3.9</v>
      </c>
      <c r="BJ58" s="831">
        <f t="shared" si="19"/>
        <v>33.9</v>
      </c>
      <c r="BK58" s="831">
        <f t="shared" si="20"/>
        <v>6.2</v>
      </c>
      <c r="BL58" s="831">
        <f t="shared" si="21"/>
        <v>9.5</v>
      </c>
      <c r="BM58" s="831">
        <f t="shared" si="22"/>
        <v>5.6</v>
      </c>
      <c r="BN58" s="831">
        <f t="shared" si="23"/>
        <v>8.5</v>
      </c>
      <c r="BO58" s="831">
        <f t="shared" si="24"/>
        <v>9.2000000000000028</v>
      </c>
      <c r="BP58" s="831">
        <f t="shared" si="16"/>
        <v>100</v>
      </c>
      <c r="BQ58" s="665" t="s">
        <v>4575</v>
      </c>
      <c r="BR58" s="854">
        <v>8.8540000000000008E-2</v>
      </c>
      <c r="BS58" s="854">
        <v>8.8540000000000008E-2</v>
      </c>
      <c r="BT58" s="854">
        <v>1.719E-2</v>
      </c>
      <c r="BU58" s="854">
        <v>7.3859999999999995E-2</v>
      </c>
      <c r="BV58" s="854">
        <v>4.929E-2</v>
      </c>
      <c r="BW58" s="855" t="s">
        <v>4845</v>
      </c>
      <c r="BX58" s="665" t="s">
        <v>4846</v>
      </c>
      <c r="DH58" s="834" t="str">
        <f t="shared" si="26"/>
        <v>Canada-Saskatchewan (SK)</v>
      </c>
      <c r="DI58" s="834" t="str">
        <f t="shared" si="26"/>
        <v>Americas</v>
      </c>
      <c r="DJ58" s="834" t="str">
        <f t="shared" si="26"/>
        <v>North America</v>
      </c>
      <c r="DK58" s="834" t="e">
        <f>VLOOKUP(DH58,#REF!,1)</f>
        <v>#REF!</v>
      </c>
      <c r="DL58" s="834" t="e">
        <f>VLOOKUP(DK58,#REF!,2,FALSE)</f>
        <v>#REF!</v>
      </c>
      <c r="DN58" s="834" t="s">
        <v>4891</v>
      </c>
      <c r="DO58" s="834" t="s">
        <v>4892</v>
      </c>
    </row>
    <row r="59" spans="3:119">
      <c r="C59" s="641" t="s">
        <v>4893</v>
      </c>
      <c r="D59" s="841" t="s">
        <v>4837</v>
      </c>
      <c r="E59" s="816">
        <v>1627.25</v>
      </c>
      <c r="F59" s="817" t="s">
        <v>4652</v>
      </c>
      <c r="G59" s="818" t="s">
        <v>4838</v>
      </c>
      <c r="H59" s="817"/>
      <c r="I59" s="818"/>
      <c r="J59" s="817"/>
      <c r="AW59" s="842" t="s">
        <v>4894</v>
      </c>
      <c r="AX59" s="842" t="s">
        <v>4657</v>
      </c>
      <c r="AY59" s="846" t="str">
        <f>+BZ18</f>
        <v>North America</v>
      </c>
      <c r="AZ59" s="842">
        <v>50</v>
      </c>
      <c r="BA59" s="665" t="s">
        <v>4844</v>
      </c>
      <c r="BB59" s="847">
        <v>14.000000000000002</v>
      </c>
      <c r="BC59" s="665" t="s">
        <v>4844</v>
      </c>
      <c r="BD59" s="842">
        <v>0.02</v>
      </c>
      <c r="BE59" s="842">
        <v>7.0000000000000007E-2</v>
      </c>
      <c r="BF59" s="665" t="s">
        <v>4748</v>
      </c>
      <c r="BG59" s="830"/>
      <c r="BH59" s="831">
        <f t="shared" si="17"/>
        <v>23.2</v>
      </c>
      <c r="BI59" s="831">
        <f t="shared" si="18"/>
        <v>3.9</v>
      </c>
      <c r="BJ59" s="831">
        <f t="shared" si="19"/>
        <v>33.9</v>
      </c>
      <c r="BK59" s="831">
        <f t="shared" si="20"/>
        <v>6.2</v>
      </c>
      <c r="BL59" s="831">
        <f t="shared" si="21"/>
        <v>9.5</v>
      </c>
      <c r="BM59" s="831">
        <f t="shared" si="22"/>
        <v>5.6</v>
      </c>
      <c r="BN59" s="831">
        <f t="shared" si="23"/>
        <v>8.5</v>
      </c>
      <c r="BO59" s="831">
        <f t="shared" si="24"/>
        <v>9.2000000000000028</v>
      </c>
      <c r="BP59" s="831">
        <f t="shared" si="16"/>
        <v>100</v>
      </c>
      <c r="BQ59" s="665" t="s">
        <v>4575</v>
      </c>
      <c r="BR59" s="854">
        <v>8.8540000000000008E-2</v>
      </c>
      <c r="BS59" s="854">
        <v>8.8540000000000008E-2</v>
      </c>
      <c r="BT59" s="854">
        <v>1.719E-2</v>
      </c>
      <c r="BU59" s="854">
        <v>7.3859999999999995E-2</v>
      </c>
      <c r="BV59" s="854">
        <v>4.929E-2</v>
      </c>
      <c r="BW59" s="855" t="s">
        <v>4845</v>
      </c>
      <c r="BX59" s="665" t="s">
        <v>4846</v>
      </c>
      <c r="DH59" s="834" t="str">
        <f t="shared" si="26"/>
        <v>Canada-Yukon Territory (YT)</v>
      </c>
      <c r="DI59" s="834" t="str">
        <f t="shared" si="26"/>
        <v>Americas</v>
      </c>
      <c r="DJ59" s="834" t="str">
        <f t="shared" si="26"/>
        <v>North America</v>
      </c>
      <c r="DK59" s="834" t="e">
        <f>VLOOKUP(DH59,#REF!,1)</f>
        <v>#REF!</v>
      </c>
      <c r="DL59" s="834" t="e">
        <f>VLOOKUP(DK59,#REF!,2,FALSE)</f>
        <v>#REF!</v>
      </c>
      <c r="DN59" s="834" t="s">
        <v>4895</v>
      </c>
      <c r="DO59" s="834" t="s">
        <v>4896</v>
      </c>
    </row>
    <row r="60" spans="3:119" ht="25.5">
      <c r="C60" s="641" t="s">
        <v>4897</v>
      </c>
      <c r="D60" s="841" t="s">
        <v>4837</v>
      </c>
      <c r="E60" s="816">
        <v>1551.75</v>
      </c>
      <c r="F60" s="817" t="s">
        <v>4652</v>
      </c>
      <c r="G60" s="818" t="s">
        <v>4838</v>
      </c>
      <c r="H60" s="817"/>
      <c r="I60" s="818"/>
      <c r="J60" s="817"/>
      <c r="AW60" s="827" t="s">
        <v>4898</v>
      </c>
      <c r="AX60" s="827" t="s">
        <v>4614</v>
      </c>
      <c r="AY60" s="828" t="str">
        <f>+BZ10</f>
        <v>Southern Africa</v>
      </c>
      <c r="AZ60" s="827">
        <v>474</v>
      </c>
      <c r="BA60" s="665" t="s">
        <v>4573</v>
      </c>
      <c r="BB60" s="829">
        <v>13.490630673342661</v>
      </c>
      <c r="BC60" s="665" t="s">
        <v>4784</v>
      </c>
      <c r="BD60" s="830"/>
      <c r="BE60" s="830"/>
      <c r="BF60" s="665"/>
      <c r="BG60" s="830"/>
      <c r="BH60" s="831">
        <f t="shared" si="17"/>
        <v>25</v>
      </c>
      <c r="BI60" s="831">
        <f t="shared" si="18"/>
        <v>7.3</v>
      </c>
      <c r="BJ60" s="831">
        <f t="shared" si="19"/>
        <v>23</v>
      </c>
      <c r="BK60" s="831">
        <f t="shared" si="20"/>
        <v>15</v>
      </c>
      <c r="BL60" s="831">
        <f t="shared" si="21"/>
        <v>9.5</v>
      </c>
      <c r="BM60" s="831">
        <f t="shared" si="22"/>
        <v>5.6</v>
      </c>
      <c r="BN60" s="831">
        <f t="shared" si="23"/>
        <v>7.3</v>
      </c>
      <c r="BO60" s="831">
        <f t="shared" si="24"/>
        <v>7.3</v>
      </c>
      <c r="BP60" s="831">
        <f t="shared" si="16"/>
        <v>99.999999999999986</v>
      </c>
      <c r="BQ60" s="665" t="s">
        <v>4575</v>
      </c>
      <c r="BR60" s="832"/>
      <c r="BS60" s="832"/>
      <c r="BT60" s="832"/>
      <c r="BU60" s="832"/>
      <c r="BV60" s="832"/>
      <c r="BW60" s="832"/>
      <c r="BX60" s="665"/>
      <c r="DH60" s="834" t="str">
        <f t="shared" si="26"/>
        <v>Canary Islands (Spain)</v>
      </c>
      <c r="DI60" s="834" t="str">
        <f t="shared" si="26"/>
        <v>Africa</v>
      </c>
      <c r="DJ60" s="834" t="str">
        <f t="shared" si="26"/>
        <v>Southern Africa</v>
      </c>
      <c r="DL60" s="834" t="s">
        <v>4584</v>
      </c>
      <c r="DN60" s="834" t="s">
        <v>4899</v>
      </c>
      <c r="DO60" s="834" t="s">
        <v>4900</v>
      </c>
    </row>
    <row r="61" spans="3:119" ht="25.5">
      <c r="C61" s="641" t="s">
        <v>4901</v>
      </c>
      <c r="D61" s="841" t="s">
        <v>4837</v>
      </c>
      <c r="E61" s="816">
        <v>1824.5</v>
      </c>
      <c r="F61" s="817" t="s">
        <v>4652</v>
      </c>
      <c r="G61" s="818" t="s">
        <v>4838</v>
      </c>
      <c r="H61" s="817"/>
      <c r="I61" s="818"/>
      <c r="J61" s="817"/>
      <c r="AW61" s="827" t="s">
        <v>4902</v>
      </c>
      <c r="AX61" s="827" t="s">
        <v>4614</v>
      </c>
      <c r="AY61" s="828" t="str">
        <f>+BZ11</f>
        <v>Western Africa</v>
      </c>
      <c r="AZ61" s="827">
        <v>544</v>
      </c>
      <c r="BA61" s="665" t="s">
        <v>4573</v>
      </c>
      <c r="BB61" s="829">
        <v>13.490630673342661</v>
      </c>
      <c r="BC61" s="665" t="s">
        <v>4784</v>
      </c>
      <c r="BD61" s="830"/>
      <c r="BE61" s="830"/>
      <c r="BF61" s="665"/>
      <c r="BG61" s="830"/>
      <c r="BH61" s="831">
        <f t="shared" si="17"/>
        <v>9.8000000000000007</v>
      </c>
      <c r="BI61" s="831">
        <f t="shared" si="18"/>
        <v>1</v>
      </c>
      <c r="BJ61" s="831">
        <f t="shared" si="19"/>
        <v>40.4</v>
      </c>
      <c r="BK61" s="831">
        <f t="shared" si="20"/>
        <v>4.4000000000000004</v>
      </c>
      <c r="BL61" s="831">
        <f t="shared" si="21"/>
        <v>9.5</v>
      </c>
      <c r="BM61" s="831">
        <f t="shared" si="22"/>
        <v>5.6</v>
      </c>
      <c r="BN61" s="831">
        <f t="shared" si="23"/>
        <v>3</v>
      </c>
      <c r="BO61" s="831">
        <f t="shared" si="24"/>
        <v>26.300000000000011</v>
      </c>
      <c r="BP61" s="831">
        <f t="shared" si="16"/>
        <v>100</v>
      </c>
      <c r="BQ61" s="665" t="s">
        <v>4575</v>
      </c>
      <c r="BR61" s="832"/>
      <c r="BS61" s="832"/>
      <c r="BT61" s="832"/>
      <c r="BU61" s="832"/>
      <c r="BV61" s="832"/>
      <c r="BW61" s="832"/>
      <c r="BX61" s="665"/>
      <c r="DH61" s="834" t="str">
        <f t="shared" si="26"/>
        <v>Cape Verde</v>
      </c>
      <c r="DI61" s="834" t="str">
        <f t="shared" si="26"/>
        <v>Africa</v>
      </c>
      <c r="DJ61" s="834" t="str">
        <f t="shared" si="26"/>
        <v>Western Africa</v>
      </c>
      <c r="DL61" s="834" t="s">
        <v>4584</v>
      </c>
      <c r="DN61" s="834" t="s">
        <v>4903</v>
      </c>
      <c r="DO61" s="834" t="s">
        <v>4904</v>
      </c>
    </row>
    <row r="62" spans="3:119" ht="25.5">
      <c r="C62" s="641" t="s">
        <v>4905</v>
      </c>
      <c r="D62" s="841" t="s">
        <v>4837</v>
      </c>
      <c r="E62" s="816">
        <v>2301.2000000000003</v>
      </c>
      <c r="F62" s="817" t="s">
        <v>4652</v>
      </c>
      <c r="G62" s="818" t="s">
        <v>4838</v>
      </c>
      <c r="H62" s="817"/>
      <c r="I62" s="818"/>
      <c r="J62" s="817"/>
      <c r="AW62" s="827" t="s">
        <v>4906</v>
      </c>
      <c r="AX62" s="842" t="s">
        <v>4657</v>
      </c>
      <c r="AY62" s="828" t="str">
        <f>+BZ21</f>
        <v>Caribbean</v>
      </c>
      <c r="AZ62" s="827">
        <v>401</v>
      </c>
      <c r="BA62" s="665" t="s">
        <v>4573</v>
      </c>
      <c r="BB62" s="829">
        <v>9.3894684857089938</v>
      </c>
      <c r="BC62" s="665" t="s">
        <v>4658</v>
      </c>
      <c r="BD62" s="830"/>
      <c r="BE62" s="830"/>
      <c r="BF62" s="665"/>
      <c r="BG62" s="830"/>
      <c r="BH62" s="831">
        <f t="shared" si="17"/>
        <v>17</v>
      </c>
      <c r="BI62" s="831">
        <f t="shared" si="18"/>
        <v>5.0999999999999996</v>
      </c>
      <c r="BJ62" s="831">
        <f t="shared" si="19"/>
        <v>46.9</v>
      </c>
      <c r="BK62" s="831">
        <f t="shared" si="20"/>
        <v>2.4</v>
      </c>
      <c r="BL62" s="831">
        <f t="shared" si="21"/>
        <v>9.5</v>
      </c>
      <c r="BM62" s="831">
        <f t="shared" si="22"/>
        <v>5.6</v>
      </c>
      <c r="BN62" s="831">
        <f t="shared" si="23"/>
        <v>9.9</v>
      </c>
      <c r="BO62" s="831">
        <f t="shared" si="24"/>
        <v>3.5999999999999943</v>
      </c>
      <c r="BP62" s="831">
        <f t="shared" si="16"/>
        <v>100</v>
      </c>
      <c r="BQ62" s="665" t="s">
        <v>4575</v>
      </c>
      <c r="BR62" s="832"/>
      <c r="BS62" s="832"/>
      <c r="BT62" s="832"/>
      <c r="BU62" s="832"/>
      <c r="BV62" s="832"/>
      <c r="BW62" s="832"/>
      <c r="BX62" s="665"/>
      <c r="DH62" s="834" t="str">
        <f t="shared" si="26"/>
        <v>Cayman Islands</v>
      </c>
      <c r="DI62" s="834" t="str">
        <f t="shared" si="26"/>
        <v>Americas</v>
      </c>
      <c r="DJ62" s="834" t="str">
        <f t="shared" si="26"/>
        <v>Caribbean</v>
      </c>
      <c r="DL62" s="834" t="s">
        <v>4584</v>
      </c>
      <c r="DN62" s="834" t="s">
        <v>4907</v>
      </c>
      <c r="DO62" s="834" t="s">
        <v>4908</v>
      </c>
    </row>
    <row r="63" spans="3:119" ht="25.5">
      <c r="C63" s="641" t="s">
        <v>4909</v>
      </c>
      <c r="D63" s="841" t="s">
        <v>4837</v>
      </c>
      <c r="E63" s="816">
        <v>0</v>
      </c>
      <c r="F63" s="817" t="s">
        <v>4652</v>
      </c>
      <c r="G63" s="818" t="s">
        <v>4838</v>
      </c>
      <c r="H63" s="817"/>
      <c r="I63" s="818"/>
      <c r="J63" s="817"/>
      <c r="AW63" s="827" t="s">
        <v>4910</v>
      </c>
      <c r="AX63" s="827" t="s">
        <v>4614</v>
      </c>
      <c r="AY63" s="828" t="str">
        <f>+BZ8</f>
        <v>Middle Africa</v>
      </c>
      <c r="AZ63" s="827">
        <v>224</v>
      </c>
      <c r="BA63" s="665" t="s">
        <v>4573</v>
      </c>
      <c r="BB63" s="829">
        <v>11.740747004194485</v>
      </c>
      <c r="BC63" s="665" t="s">
        <v>4826</v>
      </c>
      <c r="BD63" s="830"/>
      <c r="BE63" s="830"/>
      <c r="BF63" s="665"/>
      <c r="BG63" s="830"/>
      <c r="BH63" s="831">
        <f t="shared" si="17"/>
        <v>16.8</v>
      </c>
      <c r="BI63" s="831">
        <f t="shared" si="18"/>
        <v>2.5</v>
      </c>
      <c r="BJ63" s="831">
        <f t="shared" si="19"/>
        <v>43.4</v>
      </c>
      <c r="BK63" s="831">
        <f t="shared" si="20"/>
        <v>6.5</v>
      </c>
      <c r="BL63" s="831">
        <f t="shared" si="21"/>
        <v>9.5</v>
      </c>
      <c r="BM63" s="831">
        <f t="shared" si="22"/>
        <v>5.6</v>
      </c>
      <c r="BN63" s="831">
        <f t="shared" si="23"/>
        <v>4.5</v>
      </c>
      <c r="BO63" s="831">
        <f t="shared" si="24"/>
        <v>11.200000000000003</v>
      </c>
      <c r="BP63" s="831">
        <f t="shared" si="16"/>
        <v>100</v>
      </c>
      <c r="BQ63" s="665" t="s">
        <v>4575</v>
      </c>
      <c r="BR63" s="832"/>
      <c r="BS63" s="832"/>
      <c r="BT63" s="832"/>
      <c r="BU63" s="832"/>
      <c r="BV63" s="832"/>
      <c r="BW63" s="832"/>
      <c r="BX63" s="665"/>
      <c r="DH63" s="834" t="str">
        <f t="shared" si="26"/>
        <v>Central African Republic</v>
      </c>
      <c r="DI63" s="834" t="str">
        <f t="shared" si="26"/>
        <v>Africa</v>
      </c>
      <c r="DJ63" s="834" t="str">
        <f t="shared" si="26"/>
        <v>Middle Africa</v>
      </c>
      <c r="DL63" s="834" t="s">
        <v>4584</v>
      </c>
      <c r="DN63" s="834" t="s">
        <v>4911</v>
      </c>
      <c r="DO63" s="834" t="s">
        <v>4912</v>
      </c>
    </row>
    <row r="64" spans="3:119" ht="25.5">
      <c r="C64" s="641" t="s">
        <v>4913</v>
      </c>
      <c r="D64" s="841" t="s">
        <v>4837</v>
      </c>
      <c r="E64" s="816">
        <v>0</v>
      </c>
      <c r="F64" s="817" t="s">
        <v>4652</v>
      </c>
      <c r="G64" s="818" t="s">
        <v>4838</v>
      </c>
      <c r="H64" s="817"/>
      <c r="I64" s="818"/>
      <c r="J64" s="817"/>
      <c r="AW64" s="827" t="s">
        <v>4914</v>
      </c>
      <c r="AX64" s="827" t="s">
        <v>4614</v>
      </c>
      <c r="AY64" s="828" t="str">
        <f>+BZ8</f>
        <v>Middle Africa</v>
      </c>
      <c r="AZ64" s="827">
        <v>655</v>
      </c>
      <c r="BA64" s="665" t="s">
        <v>4573</v>
      </c>
      <c r="BB64" s="829">
        <v>11.740747004194485</v>
      </c>
      <c r="BC64" s="665" t="s">
        <v>4826</v>
      </c>
      <c r="BD64" s="830"/>
      <c r="BE64" s="830"/>
      <c r="BF64" s="665"/>
      <c r="BG64" s="830"/>
      <c r="BH64" s="831">
        <f t="shared" si="17"/>
        <v>16.8</v>
      </c>
      <c r="BI64" s="831">
        <f t="shared" si="18"/>
        <v>2.5</v>
      </c>
      <c r="BJ64" s="831">
        <f t="shared" si="19"/>
        <v>43.4</v>
      </c>
      <c r="BK64" s="831">
        <f t="shared" si="20"/>
        <v>6.5</v>
      </c>
      <c r="BL64" s="831">
        <f t="shared" si="21"/>
        <v>9.5</v>
      </c>
      <c r="BM64" s="831">
        <f t="shared" si="22"/>
        <v>5.6</v>
      </c>
      <c r="BN64" s="831">
        <f t="shared" si="23"/>
        <v>4.5</v>
      </c>
      <c r="BO64" s="831">
        <f t="shared" si="24"/>
        <v>11.200000000000003</v>
      </c>
      <c r="BP64" s="831">
        <f t="shared" si="16"/>
        <v>100</v>
      </c>
      <c r="BQ64" s="665" t="s">
        <v>4575</v>
      </c>
      <c r="BR64" s="832"/>
      <c r="BS64" s="832"/>
      <c r="BT64" s="832"/>
      <c r="BU64" s="832"/>
      <c r="BV64" s="832"/>
      <c r="BW64" s="832"/>
      <c r="BX64" s="665"/>
      <c r="DH64" s="834" t="str">
        <f t="shared" si="26"/>
        <v>Chad</v>
      </c>
      <c r="DI64" s="834" t="str">
        <f t="shared" si="26"/>
        <v>Africa</v>
      </c>
      <c r="DJ64" s="834" t="str">
        <f t="shared" si="26"/>
        <v>Middle Africa</v>
      </c>
      <c r="DL64" s="834" t="s">
        <v>4584</v>
      </c>
      <c r="DN64" s="834" t="s">
        <v>4915</v>
      </c>
      <c r="DO64" s="834" t="s">
        <v>4916</v>
      </c>
    </row>
    <row r="65" spans="3:119" ht="25.5">
      <c r="C65" s="641" t="s">
        <v>4917</v>
      </c>
      <c r="D65" s="841" t="s">
        <v>4837</v>
      </c>
      <c r="E65" s="816">
        <v>2087.5</v>
      </c>
      <c r="F65" s="817" t="s">
        <v>4652</v>
      </c>
      <c r="G65" s="818" t="s">
        <v>4838</v>
      </c>
      <c r="H65" s="817"/>
      <c r="I65" s="818"/>
      <c r="J65" s="817"/>
      <c r="AW65" s="827" t="s">
        <v>4918</v>
      </c>
      <c r="AX65" s="827" t="s">
        <v>4597</v>
      </c>
      <c r="AY65" s="828" t="str">
        <f>+BZ13</f>
        <v>Northern Europe</v>
      </c>
      <c r="AZ65" s="827">
        <v>422</v>
      </c>
      <c r="BA65" s="665" t="s">
        <v>4573</v>
      </c>
      <c r="BB65" s="829">
        <v>6.2171813834411278</v>
      </c>
      <c r="BC65" s="665" t="s">
        <v>4636</v>
      </c>
      <c r="BD65" s="830"/>
      <c r="BE65" s="830"/>
      <c r="BF65" s="665"/>
      <c r="BG65" s="830"/>
      <c r="BH65" s="831">
        <f t="shared" si="17"/>
        <v>30.6</v>
      </c>
      <c r="BI65" s="831">
        <f t="shared" si="18"/>
        <v>2</v>
      </c>
      <c r="BJ65" s="831">
        <f t="shared" si="19"/>
        <v>23.8</v>
      </c>
      <c r="BK65" s="831">
        <f t="shared" si="20"/>
        <v>10</v>
      </c>
      <c r="BL65" s="831">
        <f t="shared" si="21"/>
        <v>9.5</v>
      </c>
      <c r="BM65" s="831">
        <f t="shared" si="22"/>
        <v>5.6</v>
      </c>
      <c r="BN65" s="831">
        <f t="shared" si="23"/>
        <v>13</v>
      </c>
      <c r="BO65" s="831">
        <f t="shared" si="24"/>
        <v>5.5</v>
      </c>
      <c r="BP65" s="831">
        <f t="shared" si="16"/>
        <v>100</v>
      </c>
      <c r="BQ65" s="665" t="s">
        <v>4575</v>
      </c>
      <c r="BR65" s="832"/>
      <c r="BS65" s="832"/>
      <c r="BT65" s="832"/>
      <c r="BU65" s="832"/>
      <c r="BV65" s="832"/>
      <c r="BW65" s="832"/>
      <c r="BX65" s="665"/>
      <c r="DH65" s="834" t="str">
        <f t="shared" si="26"/>
        <v>Channel Islands</v>
      </c>
      <c r="DI65" s="834" t="str">
        <f t="shared" si="26"/>
        <v>Europe</v>
      </c>
      <c r="DJ65" s="834" t="str">
        <f t="shared" si="26"/>
        <v>Northern Europe</v>
      </c>
      <c r="DL65" s="834" t="s">
        <v>4584</v>
      </c>
      <c r="DN65" s="834" t="s">
        <v>4919</v>
      </c>
      <c r="DO65" s="834" t="s">
        <v>4920</v>
      </c>
    </row>
    <row r="66" spans="3:119">
      <c r="C66" s="641" t="s">
        <v>4921</v>
      </c>
      <c r="D66" s="841" t="s">
        <v>4837</v>
      </c>
      <c r="E66" s="816">
        <v>2228.75</v>
      </c>
      <c r="F66" s="817" t="s">
        <v>4652</v>
      </c>
      <c r="G66" s="818" t="s">
        <v>4838</v>
      </c>
      <c r="H66" s="817"/>
      <c r="I66" s="818"/>
      <c r="J66" s="817"/>
      <c r="AW66" s="842" t="s">
        <v>4922</v>
      </c>
      <c r="AX66" s="842" t="s">
        <v>4657</v>
      </c>
      <c r="AY66" s="846" t="str">
        <f>+BZ20</f>
        <v>South America</v>
      </c>
      <c r="AZ66" s="827">
        <v>418.7</v>
      </c>
      <c r="BA66" s="665" t="s">
        <v>4923</v>
      </c>
      <c r="BB66" s="829">
        <v>6.7350417796160187</v>
      </c>
      <c r="BC66" s="665" t="s">
        <v>4598</v>
      </c>
      <c r="BD66" s="830"/>
      <c r="BE66" s="830"/>
      <c r="BF66" s="665"/>
      <c r="BG66" s="830"/>
      <c r="BH66" s="831">
        <f t="shared" si="17"/>
        <v>17.100000000000001</v>
      </c>
      <c r="BI66" s="831">
        <f t="shared" si="18"/>
        <v>2.6</v>
      </c>
      <c r="BJ66" s="831">
        <f t="shared" si="19"/>
        <v>44.9</v>
      </c>
      <c r="BK66" s="831">
        <f t="shared" si="20"/>
        <v>4.7</v>
      </c>
      <c r="BL66" s="831">
        <f t="shared" si="21"/>
        <v>9.5</v>
      </c>
      <c r="BM66" s="831">
        <f t="shared" si="22"/>
        <v>5.6</v>
      </c>
      <c r="BN66" s="831">
        <f t="shared" si="23"/>
        <v>10.8</v>
      </c>
      <c r="BO66" s="831">
        <f t="shared" si="24"/>
        <v>4.8000000000000114</v>
      </c>
      <c r="BP66" s="831">
        <f t="shared" si="16"/>
        <v>100</v>
      </c>
      <c r="BQ66" s="665" t="s">
        <v>4575</v>
      </c>
      <c r="BR66" s="832"/>
      <c r="BS66" s="832"/>
      <c r="BT66" s="832"/>
      <c r="BU66" s="832"/>
      <c r="BV66" s="832"/>
      <c r="BW66" s="832"/>
      <c r="BX66" s="665"/>
      <c r="DH66" s="834" t="str">
        <f t="shared" si="26"/>
        <v>Chile</v>
      </c>
      <c r="DI66" s="834" t="str">
        <f t="shared" si="26"/>
        <v>Americas</v>
      </c>
      <c r="DJ66" s="834" t="str">
        <f t="shared" si="26"/>
        <v>South America</v>
      </c>
      <c r="DL66" s="834" t="s">
        <v>4584</v>
      </c>
      <c r="DN66" s="834" t="s">
        <v>4924</v>
      </c>
      <c r="DO66" s="834" t="s">
        <v>4925</v>
      </c>
    </row>
    <row r="67" spans="3:119">
      <c r="C67" s="641" t="s">
        <v>4926</v>
      </c>
      <c r="D67" s="841" t="s">
        <v>4837</v>
      </c>
      <c r="E67" s="816">
        <v>13.64</v>
      </c>
      <c r="F67" s="817" t="s">
        <v>4652</v>
      </c>
      <c r="G67" s="818" t="s">
        <v>4838</v>
      </c>
      <c r="H67" s="817"/>
      <c r="I67" s="818"/>
      <c r="J67" s="817"/>
      <c r="AW67" s="842" t="s">
        <v>4927</v>
      </c>
      <c r="AX67" s="842" t="s">
        <v>4572</v>
      </c>
      <c r="AY67" s="846" t="str">
        <f>+BZ3</f>
        <v>Eastern Asia</v>
      </c>
      <c r="AZ67" s="842">
        <v>555</v>
      </c>
      <c r="BA67" s="665" t="s">
        <v>4928</v>
      </c>
      <c r="BB67" s="847">
        <v>5.4712663559690737</v>
      </c>
      <c r="BC67" s="665" t="s">
        <v>4598</v>
      </c>
      <c r="BD67" s="830"/>
      <c r="BE67" s="842">
        <v>0.04</v>
      </c>
      <c r="BF67" s="665" t="s">
        <v>4929</v>
      </c>
      <c r="BG67" s="830"/>
      <c r="BH67" s="831">
        <f t="shared" si="17"/>
        <v>18.8</v>
      </c>
      <c r="BI67" s="831">
        <f t="shared" si="18"/>
        <v>3.5</v>
      </c>
      <c r="BJ67" s="831">
        <f t="shared" si="19"/>
        <v>26.2</v>
      </c>
      <c r="BK67" s="831">
        <f t="shared" si="20"/>
        <v>3.5</v>
      </c>
      <c r="BL67" s="831">
        <f t="shared" si="21"/>
        <v>9.5</v>
      </c>
      <c r="BM67" s="831">
        <f t="shared" si="22"/>
        <v>5.6</v>
      </c>
      <c r="BN67" s="831">
        <f t="shared" si="23"/>
        <v>14.3</v>
      </c>
      <c r="BO67" s="831">
        <f t="shared" si="24"/>
        <v>18.600000000000009</v>
      </c>
      <c r="BP67" s="831">
        <f t="shared" si="16"/>
        <v>100</v>
      </c>
      <c r="BQ67" s="665" t="s">
        <v>4575</v>
      </c>
      <c r="BR67" s="832"/>
      <c r="BS67" s="832"/>
      <c r="BT67" s="832"/>
      <c r="BU67" s="832"/>
      <c r="BV67" s="832"/>
      <c r="BW67" s="832"/>
      <c r="BX67" s="665"/>
      <c r="DH67" s="834" t="str">
        <f t="shared" si="26"/>
        <v>China</v>
      </c>
      <c r="DI67" s="834" t="str">
        <f t="shared" si="26"/>
        <v>Asia</v>
      </c>
      <c r="DJ67" s="834" t="str">
        <f t="shared" si="26"/>
        <v>Eastern Asia</v>
      </c>
      <c r="DK67" s="834" t="e">
        <f>VLOOKUP(DH67,#REF!,1)</f>
        <v>#REF!</v>
      </c>
      <c r="DL67" s="834" t="e">
        <f>VLOOKUP(DK67,#REF!,2,FALSE)</f>
        <v>#REF!</v>
      </c>
      <c r="DN67" s="834" t="s">
        <v>4930</v>
      </c>
      <c r="DO67" s="834" t="s">
        <v>4931</v>
      </c>
    </row>
    <row r="68" spans="3:119">
      <c r="C68" s="641" t="s">
        <v>4932</v>
      </c>
      <c r="D68" s="841" t="s">
        <v>4837</v>
      </c>
      <c r="E68" s="816">
        <v>3.7199999999999998</v>
      </c>
      <c r="F68" s="817" t="s">
        <v>4652</v>
      </c>
      <c r="G68" s="818" t="s">
        <v>4838</v>
      </c>
      <c r="H68" s="817"/>
      <c r="I68" s="818"/>
      <c r="J68" s="817"/>
      <c r="AW68" s="842" t="s">
        <v>4933</v>
      </c>
      <c r="AX68" s="842" t="s">
        <v>4657</v>
      </c>
      <c r="AY68" s="846" t="str">
        <f>+BZ20</f>
        <v>South America</v>
      </c>
      <c r="AZ68" s="842">
        <v>130</v>
      </c>
      <c r="BA68" s="665" t="s">
        <v>4934</v>
      </c>
      <c r="BB68" s="847">
        <v>10.67878079046084</v>
      </c>
      <c r="BC68" s="665" t="s">
        <v>4598</v>
      </c>
      <c r="BD68" s="842">
        <v>0.1</v>
      </c>
      <c r="BE68" s="842">
        <v>0.1</v>
      </c>
      <c r="BF68" s="665" t="s">
        <v>4748</v>
      </c>
      <c r="BG68" s="830"/>
      <c r="BH68" s="831">
        <f t="shared" si="17"/>
        <v>17.100000000000001</v>
      </c>
      <c r="BI68" s="831">
        <f t="shared" si="18"/>
        <v>2.6</v>
      </c>
      <c r="BJ68" s="831">
        <f t="shared" si="19"/>
        <v>44.9</v>
      </c>
      <c r="BK68" s="831">
        <f t="shared" si="20"/>
        <v>4.7</v>
      </c>
      <c r="BL68" s="831">
        <f t="shared" si="21"/>
        <v>9.5</v>
      </c>
      <c r="BM68" s="831">
        <f t="shared" si="22"/>
        <v>5.6</v>
      </c>
      <c r="BN68" s="831">
        <f t="shared" si="23"/>
        <v>10.8</v>
      </c>
      <c r="BO68" s="831">
        <f t="shared" si="24"/>
        <v>4.8000000000000114</v>
      </c>
      <c r="BP68" s="831">
        <f t="shared" ref="BP68:BP131" si="27">+SUM(BH68:BO68)</f>
        <v>100</v>
      </c>
      <c r="BQ68" s="665" t="s">
        <v>4575</v>
      </c>
      <c r="BR68" s="832"/>
      <c r="BS68" s="832"/>
      <c r="BT68" s="832"/>
      <c r="BU68" s="832"/>
      <c r="BV68" s="832"/>
      <c r="BW68" s="832"/>
      <c r="BX68" s="665"/>
      <c r="DH68" s="834" t="str">
        <f t="shared" si="26"/>
        <v>Colombia</v>
      </c>
      <c r="DI68" s="834" t="str">
        <f t="shared" si="26"/>
        <v>Americas</v>
      </c>
      <c r="DJ68" s="834" t="str">
        <f t="shared" si="26"/>
        <v>South America</v>
      </c>
      <c r="DL68" s="834" t="s">
        <v>4584</v>
      </c>
      <c r="DN68" s="834" t="s">
        <v>4935</v>
      </c>
      <c r="DO68" s="834" t="s">
        <v>4936</v>
      </c>
    </row>
    <row r="69" spans="3:119" ht="25.5">
      <c r="C69" s="641" t="s">
        <v>4937</v>
      </c>
      <c r="D69" s="841" t="s">
        <v>4837</v>
      </c>
      <c r="E69" s="816">
        <v>441.5</v>
      </c>
      <c r="F69" s="817" t="s">
        <v>4652</v>
      </c>
      <c r="G69" s="818" t="s">
        <v>4838</v>
      </c>
      <c r="H69" s="817"/>
      <c r="I69" s="818"/>
      <c r="J69" s="817"/>
      <c r="AW69" s="827" t="s">
        <v>4938</v>
      </c>
      <c r="AX69" s="827" t="s">
        <v>4614</v>
      </c>
      <c r="AY69" s="828" t="str">
        <f>+BZ7</f>
        <v>Eastern Africa</v>
      </c>
      <c r="AZ69" s="827">
        <v>647</v>
      </c>
      <c r="BA69" s="665" t="s">
        <v>4573</v>
      </c>
      <c r="BB69" s="829">
        <v>11.740747004194485</v>
      </c>
      <c r="BC69" s="665" t="s">
        <v>4826</v>
      </c>
      <c r="BD69" s="830"/>
      <c r="BE69" s="830"/>
      <c r="BF69" s="665"/>
      <c r="BG69" s="830"/>
      <c r="BH69" s="831">
        <f t="shared" si="17"/>
        <v>7.7</v>
      </c>
      <c r="BI69" s="831">
        <f t="shared" si="18"/>
        <v>1.7</v>
      </c>
      <c r="BJ69" s="831">
        <f t="shared" si="19"/>
        <v>53.9</v>
      </c>
      <c r="BK69" s="831">
        <f t="shared" si="20"/>
        <v>7</v>
      </c>
      <c r="BL69" s="831">
        <f t="shared" si="21"/>
        <v>9.5</v>
      </c>
      <c r="BM69" s="831">
        <f t="shared" si="22"/>
        <v>5.6</v>
      </c>
      <c r="BN69" s="831">
        <f t="shared" si="23"/>
        <v>5.5</v>
      </c>
      <c r="BO69" s="831">
        <f t="shared" si="24"/>
        <v>9.1000000000000085</v>
      </c>
      <c r="BP69" s="831">
        <f t="shared" si="27"/>
        <v>100</v>
      </c>
      <c r="BQ69" s="665" t="s">
        <v>4575</v>
      </c>
      <c r="BR69" s="832"/>
      <c r="BS69" s="832"/>
      <c r="BT69" s="832"/>
      <c r="BU69" s="832"/>
      <c r="BV69" s="832"/>
      <c r="BW69" s="832"/>
      <c r="BX69" s="665"/>
      <c r="DH69" s="834" t="str">
        <f t="shared" si="26"/>
        <v>Comoros</v>
      </c>
      <c r="DI69" s="834" t="str">
        <f t="shared" si="26"/>
        <v>Africa</v>
      </c>
      <c r="DJ69" s="834" t="str">
        <f t="shared" si="26"/>
        <v>Eastern Africa</v>
      </c>
      <c r="DL69" s="834" t="s">
        <v>4584</v>
      </c>
      <c r="DN69" s="834" t="s">
        <v>4939</v>
      </c>
      <c r="DO69" s="834" t="s">
        <v>4940</v>
      </c>
    </row>
    <row r="70" spans="3:119">
      <c r="C70" s="641" t="s">
        <v>4941</v>
      </c>
      <c r="D70" s="841" t="s">
        <v>4837</v>
      </c>
      <c r="E70" s="816">
        <v>2053.1</v>
      </c>
      <c r="F70" s="817" t="s">
        <v>4652</v>
      </c>
      <c r="G70" s="818" t="s">
        <v>4838</v>
      </c>
      <c r="H70" s="817"/>
      <c r="I70" s="818"/>
      <c r="J70" s="817"/>
      <c r="AW70" s="827" t="s">
        <v>4942</v>
      </c>
      <c r="AX70" s="827" t="s">
        <v>4614</v>
      </c>
      <c r="AY70" s="828" t="str">
        <f>+BZ8</f>
        <v>Middle Africa</v>
      </c>
      <c r="AZ70" s="827">
        <v>43</v>
      </c>
      <c r="BA70" s="665" t="s">
        <v>4573</v>
      </c>
      <c r="BB70" s="829">
        <v>21.436651583710407</v>
      </c>
      <c r="BC70" s="665" t="s">
        <v>4598</v>
      </c>
      <c r="BD70" s="830"/>
      <c r="BE70" s="830"/>
      <c r="BF70" s="665"/>
      <c r="BG70" s="830"/>
      <c r="BH70" s="831">
        <f t="shared" si="17"/>
        <v>16.8</v>
      </c>
      <c r="BI70" s="831">
        <f t="shared" si="18"/>
        <v>2.5</v>
      </c>
      <c r="BJ70" s="831">
        <f t="shared" si="19"/>
        <v>43.4</v>
      </c>
      <c r="BK70" s="831">
        <f t="shared" si="20"/>
        <v>6.5</v>
      </c>
      <c r="BL70" s="831">
        <f t="shared" si="21"/>
        <v>9.5</v>
      </c>
      <c r="BM70" s="831">
        <f t="shared" si="22"/>
        <v>5.6</v>
      </c>
      <c r="BN70" s="831">
        <f t="shared" si="23"/>
        <v>4.5</v>
      </c>
      <c r="BO70" s="831">
        <f t="shared" si="24"/>
        <v>11.200000000000003</v>
      </c>
      <c r="BP70" s="831">
        <f t="shared" si="27"/>
        <v>100</v>
      </c>
      <c r="BQ70" s="665" t="s">
        <v>4575</v>
      </c>
      <c r="BR70" s="832"/>
      <c r="BS70" s="832"/>
      <c r="BT70" s="832"/>
      <c r="BU70" s="832"/>
      <c r="BV70" s="832"/>
      <c r="BW70" s="832"/>
      <c r="BX70" s="665"/>
      <c r="DH70" s="834" t="str">
        <f t="shared" si="26"/>
        <v>Congo. Democratic Republic of</v>
      </c>
      <c r="DI70" s="834" t="str">
        <f t="shared" si="26"/>
        <v>Africa</v>
      </c>
      <c r="DJ70" s="834" t="str">
        <f t="shared" si="26"/>
        <v>Middle Africa</v>
      </c>
      <c r="DL70" s="834" t="s">
        <v>4584</v>
      </c>
      <c r="DN70" s="834" t="s">
        <v>4943</v>
      </c>
      <c r="DO70" s="834" t="s">
        <v>4944</v>
      </c>
    </row>
    <row r="71" spans="3:119">
      <c r="C71" s="641" t="s">
        <v>4945</v>
      </c>
      <c r="D71" s="841" t="s">
        <v>4837</v>
      </c>
      <c r="E71" s="816">
        <v>0</v>
      </c>
      <c r="F71" s="817" t="s">
        <v>4652</v>
      </c>
      <c r="G71" s="818" t="s">
        <v>4838</v>
      </c>
      <c r="H71" s="817"/>
      <c r="I71" s="818"/>
      <c r="J71" s="817"/>
      <c r="AW71" s="827" t="s">
        <v>4946</v>
      </c>
      <c r="AX71" s="827" t="s">
        <v>4614</v>
      </c>
      <c r="AY71" s="828" t="str">
        <f>+BZ8</f>
        <v>Middle Africa</v>
      </c>
      <c r="AZ71" s="827">
        <v>342</v>
      </c>
      <c r="BA71" s="665" t="s">
        <v>4573</v>
      </c>
      <c r="BB71" s="829">
        <v>44.540229885057471</v>
      </c>
      <c r="BC71" s="665" t="s">
        <v>4598</v>
      </c>
      <c r="BD71" s="830"/>
      <c r="BE71" s="830"/>
      <c r="BF71" s="665"/>
      <c r="BG71" s="830"/>
      <c r="BH71" s="831">
        <f t="shared" si="17"/>
        <v>16.8</v>
      </c>
      <c r="BI71" s="831">
        <f t="shared" si="18"/>
        <v>2.5</v>
      </c>
      <c r="BJ71" s="831">
        <f t="shared" si="19"/>
        <v>43.4</v>
      </c>
      <c r="BK71" s="831">
        <f t="shared" si="20"/>
        <v>6.5</v>
      </c>
      <c r="BL71" s="831">
        <f t="shared" si="21"/>
        <v>9.5</v>
      </c>
      <c r="BM71" s="831">
        <f t="shared" si="22"/>
        <v>5.6</v>
      </c>
      <c r="BN71" s="831">
        <f t="shared" si="23"/>
        <v>4.5</v>
      </c>
      <c r="BO71" s="831">
        <f t="shared" si="24"/>
        <v>11.200000000000003</v>
      </c>
      <c r="BP71" s="831">
        <f t="shared" si="27"/>
        <v>100</v>
      </c>
      <c r="BQ71" s="665" t="s">
        <v>4575</v>
      </c>
      <c r="BR71" s="832"/>
      <c r="BS71" s="832"/>
      <c r="BT71" s="832"/>
      <c r="BU71" s="832"/>
      <c r="BV71" s="832"/>
      <c r="BW71" s="832"/>
      <c r="BX71" s="665"/>
      <c r="DH71" s="834" t="str">
        <f t="shared" si="26"/>
        <v>Congo. Republic of</v>
      </c>
      <c r="DI71" s="834" t="str">
        <f t="shared" si="26"/>
        <v>Africa</v>
      </c>
      <c r="DJ71" s="834" t="str">
        <f t="shared" si="26"/>
        <v>Middle Africa</v>
      </c>
      <c r="DL71" s="834" t="s">
        <v>4584</v>
      </c>
      <c r="DN71" s="834" t="s">
        <v>4947</v>
      </c>
      <c r="DO71" s="834" t="s">
        <v>4948</v>
      </c>
    </row>
    <row r="72" spans="3:119" ht="25.5">
      <c r="C72" s="641" t="s">
        <v>4949</v>
      </c>
      <c r="D72" s="841" t="s">
        <v>4837</v>
      </c>
      <c r="E72" s="816">
        <v>0</v>
      </c>
      <c r="F72" s="817" t="s">
        <v>4652</v>
      </c>
      <c r="G72" s="818" t="s">
        <v>4838</v>
      </c>
      <c r="H72" s="817"/>
      <c r="I72" s="818"/>
      <c r="J72" s="817"/>
      <c r="AW72" s="827" t="s">
        <v>4950</v>
      </c>
      <c r="AX72" s="842" t="s">
        <v>4626</v>
      </c>
      <c r="AY72" s="828" t="str">
        <f>+BZ17</f>
        <v>Rest of Oceania</v>
      </c>
      <c r="AZ72" s="827">
        <v>326</v>
      </c>
      <c r="BA72" s="665" t="s">
        <v>4573</v>
      </c>
      <c r="BB72" s="829">
        <v>5.4123414965002699</v>
      </c>
      <c r="BC72" s="665" t="s">
        <v>4627</v>
      </c>
      <c r="BD72" s="830"/>
      <c r="BE72" s="830"/>
      <c r="BF72" s="665"/>
      <c r="BG72" s="830"/>
      <c r="BH72" s="831">
        <f t="shared" si="17"/>
        <v>6</v>
      </c>
      <c r="BI72" s="831">
        <f t="shared" si="18"/>
        <v>2.97</v>
      </c>
      <c r="BJ72" s="831">
        <f t="shared" si="19"/>
        <v>67.5</v>
      </c>
      <c r="BK72" s="831">
        <f t="shared" si="20"/>
        <v>2.5</v>
      </c>
      <c r="BL72" s="831">
        <f t="shared" si="21"/>
        <v>9.5</v>
      </c>
      <c r="BM72" s="831">
        <f t="shared" si="22"/>
        <v>5.6</v>
      </c>
      <c r="BN72" s="831">
        <f t="shared" si="23"/>
        <v>2.97</v>
      </c>
      <c r="BO72" s="831">
        <f t="shared" si="24"/>
        <v>2.9666666666666668</v>
      </c>
      <c r="BP72" s="831">
        <f t="shared" si="27"/>
        <v>100.00666666666666</v>
      </c>
      <c r="BQ72" s="665" t="s">
        <v>4575</v>
      </c>
      <c r="BR72" s="832"/>
      <c r="BS72" s="832"/>
      <c r="BT72" s="832"/>
      <c r="BU72" s="832"/>
      <c r="BV72" s="832"/>
      <c r="BW72" s="832"/>
      <c r="BX72" s="665"/>
      <c r="DH72" s="834" t="str">
        <f t="shared" si="26"/>
        <v>Cook Islands</v>
      </c>
      <c r="DI72" s="834" t="str">
        <f t="shared" si="26"/>
        <v>Oceania</v>
      </c>
      <c r="DJ72" s="834" t="str">
        <f t="shared" si="26"/>
        <v>Rest of Oceania</v>
      </c>
      <c r="DL72" s="834" t="s">
        <v>4584</v>
      </c>
      <c r="DN72" s="834" t="s">
        <v>4951</v>
      </c>
      <c r="DO72" s="834" t="s">
        <v>4952</v>
      </c>
    </row>
    <row r="73" spans="3:119">
      <c r="C73" s="641" t="s">
        <v>4953</v>
      </c>
      <c r="D73" s="841" t="s">
        <v>4837</v>
      </c>
      <c r="E73" s="816">
        <v>22.32</v>
      </c>
      <c r="F73" s="817" t="s">
        <v>4652</v>
      </c>
      <c r="G73" s="818" t="s">
        <v>4838</v>
      </c>
      <c r="H73" s="817"/>
      <c r="I73" s="818"/>
      <c r="J73" s="817"/>
      <c r="AW73" s="842" t="s">
        <v>4954</v>
      </c>
      <c r="AX73" s="842" t="s">
        <v>4657</v>
      </c>
      <c r="AY73" s="846" t="str">
        <f>+BZ19</f>
        <v>Central America</v>
      </c>
      <c r="AZ73" s="842">
        <v>36.5</v>
      </c>
      <c r="BA73" s="665" t="s">
        <v>4955</v>
      </c>
      <c r="BB73" s="847">
        <v>10.82509542918665</v>
      </c>
      <c r="BC73" s="665" t="s">
        <v>4598</v>
      </c>
      <c r="BD73" s="830"/>
      <c r="BE73" s="830"/>
      <c r="BF73" s="665"/>
      <c r="BG73" s="830"/>
      <c r="BH73" s="814">
        <v>14</v>
      </c>
      <c r="BI73" s="814">
        <v>3</v>
      </c>
      <c r="BJ73" s="814">
        <v>40</v>
      </c>
      <c r="BK73" s="814">
        <v>2</v>
      </c>
      <c r="BL73" s="814">
        <v>4</v>
      </c>
      <c r="BM73" s="814">
        <v>8</v>
      </c>
      <c r="BN73" s="814">
        <v>29</v>
      </c>
      <c r="BO73" s="814">
        <f>100-SUM(BH73:BN73)</f>
        <v>0</v>
      </c>
      <c r="BP73" s="831">
        <f t="shared" si="27"/>
        <v>100</v>
      </c>
      <c r="BQ73" s="824" t="s">
        <v>4956</v>
      </c>
      <c r="BR73" s="856"/>
      <c r="BS73" s="856"/>
      <c r="BT73" s="856"/>
      <c r="BU73" s="856"/>
      <c r="BV73" s="856"/>
      <c r="BW73" s="856"/>
      <c r="BX73" s="824"/>
      <c r="DH73" s="834" t="str">
        <f t="shared" si="26"/>
        <v>Costa Rica</v>
      </c>
      <c r="DI73" s="834" t="str">
        <f t="shared" si="26"/>
        <v>Americas</v>
      </c>
      <c r="DJ73" s="834" t="str">
        <f t="shared" si="26"/>
        <v>Central America</v>
      </c>
      <c r="DL73" s="834" t="s">
        <v>4584</v>
      </c>
      <c r="DN73" s="834" t="s">
        <v>4957</v>
      </c>
      <c r="DO73" s="834" t="s">
        <v>4958</v>
      </c>
    </row>
    <row r="74" spans="3:119">
      <c r="C74" s="641" t="s">
        <v>4959</v>
      </c>
      <c r="D74" s="841" t="s">
        <v>4837</v>
      </c>
      <c r="E74" s="816">
        <v>93</v>
      </c>
      <c r="F74" s="817" t="s">
        <v>4652</v>
      </c>
      <c r="G74" s="818" t="s">
        <v>4838</v>
      </c>
      <c r="H74" s="817"/>
      <c r="I74" s="818"/>
      <c r="J74" s="817"/>
      <c r="AW74" s="827" t="s">
        <v>4960</v>
      </c>
      <c r="AX74" s="827" t="s">
        <v>4614</v>
      </c>
      <c r="AY74" s="828" t="str">
        <f>+BZ11</f>
        <v>Western Africa</v>
      </c>
      <c r="AZ74" s="827">
        <v>436</v>
      </c>
      <c r="BA74" s="665" t="s">
        <v>4573</v>
      </c>
      <c r="BB74" s="829">
        <v>14.325368090755491</v>
      </c>
      <c r="BC74" s="665" t="s">
        <v>4598</v>
      </c>
      <c r="BD74" s="830"/>
      <c r="BE74" s="830"/>
      <c r="BF74" s="665"/>
      <c r="BG74" s="830"/>
      <c r="BH74" s="831">
        <f t="shared" ref="BH74:BH137" si="28">+VLOOKUP($AY74,$BZ$3:$CH$21,2,FALSE)</f>
        <v>9.8000000000000007</v>
      </c>
      <c r="BI74" s="831">
        <f t="shared" ref="BI74:BI137" si="29">+VLOOKUP($AY74,$BZ$3:$CH$21,3,FALSE)</f>
        <v>1</v>
      </c>
      <c r="BJ74" s="831">
        <f t="shared" ref="BJ74:BJ137" si="30">+VLOOKUP($AY74,$BZ$3:$CH$21,4,FALSE)</f>
        <v>40.4</v>
      </c>
      <c r="BK74" s="831">
        <f t="shared" ref="BK74:BK137" si="31">+VLOOKUP($AY74,$BZ$3:$CH$21,5,FALSE)</f>
        <v>4.4000000000000004</v>
      </c>
      <c r="BL74" s="831">
        <f t="shared" ref="BL74:BL137" si="32">+VLOOKUP($AY74,$BZ$3:$CH$21,6,FALSE)</f>
        <v>9.5</v>
      </c>
      <c r="BM74" s="831">
        <f t="shared" ref="BM74:BM137" si="33">+VLOOKUP($AY74,$BZ$3:$CH$21,7,FALSE)</f>
        <v>5.6</v>
      </c>
      <c r="BN74" s="831">
        <f t="shared" ref="BN74:BN137" si="34">+VLOOKUP($AY74,$BZ$3:$CH$21,8,FALSE)</f>
        <v>3</v>
      </c>
      <c r="BO74" s="831">
        <f t="shared" ref="BO74:BO137" si="35">+VLOOKUP($AY74,$BZ$3:$CH$21,9,FALSE)</f>
        <v>26.300000000000011</v>
      </c>
      <c r="BP74" s="831">
        <f t="shared" si="27"/>
        <v>100</v>
      </c>
      <c r="BQ74" s="665" t="s">
        <v>4575</v>
      </c>
      <c r="BR74" s="832"/>
      <c r="BS74" s="832"/>
      <c r="BT74" s="832"/>
      <c r="BU74" s="832"/>
      <c r="BV74" s="832"/>
      <c r="BW74" s="832"/>
      <c r="BX74" s="665"/>
      <c r="DH74" s="834" t="str">
        <f t="shared" si="26"/>
        <v>Côte d'Ivoire</v>
      </c>
      <c r="DI74" s="834" t="str">
        <f t="shared" si="26"/>
        <v>Africa</v>
      </c>
      <c r="DJ74" s="834" t="str">
        <f t="shared" si="26"/>
        <v>Western Africa</v>
      </c>
      <c r="DL74" s="834" t="s">
        <v>4584</v>
      </c>
      <c r="DN74" s="834" t="s">
        <v>4961</v>
      </c>
      <c r="DO74" s="834" t="s">
        <v>4962</v>
      </c>
    </row>
    <row r="75" spans="3:119">
      <c r="C75" s="641" t="s">
        <v>4963</v>
      </c>
      <c r="D75" s="841" t="s">
        <v>4837</v>
      </c>
      <c r="E75" s="816">
        <v>843.69999999999993</v>
      </c>
      <c r="F75" s="817" t="s">
        <v>4652</v>
      </c>
      <c r="G75" s="818" t="s">
        <v>4838</v>
      </c>
      <c r="H75" s="817"/>
      <c r="I75" s="818"/>
      <c r="J75" s="817"/>
      <c r="AW75" s="827" t="s">
        <v>4964</v>
      </c>
      <c r="AX75" s="827" t="s">
        <v>4597</v>
      </c>
      <c r="AY75" s="828" t="str">
        <f>+BZ14</f>
        <v>Southern Europe</v>
      </c>
      <c r="AZ75" s="827">
        <v>210</v>
      </c>
      <c r="BA75" s="665" t="s">
        <v>4747</v>
      </c>
      <c r="BB75" s="829">
        <v>13.128907412920512</v>
      </c>
      <c r="BC75" s="665" t="s">
        <v>4598</v>
      </c>
      <c r="BD75" s="842">
        <v>5.7500000000000002E-2</v>
      </c>
      <c r="BE75" s="842">
        <v>0.01</v>
      </c>
      <c r="BF75" s="665" t="s">
        <v>4748</v>
      </c>
      <c r="BG75" s="830"/>
      <c r="BH75" s="831">
        <f t="shared" si="28"/>
        <v>17</v>
      </c>
      <c r="BI75" s="831">
        <f t="shared" si="29"/>
        <v>6.8</v>
      </c>
      <c r="BJ75" s="831">
        <f t="shared" si="30"/>
        <v>36.9</v>
      </c>
      <c r="BK75" s="831">
        <f t="shared" si="31"/>
        <v>10.6</v>
      </c>
      <c r="BL75" s="831">
        <f t="shared" si="32"/>
        <v>9.5</v>
      </c>
      <c r="BM75" s="831">
        <f t="shared" si="33"/>
        <v>5.6</v>
      </c>
      <c r="BN75" s="831">
        <f t="shared" si="34"/>
        <v>6.8</v>
      </c>
      <c r="BO75" s="831">
        <f t="shared" si="35"/>
        <v>6.8</v>
      </c>
      <c r="BP75" s="831">
        <f t="shared" si="27"/>
        <v>99.999999999999986</v>
      </c>
      <c r="BQ75" s="665" t="s">
        <v>4575</v>
      </c>
      <c r="BR75" s="832"/>
      <c r="BS75" s="832"/>
      <c r="BT75" s="832"/>
      <c r="BU75" s="832"/>
      <c r="BV75" s="832"/>
      <c r="BW75" s="832"/>
      <c r="BX75" s="665"/>
      <c r="DH75" s="834" t="str">
        <f t="shared" si="26"/>
        <v>Croatia</v>
      </c>
      <c r="DI75" s="834" t="str">
        <f t="shared" si="26"/>
        <v>Europe</v>
      </c>
      <c r="DJ75" s="834" t="str">
        <f t="shared" si="26"/>
        <v>Southern Europe</v>
      </c>
      <c r="DK75" s="834" t="e">
        <f>VLOOKUP(DH75,#REF!,1)</f>
        <v>#REF!</v>
      </c>
      <c r="DL75" s="834" t="e">
        <f>VLOOKUP(DK75,#REF!,2,FALSE)</f>
        <v>#REF!</v>
      </c>
      <c r="DN75" s="834" t="s">
        <v>4965</v>
      </c>
      <c r="DO75" s="834" t="s">
        <v>4966</v>
      </c>
    </row>
    <row r="76" spans="3:119">
      <c r="C76" s="641" t="s">
        <v>4967</v>
      </c>
      <c r="D76" s="841" t="s">
        <v>4837</v>
      </c>
      <c r="E76" s="816">
        <v>2346</v>
      </c>
      <c r="F76" s="817" t="s">
        <v>4652</v>
      </c>
      <c r="G76" s="818" t="s">
        <v>4838</v>
      </c>
      <c r="H76" s="817"/>
      <c r="I76" s="818"/>
      <c r="J76" s="817"/>
      <c r="AW76" s="827" t="s">
        <v>4968</v>
      </c>
      <c r="AX76" s="842" t="s">
        <v>4657</v>
      </c>
      <c r="AY76" s="828" t="str">
        <f>+BZ21</f>
        <v>Caribbean</v>
      </c>
      <c r="AZ76" s="827">
        <v>598</v>
      </c>
      <c r="BA76" s="665" t="s">
        <v>4573</v>
      </c>
      <c r="BB76" s="829">
        <v>15.289682949499122</v>
      </c>
      <c r="BC76" s="665" t="s">
        <v>4598</v>
      </c>
      <c r="BD76" s="830"/>
      <c r="BE76" s="830"/>
      <c r="BF76" s="665"/>
      <c r="BG76" s="830"/>
      <c r="BH76" s="831">
        <f t="shared" si="28"/>
        <v>17</v>
      </c>
      <c r="BI76" s="831">
        <f t="shared" si="29"/>
        <v>5.0999999999999996</v>
      </c>
      <c r="BJ76" s="831">
        <f t="shared" si="30"/>
        <v>46.9</v>
      </c>
      <c r="BK76" s="831">
        <f t="shared" si="31"/>
        <v>2.4</v>
      </c>
      <c r="BL76" s="831">
        <f t="shared" si="32"/>
        <v>9.5</v>
      </c>
      <c r="BM76" s="831">
        <f t="shared" si="33"/>
        <v>5.6</v>
      </c>
      <c r="BN76" s="831">
        <f t="shared" si="34"/>
        <v>9.9</v>
      </c>
      <c r="BO76" s="831">
        <f t="shared" si="35"/>
        <v>3.5999999999999943</v>
      </c>
      <c r="BP76" s="831">
        <f t="shared" si="27"/>
        <v>100</v>
      </c>
      <c r="BQ76" s="665" t="s">
        <v>4575</v>
      </c>
      <c r="BR76" s="832"/>
      <c r="BS76" s="832"/>
      <c r="BT76" s="832"/>
      <c r="BU76" s="832"/>
      <c r="BV76" s="832"/>
      <c r="BW76" s="832"/>
      <c r="BX76" s="665"/>
      <c r="DH76" s="834" t="str">
        <f t="shared" si="26"/>
        <v>Cuba</v>
      </c>
      <c r="DI76" s="834" t="str">
        <f t="shared" si="26"/>
        <v>Americas</v>
      </c>
      <c r="DJ76" s="834" t="str">
        <f t="shared" si="26"/>
        <v>Caribbean</v>
      </c>
      <c r="DL76" s="834" t="s">
        <v>4584</v>
      </c>
      <c r="DN76" s="834" t="s">
        <v>4969</v>
      </c>
      <c r="DO76" s="834" t="s">
        <v>4970</v>
      </c>
    </row>
    <row r="77" spans="3:119" ht="25.5">
      <c r="C77" s="641" t="s">
        <v>4971</v>
      </c>
      <c r="D77" s="841" t="s">
        <v>4837</v>
      </c>
      <c r="E77" s="816">
        <v>3026.69</v>
      </c>
      <c r="F77" s="817" t="s">
        <v>4652</v>
      </c>
      <c r="G77" s="818" t="s">
        <v>4838</v>
      </c>
      <c r="H77" s="817"/>
      <c r="I77" s="818"/>
      <c r="J77" s="817"/>
      <c r="AW77" s="827" t="s">
        <v>4972</v>
      </c>
      <c r="AX77" s="842" t="s">
        <v>4657</v>
      </c>
      <c r="AY77" s="828" t="str">
        <f>+BZ21</f>
        <v>Caribbean</v>
      </c>
      <c r="AZ77" s="827">
        <v>466</v>
      </c>
      <c r="BA77" s="665" t="s">
        <v>4573</v>
      </c>
      <c r="BB77" s="829">
        <v>9.3894684857089938</v>
      </c>
      <c r="BC77" s="665" t="s">
        <v>4658</v>
      </c>
      <c r="BD77" s="830"/>
      <c r="BE77" s="830"/>
      <c r="BF77" s="665"/>
      <c r="BG77" s="830"/>
      <c r="BH77" s="831">
        <f t="shared" si="28"/>
        <v>17</v>
      </c>
      <c r="BI77" s="831">
        <f t="shared" si="29"/>
        <v>5.0999999999999996</v>
      </c>
      <c r="BJ77" s="831">
        <f t="shared" si="30"/>
        <v>46.9</v>
      </c>
      <c r="BK77" s="831">
        <f t="shared" si="31"/>
        <v>2.4</v>
      </c>
      <c r="BL77" s="831">
        <f t="shared" si="32"/>
        <v>9.5</v>
      </c>
      <c r="BM77" s="831">
        <f t="shared" si="33"/>
        <v>5.6</v>
      </c>
      <c r="BN77" s="831">
        <f t="shared" si="34"/>
        <v>9.9</v>
      </c>
      <c r="BO77" s="831">
        <f t="shared" si="35"/>
        <v>3.5999999999999943</v>
      </c>
      <c r="BP77" s="831">
        <f t="shared" si="27"/>
        <v>100</v>
      </c>
      <c r="BQ77" s="665" t="s">
        <v>4575</v>
      </c>
      <c r="BR77" s="832"/>
      <c r="BS77" s="832"/>
      <c r="BT77" s="832"/>
      <c r="BU77" s="832"/>
      <c r="BV77" s="832"/>
      <c r="BW77" s="832"/>
      <c r="BX77" s="665"/>
      <c r="DH77" s="834" t="str">
        <f t="shared" ref="DH77:DJ98" si="36">AW77</f>
        <v>Curaçao (Netherlands)</v>
      </c>
      <c r="DI77" s="834" t="str">
        <f t="shared" si="36"/>
        <v>Americas</v>
      </c>
      <c r="DJ77" s="834" t="str">
        <f t="shared" si="36"/>
        <v>Caribbean</v>
      </c>
      <c r="DL77" s="834" t="s">
        <v>4584</v>
      </c>
      <c r="DN77" s="834" t="s">
        <v>4973</v>
      </c>
      <c r="DO77" s="834" t="s">
        <v>4974</v>
      </c>
    </row>
    <row r="78" spans="3:119">
      <c r="C78" s="641" t="s">
        <v>4975</v>
      </c>
      <c r="D78" s="841" t="s">
        <v>4837</v>
      </c>
      <c r="E78" s="816">
        <v>1809.3400000000001</v>
      </c>
      <c r="F78" s="817" t="s">
        <v>4652</v>
      </c>
      <c r="G78" s="818" t="s">
        <v>4838</v>
      </c>
      <c r="H78" s="817"/>
      <c r="I78" s="818"/>
      <c r="J78" s="817"/>
      <c r="AW78" s="827" t="s">
        <v>4976</v>
      </c>
      <c r="AX78" s="827" t="s">
        <v>4572</v>
      </c>
      <c r="AY78" s="828" t="str">
        <f>+BZ6</f>
        <v>Western Asia &amp; Middle East</v>
      </c>
      <c r="AZ78" s="827">
        <v>676.9</v>
      </c>
      <c r="BA78" s="665" t="s">
        <v>4747</v>
      </c>
      <c r="BB78" s="829">
        <v>3.9770114942528738</v>
      </c>
      <c r="BC78" s="665" t="s">
        <v>4598</v>
      </c>
      <c r="BD78" s="830"/>
      <c r="BE78" s="830"/>
      <c r="BF78" s="665"/>
      <c r="BG78" s="830"/>
      <c r="BH78" s="831">
        <f t="shared" si="28"/>
        <v>18</v>
      </c>
      <c r="BI78" s="831">
        <f t="shared" si="29"/>
        <v>2.9</v>
      </c>
      <c r="BJ78" s="831">
        <f t="shared" si="30"/>
        <v>41.1</v>
      </c>
      <c r="BK78" s="831">
        <f t="shared" si="31"/>
        <v>9.8000000000000007</v>
      </c>
      <c r="BL78" s="831">
        <f t="shared" si="32"/>
        <v>9.5</v>
      </c>
      <c r="BM78" s="831">
        <f t="shared" si="33"/>
        <v>5.6</v>
      </c>
      <c r="BN78" s="831">
        <f t="shared" si="34"/>
        <v>6.3</v>
      </c>
      <c r="BO78" s="831">
        <f t="shared" si="35"/>
        <v>6.8000000000000114</v>
      </c>
      <c r="BP78" s="831">
        <f t="shared" si="27"/>
        <v>100</v>
      </c>
      <c r="BQ78" s="665" t="s">
        <v>4575</v>
      </c>
      <c r="BR78" s="832"/>
      <c r="BS78" s="832"/>
      <c r="BT78" s="832"/>
      <c r="BU78" s="832"/>
      <c r="BV78" s="832"/>
      <c r="BW78" s="832"/>
      <c r="BX78" s="665"/>
      <c r="DH78" s="834" t="str">
        <f t="shared" si="36"/>
        <v>Cyprus</v>
      </c>
      <c r="DI78" s="834" t="str">
        <f t="shared" si="36"/>
        <v>Asia</v>
      </c>
      <c r="DJ78" s="834" t="str">
        <f t="shared" si="36"/>
        <v>Western Asia &amp; Middle East</v>
      </c>
      <c r="DK78" s="834" t="e">
        <f>VLOOKUP(DH78,#REF!,1)</f>
        <v>#REF!</v>
      </c>
      <c r="DL78" s="834" t="e">
        <f>VLOOKUP(DK78,#REF!,2,FALSE)</f>
        <v>#REF!</v>
      </c>
      <c r="DN78" s="834" t="s">
        <v>4977</v>
      </c>
      <c r="DO78" s="834" t="s">
        <v>4978</v>
      </c>
    </row>
    <row r="79" spans="3:119">
      <c r="C79" s="641" t="s">
        <v>4979</v>
      </c>
      <c r="D79" s="841" t="s">
        <v>4837</v>
      </c>
      <c r="E79" s="816">
        <v>3.1</v>
      </c>
      <c r="F79" s="817" t="s">
        <v>4652</v>
      </c>
      <c r="G79" s="818" t="s">
        <v>4838</v>
      </c>
      <c r="H79" s="817"/>
      <c r="I79" s="818"/>
      <c r="J79" s="817"/>
      <c r="AW79" s="827" t="s">
        <v>4980</v>
      </c>
      <c r="AX79" s="827" t="s">
        <v>4597</v>
      </c>
      <c r="AY79" s="828" t="str">
        <f>+BZ12</f>
        <v>Eastern Europe</v>
      </c>
      <c r="AZ79" s="827">
        <v>512.70000000000005</v>
      </c>
      <c r="BA79" s="665" t="s">
        <v>4747</v>
      </c>
      <c r="BB79" s="829">
        <v>4.5207765347372382</v>
      </c>
      <c r="BC79" s="665" t="s">
        <v>4598</v>
      </c>
      <c r="BD79" s="842">
        <v>5.7500000000000002E-2</v>
      </c>
      <c r="BE79" s="842">
        <v>0.04</v>
      </c>
      <c r="BF79" s="665" t="s">
        <v>4748</v>
      </c>
      <c r="BG79" s="830"/>
      <c r="BH79" s="831">
        <f t="shared" si="28"/>
        <v>21.8</v>
      </c>
      <c r="BI79" s="831">
        <f t="shared" si="29"/>
        <v>4.7</v>
      </c>
      <c r="BJ79" s="831">
        <f t="shared" si="30"/>
        <v>30.1</v>
      </c>
      <c r="BK79" s="831">
        <f t="shared" si="31"/>
        <v>7.5</v>
      </c>
      <c r="BL79" s="831">
        <f t="shared" si="32"/>
        <v>9.5</v>
      </c>
      <c r="BM79" s="831">
        <f t="shared" si="33"/>
        <v>5.6</v>
      </c>
      <c r="BN79" s="831">
        <f t="shared" si="34"/>
        <v>6.2</v>
      </c>
      <c r="BO79" s="831">
        <f t="shared" si="35"/>
        <v>14.600000000000009</v>
      </c>
      <c r="BP79" s="831">
        <f t="shared" si="27"/>
        <v>100</v>
      </c>
      <c r="BQ79" s="665" t="s">
        <v>4575</v>
      </c>
      <c r="BR79" s="832"/>
      <c r="BS79" s="832"/>
      <c r="BT79" s="832"/>
      <c r="BU79" s="832"/>
      <c r="BV79" s="832"/>
      <c r="BW79" s="832"/>
      <c r="BX79" s="665"/>
      <c r="DH79" s="834" t="str">
        <f t="shared" si="36"/>
        <v>Czechia</v>
      </c>
      <c r="DI79" s="834" t="str">
        <f t="shared" si="36"/>
        <v>Europe</v>
      </c>
      <c r="DJ79" s="834" t="str">
        <f t="shared" si="36"/>
        <v>Eastern Europe</v>
      </c>
      <c r="DK79" s="834" t="e">
        <f>VLOOKUP(DH79,#REF!,1)</f>
        <v>#REF!</v>
      </c>
      <c r="DL79" s="834" t="e">
        <f>VLOOKUP(DK79,#REF!,2,FALSE)</f>
        <v>#REF!</v>
      </c>
      <c r="DN79" s="834" t="s">
        <v>4981</v>
      </c>
      <c r="DO79" s="834" t="s">
        <v>4982</v>
      </c>
    </row>
    <row r="80" spans="3:119">
      <c r="C80" s="641" t="s">
        <v>4983</v>
      </c>
      <c r="D80" s="841" t="s">
        <v>4837</v>
      </c>
      <c r="E80" s="816">
        <v>2966.7</v>
      </c>
      <c r="F80" s="817" t="s">
        <v>4652</v>
      </c>
      <c r="G80" s="818" t="s">
        <v>4838</v>
      </c>
      <c r="H80" s="817"/>
      <c r="I80" s="818"/>
      <c r="J80" s="817"/>
      <c r="AW80" s="827" t="s">
        <v>4984</v>
      </c>
      <c r="AX80" s="827" t="s">
        <v>4597</v>
      </c>
      <c r="AY80" s="828" t="str">
        <f>+BZ13</f>
        <v>Northern Europe</v>
      </c>
      <c r="AZ80" s="827">
        <v>166.1</v>
      </c>
      <c r="BA80" s="665" t="s">
        <v>4747</v>
      </c>
      <c r="BB80" s="829">
        <v>6.1334824757643549</v>
      </c>
      <c r="BC80" s="665" t="s">
        <v>4598</v>
      </c>
      <c r="BD80" s="842">
        <v>5.7500000000000002E-2</v>
      </c>
      <c r="BE80" s="842">
        <v>5.7500000000000002E-2</v>
      </c>
      <c r="BF80" s="665" t="s">
        <v>4748</v>
      </c>
      <c r="BG80" s="830"/>
      <c r="BH80" s="831">
        <f t="shared" si="28"/>
        <v>30.6</v>
      </c>
      <c r="BI80" s="831">
        <f t="shared" si="29"/>
        <v>2</v>
      </c>
      <c r="BJ80" s="831">
        <f t="shared" si="30"/>
        <v>23.8</v>
      </c>
      <c r="BK80" s="831">
        <f t="shared" si="31"/>
        <v>10</v>
      </c>
      <c r="BL80" s="831">
        <f t="shared" si="32"/>
        <v>9.5</v>
      </c>
      <c r="BM80" s="831">
        <f t="shared" si="33"/>
        <v>5.6</v>
      </c>
      <c r="BN80" s="831">
        <f t="shared" si="34"/>
        <v>13</v>
      </c>
      <c r="BO80" s="831">
        <f t="shared" si="35"/>
        <v>5.5</v>
      </c>
      <c r="BP80" s="831">
        <f t="shared" si="27"/>
        <v>100</v>
      </c>
      <c r="BQ80" s="665" t="s">
        <v>4575</v>
      </c>
      <c r="BR80" s="832"/>
      <c r="BS80" s="832"/>
      <c r="BT80" s="832"/>
      <c r="BU80" s="832"/>
      <c r="BV80" s="832"/>
      <c r="BW80" s="832"/>
      <c r="BX80" s="665"/>
      <c r="DH80" s="834" t="str">
        <f t="shared" si="36"/>
        <v>Denmark</v>
      </c>
      <c r="DI80" s="834" t="str">
        <f t="shared" si="36"/>
        <v>Europe</v>
      </c>
      <c r="DJ80" s="834" t="str">
        <f t="shared" si="36"/>
        <v>Northern Europe</v>
      </c>
      <c r="DK80" s="834" t="e">
        <f>VLOOKUP(DH80,#REF!,1)</f>
        <v>#REF!</v>
      </c>
      <c r="DL80" s="834" t="e">
        <f>VLOOKUP(DK80,#REF!,2,FALSE)</f>
        <v>#REF!</v>
      </c>
      <c r="DN80" s="834" t="s">
        <v>4985</v>
      </c>
      <c r="DO80" s="834" t="s">
        <v>4986</v>
      </c>
    </row>
    <row r="81" spans="3:119" ht="25.5">
      <c r="C81" s="641" t="s">
        <v>4987</v>
      </c>
      <c r="D81" s="841" t="s">
        <v>4837</v>
      </c>
      <c r="E81" s="816">
        <v>2383.9</v>
      </c>
      <c r="F81" s="817" t="s">
        <v>4652</v>
      </c>
      <c r="G81" s="818" t="s">
        <v>4838</v>
      </c>
      <c r="H81" s="817"/>
      <c r="I81" s="818"/>
      <c r="J81" s="817"/>
      <c r="AW81" s="827" t="s">
        <v>4988</v>
      </c>
      <c r="AX81" s="827" t="s">
        <v>4614</v>
      </c>
      <c r="AY81" s="828" t="str">
        <f>+BZ7</f>
        <v>Eastern Africa</v>
      </c>
      <c r="AZ81" s="827">
        <v>639</v>
      </c>
      <c r="BA81" s="665" t="s">
        <v>4573</v>
      </c>
      <c r="BB81" s="829">
        <v>13.490630673342661</v>
      </c>
      <c r="BC81" s="665" t="s">
        <v>4784</v>
      </c>
      <c r="BD81" s="830"/>
      <c r="BE81" s="830"/>
      <c r="BF81" s="665"/>
      <c r="BG81" s="830"/>
      <c r="BH81" s="831">
        <f t="shared" si="28"/>
        <v>7.7</v>
      </c>
      <c r="BI81" s="831">
        <f t="shared" si="29"/>
        <v>1.7</v>
      </c>
      <c r="BJ81" s="831">
        <f t="shared" si="30"/>
        <v>53.9</v>
      </c>
      <c r="BK81" s="831">
        <f t="shared" si="31"/>
        <v>7</v>
      </c>
      <c r="BL81" s="831">
        <f t="shared" si="32"/>
        <v>9.5</v>
      </c>
      <c r="BM81" s="831">
        <f t="shared" si="33"/>
        <v>5.6</v>
      </c>
      <c r="BN81" s="831">
        <f t="shared" si="34"/>
        <v>5.5</v>
      </c>
      <c r="BO81" s="831">
        <f t="shared" si="35"/>
        <v>9.1000000000000085</v>
      </c>
      <c r="BP81" s="831">
        <f t="shared" si="27"/>
        <v>100</v>
      </c>
      <c r="BQ81" s="665" t="s">
        <v>4575</v>
      </c>
      <c r="BR81" s="832"/>
      <c r="BS81" s="832"/>
      <c r="BT81" s="832"/>
      <c r="BU81" s="832"/>
      <c r="BV81" s="832"/>
      <c r="BW81" s="832"/>
      <c r="BX81" s="665"/>
      <c r="DH81" s="834" t="str">
        <f t="shared" si="36"/>
        <v>Djibouti</v>
      </c>
      <c r="DI81" s="834" t="str">
        <f t="shared" si="36"/>
        <v>Africa</v>
      </c>
      <c r="DJ81" s="834" t="str">
        <f t="shared" si="36"/>
        <v>Eastern Africa</v>
      </c>
      <c r="DL81" s="834" t="s">
        <v>4584</v>
      </c>
      <c r="DN81" s="834" t="s">
        <v>4989</v>
      </c>
      <c r="DO81" s="834" t="s">
        <v>4990</v>
      </c>
    </row>
    <row r="82" spans="3:119" ht="25.5">
      <c r="C82" s="641" t="s">
        <v>4991</v>
      </c>
      <c r="D82" s="841" t="s">
        <v>4837</v>
      </c>
      <c r="E82" s="816">
        <v>1258.4000000000001</v>
      </c>
      <c r="F82" s="817" t="s">
        <v>4652</v>
      </c>
      <c r="G82" s="818" t="s">
        <v>4838</v>
      </c>
      <c r="H82" s="817"/>
      <c r="I82" s="818"/>
      <c r="J82" s="817"/>
      <c r="AW82" s="827" t="s">
        <v>4992</v>
      </c>
      <c r="AX82" s="842" t="s">
        <v>4657</v>
      </c>
      <c r="AY82" s="828" t="str">
        <f>+BZ21</f>
        <v>Caribbean</v>
      </c>
      <c r="AZ82" s="827">
        <v>551</v>
      </c>
      <c r="BA82" s="665" t="s">
        <v>4573</v>
      </c>
      <c r="BB82" s="829">
        <v>9.3894684857089938</v>
      </c>
      <c r="BC82" s="665" t="s">
        <v>4658</v>
      </c>
      <c r="BD82" s="830"/>
      <c r="BE82" s="830"/>
      <c r="BF82" s="665"/>
      <c r="BG82" s="830"/>
      <c r="BH82" s="831">
        <f t="shared" si="28"/>
        <v>17</v>
      </c>
      <c r="BI82" s="831">
        <f t="shared" si="29"/>
        <v>5.0999999999999996</v>
      </c>
      <c r="BJ82" s="831">
        <f t="shared" si="30"/>
        <v>46.9</v>
      </c>
      <c r="BK82" s="831">
        <f t="shared" si="31"/>
        <v>2.4</v>
      </c>
      <c r="BL82" s="831">
        <f t="shared" si="32"/>
        <v>9.5</v>
      </c>
      <c r="BM82" s="831">
        <f t="shared" si="33"/>
        <v>5.6</v>
      </c>
      <c r="BN82" s="831">
        <f t="shared" si="34"/>
        <v>9.9</v>
      </c>
      <c r="BO82" s="831">
        <f t="shared" si="35"/>
        <v>3.5999999999999943</v>
      </c>
      <c r="BP82" s="831">
        <f t="shared" si="27"/>
        <v>100</v>
      </c>
      <c r="BQ82" s="665" t="s">
        <v>4575</v>
      </c>
      <c r="BR82" s="832"/>
      <c r="BS82" s="832"/>
      <c r="BT82" s="832"/>
      <c r="BU82" s="832"/>
      <c r="BV82" s="832"/>
      <c r="BW82" s="832"/>
      <c r="BX82" s="665"/>
      <c r="DH82" s="834" t="str">
        <f t="shared" si="36"/>
        <v>Dominica</v>
      </c>
      <c r="DI82" s="834" t="str">
        <f t="shared" si="36"/>
        <v>Americas</v>
      </c>
      <c r="DJ82" s="834" t="str">
        <f t="shared" si="36"/>
        <v>Caribbean</v>
      </c>
      <c r="DL82" s="834" t="s">
        <v>4584</v>
      </c>
      <c r="DN82" s="834" t="s">
        <v>4993</v>
      </c>
      <c r="DO82" s="834" t="s">
        <v>4994</v>
      </c>
    </row>
    <row r="83" spans="3:119">
      <c r="C83" s="641" t="s">
        <v>4995</v>
      </c>
      <c r="D83" s="841" t="s">
        <v>4837</v>
      </c>
      <c r="E83" s="816">
        <v>2630.6</v>
      </c>
      <c r="F83" s="817" t="s">
        <v>4652</v>
      </c>
      <c r="G83" s="818" t="s">
        <v>4838</v>
      </c>
      <c r="H83" s="817"/>
      <c r="I83" s="818"/>
      <c r="J83" s="817"/>
      <c r="AW83" s="827" t="s">
        <v>4996</v>
      </c>
      <c r="AX83" s="842" t="s">
        <v>4657</v>
      </c>
      <c r="AY83" s="828" t="str">
        <f>+BZ21</f>
        <v>Caribbean</v>
      </c>
      <c r="AZ83" s="827">
        <v>460</v>
      </c>
      <c r="BA83" s="665" t="s">
        <v>4573</v>
      </c>
      <c r="BB83" s="829">
        <v>12.178688710225343</v>
      </c>
      <c r="BC83" s="665" t="s">
        <v>4598</v>
      </c>
      <c r="BD83" s="830"/>
      <c r="BE83" s="830"/>
      <c r="BF83" s="665"/>
      <c r="BG83" s="830"/>
      <c r="BH83" s="831">
        <f t="shared" si="28"/>
        <v>17</v>
      </c>
      <c r="BI83" s="831">
        <f t="shared" si="29"/>
        <v>5.0999999999999996</v>
      </c>
      <c r="BJ83" s="831">
        <f t="shared" si="30"/>
        <v>46.9</v>
      </c>
      <c r="BK83" s="831">
        <f t="shared" si="31"/>
        <v>2.4</v>
      </c>
      <c r="BL83" s="831">
        <f t="shared" si="32"/>
        <v>9.5</v>
      </c>
      <c r="BM83" s="831">
        <f t="shared" si="33"/>
        <v>5.6</v>
      </c>
      <c r="BN83" s="831">
        <f t="shared" si="34"/>
        <v>9.9</v>
      </c>
      <c r="BO83" s="831">
        <f t="shared" si="35"/>
        <v>3.5999999999999943</v>
      </c>
      <c r="BP83" s="831">
        <f t="shared" si="27"/>
        <v>100</v>
      </c>
      <c r="BQ83" s="665" t="s">
        <v>4575</v>
      </c>
      <c r="BR83" s="832"/>
      <c r="BS83" s="832"/>
      <c r="BT83" s="832"/>
      <c r="BU83" s="832"/>
      <c r="BV83" s="832"/>
      <c r="BW83" s="832"/>
      <c r="BX83" s="665"/>
      <c r="DH83" s="834" t="str">
        <f t="shared" si="36"/>
        <v>Dominican Republic</v>
      </c>
      <c r="DI83" s="834" t="str">
        <f t="shared" si="36"/>
        <v>Americas</v>
      </c>
      <c r="DJ83" s="834" t="str">
        <f t="shared" si="36"/>
        <v>Caribbean</v>
      </c>
      <c r="DL83" s="834" t="s">
        <v>4584</v>
      </c>
      <c r="DN83" s="834" t="s">
        <v>4997</v>
      </c>
      <c r="DO83" s="834" t="s">
        <v>4998</v>
      </c>
    </row>
    <row r="84" spans="3:119">
      <c r="C84" s="641" t="s">
        <v>4999</v>
      </c>
      <c r="D84" s="841" t="s">
        <v>4837</v>
      </c>
      <c r="E84" s="816">
        <v>3189.5</v>
      </c>
      <c r="F84" s="817" t="s">
        <v>4652</v>
      </c>
      <c r="G84" s="818" t="s">
        <v>4838</v>
      </c>
      <c r="H84" s="817"/>
      <c r="I84" s="818"/>
      <c r="J84" s="817"/>
      <c r="AW84" s="827" t="s">
        <v>5000</v>
      </c>
      <c r="AX84" s="842" t="s">
        <v>4657</v>
      </c>
      <c r="AY84" s="828" t="str">
        <f>+BZ20</f>
        <v>South America</v>
      </c>
      <c r="AZ84" s="827">
        <v>404</v>
      </c>
      <c r="BA84" s="665" t="s">
        <v>4573</v>
      </c>
      <c r="BB84" s="829">
        <v>12.922203480478874</v>
      </c>
      <c r="BC84" s="665" t="s">
        <v>4598</v>
      </c>
      <c r="BD84" s="830"/>
      <c r="BE84" s="830"/>
      <c r="BF84" s="665"/>
      <c r="BG84" s="830"/>
      <c r="BH84" s="831">
        <f t="shared" si="28"/>
        <v>17.100000000000001</v>
      </c>
      <c r="BI84" s="831">
        <f t="shared" si="29"/>
        <v>2.6</v>
      </c>
      <c r="BJ84" s="831">
        <f t="shared" si="30"/>
        <v>44.9</v>
      </c>
      <c r="BK84" s="831">
        <f t="shared" si="31"/>
        <v>4.7</v>
      </c>
      <c r="BL84" s="831">
        <f t="shared" si="32"/>
        <v>9.5</v>
      </c>
      <c r="BM84" s="831">
        <f t="shared" si="33"/>
        <v>5.6</v>
      </c>
      <c r="BN84" s="831">
        <f t="shared" si="34"/>
        <v>10.8</v>
      </c>
      <c r="BO84" s="831">
        <f t="shared" si="35"/>
        <v>4.8000000000000114</v>
      </c>
      <c r="BP84" s="831">
        <f t="shared" si="27"/>
        <v>100</v>
      </c>
      <c r="BQ84" s="665" t="s">
        <v>4575</v>
      </c>
      <c r="BR84" s="832"/>
      <c r="BS84" s="832"/>
      <c r="BT84" s="832"/>
      <c r="BU84" s="832"/>
      <c r="BV84" s="832"/>
      <c r="BW84" s="832"/>
      <c r="BX84" s="665"/>
      <c r="DH84" s="834" t="str">
        <f t="shared" si="36"/>
        <v>Ecuador</v>
      </c>
      <c r="DI84" s="834" t="str">
        <f t="shared" si="36"/>
        <v>Americas</v>
      </c>
      <c r="DJ84" s="834" t="str">
        <f t="shared" si="36"/>
        <v>South America</v>
      </c>
      <c r="DL84" s="834" t="s">
        <v>4584</v>
      </c>
      <c r="DN84" s="834" t="s">
        <v>5001</v>
      </c>
      <c r="DO84" s="834" t="s">
        <v>5002</v>
      </c>
    </row>
    <row r="85" spans="3:119">
      <c r="C85" s="641" t="s">
        <v>5003</v>
      </c>
      <c r="D85" s="841" t="s">
        <v>4837</v>
      </c>
      <c r="E85" s="816">
        <v>3142.95</v>
      </c>
      <c r="F85" s="817" t="s">
        <v>4652</v>
      </c>
      <c r="G85" s="818" t="s">
        <v>4838</v>
      </c>
      <c r="H85" s="817"/>
      <c r="I85" s="818"/>
      <c r="J85" s="817"/>
      <c r="AW85" s="827" t="s">
        <v>5004</v>
      </c>
      <c r="AX85" s="827" t="s">
        <v>4614</v>
      </c>
      <c r="AY85" s="828" t="str">
        <f>+BZ9</f>
        <v>Northern Africa</v>
      </c>
      <c r="AZ85" s="827">
        <v>411</v>
      </c>
      <c r="BA85" s="665" t="s">
        <v>4573</v>
      </c>
      <c r="BB85" s="829">
        <v>10.952966404574696</v>
      </c>
      <c r="BC85" s="665" t="s">
        <v>4598</v>
      </c>
      <c r="BD85" s="830"/>
      <c r="BE85" s="830"/>
      <c r="BF85" s="665"/>
      <c r="BG85" s="830"/>
      <c r="BH85" s="831">
        <f t="shared" si="28"/>
        <v>16.5</v>
      </c>
      <c r="BI85" s="831">
        <f t="shared" si="29"/>
        <v>2.5</v>
      </c>
      <c r="BJ85" s="831">
        <f t="shared" si="30"/>
        <v>51.1</v>
      </c>
      <c r="BK85" s="831">
        <f t="shared" si="31"/>
        <v>2</v>
      </c>
      <c r="BL85" s="831">
        <f t="shared" si="32"/>
        <v>9.5</v>
      </c>
      <c r="BM85" s="831">
        <f t="shared" si="33"/>
        <v>5.6</v>
      </c>
      <c r="BN85" s="831">
        <f t="shared" si="34"/>
        <v>4.5</v>
      </c>
      <c r="BO85" s="831">
        <f t="shared" si="35"/>
        <v>8.3000000000000114</v>
      </c>
      <c r="BP85" s="831">
        <f t="shared" si="27"/>
        <v>100</v>
      </c>
      <c r="BQ85" s="665" t="s">
        <v>4575</v>
      </c>
      <c r="BR85" s="832"/>
      <c r="BS85" s="832"/>
      <c r="BT85" s="832"/>
      <c r="BU85" s="832"/>
      <c r="BV85" s="832"/>
      <c r="BW85" s="832"/>
      <c r="BX85" s="665"/>
      <c r="DH85" s="834" t="str">
        <f t="shared" si="36"/>
        <v>Egypt</v>
      </c>
      <c r="DI85" s="834" t="str">
        <f t="shared" si="36"/>
        <v>Africa</v>
      </c>
      <c r="DJ85" s="834" t="str">
        <f t="shared" si="36"/>
        <v>Northern Africa</v>
      </c>
      <c r="DL85" s="834" t="s">
        <v>4584</v>
      </c>
      <c r="DN85" s="834" t="s">
        <v>5005</v>
      </c>
      <c r="DO85" s="834" t="s">
        <v>5006</v>
      </c>
    </row>
    <row r="86" spans="3:119">
      <c r="C86" s="641" t="s">
        <v>5007</v>
      </c>
      <c r="D86" s="841" t="s">
        <v>4837</v>
      </c>
      <c r="E86" s="816">
        <v>2525.6000000000004</v>
      </c>
      <c r="F86" s="817" t="s">
        <v>4652</v>
      </c>
      <c r="G86" s="818" t="s">
        <v>4838</v>
      </c>
      <c r="H86" s="817"/>
      <c r="I86" s="818"/>
      <c r="J86" s="817"/>
      <c r="AW86" s="827" t="s">
        <v>5008</v>
      </c>
      <c r="AX86" s="842" t="s">
        <v>4657</v>
      </c>
      <c r="AY86" s="828" t="str">
        <f>+BZ19</f>
        <v>Central America</v>
      </c>
      <c r="AZ86" s="827">
        <v>344</v>
      </c>
      <c r="BA86" s="665" t="s">
        <v>4573</v>
      </c>
      <c r="BB86" s="829">
        <v>11.328941025228989</v>
      </c>
      <c r="BC86" s="665" t="s">
        <v>4598</v>
      </c>
      <c r="BD86" s="830"/>
      <c r="BE86" s="830"/>
      <c r="BF86" s="665"/>
      <c r="BG86" s="830"/>
      <c r="BH86" s="831">
        <f t="shared" si="28"/>
        <v>13.7</v>
      </c>
      <c r="BI86" s="831">
        <f t="shared" si="29"/>
        <v>2.6</v>
      </c>
      <c r="BJ86" s="831">
        <f t="shared" si="30"/>
        <v>43.8</v>
      </c>
      <c r="BK86" s="831">
        <f t="shared" si="31"/>
        <v>13.5</v>
      </c>
      <c r="BL86" s="831">
        <f t="shared" si="32"/>
        <v>9.5</v>
      </c>
      <c r="BM86" s="831">
        <f t="shared" si="33"/>
        <v>5.6</v>
      </c>
      <c r="BN86" s="831">
        <f t="shared" si="34"/>
        <v>6.7</v>
      </c>
      <c r="BO86" s="831">
        <f t="shared" si="35"/>
        <v>4.6000000000000085</v>
      </c>
      <c r="BP86" s="831">
        <f t="shared" si="27"/>
        <v>100</v>
      </c>
      <c r="BQ86" s="665" t="s">
        <v>4575</v>
      </c>
      <c r="BR86" s="832"/>
      <c r="BS86" s="832"/>
      <c r="BT86" s="832"/>
      <c r="BU86" s="832"/>
      <c r="BV86" s="832"/>
      <c r="BW86" s="832"/>
      <c r="BX86" s="665"/>
      <c r="DH86" s="834" t="str">
        <f t="shared" si="36"/>
        <v>El Salvador</v>
      </c>
      <c r="DI86" s="834" t="str">
        <f t="shared" si="36"/>
        <v>Americas</v>
      </c>
      <c r="DJ86" s="834" t="str">
        <f t="shared" si="36"/>
        <v>Central America</v>
      </c>
      <c r="DL86" s="834" t="s">
        <v>4584</v>
      </c>
      <c r="DN86" s="834" t="s">
        <v>5009</v>
      </c>
      <c r="DO86" s="834" t="s">
        <v>5010</v>
      </c>
    </row>
    <row r="87" spans="3:119" ht="25.5">
      <c r="C87" s="641" t="s">
        <v>5011</v>
      </c>
      <c r="D87" s="841" t="s">
        <v>4837</v>
      </c>
      <c r="E87" s="816">
        <v>3084.5</v>
      </c>
      <c r="F87" s="817" t="s">
        <v>4652</v>
      </c>
      <c r="G87" s="818" t="s">
        <v>4838</v>
      </c>
      <c r="H87" s="817"/>
      <c r="I87" s="818"/>
      <c r="J87" s="817"/>
      <c r="AW87" s="827" t="s">
        <v>5012</v>
      </c>
      <c r="AX87" s="827" t="s">
        <v>4614</v>
      </c>
      <c r="AY87" s="828" t="str">
        <f>+BZ8</f>
        <v>Middle Africa</v>
      </c>
      <c r="AZ87" s="827">
        <v>531</v>
      </c>
      <c r="BA87" s="665" t="s">
        <v>4573</v>
      </c>
      <c r="BB87" s="829">
        <v>11.740747004194485</v>
      </c>
      <c r="BC87" s="665" t="s">
        <v>4826</v>
      </c>
      <c r="BD87" s="830"/>
      <c r="BE87" s="830"/>
      <c r="BF87" s="665"/>
      <c r="BG87" s="830"/>
      <c r="BH87" s="831">
        <f t="shared" si="28"/>
        <v>16.8</v>
      </c>
      <c r="BI87" s="831">
        <f t="shared" si="29"/>
        <v>2.5</v>
      </c>
      <c r="BJ87" s="831">
        <f t="shared" si="30"/>
        <v>43.4</v>
      </c>
      <c r="BK87" s="831">
        <f t="shared" si="31"/>
        <v>6.5</v>
      </c>
      <c r="BL87" s="831">
        <f t="shared" si="32"/>
        <v>9.5</v>
      </c>
      <c r="BM87" s="831">
        <f t="shared" si="33"/>
        <v>5.6</v>
      </c>
      <c r="BN87" s="831">
        <f t="shared" si="34"/>
        <v>4.5</v>
      </c>
      <c r="BO87" s="831">
        <f t="shared" si="35"/>
        <v>11.200000000000003</v>
      </c>
      <c r="BP87" s="831">
        <f t="shared" si="27"/>
        <v>100</v>
      </c>
      <c r="BQ87" s="665" t="s">
        <v>4575</v>
      </c>
      <c r="BR87" s="832"/>
      <c r="BS87" s="832"/>
      <c r="BT87" s="832"/>
      <c r="BU87" s="832"/>
      <c r="BV87" s="832"/>
      <c r="BW87" s="832"/>
      <c r="BX87" s="665"/>
      <c r="DH87" s="834" t="str">
        <f t="shared" si="36"/>
        <v>Equatorial Guinea</v>
      </c>
      <c r="DI87" s="834" t="str">
        <f t="shared" si="36"/>
        <v>Africa</v>
      </c>
      <c r="DJ87" s="834" t="str">
        <f t="shared" si="36"/>
        <v>Middle Africa</v>
      </c>
      <c r="DL87" s="834" t="s">
        <v>4584</v>
      </c>
      <c r="DN87" s="834" t="s">
        <v>5013</v>
      </c>
      <c r="DO87" s="834" t="s">
        <v>5014</v>
      </c>
    </row>
    <row r="88" spans="3:119">
      <c r="C88" s="641" t="s">
        <v>5015</v>
      </c>
      <c r="D88" s="841" t="s">
        <v>4837</v>
      </c>
      <c r="E88" s="816">
        <v>2725.45</v>
      </c>
      <c r="F88" s="817" t="s">
        <v>4652</v>
      </c>
      <c r="G88" s="818" t="s">
        <v>4838</v>
      </c>
      <c r="H88" s="817"/>
      <c r="I88" s="818"/>
      <c r="J88" s="817"/>
      <c r="AW88" s="827" t="s">
        <v>5016</v>
      </c>
      <c r="AX88" s="827" t="s">
        <v>4614</v>
      </c>
      <c r="AY88" s="828" t="str">
        <f>+BZ7</f>
        <v>Eastern Africa</v>
      </c>
      <c r="AZ88" s="827">
        <v>739</v>
      </c>
      <c r="BA88" s="665" t="s">
        <v>4573</v>
      </c>
      <c r="BB88" s="829">
        <v>12.886597938144329</v>
      </c>
      <c r="BC88" s="665" t="s">
        <v>4598</v>
      </c>
      <c r="BD88" s="830"/>
      <c r="BE88" s="830"/>
      <c r="BF88" s="665"/>
      <c r="BG88" s="830"/>
      <c r="BH88" s="831">
        <f t="shared" si="28"/>
        <v>7.7</v>
      </c>
      <c r="BI88" s="831">
        <f t="shared" si="29"/>
        <v>1.7</v>
      </c>
      <c r="BJ88" s="831">
        <f t="shared" si="30"/>
        <v>53.9</v>
      </c>
      <c r="BK88" s="831">
        <f t="shared" si="31"/>
        <v>7</v>
      </c>
      <c r="BL88" s="831">
        <f t="shared" si="32"/>
        <v>9.5</v>
      </c>
      <c r="BM88" s="831">
        <f t="shared" si="33"/>
        <v>5.6</v>
      </c>
      <c r="BN88" s="831">
        <f t="shared" si="34"/>
        <v>5.5</v>
      </c>
      <c r="BO88" s="831">
        <f t="shared" si="35"/>
        <v>9.1000000000000085</v>
      </c>
      <c r="BP88" s="831">
        <f t="shared" si="27"/>
        <v>100</v>
      </c>
      <c r="BQ88" s="665" t="s">
        <v>4575</v>
      </c>
      <c r="BR88" s="832"/>
      <c r="BS88" s="832"/>
      <c r="BT88" s="832"/>
      <c r="BU88" s="832"/>
      <c r="BV88" s="832"/>
      <c r="BW88" s="832"/>
      <c r="BX88" s="665"/>
      <c r="DH88" s="834" t="str">
        <f t="shared" si="36"/>
        <v>Eritrea</v>
      </c>
      <c r="DI88" s="834" t="str">
        <f t="shared" si="36"/>
        <v>Africa</v>
      </c>
      <c r="DJ88" s="834" t="str">
        <f t="shared" si="36"/>
        <v>Eastern Africa</v>
      </c>
      <c r="DL88" s="834" t="s">
        <v>4584</v>
      </c>
      <c r="DN88" s="834" t="s">
        <v>5017</v>
      </c>
      <c r="DO88" s="834" t="s">
        <v>5018</v>
      </c>
    </row>
    <row r="89" spans="3:119">
      <c r="C89" s="641" t="s">
        <v>5019</v>
      </c>
      <c r="D89" s="841" t="s">
        <v>4837</v>
      </c>
      <c r="E89" s="816">
        <v>2591.9899999999998</v>
      </c>
      <c r="F89" s="817" t="s">
        <v>4652</v>
      </c>
      <c r="G89" s="818" t="s">
        <v>4838</v>
      </c>
      <c r="H89" s="817"/>
      <c r="I89" s="818"/>
      <c r="J89" s="817"/>
      <c r="AW89" s="827" t="s">
        <v>5020</v>
      </c>
      <c r="AX89" s="827" t="s">
        <v>4597</v>
      </c>
      <c r="AY89" s="828" t="str">
        <f>+BZ13</f>
        <v>Northern Europe</v>
      </c>
      <c r="AZ89" s="827">
        <v>818.9</v>
      </c>
      <c r="BA89" s="665" t="s">
        <v>4747</v>
      </c>
      <c r="BB89" s="829">
        <v>6.7652257753495091</v>
      </c>
      <c r="BC89" s="665" t="s">
        <v>4598</v>
      </c>
      <c r="BD89" s="830"/>
      <c r="BE89" s="830"/>
      <c r="BF89" s="665"/>
      <c r="BG89" s="830"/>
      <c r="BH89" s="831">
        <f t="shared" si="28"/>
        <v>30.6</v>
      </c>
      <c r="BI89" s="831">
        <f t="shared" si="29"/>
        <v>2</v>
      </c>
      <c r="BJ89" s="831">
        <f t="shared" si="30"/>
        <v>23.8</v>
      </c>
      <c r="BK89" s="831">
        <f t="shared" si="31"/>
        <v>10</v>
      </c>
      <c r="BL89" s="831">
        <f t="shared" si="32"/>
        <v>9.5</v>
      </c>
      <c r="BM89" s="831">
        <f t="shared" si="33"/>
        <v>5.6</v>
      </c>
      <c r="BN89" s="831">
        <f t="shared" si="34"/>
        <v>13</v>
      </c>
      <c r="BO89" s="831">
        <f t="shared" si="35"/>
        <v>5.5</v>
      </c>
      <c r="BP89" s="831">
        <f t="shared" si="27"/>
        <v>100</v>
      </c>
      <c r="BQ89" s="665" t="s">
        <v>4575</v>
      </c>
      <c r="BR89" s="832"/>
      <c r="BS89" s="832"/>
      <c r="BT89" s="832"/>
      <c r="BU89" s="832"/>
      <c r="BV89" s="832"/>
      <c r="BW89" s="832"/>
      <c r="BX89" s="665"/>
      <c r="DH89" s="834" t="str">
        <f t="shared" si="36"/>
        <v>Estonia</v>
      </c>
      <c r="DI89" s="834" t="str">
        <f t="shared" si="36"/>
        <v>Europe</v>
      </c>
      <c r="DJ89" s="834" t="str">
        <f t="shared" si="36"/>
        <v>Northern Europe</v>
      </c>
      <c r="DK89" s="834" t="e">
        <f>VLOOKUP(DH89,#REF!,1)</f>
        <v>#REF!</v>
      </c>
      <c r="DL89" s="834" t="e">
        <f>VLOOKUP(DK89,#REF!,2,FALSE)</f>
        <v>#REF!</v>
      </c>
      <c r="DN89" s="834" t="s">
        <v>5021</v>
      </c>
      <c r="DO89" s="834" t="s">
        <v>5022</v>
      </c>
    </row>
    <row r="90" spans="3:119" ht="25.5">
      <c r="C90" s="641" t="s">
        <v>5023</v>
      </c>
      <c r="D90" s="841" t="s">
        <v>4837</v>
      </c>
      <c r="E90" s="816">
        <v>2280.25</v>
      </c>
      <c r="F90" s="817" t="s">
        <v>4652</v>
      </c>
      <c r="G90" s="818" t="s">
        <v>4838</v>
      </c>
      <c r="H90" s="817"/>
      <c r="I90" s="818"/>
      <c r="J90" s="817"/>
      <c r="AW90" s="827" t="s">
        <v>5024</v>
      </c>
      <c r="AX90" s="827" t="s">
        <v>4614</v>
      </c>
      <c r="AY90" s="828" t="str">
        <f>+BZ10</f>
        <v>Southern Africa</v>
      </c>
      <c r="AZ90" s="827">
        <v>43</v>
      </c>
      <c r="BA90" s="665" t="s">
        <v>4573</v>
      </c>
      <c r="BB90" s="829">
        <v>11.740747004194485</v>
      </c>
      <c r="BC90" s="665" t="s">
        <v>4826</v>
      </c>
      <c r="BD90" s="830"/>
      <c r="BE90" s="830"/>
      <c r="BF90" s="665"/>
      <c r="BG90" s="830"/>
      <c r="BH90" s="831">
        <f t="shared" si="28"/>
        <v>25</v>
      </c>
      <c r="BI90" s="831">
        <f t="shared" si="29"/>
        <v>7.3</v>
      </c>
      <c r="BJ90" s="831">
        <f t="shared" si="30"/>
        <v>23</v>
      </c>
      <c r="BK90" s="831">
        <f t="shared" si="31"/>
        <v>15</v>
      </c>
      <c r="BL90" s="831">
        <f t="shared" si="32"/>
        <v>9.5</v>
      </c>
      <c r="BM90" s="831">
        <f t="shared" si="33"/>
        <v>5.6</v>
      </c>
      <c r="BN90" s="831">
        <f t="shared" si="34"/>
        <v>7.3</v>
      </c>
      <c r="BO90" s="831">
        <f t="shared" si="35"/>
        <v>7.3</v>
      </c>
      <c r="BP90" s="831">
        <f t="shared" si="27"/>
        <v>99.999999999999986</v>
      </c>
      <c r="BQ90" s="665" t="s">
        <v>4575</v>
      </c>
      <c r="BR90" s="832"/>
      <c r="BS90" s="832"/>
      <c r="BT90" s="832"/>
      <c r="BU90" s="832"/>
      <c r="BV90" s="832"/>
      <c r="BW90" s="832"/>
      <c r="BX90" s="665"/>
      <c r="DH90" s="834" t="str">
        <f t="shared" si="36"/>
        <v>Eswatini</v>
      </c>
      <c r="DI90" s="834" t="str">
        <f t="shared" si="36"/>
        <v>Africa</v>
      </c>
      <c r="DJ90" s="834" t="str">
        <f t="shared" si="36"/>
        <v>Southern Africa</v>
      </c>
      <c r="DL90" s="834" t="s">
        <v>4584</v>
      </c>
      <c r="DN90" s="834" t="s">
        <v>5025</v>
      </c>
      <c r="DO90" s="834" t="s">
        <v>5026</v>
      </c>
    </row>
    <row r="91" spans="3:119">
      <c r="C91" s="641" t="s">
        <v>5027</v>
      </c>
      <c r="D91" s="841" t="s">
        <v>4837</v>
      </c>
      <c r="E91" s="816">
        <v>2439.6</v>
      </c>
      <c r="F91" s="817" t="s">
        <v>4652</v>
      </c>
      <c r="G91" s="818" t="s">
        <v>4838</v>
      </c>
      <c r="H91" s="817"/>
      <c r="I91" s="818"/>
      <c r="J91" s="817"/>
      <c r="AW91" s="827" t="s">
        <v>5028</v>
      </c>
      <c r="AX91" s="827" t="s">
        <v>4614</v>
      </c>
      <c r="AY91" s="828" t="str">
        <f>+BZ7</f>
        <v>Eastern Africa</v>
      </c>
      <c r="AZ91" s="827">
        <v>44</v>
      </c>
      <c r="BA91" s="665" t="s">
        <v>4573</v>
      </c>
      <c r="BB91" s="829">
        <v>18.654755648975303</v>
      </c>
      <c r="BC91" s="665" t="s">
        <v>4598</v>
      </c>
      <c r="BD91" s="830"/>
      <c r="BE91" s="830"/>
      <c r="BF91" s="665"/>
      <c r="BG91" s="830"/>
      <c r="BH91" s="831">
        <f t="shared" si="28"/>
        <v>7.7</v>
      </c>
      <c r="BI91" s="831">
        <f t="shared" si="29"/>
        <v>1.7</v>
      </c>
      <c r="BJ91" s="831">
        <f t="shared" si="30"/>
        <v>53.9</v>
      </c>
      <c r="BK91" s="831">
        <f t="shared" si="31"/>
        <v>7</v>
      </c>
      <c r="BL91" s="831">
        <f t="shared" si="32"/>
        <v>9.5</v>
      </c>
      <c r="BM91" s="831">
        <f t="shared" si="33"/>
        <v>5.6</v>
      </c>
      <c r="BN91" s="831">
        <f t="shared" si="34"/>
        <v>5.5</v>
      </c>
      <c r="BO91" s="831">
        <f t="shared" si="35"/>
        <v>9.1000000000000085</v>
      </c>
      <c r="BP91" s="831">
        <f t="shared" si="27"/>
        <v>100</v>
      </c>
      <c r="BQ91" s="665" t="s">
        <v>4575</v>
      </c>
      <c r="BR91" s="832"/>
      <c r="BS91" s="832"/>
      <c r="BT91" s="832"/>
      <c r="BU91" s="832"/>
      <c r="BV91" s="832"/>
      <c r="BW91" s="832"/>
      <c r="BX91" s="665"/>
      <c r="DH91" s="834" t="str">
        <f t="shared" si="36"/>
        <v>Ethiopia</v>
      </c>
      <c r="DI91" s="834" t="str">
        <f t="shared" si="36"/>
        <v>Africa</v>
      </c>
      <c r="DJ91" s="834" t="str">
        <f t="shared" si="36"/>
        <v>Eastern Africa</v>
      </c>
      <c r="DL91" s="834" t="s">
        <v>4584</v>
      </c>
      <c r="DN91" s="834" t="s">
        <v>5029</v>
      </c>
      <c r="DO91" s="834" t="s">
        <v>5030</v>
      </c>
    </row>
    <row r="92" spans="3:119" ht="25.5">
      <c r="C92" s="641" t="s">
        <v>5031</v>
      </c>
      <c r="D92" s="841" t="s">
        <v>4837</v>
      </c>
      <c r="E92" s="816">
        <v>1505.125</v>
      </c>
      <c r="F92" s="817" t="s">
        <v>4652</v>
      </c>
      <c r="G92" s="818" t="s">
        <v>4838</v>
      </c>
      <c r="H92" s="817"/>
      <c r="I92" s="818"/>
      <c r="J92" s="817"/>
      <c r="AW92" s="827" t="s">
        <v>5032</v>
      </c>
      <c r="AX92" s="827" t="s">
        <v>4597</v>
      </c>
      <c r="AY92" s="828" t="str">
        <f>+BZ13</f>
        <v>Northern Europe</v>
      </c>
      <c r="AZ92" s="827">
        <v>362</v>
      </c>
      <c r="BA92" s="665" t="s">
        <v>4573</v>
      </c>
      <c r="BB92" s="829">
        <v>6.2171813834411278</v>
      </c>
      <c r="BC92" s="665" t="s">
        <v>4636</v>
      </c>
      <c r="BD92" s="830"/>
      <c r="BE92" s="830"/>
      <c r="BF92" s="665"/>
      <c r="BG92" s="830"/>
      <c r="BH92" s="831">
        <f t="shared" si="28"/>
        <v>30.6</v>
      </c>
      <c r="BI92" s="831">
        <f t="shared" si="29"/>
        <v>2</v>
      </c>
      <c r="BJ92" s="831">
        <f t="shared" si="30"/>
        <v>23.8</v>
      </c>
      <c r="BK92" s="831">
        <f t="shared" si="31"/>
        <v>10</v>
      </c>
      <c r="BL92" s="831">
        <f t="shared" si="32"/>
        <v>9.5</v>
      </c>
      <c r="BM92" s="831">
        <f t="shared" si="33"/>
        <v>5.6</v>
      </c>
      <c r="BN92" s="831">
        <f t="shared" si="34"/>
        <v>13</v>
      </c>
      <c r="BO92" s="831">
        <f t="shared" si="35"/>
        <v>5.5</v>
      </c>
      <c r="BP92" s="831">
        <f t="shared" si="27"/>
        <v>100</v>
      </c>
      <c r="BQ92" s="665" t="s">
        <v>4575</v>
      </c>
      <c r="BR92" s="832"/>
      <c r="BS92" s="832"/>
      <c r="BT92" s="832"/>
      <c r="BU92" s="832"/>
      <c r="BV92" s="832"/>
      <c r="BW92" s="832"/>
      <c r="BX92" s="665"/>
      <c r="DH92" s="834" t="str">
        <f t="shared" si="36"/>
        <v>Faroe Islands (Denmark)</v>
      </c>
      <c r="DI92" s="834" t="str">
        <f t="shared" si="36"/>
        <v>Europe</v>
      </c>
      <c r="DJ92" s="834" t="str">
        <f t="shared" si="36"/>
        <v>Northern Europe</v>
      </c>
      <c r="DL92" s="834" t="s">
        <v>4584</v>
      </c>
      <c r="DN92" s="834" t="s">
        <v>5033</v>
      </c>
      <c r="DO92" s="834" t="s">
        <v>5034</v>
      </c>
    </row>
    <row r="93" spans="3:119" ht="25.5">
      <c r="C93" s="641" t="s">
        <v>5035</v>
      </c>
      <c r="D93" s="841" t="s">
        <v>4837</v>
      </c>
      <c r="E93" s="816">
        <v>1508.4</v>
      </c>
      <c r="F93" s="817" t="s">
        <v>4652</v>
      </c>
      <c r="G93" s="818" t="s">
        <v>4838</v>
      </c>
      <c r="H93" s="817"/>
      <c r="I93" s="818"/>
      <c r="J93" s="817"/>
      <c r="AW93" s="827" t="s">
        <v>5036</v>
      </c>
      <c r="AX93" s="842" t="s">
        <v>4626</v>
      </c>
      <c r="AY93" s="828" t="str">
        <f>+BZ17</f>
        <v>Rest of Oceania</v>
      </c>
      <c r="AZ93" s="827">
        <v>428</v>
      </c>
      <c r="BA93" s="665" t="s">
        <v>4573</v>
      </c>
      <c r="BB93" s="829">
        <v>5.4123414965002699</v>
      </c>
      <c r="BC93" s="665" t="s">
        <v>4627</v>
      </c>
      <c r="BD93" s="830"/>
      <c r="BE93" s="830"/>
      <c r="BF93" s="665"/>
      <c r="BG93" s="830"/>
      <c r="BH93" s="831">
        <f t="shared" si="28"/>
        <v>6</v>
      </c>
      <c r="BI93" s="831">
        <f t="shared" si="29"/>
        <v>2.97</v>
      </c>
      <c r="BJ93" s="831">
        <f t="shared" si="30"/>
        <v>67.5</v>
      </c>
      <c r="BK93" s="831">
        <f t="shared" si="31"/>
        <v>2.5</v>
      </c>
      <c r="BL93" s="831">
        <f t="shared" si="32"/>
        <v>9.5</v>
      </c>
      <c r="BM93" s="831">
        <f t="shared" si="33"/>
        <v>5.6</v>
      </c>
      <c r="BN93" s="831">
        <f t="shared" si="34"/>
        <v>2.97</v>
      </c>
      <c r="BO93" s="831">
        <f t="shared" si="35"/>
        <v>2.9666666666666668</v>
      </c>
      <c r="BP93" s="831">
        <f t="shared" si="27"/>
        <v>100.00666666666666</v>
      </c>
      <c r="BQ93" s="665" t="s">
        <v>4575</v>
      </c>
      <c r="BR93" s="832"/>
      <c r="BS93" s="832"/>
      <c r="BT93" s="832"/>
      <c r="BU93" s="832"/>
      <c r="BV93" s="832"/>
      <c r="BW93" s="832"/>
      <c r="BX93" s="665"/>
      <c r="DH93" s="834" t="str">
        <f t="shared" si="36"/>
        <v>Fiji</v>
      </c>
      <c r="DI93" s="834" t="str">
        <f t="shared" si="36"/>
        <v>Oceania</v>
      </c>
      <c r="DJ93" s="834" t="str">
        <f t="shared" si="36"/>
        <v>Rest of Oceania</v>
      </c>
      <c r="DL93" s="834" t="s">
        <v>4584</v>
      </c>
      <c r="DN93" s="834" t="s">
        <v>5037</v>
      </c>
      <c r="DO93" s="834" t="s">
        <v>5038</v>
      </c>
    </row>
    <row r="94" spans="3:119">
      <c r="C94" s="641" t="s">
        <v>5039</v>
      </c>
      <c r="D94" s="841" t="s">
        <v>4837</v>
      </c>
      <c r="E94" s="816">
        <v>2138.25</v>
      </c>
      <c r="F94" s="817" t="s">
        <v>4652</v>
      </c>
      <c r="G94" s="818" t="s">
        <v>4838</v>
      </c>
      <c r="H94" s="817"/>
      <c r="I94" s="818"/>
      <c r="J94" s="817"/>
      <c r="AW94" s="827" t="s">
        <v>5040</v>
      </c>
      <c r="AX94" s="827" t="s">
        <v>4597</v>
      </c>
      <c r="AY94" s="828" t="str">
        <f>+BZ13</f>
        <v>Northern Europe</v>
      </c>
      <c r="AZ94" s="827">
        <v>112.8</v>
      </c>
      <c r="BA94" s="665" t="s">
        <v>4747</v>
      </c>
      <c r="BB94" s="829">
        <v>4.0708432461009778</v>
      </c>
      <c r="BC94" s="665" t="s">
        <v>4598</v>
      </c>
      <c r="BD94" s="830"/>
      <c r="BE94" s="830"/>
      <c r="BF94" s="665"/>
      <c r="BG94" s="830"/>
      <c r="BH94" s="831">
        <f t="shared" si="28"/>
        <v>30.6</v>
      </c>
      <c r="BI94" s="831">
        <f t="shared" si="29"/>
        <v>2</v>
      </c>
      <c r="BJ94" s="831">
        <f t="shared" si="30"/>
        <v>23.8</v>
      </c>
      <c r="BK94" s="831">
        <f t="shared" si="31"/>
        <v>10</v>
      </c>
      <c r="BL94" s="831">
        <f t="shared" si="32"/>
        <v>9.5</v>
      </c>
      <c r="BM94" s="831">
        <f t="shared" si="33"/>
        <v>5.6</v>
      </c>
      <c r="BN94" s="831">
        <f t="shared" si="34"/>
        <v>13</v>
      </c>
      <c r="BO94" s="831">
        <f t="shared" si="35"/>
        <v>5.5</v>
      </c>
      <c r="BP94" s="831">
        <f t="shared" si="27"/>
        <v>100</v>
      </c>
      <c r="BQ94" s="665" t="s">
        <v>4575</v>
      </c>
      <c r="BR94" s="832"/>
      <c r="BS94" s="832"/>
      <c r="BT94" s="832"/>
      <c r="BU94" s="832"/>
      <c r="BV94" s="832"/>
      <c r="BW94" s="832"/>
      <c r="BX94" s="665"/>
      <c r="DH94" s="834" t="str">
        <f t="shared" si="36"/>
        <v>Finland</v>
      </c>
      <c r="DI94" s="834" t="str">
        <f t="shared" si="36"/>
        <v>Europe</v>
      </c>
      <c r="DJ94" s="834" t="str">
        <f t="shared" si="36"/>
        <v>Northern Europe</v>
      </c>
      <c r="DK94" s="834" t="e">
        <f>VLOOKUP(DH94,#REF!,1)</f>
        <v>#REF!</v>
      </c>
      <c r="DL94" s="834" t="e">
        <f>VLOOKUP(DK94,#REF!,2,FALSE)</f>
        <v>#REF!</v>
      </c>
      <c r="DN94" s="834" t="s">
        <v>5041</v>
      </c>
      <c r="DO94" s="834" t="s">
        <v>5042</v>
      </c>
    </row>
    <row r="95" spans="3:119">
      <c r="C95" s="641" t="s">
        <v>5043</v>
      </c>
      <c r="D95" s="841" t="s">
        <v>4837</v>
      </c>
      <c r="E95" s="816">
        <v>3606.5</v>
      </c>
      <c r="F95" s="817" t="s">
        <v>4652</v>
      </c>
      <c r="G95" s="818" t="s">
        <v>4838</v>
      </c>
      <c r="H95" s="817"/>
      <c r="I95" s="818"/>
      <c r="J95" s="817"/>
      <c r="AW95" s="827" t="s">
        <v>5044</v>
      </c>
      <c r="AX95" s="827" t="s">
        <v>4597</v>
      </c>
      <c r="AY95" s="828" t="str">
        <f>+BZ15</f>
        <v>Western Europe</v>
      </c>
      <c r="AZ95" s="827">
        <v>58.5</v>
      </c>
      <c r="BA95" s="665" t="s">
        <v>4747</v>
      </c>
      <c r="BB95" s="829">
        <v>6.3423893657789874</v>
      </c>
      <c r="BC95" s="665" t="s">
        <v>4598</v>
      </c>
      <c r="BD95" s="842">
        <v>7.4999999999999997E-2</v>
      </c>
      <c r="BE95" s="842">
        <v>7.4999999999999997E-2</v>
      </c>
      <c r="BF95" s="665" t="s">
        <v>4748</v>
      </c>
      <c r="BG95" s="830"/>
      <c r="BH95" s="831">
        <f t="shared" si="28"/>
        <v>27.5</v>
      </c>
      <c r="BI95" s="831">
        <f t="shared" si="29"/>
        <v>7.4</v>
      </c>
      <c r="BJ95" s="831">
        <f t="shared" si="30"/>
        <v>24.2</v>
      </c>
      <c r="BK95" s="831">
        <f t="shared" si="31"/>
        <v>11</v>
      </c>
      <c r="BL95" s="831">
        <f t="shared" si="32"/>
        <v>9.5</v>
      </c>
      <c r="BM95" s="831">
        <f t="shared" si="33"/>
        <v>5.6</v>
      </c>
      <c r="BN95" s="831">
        <f t="shared" si="34"/>
        <v>7.4</v>
      </c>
      <c r="BO95" s="831">
        <f t="shared" si="35"/>
        <v>7.3999999999999986</v>
      </c>
      <c r="BP95" s="831">
        <f t="shared" si="27"/>
        <v>100</v>
      </c>
      <c r="BQ95" s="665" t="s">
        <v>4575</v>
      </c>
      <c r="BR95" s="832"/>
      <c r="BS95" s="832"/>
      <c r="BT95" s="832"/>
      <c r="BU95" s="832"/>
      <c r="BV95" s="832"/>
      <c r="BW95" s="832"/>
      <c r="BX95" s="665"/>
      <c r="DH95" s="834" t="str">
        <f t="shared" si="36"/>
        <v>France</v>
      </c>
      <c r="DI95" s="834" t="str">
        <f t="shared" si="36"/>
        <v>Europe</v>
      </c>
      <c r="DJ95" s="834" t="str">
        <f t="shared" si="36"/>
        <v>Western Europe</v>
      </c>
      <c r="DK95" s="834" t="e">
        <f>VLOOKUP(DH95,#REF!,1)</f>
        <v>#REF!</v>
      </c>
      <c r="DL95" s="834" t="e">
        <f>VLOOKUP(DK95,#REF!,2,FALSE)</f>
        <v>#REF!</v>
      </c>
      <c r="DN95" s="834" t="s">
        <v>5045</v>
      </c>
      <c r="DO95" s="834" t="s">
        <v>5046</v>
      </c>
    </row>
    <row r="96" spans="3:119" ht="25.5">
      <c r="C96" s="641" t="s">
        <v>5047</v>
      </c>
      <c r="D96" s="841" t="s">
        <v>4837</v>
      </c>
      <c r="E96" s="816">
        <v>12.4</v>
      </c>
      <c r="F96" s="817" t="s">
        <v>4652</v>
      </c>
      <c r="G96" s="818" t="s">
        <v>4838</v>
      </c>
      <c r="H96" s="817"/>
      <c r="I96" s="818"/>
      <c r="J96" s="817"/>
      <c r="AW96" s="827" t="s">
        <v>5048</v>
      </c>
      <c r="AX96" s="842" t="s">
        <v>4657</v>
      </c>
      <c r="AY96" s="828" t="str">
        <f>+BZ20</f>
        <v>South America</v>
      </c>
      <c r="AZ96" s="827">
        <v>335</v>
      </c>
      <c r="BA96" s="665" t="s">
        <v>4573</v>
      </c>
      <c r="BB96" s="829">
        <v>15.618667277425265</v>
      </c>
      <c r="BC96" s="665" t="s">
        <v>4780</v>
      </c>
      <c r="BD96" s="830"/>
      <c r="BE96" s="830"/>
      <c r="BF96" s="665"/>
      <c r="BG96" s="830"/>
      <c r="BH96" s="831">
        <f t="shared" si="28"/>
        <v>17.100000000000001</v>
      </c>
      <c r="BI96" s="831">
        <f t="shared" si="29"/>
        <v>2.6</v>
      </c>
      <c r="BJ96" s="831">
        <f t="shared" si="30"/>
        <v>44.9</v>
      </c>
      <c r="BK96" s="831">
        <f t="shared" si="31"/>
        <v>4.7</v>
      </c>
      <c r="BL96" s="831">
        <f t="shared" si="32"/>
        <v>9.5</v>
      </c>
      <c r="BM96" s="831">
        <f t="shared" si="33"/>
        <v>5.6</v>
      </c>
      <c r="BN96" s="831">
        <f t="shared" si="34"/>
        <v>10.8</v>
      </c>
      <c r="BO96" s="831">
        <f t="shared" si="35"/>
        <v>4.8000000000000114</v>
      </c>
      <c r="BP96" s="831">
        <f t="shared" si="27"/>
        <v>100</v>
      </c>
      <c r="BQ96" s="665" t="s">
        <v>4575</v>
      </c>
      <c r="BR96" s="832"/>
      <c r="BS96" s="832"/>
      <c r="BT96" s="832"/>
      <c r="BU96" s="832"/>
      <c r="BV96" s="832"/>
      <c r="BW96" s="832"/>
      <c r="BX96" s="665"/>
      <c r="DH96" s="834" t="str">
        <f t="shared" si="36"/>
        <v>French Guiana</v>
      </c>
      <c r="DI96" s="834" t="str">
        <f t="shared" si="36"/>
        <v>Americas</v>
      </c>
      <c r="DJ96" s="834" t="str">
        <f t="shared" si="36"/>
        <v>South America</v>
      </c>
      <c r="DL96" s="834" t="s">
        <v>4584</v>
      </c>
      <c r="DN96" s="834" t="s">
        <v>5049</v>
      </c>
      <c r="DO96" s="834" t="s">
        <v>5050</v>
      </c>
    </row>
    <row r="97" spans="3:119" ht="25.5">
      <c r="C97" s="641" t="s">
        <v>5051</v>
      </c>
      <c r="D97" s="841" t="s">
        <v>4837</v>
      </c>
      <c r="E97" s="816">
        <v>94.24</v>
      </c>
      <c r="F97" s="817" t="s">
        <v>4652</v>
      </c>
      <c r="G97" s="818" t="s">
        <v>4838</v>
      </c>
      <c r="H97" s="817"/>
      <c r="I97" s="818"/>
      <c r="J97" s="817"/>
      <c r="AW97" s="827" t="s">
        <v>5052</v>
      </c>
      <c r="AX97" s="842" t="s">
        <v>4626</v>
      </c>
      <c r="AY97" s="828" t="str">
        <f>+BZ17</f>
        <v>Rest of Oceania</v>
      </c>
      <c r="AZ97" s="827">
        <v>443</v>
      </c>
      <c r="BA97" s="665" t="s">
        <v>4573</v>
      </c>
      <c r="BB97" s="829">
        <v>5.4123414965002699</v>
      </c>
      <c r="BC97" s="665" t="s">
        <v>4627</v>
      </c>
      <c r="BD97" s="830"/>
      <c r="BE97" s="830"/>
      <c r="BF97" s="665"/>
      <c r="BG97" s="830"/>
      <c r="BH97" s="831">
        <f t="shared" si="28"/>
        <v>6</v>
      </c>
      <c r="BI97" s="831">
        <f t="shared" si="29"/>
        <v>2.97</v>
      </c>
      <c r="BJ97" s="831">
        <f t="shared" si="30"/>
        <v>67.5</v>
      </c>
      <c r="BK97" s="831">
        <f t="shared" si="31"/>
        <v>2.5</v>
      </c>
      <c r="BL97" s="831">
        <f t="shared" si="32"/>
        <v>9.5</v>
      </c>
      <c r="BM97" s="831">
        <f t="shared" si="33"/>
        <v>5.6</v>
      </c>
      <c r="BN97" s="831">
        <f t="shared" si="34"/>
        <v>2.97</v>
      </c>
      <c r="BO97" s="831">
        <f t="shared" si="35"/>
        <v>2.9666666666666668</v>
      </c>
      <c r="BP97" s="831">
        <f t="shared" si="27"/>
        <v>100.00666666666666</v>
      </c>
      <c r="BQ97" s="665" t="s">
        <v>4575</v>
      </c>
      <c r="BR97" s="832"/>
      <c r="BS97" s="832"/>
      <c r="BT97" s="832"/>
      <c r="BU97" s="832"/>
      <c r="BV97" s="832"/>
      <c r="BW97" s="832"/>
      <c r="BX97" s="665"/>
      <c r="DH97" s="834" t="str">
        <f t="shared" si="36"/>
        <v>French Polynesia</v>
      </c>
      <c r="DI97" s="834" t="str">
        <f t="shared" si="36"/>
        <v>Oceania</v>
      </c>
      <c r="DJ97" s="834" t="str">
        <f t="shared" si="36"/>
        <v>Rest of Oceania</v>
      </c>
      <c r="DL97" s="834" t="s">
        <v>4584</v>
      </c>
      <c r="DN97" s="834" t="s">
        <v>5053</v>
      </c>
      <c r="DO97" s="834" t="s">
        <v>5054</v>
      </c>
    </row>
    <row r="98" spans="3:119">
      <c r="C98" s="641" t="s">
        <v>5055</v>
      </c>
      <c r="D98" s="841" t="s">
        <v>4837</v>
      </c>
      <c r="E98" s="816">
        <v>35.96</v>
      </c>
      <c r="F98" s="817" t="s">
        <v>4652</v>
      </c>
      <c r="G98" s="818" t="s">
        <v>4838</v>
      </c>
      <c r="H98" s="817"/>
      <c r="I98" s="818"/>
      <c r="J98" s="817"/>
      <c r="AW98" s="827" t="s">
        <v>5056</v>
      </c>
      <c r="AX98" s="827" t="s">
        <v>4614</v>
      </c>
      <c r="AY98" s="828" t="str">
        <f>+BZ8</f>
        <v>Middle Africa</v>
      </c>
      <c r="AZ98" s="827">
        <v>439</v>
      </c>
      <c r="BA98" s="665" t="s">
        <v>4573</v>
      </c>
      <c r="BB98" s="829">
        <v>27.777777777777779</v>
      </c>
      <c r="BC98" s="665" t="s">
        <v>4598</v>
      </c>
      <c r="BD98" s="830"/>
      <c r="BE98" s="830"/>
      <c r="BF98" s="665"/>
      <c r="BG98" s="830"/>
      <c r="BH98" s="831">
        <f t="shared" si="28"/>
        <v>16.8</v>
      </c>
      <c r="BI98" s="831">
        <f t="shared" si="29"/>
        <v>2.5</v>
      </c>
      <c r="BJ98" s="831">
        <f t="shared" si="30"/>
        <v>43.4</v>
      </c>
      <c r="BK98" s="831">
        <f t="shared" si="31"/>
        <v>6.5</v>
      </c>
      <c r="BL98" s="831">
        <f t="shared" si="32"/>
        <v>9.5</v>
      </c>
      <c r="BM98" s="831">
        <f t="shared" si="33"/>
        <v>5.6</v>
      </c>
      <c r="BN98" s="831">
        <f t="shared" si="34"/>
        <v>4.5</v>
      </c>
      <c r="BO98" s="831">
        <f t="shared" si="35"/>
        <v>11.200000000000003</v>
      </c>
      <c r="BP98" s="831">
        <f t="shared" si="27"/>
        <v>100</v>
      </c>
      <c r="BQ98" s="665" t="s">
        <v>4575</v>
      </c>
      <c r="BR98" s="832"/>
      <c r="BS98" s="832"/>
      <c r="BT98" s="832"/>
      <c r="BU98" s="832"/>
      <c r="BV98" s="832"/>
      <c r="BW98" s="832"/>
      <c r="BX98" s="665"/>
      <c r="DH98" s="834" t="str">
        <f t="shared" si="36"/>
        <v>Gabon</v>
      </c>
      <c r="DI98" s="834" t="str">
        <f t="shared" si="36"/>
        <v>Africa</v>
      </c>
      <c r="DJ98" s="834" t="str">
        <f t="shared" si="36"/>
        <v>Middle Africa</v>
      </c>
      <c r="DL98" s="834" t="s">
        <v>4584</v>
      </c>
      <c r="DN98" s="834" t="s">
        <v>5057</v>
      </c>
      <c r="DO98" s="834" t="s">
        <v>5058</v>
      </c>
    </row>
    <row r="99" spans="3:119" ht="25.5">
      <c r="C99" s="641" t="s">
        <v>5059</v>
      </c>
      <c r="D99" s="841" t="s">
        <v>4837</v>
      </c>
      <c r="E99" s="816">
        <v>0</v>
      </c>
      <c r="F99" s="817" t="s">
        <v>4652</v>
      </c>
      <c r="G99" s="818" t="s">
        <v>4838</v>
      </c>
      <c r="H99" s="817"/>
      <c r="I99" s="818"/>
      <c r="J99" s="817"/>
      <c r="AW99" s="827" t="s">
        <v>5060</v>
      </c>
      <c r="AX99" s="827" t="s">
        <v>4614</v>
      </c>
      <c r="AY99" s="828" t="str">
        <f>+BZ11</f>
        <v>Western Africa</v>
      </c>
      <c r="AZ99" s="827">
        <v>643</v>
      </c>
      <c r="BA99" s="665" t="s">
        <v>4573</v>
      </c>
      <c r="BB99" s="829">
        <v>13.490630673342661</v>
      </c>
      <c r="BC99" s="665" t="s">
        <v>4784</v>
      </c>
      <c r="BD99" s="830"/>
      <c r="BE99" s="830"/>
      <c r="BF99" s="665"/>
      <c r="BG99" s="830"/>
      <c r="BH99" s="831">
        <f t="shared" si="28"/>
        <v>9.8000000000000007</v>
      </c>
      <c r="BI99" s="831">
        <f t="shared" si="29"/>
        <v>1</v>
      </c>
      <c r="BJ99" s="831">
        <f t="shared" si="30"/>
        <v>40.4</v>
      </c>
      <c r="BK99" s="831">
        <f t="shared" si="31"/>
        <v>4.4000000000000004</v>
      </c>
      <c r="BL99" s="831">
        <f t="shared" si="32"/>
        <v>9.5</v>
      </c>
      <c r="BM99" s="831">
        <f t="shared" si="33"/>
        <v>5.6</v>
      </c>
      <c r="BN99" s="831">
        <f t="shared" si="34"/>
        <v>3</v>
      </c>
      <c r="BO99" s="831">
        <f t="shared" si="35"/>
        <v>26.300000000000011</v>
      </c>
      <c r="BP99" s="831">
        <f t="shared" si="27"/>
        <v>100</v>
      </c>
      <c r="BQ99" s="665" t="s">
        <v>4575</v>
      </c>
      <c r="BR99" s="832"/>
      <c r="BS99" s="832"/>
      <c r="BT99" s="832"/>
      <c r="BU99" s="832"/>
      <c r="BV99" s="832"/>
      <c r="BW99" s="832"/>
      <c r="BX99" s="665"/>
      <c r="DH99" s="834" t="str">
        <f t="shared" ref="DH99:DJ114" si="37">AW99</f>
        <v>Gambia</v>
      </c>
      <c r="DI99" s="834" t="str">
        <f t="shared" si="37"/>
        <v>Africa</v>
      </c>
      <c r="DJ99" s="834" t="str">
        <f t="shared" si="37"/>
        <v>Western Africa</v>
      </c>
      <c r="DL99" s="834" t="s">
        <v>4584</v>
      </c>
      <c r="DN99" s="834" t="s">
        <v>5061</v>
      </c>
      <c r="DO99" s="834" t="s">
        <v>5062</v>
      </c>
    </row>
    <row r="100" spans="3:119">
      <c r="C100" s="641" t="s">
        <v>5063</v>
      </c>
      <c r="D100" s="841" t="s">
        <v>4837</v>
      </c>
      <c r="E100" s="816">
        <v>0</v>
      </c>
      <c r="F100" s="817" t="s">
        <v>4652</v>
      </c>
      <c r="G100" s="818" t="s">
        <v>4838</v>
      </c>
      <c r="H100" s="817"/>
      <c r="I100" s="818"/>
      <c r="J100" s="817"/>
      <c r="AW100" s="827" t="s">
        <v>212</v>
      </c>
      <c r="AX100" s="827" t="s">
        <v>4572</v>
      </c>
      <c r="AY100" s="828" t="str">
        <f>+BZ6</f>
        <v>Western Asia &amp; Middle East</v>
      </c>
      <c r="AZ100" s="827">
        <v>195</v>
      </c>
      <c r="BA100" s="665" t="s">
        <v>4573</v>
      </c>
      <c r="BB100" s="829">
        <v>5.7853630315302285</v>
      </c>
      <c r="BC100" s="665" t="s">
        <v>4598</v>
      </c>
      <c r="BD100" s="830"/>
      <c r="BE100" s="830"/>
      <c r="BF100" s="665"/>
      <c r="BG100" s="830"/>
      <c r="BH100" s="831">
        <f t="shared" si="28"/>
        <v>18</v>
      </c>
      <c r="BI100" s="831">
        <f t="shared" si="29"/>
        <v>2.9</v>
      </c>
      <c r="BJ100" s="831">
        <f t="shared" si="30"/>
        <v>41.1</v>
      </c>
      <c r="BK100" s="831">
        <f t="shared" si="31"/>
        <v>9.8000000000000007</v>
      </c>
      <c r="BL100" s="831">
        <f t="shared" si="32"/>
        <v>9.5</v>
      </c>
      <c r="BM100" s="831">
        <f t="shared" si="33"/>
        <v>5.6</v>
      </c>
      <c r="BN100" s="831">
        <f t="shared" si="34"/>
        <v>6.3</v>
      </c>
      <c r="BO100" s="831">
        <f t="shared" si="35"/>
        <v>6.8000000000000114</v>
      </c>
      <c r="BP100" s="831">
        <f t="shared" si="27"/>
        <v>100</v>
      </c>
      <c r="BQ100" s="665" t="s">
        <v>4575</v>
      </c>
      <c r="BR100" s="832"/>
      <c r="BS100" s="832"/>
      <c r="BT100" s="832"/>
      <c r="BU100" s="832"/>
      <c r="BV100" s="832"/>
      <c r="BW100" s="832"/>
      <c r="BX100" s="665"/>
      <c r="DH100" s="834" t="str">
        <f t="shared" si="37"/>
        <v>Georgia</v>
      </c>
      <c r="DI100" s="834" t="str">
        <f t="shared" si="37"/>
        <v>Asia</v>
      </c>
      <c r="DJ100" s="834" t="str">
        <f t="shared" si="37"/>
        <v>Western Asia &amp; Middle East</v>
      </c>
      <c r="DL100" s="834" t="s">
        <v>4584</v>
      </c>
      <c r="DN100" s="834" t="s">
        <v>5064</v>
      </c>
      <c r="DO100" s="834" t="s">
        <v>5065</v>
      </c>
    </row>
    <row r="101" spans="3:119">
      <c r="C101" s="641" t="s">
        <v>5066</v>
      </c>
      <c r="D101" s="841" t="s">
        <v>4837</v>
      </c>
      <c r="E101" s="816">
        <v>3245.4</v>
      </c>
      <c r="F101" s="817" t="s">
        <v>4652</v>
      </c>
      <c r="G101" s="818" t="s">
        <v>4838</v>
      </c>
      <c r="H101" s="817"/>
      <c r="I101" s="818"/>
      <c r="J101" s="817"/>
      <c r="AW101" s="827" t="s">
        <v>5067</v>
      </c>
      <c r="AX101" s="827" t="s">
        <v>4597</v>
      </c>
      <c r="AY101" s="828" t="str">
        <f>+BZ15</f>
        <v>Western Europe</v>
      </c>
      <c r="AZ101" s="827">
        <v>440.8</v>
      </c>
      <c r="BA101" s="665" t="s">
        <v>4747</v>
      </c>
      <c r="BB101" s="829">
        <v>3.8844707993401268</v>
      </c>
      <c r="BC101" s="665" t="s">
        <v>4598</v>
      </c>
      <c r="BD101" s="842">
        <v>0.04</v>
      </c>
      <c r="BE101" s="842">
        <v>0.03</v>
      </c>
      <c r="BF101" s="665" t="s">
        <v>4748</v>
      </c>
      <c r="BG101" s="830"/>
      <c r="BH101" s="831">
        <f t="shared" si="28"/>
        <v>27.5</v>
      </c>
      <c r="BI101" s="831">
        <f t="shared" si="29"/>
        <v>7.4</v>
      </c>
      <c r="BJ101" s="831">
        <f t="shared" si="30"/>
        <v>24.2</v>
      </c>
      <c r="BK101" s="831">
        <f t="shared" si="31"/>
        <v>11</v>
      </c>
      <c r="BL101" s="831">
        <f t="shared" si="32"/>
        <v>9.5</v>
      </c>
      <c r="BM101" s="831">
        <f t="shared" si="33"/>
        <v>5.6</v>
      </c>
      <c r="BN101" s="831">
        <f t="shared" si="34"/>
        <v>7.4</v>
      </c>
      <c r="BO101" s="831">
        <f t="shared" si="35"/>
        <v>7.3999999999999986</v>
      </c>
      <c r="BP101" s="831">
        <f t="shared" si="27"/>
        <v>100</v>
      </c>
      <c r="BQ101" s="665" t="s">
        <v>4575</v>
      </c>
      <c r="BR101" s="832"/>
      <c r="BS101" s="832"/>
      <c r="BT101" s="832"/>
      <c r="BU101" s="832"/>
      <c r="BV101" s="832"/>
      <c r="BW101" s="832"/>
      <c r="BX101" s="665"/>
      <c r="DH101" s="834" t="str">
        <f t="shared" si="37"/>
        <v>Germany</v>
      </c>
      <c r="DI101" s="834" t="str">
        <f t="shared" si="37"/>
        <v>Europe</v>
      </c>
      <c r="DJ101" s="834" t="str">
        <f t="shared" si="37"/>
        <v>Western Europe</v>
      </c>
      <c r="DK101" s="834" t="e">
        <f>VLOOKUP(DH101,#REF!,1)</f>
        <v>#REF!</v>
      </c>
      <c r="DL101" s="834" t="e">
        <f>VLOOKUP(DK101,#REF!,2,FALSE)</f>
        <v>#REF!</v>
      </c>
      <c r="DN101" s="834" t="s">
        <v>5068</v>
      </c>
      <c r="DO101" s="834" t="s">
        <v>5069</v>
      </c>
    </row>
    <row r="102" spans="3:119">
      <c r="C102" s="641" t="s">
        <v>5070</v>
      </c>
      <c r="D102" s="841" t="s">
        <v>4837</v>
      </c>
      <c r="E102" s="816">
        <v>24.8</v>
      </c>
      <c r="F102" s="817" t="s">
        <v>4652</v>
      </c>
      <c r="G102" s="818" t="s">
        <v>4838</v>
      </c>
      <c r="H102" s="817"/>
      <c r="I102" s="818"/>
      <c r="J102" s="817"/>
      <c r="AW102" s="827" t="s">
        <v>5071</v>
      </c>
      <c r="AX102" s="827" t="s">
        <v>4614</v>
      </c>
      <c r="AY102" s="828" t="str">
        <f>+BZ11</f>
        <v>Western Africa</v>
      </c>
      <c r="AZ102" s="827">
        <v>360</v>
      </c>
      <c r="BA102" s="665" t="s">
        <v>4573</v>
      </c>
      <c r="BB102" s="829">
        <v>22.587364036102752</v>
      </c>
      <c r="BC102" s="665" t="s">
        <v>4598</v>
      </c>
      <c r="BD102" s="830"/>
      <c r="BE102" s="830"/>
      <c r="BF102" s="665"/>
      <c r="BG102" s="830"/>
      <c r="BH102" s="831">
        <f t="shared" si="28"/>
        <v>9.8000000000000007</v>
      </c>
      <c r="BI102" s="831">
        <f t="shared" si="29"/>
        <v>1</v>
      </c>
      <c r="BJ102" s="831">
        <f t="shared" si="30"/>
        <v>40.4</v>
      </c>
      <c r="BK102" s="831">
        <f t="shared" si="31"/>
        <v>4.4000000000000004</v>
      </c>
      <c r="BL102" s="831">
        <f t="shared" si="32"/>
        <v>9.5</v>
      </c>
      <c r="BM102" s="831">
        <f t="shared" si="33"/>
        <v>5.6</v>
      </c>
      <c r="BN102" s="831">
        <f t="shared" si="34"/>
        <v>3</v>
      </c>
      <c r="BO102" s="831">
        <f t="shared" si="35"/>
        <v>26.300000000000011</v>
      </c>
      <c r="BP102" s="831">
        <f t="shared" si="27"/>
        <v>100</v>
      </c>
      <c r="BQ102" s="665" t="s">
        <v>4575</v>
      </c>
      <c r="BR102" s="832"/>
      <c r="BS102" s="832"/>
      <c r="BT102" s="832"/>
      <c r="BU102" s="832"/>
      <c r="BV102" s="832"/>
      <c r="BW102" s="832"/>
      <c r="BX102" s="665"/>
      <c r="DH102" s="834" t="str">
        <f t="shared" si="37"/>
        <v>Ghana</v>
      </c>
      <c r="DI102" s="834" t="str">
        <f t="shared" si="37"/>
        <v>Africa</v>
      </c>
      <c r="DJ102" s="834" t="str">
        <f t="shared" si="37"/>
        <v>Western Africa</v>
      </c>
      <c r="DL102" s="834" t="s">
        <v>4584</v>
      </c>
      <c r="DN102" s="834" t="s">
        <v>5072</v>
      </c>
      <c r="DO102" s="834" t="s">
        <v>5073</v>
      </c>
    </row>
    <row r="103" spans="3:119">
      <c r="C103" s="641" t="s">
        <v>5074</v>
      </c>
      <c r="D103" s="841" t="s">
        <v>4837</v>
      </c>
      <c r="E103" s="816">
        <v>0</v>
      </c>
      <c r="F103" s="817" t="s">
        <v>4652</v>
      </c>
      <c r="G103" s="818" t="s">
        <v>4838</v>
      </c>
      <c r="H103" s="817"/>
      <c r="I103" s="818"/>
      <c r="J103" s="817"/>
      <c r="AW103" s="827" t="s">
        <v>5075</v>
      </c>
      <c r="AX103" s="827" t="s">
        <v>4597</v>
      </c>
      <c r="AY103" s="828" t="str">
        <f>+BZ14</f>
        <v>Southern Europe</v>
      </c>
      <c r="AZ103" s="827">
        <v>623</v>
      </c>
      <c r="BA103" s="665" t="s">
        <v>4747</v>
      </c>
      <c r="BB103" s="829">
        <v>8.2414635599785466</v>
      </c>
      <c r="BC103" s="665" t="s">
        <v>4598</v>
      </c>
      <c r="BD103" s="842">
        <v>7.4999999999999997E-2</v>
      </c>
      <c r="BE103" s="842">
        <v>0.01</v>
      </c>
      <c r="BF103" s="665" t="s">
        <v>4748</v>
      </c>
      <c r="BG103" s="830"/>
      <c r="BH103" s="831">
        <f t="shared" si="28"/>
        <v>17</v>
      </c>
      <c r="BI103" s="831">
        <f t="shared" si="29"/>
        <v>6.8</v>
      </c>
      <c r="BJ103" s="831">
        <f t="shared" si="30"/>
        <v>36.9</v>
      </c>
      <c r="BK103" s="831">
        <f t="shared" si="31"/>
        <v>10.6</v>
      </c>
      <c r="BL103" s="831">
        <f t="shared" si="32"/>
        <v>9.5</v>
      </c>
      <c r="BM103" s="831">
        <f t="shared" si="33"/>
        <v>5.6</v>
      </c>
      <c r="BN103" s="831">
        <f t="shared" si="34"/>
        <v>6.8</v>
      </c>
      <c r="BO103" s="831">
        <f t="shared" si="35"/>
        <v>6.8</v>
      </c>
      <c r="BP103" s="831">
        <f t="shared" si="27"/>
        <v>99.999999999999986</v>
      </c>
      <c r="BQ103" s="665" t="s">
        <v>4575</v>
      </c>
      <c r="BR103" s="832"/>
      <c r="BS103" s="832"/>
      <c r="BT103" s="832"/>
      <c r="BU103" s="832"/>
      <c r="BV103" s="832"/>
      <c r="BW103" s="832"/>
      <c r="BX103" s="665"/>
      <c r="DH103" s="834" t="str">
        <f t="shared" si="37"/>
        <v>Greece</v>
      </c>
      <c r="DI103" s="834" t="str">
        <f t="shared" si="37"/>
        <v>Europe</v>
      </c>
      <c r="DJ103" s="834" t="str">
        <f t="shared" si="37"/>
        <v>Southern Europe</v>
      </c>
      <c r="DK103" s="834" t="e">
        <f>VLOOKUP(DH103,#REF!,1)</f>
        <v>#REF!</v>
      </c>
      <c r="DL103" s="834" t="e">
        <f>VLOOKUP(DK103,#REF!,2,FALSE)</f>
        <v>#REF!</v>
      </c>
      <c r="DN103" s="834" t="s">
        <v>5076</v>
      </c>
      <c r="DO103" s="834" t="s">
        <v>5077</v>
      </c>
    </row>
    <row r="104" spans="3:119">
      <c r="C104" s="641" t="s">
        <v>5078</v>
      </c>
      <c r="D104" s="841" t="s">
        <v>4837</v>
      </c>
      <c r="E104" s="816">
        <v>0</v>
      </c>
      <c r="F104" s="817" t="s">
        <v>4652</v>
      </c>
      <c r="G104" s="818" t="s">
        <v>4838</v>
      </c>
      <c r="H104" s="817"/>
      <c r="I104" s="818"/>
      <c r="J104" s="817"/>
      <c r="AW104" s="827" t="s">
        <v>5079</v>
      </c>
      <c r="AX104" s="842" t="s">
        <v>4657</v>
      </c>
      <c r="AY104" s="828" t="str">
        <f>+BZ18</f>
        <v>North America</v>
      </c>
      <c r="AZ104" s="827">
        <v>367</v>
      </c>
      <c r="BA104" s="665" t="s">
        <v>4573</v>
      </c>
      <c r="BB104" s="847">
        <v>8.2505991847772364</v>
      </c>
      <c r="BC104" s="665" t="s">
        <v>5080</v>
      </c>
      <c r="BD104" s="830"/>
      <c r="BE104" s="830"/>
      <c r="BF104" s="665"/>
      <c r="BG104" s="830"/>
      <c r="BH104" s="831">
        <f t="shared" si="28"/>
        <v>23.2</v>
      </c>
      <c r="BI104" s="831">
        <f t="shared" si="29"/>
        <v>3.9</v>
      </c>
      <c r="BJ104" s="831">
        <f t="shared" si="30"/>
        <v>33.9</v>
      </c>
      <c r="BK104" s="831">
        <f t="shared" si="31"/>
        <v>6.2</v>
      </c>
      <c r="BL104" s="831">
        <f t="shared" si="32"/>
        <v>9.5</v>
      </c>
      <c r="BM104" s="831">
        <f t="shared" si="33"/>
        <v>5.6</v>
      </c>
      <c r="BN104" s="831">
        <f t="shared" si="34"/>
        <v>8.5</v>
      </c>
      <c r="BO104" s="831">
        <f t="shared" si="35"/>
        <v>9.2000000000000028</v>
      </c>
      <c r="BP104" s="831">
        <f t="shared" si="27"/>
        <v>100</v>
      </c>
      <c r="BQ104" s="665" t="s">
        <v>4575</v>
      </c>
      <c r="BR104" s="832"/>
      <c r="BS104" s="832"/>
      <c r="BT104" s="832"/>
      <c r="BU104" s="832"/>
      <c r="BV104" s="832"/>
      <c r="BW104" s="832"/>
      <c r="BX104" s="665"/>
      <c r="DH104" s="834" t="str">
        <f t="shared" si="37"/>
        <v>Greenland</v>
      </c>
      <c r="DI104" s="834" t="str">
        <f t="shared" si="37"/>
        <v>Americas</v>
      </c>
      <c r="DJ104" s="834" t="str">
        <f t="shared" si="37"/>
        <v>North America</v>
      </c>
      <c r="DL104" s="834" t="s">
        <v>4584</v>
      </c>
      <c r="DN104" s="834" t="s">
        <v>5081</v>
      </c>
      <c r="DO104" s="834" t="s">
        <v>5082</v>
      </c>
    </row>
    <row r="105" spans="3:119" ht="25.5">
      <c r="C105" s="641" t="s">
        <v>5083</v>
      </c>
      <c r="D105" s="841" t="s">
        <v>4837</v>
      </c>
      <c r="E105" s="816">
        <v>1805.05</v>
      </c>
      <c r="F105" s="817" t="s">
        <v>4652</v>
      </c>
      <c r="G105" s="818" t="s">
        <v>4838</v>
      </c>
      <c r="H105" s="817"/>
      <c r="I105" s="818"/>
      <c r="J105" s="817"/>
      <c r="AW105" s="827" t="s">
        <v>5084</v>
      </c>
      <c r="AX105" s="842" t="s">
        <v>4657</v>
      </c>
      <c r="AY105" s="828" t="str">
        <f>+BZ21</f>
        <v>Caribbean</v>
      </c>
      <c r="AZ105" s="827">
        <v>557</v>
      </c>
      <c r="BA105" s="665" t="s">
        <v>4573</v>
      </c>
      <c r="BB105" s="829">
        <v>9.3894684857089938</v>
      </c>
      <c r="BC105" s="665" t="s">
        <v>4658</v>
      </c>
      <c r="BD105" s="830"/>
      <c r="BE105" s="830"/>
      <c r="BF105" s="665"/>
      <c r="BG105" s="830"/>
      <c r="BH105" s="831">
        <f t="shared" si="28"/>
        <v>17</v>
      </c>
      <c r="BI105" s="831">
        <f t="shared" si="29"/>
        <v>5.0999999999999996</v>
      </c>
      <c r="BJ105" s="831">
        <f t="shared" si="30"/>
        <v>46.9</v>
      </c>
      <c r="BK105" s="831">
        <f t="shared" si="31"/>
        <v>2.4</v>
      </c>
      <c r="BL105" s="831">
        <f t="shared" si="32"/>
        <v>9.5</v>
      </c>
      <c r="BM105" s="831">
        <f t="shared" si="33"/>
        <v>5.6</v>
      </c>
      <c r="BN105" s="831">
        <f t="shared" si="34"/>
        <v>9.9</v>
      </c>
      <c r="BO105" s="831">
        <f t="shared" si="35"/>
        <v>3.5999999999999943</v>
      </c>
      <c r="BP105" s="831">
        <f t="shared" si="27"/>
        <v>100</v>
      </c>
      <c r="BQ105" s="665" t="s">
        <v>4575</v>
      </c>
      <c r="BR105" s="832"/>
      <c r="BS105" s="832"/>
      <c r="BT105" s="832"/>
      <c r="BU105" s="832"/>
      <c r="BV105" s="832"/>
      <c r="BW105" s="832"/>
      <c r="BX105" s="665"/>
      <c r="DH105" s="834" t="str">
        <f t="shared" si="37"/>
        <v>Grenada</v>
      </c>
      <c r="DI105" s="834" t="str">
        <f t="shared" si="37"/>
        <v>Americas</v>
      </c>
      <c r="DJ105" s="834" t="str">
        <f t="shared" si="37"/>
        <v>Caribbean</v>
      </c>
      <c r="DL105" s="834" t="s">
        <v>4584</v>
      </c>
      <c r="DN105" s="834" t="s">
        <v>5085</v>
      </c>
      <c r="DO105" s="834" t="s">
        <v>5086</v>
      </c>
    </row>
    <row r="106" spans="3:119" ht="25.5">
      <c r="C106" s="641" t="s">
        <v>5087</v>
      </c>
      <c r="D106" s="841" t="s">
        <v>4837</v>
      </c>
      <c r="E106" s="816">
        <v>2264.4349999999999</v>
      </c>
      <c r="F106" s="817" t="s">
        <v>4652</v>
      </c>
      <c r="G106" s="818" t="s">
        <v>4838</v>
      </c>
      <c r="H106" s="817"/>
      <c r="I106" s="818"/>
      <c r="J106" s="817"/>
      <c r="AW106" s="827" t="s">
        <v>5088</v>
      </c>
      <c r="AX106" s="842" t="s">
        <v>4657</v>
      </c>
      <c r="AY106" s="828" t="str">
        <f>+BZ21</f>
        <v>Caribbean</v>
      </c>
      <c r="AZ106" s="827">
        <v>454</v>
      </c>
      <c r="BA106" s="665" t="s">
        <v>4573</v>
      </c>
      <c r="BB106" s="829">
        <v>9.3894684857089938</v>
      </c>
      <c r="BC106" s="665" t="s">
        <v>4658</v>
      </c>
      <c r="BD106" s="830"/>
      <c r="BE106" s="830"/>
      <c r="BF106" s="665"/>
      <c r="BG106" s="830"/>
      <c r="BH106" s="831">
        <f t="shared" si="28"/>
        <v>17</v>
      </c>
      <c r="BI106" s="831">
        <f t="shared" si="29"/>
        <v>5.0999999999999996</v>
      </c>
      <c r="BJ106" s="831">
        <f t="shared" si="30"/>
        <v>46.9</v>
      </c>
      <c r="BK106" s="831">
        <f t="shared" si="31"/>
        <v>2.4</v>
      </c>
      <c r="BL106" s="831">
        <f t="shared" si="32"/>
        <v>9.5</v>
      </c>
      <c r="BM106" s="831">
        <f t="shared" si="33"/>
        <v>5.6</v>
      </c>
      <c r="BN106" s="831">
        <f t="shared" si="34"/>
        <v>9.9</v>
      </c>
      <c r="BO106" s="831">
        <f t="shared" si="35"/>
        <v>3.5999999999999943</v>
      </c>
      <c r="BP106" s="831">
        <f t="shared" si="27"/>
        <v>100</v>
      </c>
      <c r="BQ106" s="665" t="s">
        <v>4575</v>
      </c>
      <c r="BR106" s="832"/>
      <c r="BS106" s="832"/>
      <c r="BT106" s="832"/>
      <c r="BU106" s="832"/>
      <c r="BV106" s="832"/>
      <c r="BW106" s="832"/>
      <c r="BX106" s="665"/>
      <c r="DH106" s="834" t="str">
        <f t="shared" si="37"/>
        <v>Guadeloupe (France)</v>
      </c>
      <c r="DI106" s="834" t="str">
        <f t="shared" si="37"/>
        <v>Americas</v>
      </c>
      <c r="DJ106" s="834" t="str">
        <f t="shared" si="37"/>
        <v>Caribbean</v>
      </c>
      <c r="DL106" s="834" t="s">
        <v>4584</v>
      </c>
      <c r="DN106" s="834" t="s">
        <v>5089</v>
      </c>
      <c r="DO106" s="834" t="s">
        <v>5090</v>
      </c>
    </row>
    <row r="107" spans="3:119" ht="25.5">
      <c r="C107" s="641" t="s">
        <v>5091</v>
      </c>
      <c r="D107" s="841" t="s">
        <v>4837</v>
      </c>
      <c r="E107" s="816">
        <v>1982.5</v>
      </c>
      <c r="F107" s="817" t="s">
        <v>4652</v>
      </c>
      <c r="G107" s="818" t="s">
        <v>4838</v>
      </c>
      <c r="H107" s="817"/>
      <c r="I107" s="818"/>
      <c r="J107" s="817"/>
      <c r="AW107" s="827" t="s">
        <v>5092</v>
      </c>
      <c r="AX107" s="842" t="s">
        <v>4626</v>
      </c>
      <c r="AY107" s="828" t="str">
        <f>+BZ17</f>
        <v>Rest of Oceania</v>
      </c>
      <c r="AZ107" s="827">
        <v>447</v>
      </c>
      <c r="BA107" s="665" t="s">
        <v>4573</v>
      </c>
      <c r="BB107" s="829">
        <v>5.4123414965002699</v>
      </c>
      <c r="BC107" s="665" t="s">
        <v>4627</v>
      </c>
      <c r="BD107" s="830"/>
      <c r="BE107" s="830"/>
      <c r="BF107" s="665"/>
      <c r="BG107" s="830"/>
      <c r="BH107" s="831">
        <f t="shared" si="28"/>
        <v>6</v>
      </c>
      <c r="BI107" s="831">
        <f t="shared" si="29"/>
        <v>2.97</v>
      </c>
      <c r="BJ107" s="831">
        <f t="shared" si="30"/>
        <v>67.5</v>
      </c>
      <c r="BK107" s="831">
        <f t="shared" si="31"/>
        <v>2.5</v>
      </c>
      <c r="BL107" s="831">
        <f t="shared" si="32"/>
        <v>9.5</v>
      </c>
      <c r="BM107" s="831">
        <f t="shared" si="33"/>
        <v>5.6</v>
      </c>
      <c r="BN107" s="831">
        <f t="shared" si="34"/>
        <v>2.97</v>
      </c>
      <c r="BO107" s="831">
        <f t="shared" si="35"/>
        <v>2.9666666666666668</v>
      </c>
      <c r="BP107" s="831">
        <f t="shared" si="27"/>
        <v>100.00666666666666</v>
      </c>
      <c r="BQ107" s="665" t="s">
        <v>4575</v>
      </c>
      <c r="BR107" s="832"/>
      <c r="BS107" s="832"/>
      <c r="BT107" s="832"/>
      <c r="BU107" s="832"/>
      <c r="BV107" s="832"/>
      <c r="BW107" s="832"/>
      <c r="BX107" s="665"/>
      <c r="DH107" s="834" t="str">
        <f t="shared" si="37"/>
        <v>Guam</v>
      </c>
      <c r="DI107" s="834" t="str">
        <f t="shared" si="37"/>
        <v>Oceania</v>
      </c>
      <c r="DJ107" s="834" t="str">
        <f t="shared" si="37"/>
        <v>Rest of Oceania</v>
      </c>
      <c r="DL107" s="834" t="s">
        <v>4584</v>
      </c>
      <c r="DN107" s="834" t="s">
        <v>5093</v>
      </c>
      <c r="DO107" s="834" t="s">
        <v>5094</v>
      </c>
    </row>
    <row r="108" spans="3:119">
      <c r="C108" s="641" t="s">
        <v>5095</v>
      </c>
      <c r="D108" s="841" t="s">
        <v>4837</v>
      </c>
      <c r="E108" s="816">
        <v>144.15199999999999</v>
      </c>
      <c r="F108" s="817" t="s">
        <v>4652</v>
      </c>
      <c r="G108" s="818" t="s">
        <v>4838</v>
      </c>
      <c r="H108" s="817"/>
      <c r="I108" s="818"/>
      <c r="J108" s="817"/>
      <c r="AW108" s="842" t="s">
        <v>5096</v>
      </c>
      <c r="AX108" s="842" t="s">
        <v>4657</v>
      </c>
      <c r="AY108" s="846" t="str">
        <f>+BZ19</f>
        <v>Central America</v>
      </c>
      <c r="AZ108" s="842">
        <v>367.1</v>
      </c>
      <c r="BA108" s="665" t="s">
        <v>5097</v>
      </c>
      <c r="BB108" s="847">
        <v>9.4594594594594597</v>
      </c>
      <c r="BC108" s="665" t="s">
        <v>4598</v>
      </c>
      <c r="BD108" s="830"/>
      <c r="BE108" s="830"/>
      <c r="BF108" s="665"/>
      <c r="BG108" s="830"/>
      <c r="BH108" s="831">
        <f t="shared" si="28"/>
        <v>13.7</v>
      </c>
      <c r="BI108" s="831">
        <f t="shared" si="29"/>
        <v>2.6</v>
      </c>
      <c r="BJ108" s="831">
        <f t="shared" si="30"/>
        <v>43.8</v>
      </c>
      <c r="BK108" s="831">
        <f t="shared" si="31"/>
        <v>13.5</v>
      </c>
      <c r="BL108" s="831">
        <f t="shared" si="32"/>
        <v>9.5</v>
      </c>
      <c r="BM108" s="831">
        <f t="shared" si="33"/>
        <v>5.6</v>
      </c>
      <c r="BN108" s="831">
        <f t="shared" si="34"/>
        <v>6.7</v>
      </c>
      <c r="BO108" s="831">
        <f t="shared" si="35"/>
        <v>4.6000000000000085</v>
      </c>
      <c r="BP108" s="831">
        <f t="shared" si="27"/>
        <v>100</v>
      </c>
      <c r="BQ108" s="665" t="s">
        <v>4575</v>
      </c>
      <c r="BR108" s="832"/>
      <c r="BS108" s="832"/>
      <c r="BT108" s="832"/>
      <c r="BU108" s="832"/>
      <c r="BV108" s="832"/>
      <c r="BW108" s="832"/>
      <c r="BX108" s="665"/>
      <c r="DH108" s="834" t="str">
        <f t="shared" si="37"/>
        <v>Guatemala</v>
      </c>
      <c r="DI108" s="834" t="str">
        <f t="shared" si="37"/>
        <v>Americas</v>
      </c>
      <c r="DJ108" s="834" t="str">
        <f t="shared" si="37"/>
        <v>Central America</v>
      </c>
      <c r="DL108" s="834" t="s">
        <v>4584</v>
      </c>
      <c r="DN108" s="834" t="s">
        <v>5098</v>
      </c>
      <c r="DO108" s="834" t="s">
        <v>5099</v>
      </c>
    </row>
    <row r="109" spans="3:119" ht="25.5">
      <c r="C109" s="641" t="s">
        <v>5100</v>
      </c>
      <c r="D109" s="841" t="s">
        <v>4837</v>
      </c>
      <c r="E109" s="816">
        <v>0</v>
      </c>
      <c r="F109" s="817" t="s">
        <v>4652</v>
      </c>
      <c r="G109" s="818" t="s">
        <v>4838</v>
      </c>
      <c r="H109" s="817"/>
      <c r="I109" s="818"/>
      <c r="J109" s="817"/>
      <c r="AW109" s="827" t="s">
        <v>5101</v>
      </c>
      <c r="AX109" s="827" t="s">
        <v>4614</v>
      </c>
      <c r="AY109" s="828" t="str">
        <f>+BZ11</f>
        <v>Western Africa</v>
      </c>
      <c r="AZ109" s="827">
        <v>484</v>
      </c>
      <c r="BA109" s="665" t="s">
        <v>4573</v>
      </c>
      <c r="BB109" s="829">
        <v>13.490630673342661</v>
      </c>
      <c r="BC109" s="665" t="s">
        <v>4784</v>
      </c>
      <c r="BD109" s="830"/>
      <c r="BE109" s="830"/>
      <c r="BF109" s="665"/>
      <c r="BG109" s="830"/>
      <c r="BH109" s="831">
        <f t="shared" si="28"/>
        <v>9.8000000000000007</v>
      </c>
      <c r="BI109" s="831">
        <f t="shared" si="29"/>
        <v>1</v>
      </c>
      <c r="BJ109" s="831">
        <f t="shared" si="30"/>
        <v>40.4</v>
      </c>
      <c r="BK109" s="831">
        <f t="shared" si="31"/>
        <v>4.4000000000000004</v>
      </c>
      <c r="BL109" s="831">
        <f t="shared" si="32"/>
        <v>9.5</v>
      </c>
      <c r="BM109" s="831">
        <f t="shared" si="33"/>
        <v>5.6</v>
      </c>
      <c r="BN109" s="831">
        <f t="shared" si="34"/>
        <v>3</v>
      </c>
      <c r="BO109" s="831">
        <f t="shared" si="35"/>
        <v>26.300000000000011</v>
      </c>
      <c r="BP109" s="831">
        <f t="shared" si="27"/>
        <v>100</v>
      </c>
      <c r="BQ109" s="665" t="s">
        <v>4575</v>
      </c>
      <c r="BR109" s="832"/>
      <c r="BS109" s="832"/>
      <c r="BT109" s="832"/>
      <c r="BU109" s="832"/>
      <c r="BV109" s="832"/>
      <c r="BW109" s="832"/>
      <c r="BX109" s="665"/>
      <c r="DH109" s="834" t="str">
        <f t="shared" si="37"/>
        <v>Guinea</v>
      </c>
      <c r="DI109" s="834" t="str">
        <f t="shared" si="37"/>
        <v>Africa</v>
      </c>
      <c r="DJ109" s="834" t="str">
        <f t="shared" si="37"/>
        <v>Western Africa</v>
      </c>
      <c r="DL109" s="834" t="s">
        <v>4584</v>
      </c>
      <c r="DN109" s="834" t="s">
        <v>5102</v>
      </c>
      <c r="DO109" s="834" t="s">
        <v>5103</v>
      </c>
    </row>
    <row r="110" spans="3:119" ht="25.5">
      <c r="C110" s="641" t="s">
        <v>5104</v>
      </c>
      <c r="D110" s="841" t="s">
        <v>4837</v>
      </c>
      <c r="E110" s="816">
        <v>1887.97</v>
      </c>
      <c r="F110" s="817" t="s">
        <v>4652</v>
      </c>
      <c r="G110" s="818" t="s">
        <v>4838</v>
      </c>
      <c r="H110" s="817"/>
      <c r="I110" s="818"/>
      <c r="J110" s="817"/>
      <c r="AW110" s="827" t="s">
        <v>5105</v>
      </c>
      <c r="AX110" s="827" t="s">
        <v>4614</v>
      </c>
      <c r="AY110" s="828" t="str">
        <f>+BZ11</f>
        <v>Western Africa</v>
      </c>
      <c r="AZ110" s="827">
        <v>656</v>
      </c>
      <c r="BA110" s="665" t="s">
        <v>4573</v>
      </c>
      <c r="BB110" s="829">
        <v>13.490630673342661</v>
      </c>
      <c r="BC110" s="665" t="s">
        <v>4784</v>
      </c>
      <c r="BD110" s="830"/>
      <c r="BE110" s="830"/>
      <c r="BF110" s="665"/>
      <c r="BG110" s="830"/>
      <c r="BH110" s="831">
        <f t="shared" si="28"/>
        <v>9.8000000000000007</v>
      </c>
      <c r="BI110" s="831">
        <f t="shared" si="29"/>
        <v>1</v>
      </c>
      <c r="BJ110" s="831">
        <f t="shared" si="30"/>
        <v>40.4</v>
      </c>
      <c r="BK110" s="831">
        <f t="shared" si="31"/>
        <v>4.4000000000000004</v>
      </c>
      <c r="BL110" s="831">
        <f t="shared" si="32"/>
        <v>9.5</v>
      </c>
      <c r="BM110" s="831">
        <f t="shared" si="33"/>
        <v>5.6</v>
      </c>
      <c r="BN110" s="831">
        <f t="shared" si="34"/>
        <v>3</v>
      </c>
      <c r="BO110" s="831">
        <f t="shared" si="35"/>
        <v>26.300000000000011</v>
      </c>
      <c r="BP110" s="831">
        <f t="shared" si="27"/>
        <v>100</v>
      </c>
      <c r="BQ110" s="665" t="s">
        <v>4575</v>
      </c>
      <c r="BR110" s="832"/>
      <c r="BS110" s="832"/>
      <c r="BT110" s="832"/>
      <c r="BU110" s="832"/>
      <c r="BV110" s="832"/>
      <c r="BW110" s="832"/>
      <c r="BX110" s="665"/>
      <c r="DH110" s="834" t="str">
        <f t="shared" si="37"/>
        <v>Guinea-Bissau</v>
      </c>
      <c r="DI110" s="834" t="str">
        <f t="shared" si="37"/>
        <v>Africa</v>
      </c>
      <c r="DJ110" s="834" t="str">
        <f t="shared" si="37"/>
        <v>Western Africa</v>
      </c>
      <c r="DL110" s="834" t="s">
        <v>4584</v>
      </c>
      <c r="DN110" s="834" t="s">
        <v>5106</v>
      </c>
      <c r="DO110" s="834" t="s">
        <v>5107</v>
      </c>
    </row>
    <row r="111" spans="3:119" ht="25.5">
      <c r="C111" s="641" t="s">
        <v>5108</v>
      </c>
      <c r="D111" s="841" t="s">
        <v>4837</v>
      </c>
      <c r="E111" s="816">
        <v>0</v>
      </c>
      <c r="F111" s="817" t="s">
        <v>4652</v>
      </c>
      <c r="G111" s="818" t="s">
        <v>4838</v>
      </c>
      <c r="H111" s="817"/>
      <c r="I111" s="818"/>
      <c r="J111" s="817"/>
      <c r="AW111" s="827" t="s">
        <v>5109</v>
      </c>
      <c r="AX111" s="842" t="s">
        <v>4657</v>
      </c>
      <c r="AY111" s="828" t="str">
        <f>+BZ20</f>
        <v>South America</v>
      </c>
      <c r="AZ111" s="827">
        <v>607</v>
      </c>
      <c r="BA111" s="665" t="s">
        <v>4573</v>
      </c>
      <c r="BB111" s="829">
        <v>15.618667277425265</v>
      </c>
      <c r="BC111" s="665" t="s">
        <v>4780</v>
      </c>
      <c r="BD111" s="830"/>
      <c r="BE111" s="830"/>
      <c r="BF111" s="665"/>
      <c r="BG111" s="830"/>
      <c r="BH111" s="831">
        <f t="shared" si="28"/>
        <v>17.100000000000001</v>
      </c>
      <c r="BI111" s="831">
        <f t="shared" si="29"/>
        <v>2.6</v>
      </c>
      <c r="BJ111" s="831">
        <f t="shared" si="30"/>
        <v>44.9</v>
      </c>
      <c r="BK111" s="831">
        <f t="shared" si="31"/>
        <v>4.7</v>
      </c>
      <c r="BL111" s="831">
        <f t="shared" si="32"/>
        <v>9.5</v>
      </c>
      <c r="BM111" s="831">
        <f t="shared" si="33"/>
        <v>5.6</v>
      </c>
      <c r="BN111" s="831">
        <f t="shared" si="34"/>
        <v>10.8</v>
      </c>
      <c r="BO111" s="831">
        <f t="shared" si="35"/>
        <v>4.8000000000000114</v>
      </c>
      <c r="BP111" s="831">
        <f t="shared" si="27"/>
        <v>100</v>
      </c>
      <c r="BQ111" s="665" t="s">
        <v>4575</v>
      </c>
      <c r="BR111" s="832"/>
      <c r="BS111" s="832"/>
      <c r="BT111" s="832"/>
      <c r="BU111" s="832"/>
      <c r="BV111" s="832"/>
      <c r="BW111" s="832"/>
      <c r="BX111" s="665"/>
      <c r="DH111" s="834" t="str">
        <f t="shared" si="37"/>
        <v>Guyana</v>
      </c>
      <c r="DI111" s="834" t="str">
        <f t="shared" si="37"/>
        <v>Americas</v>
      </c>
      <c r="DJ111" s="834" t="str">
        <f t="shared" si="37"/>
        <v>South America</v>
      </c>
      <c r="DL111" s="834" t="s">
        <v>4584</v>
      </c>
      <c r="DN111" s="834" t="s">
        <v>5110</v>
      </c>
      <c r="DO111" s="834" t="s">
        <v>5111</v>
      </c>
    </row>
    <row r="112" spans="3:119">
      <c r="C112" s="641" t="s">
        <v>5112</v>
      </c>
      <c r="D112" s="841" t="s">
        <v>4837</v>
      </c>
      <c r="E112" s="816">
        <v>87.2</v>
      </c>
      <c r="F112" s="817" t="s">
        <v>4652</v>
      </c>
      <c r="G112" s="818" t="s">
        <v>4838</v>
      </c>
      <c r="H112" s="817"/>
      <c r="I112" s="818"/>
      <c r="J112" s="817"/>
      <c r="AW112" s="827" t="s">
        <v>5113</v>
      </c>
      <c r="AX112" s="842" t="s">
        <v>4657</v>
      </c>
      <c r="AY112" s="828" t="str">
        <f>+BZ21</f>
        <v>Caribbean</v>
      </c>
      <c r="AZ112" s="827">
        <v>703</v>
      </c>
      <c r="BA112" s="665" t="s">
        <v>4573</v>
      </c>
      <c r="BB112" s="829">
        <v>60.116166505324301</v>
      </c>
      <c r="BC112" s="665" t="s">
        <v>4598</v>
      </c>
      <c r="BD112" s="830"/>
      <c r="BE112" s="830"/>
      <c r="BF112" s="665"/>
      <c r="BG112" s="830"/>
      <c r="BH112" s="831">
        <f t="shared" si="28"/>
        <v>17</v>
      </c>
      <c r="BI112" s="831">
        <f t="shared" si="29"/>
        <v>5.0999999999999996</v>
      </c>
      <c r="BJ112" s="831">
        <f t="shared" si="30"/>
        <v>46.9</v>
      </c>
      <c r="BK112" s="831">
        <f t="shared" si="31"/>
        <v>2.4</v>
      </c>
      <c r="BL112" s="831">
        <f t="shared" si="32"/>
        <v>9.5</v>
      </c>
      <c r="BM112" s="831">
        <f t="shared" si="33"/>
        <v>5.6</v>
      </c>
      <c r="BN112" s="831">
        <f t="shared" si="34"/>
        <v>9.9</v>
      </c>
      <c r="BO112" s="831">
        <f t="shared" si="35"/>
        <v>3.5999999999999943</v>
      </c>
      <c r="BP112" s="831">
        <f t="shared" si="27"/>
        <v>100</v>
      </c>
      <c r="BQ112" s="665" t="s">
        <v>4575</v>
      </c>
      <c r="BR112" s="832"/>
      <c r="BS112" s="832"/>
      <c r="BT112" s="832"/>
      <c r="BU112" s="832"/>
      <c r="BV112" s="832"/>
      <c r="BW112" s="832"/>
      <c r="BX112" s="665"/>
      <c r="DH112" s="834" t="str">
        <f t="shared" si="37"/>
        <v>Haiti</v>
      </c>
      <c r="DI112" s="834" t="str">
        <f t="shared" si="37"/>
        <v>Americas</v>
      </c>
      <c r="DJ112" s="834" t="str">
        <f t="shared" si="37"/>
        <v>Caribbean</v>
      </c>
      <c r="DL112" s="834" t="s">
        <v>4584</v>
      </c>
      <c r="DN112" s="834" t="s">
        <v>5114</v>
      </c>
      <c r="DO112" s="834" t="s">
        <v>5115</v>
      </c>
    </row>
    <row r="113" spans="3:119">
      <c r="C113" s="641" t="s">
        <v>5116</v>
      </c>
      <c r="D113" s="841" t="s">
        <v>4837</v>
      </c>
      <c r="E113" s="816">
        <v>128.69999999999999</v>
      </c>
      <c r="F113" s="817" t="s">
        <v>4652</v>
      </c>
      <c r="G113" s="818" t="s">
        <v>4838</v>
      </c>
      <c r="H113" s="817"/>
      <c r="I113" s="818"/>
      <c r="J113" s="817"/>
      <c r="AW113" s="827" t="s">
        <v>5117</v>
      </c>
      <c r="AX113" s="842" t="s">
        <v>4657</v>
      </c>
      <c r="AY113" s="828" t="str">
        <f>+BZ19</f>
        <v>Central America</v>
      </c>
      <c r="AZ113" s="827">
        <v>473</v>
      </c>
      <c r="BA113" s="665" t="s">
        <v>4573</v>
      </c>
      <c r="BB113" s="829">
        <v>34.946504105498882</v>
      </c>
      <c r="BC113" s="665" t="s">
        <v>4598</v>
      </c>
      <c r="BD113" s="842">
        <v>0.1</v>
      </c>
      <c r="BE113" s="842">
        <v>0.1</v>
      </c>
      <c r="BF113" s="665" t="s">
        <v>5118</v>
      </c>
      <c r="BG113" s="830"/>
      <c r="BH113" s="831">
        <f t="shared" si="28"/>
        <v>13.7</v>
      </c>
      <c r="BI113" s="831">
        <f t="shared" si="29"/>
        <v>2.6</v>
      </c>
      <c r="BJ113" s="831">
        <f t="shared" si="30"/>
        <v>43.8</v>
      </c>
      <c r="BK113" s="831">
        <f t="shared" si="31"/>
        <v>13.5</v>
      </c>
      <c r="BL113" s="831">
        <f t="shared" si="32"/>
        <v>9.5</v>
      </c>
      <c r="BM113" s="831">
        <f t="shared" si="33"/>
        <v>5.6</v>
      </c>
      <c r="BN113" s="831">
        <f t="shared" si="34"/>
        <v>6.7</v>
      </c>
      <c r="BO113" s="831">
        <f t="shared" si="35"/>
        <v>4.6000000000000085</v>
      </c>
      <c r="BP113" s="831">
        <f t="shared" si="27"/>
        <v>100</v>
      </c>
      <c r="BQ113" s="665" t="s">
        <v>4575</v>
      </c>
      <c r="BR113" s="832"/>
      <c r="BS113" s="832"/>
      <c r="BT113" s="832"/>
      <c r="BU113" s="832"/>
      <c r="BV113" s="832"/>
      <c r="BW113" s="832"/>
      <c r="BX113" s="665"/>
      <c r="DH113" s="834" t="str">
        <f t="shared" si="37"/>
        <v>Honduras</v>
      </c>
      <c r="DI113" s="834" t="str">
        <f t="shared" si="37"/>
        <v>Americas</v>
      </c>
      <c r="DJ113" s="834" t="str">
        <f t="shared" si="37"/>
        <v>Central America</v>
      </c>
      <c r="DL113" s="834" t="s">
        <v>4584</v>
      </c>
      <c r="DN113" s="834" t="s">
        <v>5119</v>
      </c>
      <c r="DO113" s="834" t="s">
        <v>5120</v>
      </c>
    </row>
    <row r="114" spans="3:119">
      <c r="C114" s="641" t="s">
        <v>5121</v>
      </c>
      <c r="D114" s="841" t="s">
        <v>4837</v>
      </c>
      <c r="E114" s="816">
        <v>32.488</v>
      </c>
      <c r="F114" s="817" t="s">
        <v>4652</v>
      </c>
      <c r="G114" s="818" t="s">
        <v>4838</v>
      </c>
      <c r="H114" s="817"/>
      <c r="I114" s="818"/>
      <c r="J114" s="817"/>
      <c r="AW114" s="827" t="s">
        <v>5122</v>
      </c>
      <c r="AX114" s="827" t="s">
        <v>4572</v>
      </c>
      <c r="AY114" s="828" t="str">
        <f>+BZ3</f>
        <v>Eastern Asia</v>
      </c>
      <c r="AZ114" s="827">
        <v>396</v>
      </c>
      <c r="BA114" s="665" t="s">
        <v>4573</v>
      </c>
      <c r="BB114" s="829">
        <v>12.493422536270014</v>
      </c>
      <c r="BC114" s="665" t="s">
        <v>4598</v>
      </c>
      <c r="BD114" s="830"/>
      <c r="BE114" s="830"/>
      <c r="BF114" s="665"/>
      <c r="BG114" s="830"/>
      <c r="BH114" s="831">
        <f t="shared" si="28"/>
        <v>18.8</v>
      </c>
      <c r="BI114" s="831">
        <f t="shared" si="29"/>
        <v>3.5</v>
      </c>
      <c r="BJ114" s="831">
        <f t="shared" si="30"/>
        <v>26.2</v>
      </c>
      <c r="BK114" s="831">
        <f t="shared" si="31"/>
        <v>3.5</v>
      </c>
      <c r="BL114" s="831">
        <f t="shared" si="32"/>
        <v>9.5</v>
      </c>
      <c r="BM114" s="831">
        <f t="shared" si="33"/>
        <v>5.6</v>
      </c>
      <c r="BN114" s="831">
        <f t="shared" si="34"/>
        <v>14.3</v>
      </c>
      <c r="BO114" s="831">
        <f t="shared" si="35"/>
        <v>18.600000000000009</v>
      </c>
      <c r="BP114" s="831">
        <f t="shared" si="27"/>
        <v>100</v>
      </c>
      <c r="BQ114" s="665" t="s">
        <v>4575</v>
      </c>
      <c r="BR114" s="832"/>
      <c r="BS114" s="832"/>
      <c r="BT114" s="832"/>
      <c r="BU114" s="832"/>
      <c r="BV114" s="832"/>
      <c r="BW114" s="832"/>
      <c r="BX114" s="665"/>
      <c r="DH114" s="834" t="str">
        <f t="shared" si="37"/>
        <v>Hong Kong (China)</v>
      </c>
      <c r="DI114" s="834" t="str">
        <f t="shared" si="37"/>
        <v>Asia</v>
      </c>
      <c r="DJ114" s="834" t="str">
        <f t="shared" si="37"/>
        <v>Eastern Asia</v>
      </c>
      <c r="DL114" s="834" t="s">
        <v>4584</v>
      </c>
      <c r="DN114" s="834" t="s">
        <v>5123</v>
      </c>
      <c r="DO114" s="834" t="s">
        <v>5124</v>
      </c>
    </row>
    <row r="115" spans="3:119">
      <c r="C115" s="641" t="s">
        <v>5125</v>
      </c>
      <c r="D115" s="841" t="s">
        <v>4837</v>
      </c>
      <c r="E115" s="816">
        <v>0</v>
      </c>
      <c r="F115" s="817" t="s">
        <v>4652</v>
      </c>
      <c r="G115" s="818" t="s">
        <v>4838</v>
      </c>
      <c r="H115" s="817"/>
      <c r="I115" s="818"/>
      <c r="J115" s="817"/>
      <c r="AW115" s="827" t="s">
        <v>5126</v>
      </c>
      <c r="AX115" s="827" t="s">
        <v>4597</v>
      </c>
      <c r="AY115" s="828" t="str">
        <f>+BZ12</f>
        <v>Eastern Europe</v>
      </c>
      <c r="AZ115" s="827">
        <v>260.39999999999998</v>
      </c>
      <c r="BA115" s="665" t="s">
        <v>4747</v>
      </c>
      <c r="BB115" s="829">
        <v>12.353701687534024</v>
      </c>
      <c r="BC115" s="665" t="s">
        <v>4598</v>
      </c>
      <c r="BD115" s="842">
        <v>5.7500000000000002E-2</v>
      </c>
      <c r="BE115" s="842">
        <v>5.7500000000000002E-2</v>
      </c>
      <c r="BF115" s="665" t="s">
        <v>4748</v>
      </c>
      <c r="BG115" s="830"/>
      <c r="BH115" s="831">
        <f t="shared" si="28"/>
        <v>21.8</v>
      </c>
      <c r="BI115" s="831">
        <f t="shared" si="29"/>
        <v>4.7</v>
      </c>
      <c r="BJ115" s="831">
        <f t="shared" si="30"/>
        <v>30.1</v>
      </c>
      <c r="BK115" s="831">
        <f t="shared" si="31"/>
        <v>7.5</v>
      </c>
      <c r="BL115" s="831">
        <f t="shared" si="32"/>
        <v>9.5</v>
      </c>
      <c r="BM115" s="831">
        <f t="shared" si="33"/>
        <v>5.6</v>
      </c>
      <c r="BN115" s="831">
        <f t="shared" si="34"/>
        <v>6.2</v>
      </c>
      <c r="BO115" s="831">
        <f t="shared" si="35"/>
        <v>14.600000000000009</v>
      </c>
      <c r="BP115" s="831">
        <f t="shared" si="27"/>
        <v>100</v>
      </c>
      <c r="BQ115" s="665" t="s">
        <v>4575</v>
      </c>
      <c r="BR115" s="832"/>
      <c r="BS115" s="832"/>
      <c r="BT115" s="832"/>
      <c r="BU115" s="832"/>
      <c r="BV115" s="832"/>
      <c r="BW115" s="832"/>
      <c r="BX115" s="665"/>
      <c r="DH115" s="834" t="str">
        <f t="shared" ref="DH115:DJ141" si="38">AW115</f>
        <v>Hungary</v>
      </c>
      <c r="DI115" s="834" t="str">
        <f t="shared" si="38"/>
        <v>Europe</v>
      </c>
      <c r="DJ115" s="834" t="str">
        <f t="shared" si="38"/>
        <v>Eastern Europe</v>
      </c>
      <c r="DK115" s="834" t="e">
        <f>VLOOKUP(DH115,#REF!,1)</f>
        <v>#REF!</v>
      </c>
      <c r="DL115" s="834" t="e">
        <f>VLOOKUP(DK115,#REF!,2,FALSE)</f>
        <v>#REF!</v>
      </c>
      <c r="DN115" s="834" t="s">
        <v>5127</v>
      </c>
      <c r="DO115" s="834" t="s">
        <v>5128</v>
      </c>
    </row>
    <row r="116" spans="3:119">
      <c r="C116" s="641" t="s">
        <v>5129</v>
      </c>
      <c r="D116" s="841" t="s">
        <v>4837</v>
      </c>
      <c r="E116" s="816">
        <v>0</v>
      </c>
      <c r="F116" s="817" t="s">
        <v>4652</v>
      </c>
      <c r="G116" s="818" t="s">
        <v>4838</v>
      </c>
      <c r="H116" s="817"/>
      <c r="I116" s="818"/>
      <c r="J116" s="817"/>
      <c r="AW116" s="827" t="s">
        <v>5130</v>
      </c>
      <c r="AX116" s="827" t="s">
        <v>4597</v>
      </c>
      <c r="AY116" s="828" t="str">
        <f>+BZ13</f>
        <v>Northern Europe</v>
      </c>
      <c r="AZ116" s="827">
        <v>43</v>
      </c>
      <c r="BA116" s="665" t="s">
        <v>4573</v>
      </c>
      <c r="BB116" s="829">
        <v>2.7478894222810792</v>
      </c>
      <c r="BC116" s="665" t="s">
        <v>4598</v>
      </c>
      <c r="BD116" s="830"/>
      <c r="BE116" s="830"/>
      <c r="BF116" s="665"/>
      <c r="BG116" s="830"/>
      <c r="BH116" s="831">
        <f t="shared" si="28"/>
        <v>30.6</v>
      </c>
      <c r="BI116" s="831">
        <f t="shared" si="29"/>
        <v>2</v>
      </c>
      <c r="BJ116" s="831">
        <f t="shared" si="30"/>
        <v>23.8</v>
      </c>
      <c r="BK116" s="831">
        <f t="shared" si="31"/>
        <v>10</v>
      </c>
      <c r="BL116" s="831">
        <f t="shared" si="32"/>
        <v>9.5</v>
      </c>
      <c r="BM116" s="831">
        <f t="shared" si="33"/>
        <v>5.6</v>
      </c>
      <c r="BN116" s="831">
        <f t="shared" si="34"/>
        <v>13</v>
      </c>
      <c r="BO116" s="831">
        <f t="shared" si="35"/>
        <v>5.5</v>
      </c>
      <c r="BP116" s="831">
        <f t="shared" si="27"/>
        <v>100</v>
      </c>
      <c r="BQ116" s="665" t="s">
        <v>4575</v>
      </c>
      <c r="BR116" s="832"/>
      <c r="BS116" s="832"/>
      <c r="BT116" s="832"/>
      <c r="BU116" s="832"/>
      <c r="BV116" s="832"/>
      <c r="BW116" s="832"/>
      <c r="BX116" s="665"/>
      <c r="DH116" s="834" t="str">
        <f t="shared" si="38"/>
        <v>Iceland</v>
      </c>
      <c r="DI116" s="834" t="str">
        <f t="shared" si="38"/>
        <v>Europe</v>
      </c>
      <c r="DJ116" s="834" t="str">
        <f t="shared" si="38"/>
        <v>Northern Europe</v>
      </c>
      <c r="DL116" s="834" t="s">
        <v>4584</v>
      </c>
      <c r="DN116" s="834" t="s">
        <v>5131</v>
      </c>
      <c r="DO116" s="834" t="s">
        <v>5132</v>
      </c>
    </row>
    <row r="117" spans="3:119" ht="25.5">
      <c r="C117" s="641" t="s">
        <v>5133</v>
      </c>
      <c r="D117" s="841" t="s">
        <v>4837</v>
      </c>
      <c r="E117" s="816">
        <v>5934.8</v>
      </c>
      <c r="F117" s="817" t="s">
        <v>4652</v>
      </c>
      <c r="G117" s="818" t="s">
        <v>4838</v>
      </c>
      <c r="H117" s="817"/>
      <c r="I117" s="818"/>
      <c r="J117" s="817"/>
      <c r="AW117" s="842" t="s">
        <v>5134</v>
      </c>
      <c r="AX117" s="842" t="s">
        <v>4572</v>
      </c>
      <c r="AY117" s="846" t="str">
        <f>+BZ4</f>
        <v>South-Central Asia</v>
      </c>
      <c r="AZ117" s="842">
        <v>708</v>
      </c>
      <c r="BA117" s="665" t="s">
        <v>5135</v>
      </c>
      <c r="BB117" s="847">
        <v>19.330407318027152</v>
      </c>
      <c r="BC117" s="665" t="s">
        <v>4598</v>
      </c>
      <c r="BD117" s="842">
        <v>1.4E-2</v>
      </c>
      <c r="BE117" s="842">
        <v>1E-3</v>
      </c>
      <c r="BF117" s="665" t="s">
        <v>4929</v>
      </c>
      <c r="BG117" s="830"/>
      <c r="BH117" s="831">
        <f t="shared" si="28"/>
        <v>11.3</v>
      </c>
      <c r="BI117" s="831">
        <f t="shared" si="29"/>
        <v>2.5</v>
      </c>
      <c r="BJ117" s="831">
        <f t="shared" si="30"/>
        <v>40.299999999999997</v>
      </c>
      <c r="BK117" s="831">
        <f t="shared" si="31"/>
        <v>7.9</v>
      </c>
      <c r="BL117" s="831">
        <f t="shared" si="32"/>
        <v>9.5</v>
      </c>
      <c r="BM117" s="831">
        <f t="shared" si="33"/>
        <v>5.6</v>
      </c>
      <c r="BN117" s="831">
        <f t="shared" si="34"/>
        <v>6.4</v>
      </c>
      <c r="BO117" s="831">
        <f t="shared" si="35"/>
        <v>16.5</v>
      </c>
      <c r="BP117" s="831">
        <f t="shared" si="27"/>
        <v>100</v>
      </c>
      <c r="BQ117" s="665" t="s">
        <v>4575</v>
      </c>
      <c r="BR117" s="832"/>
      <c r="BS117" s="832"/>
      <c r="BT117" s="832"/>
      <c r="BU117" s="832"/>
      <c r="BV117" s="832"/>
      <c r="BW117" s="832"/>
      <c r="BX117" s="665"/>
      <c r="DH117" s="834" t="str">
        <f t="shared" si="38"/>
        <v>India</v>
      </c>
      <c r="DI117" s="834" t="str">
        <f t="shared" si="38"/>
        <v>Asia</v>
      </c>
      <c r="DJ117" s="834" t="str">
        <f t="shared" si="38"/>
        <v>South-Central Asia</v>
      </c>
      <c r="DK117" s="834" t="e">
        <f>VLOOKUP(DH117,#REF!,1)</f>
        <v>#REF!</v>
      </c>
      <c r="DL117" s="834" t="e">
        <f>VLOOKUP(DK117,#REF!,2,FALSE)</f>
        <v>#REF!</v>
      </c>
      <c r="DN117" s="834" t="s">
        <v>5136</v>
      </c>
      <c r="DO117" s="834" t="s">
        <v>5137</v>
      </c>
    </row>
    <row r="118" spans="3:119">
      <c r="C118" s="641" t="s">
        <v>5138</v>
      </c>
      <c r="D118" s="841" t="s">
        <v>4837</v>
      </c>
      <c r="E118" s="816">
        <v>325.34999999999997</v>
      </c>
      <c r="F118" s="817" t="s">
        <v>4652</v>
      </c>
      <c r="G118" s="818" t="s">
        <v>4838</v>
      </c>
      <c r="H118" s="817"/>
      <c r="I118" s="818"/>
      <c r="J118" s="817"/>
      <c r="AW118" s="827" t="s">
        <v>5139</v>
      </c>
      <c r="AX118" s="827" t="s">
        <v>4572</v>
      </c>
      <c r="AY118" s="828" t="str">
        <f>+BZ5</f>
        <v>South-Eastern Asia</v>
      </c>
      <c r="AZ118" s="827">
        <v>761</v>
      </c>
      <c r="BA118" s="665" t="s">
        <v>5140</v>
      </c>
      <c r="BB118" s="829">
        <v>9.4011655461742354</v>
      </c>
      <c r="BC118" s="665" t="s">
        <v>4598</v>
      </c>
      <c r="BD118" s="842">
        <v>0.2</v>
      </c>
      <c r="BE118" s="842">
        <v>0</v>
      </c>
      <c r="BF118" s="665" t="s">
        <v>4748</v>
      </c>
      <c r="BG118" s="830"/>
      <c r="BH118" s="831">
        <f t="shared" si="28"/>
        <v>12.9</v>
      </c>
      <c r="BI118" s="831">
        <f t="shared" si="29"/>
        <v>2.7</v>
      </c>
      <c r="BJ118" s="831">
        <f t="shared" si="30"/>
        <v>43.5</v>
      </c>
      <c r="BK118" s="831">
        <f t="shared" si="31"/>
        <v>9.9</v>
      </c>
      <c r="BL118" s="831">
        <f t="shared" si="32"/>
        <v>9.5</v>
      </c>
      <c r="BM118" s="831">
        <f t="shared" si="33"/>
        <v>5.6</v>
      </c>
      <c r="BN118" s="831">
        <f t="shared" si="34"/>
        <v>7.2</v>
      </c>
      <c r="BO118" s="831">
        <f t="shared" si="35"/>
        <v>8.7000000000000028</v>
      </c>
      <c r="BP118" s="831">
        <f t="shared" si="27"/>
        <v>100</v>
      </c>
      <c r="BQ118" s="665" t="s">
        <v>4575</v>
      </c>
      <c r="BR118" s="832"/>
      <c r="BS118" s="832"/>
      <c r="BT118" s="832"/>
      <c r="BU118" s="832"/>
      <c r="BV118" s="832"/>
      <c r="BW118" s="832"/>
      <c r="BX118" s="665"/>
      <c r="DH118" s="834" t="str">
        <f t="shared" si="38"/>
        <v>Indonesia</v>
      </c>
      <c r="DI118" s="834" t="str">
        <f t="shared" si="38"/>
        <v>Asia</v>
      </c>
      <c r="DJ118" s="834" t="str">
        <f t="shared" si="38"/>
        <v>South-Eastern Asia</v>
      </c>
      <c r="DK118" s="834" t="e">
        <f>VLOOKUP(DH118,#REF!,1)</f>
        <v>#REF!</v>
      </c>
      <c r="DL118" s="834" t="e">
        <f>VLOOKUP(DK118,#REF!,2,FALSE)</f>
        <v>#REF!</v>
      </c>
      <c r="DN118" s="834" t="s">
        <v>5141</v>
      </c>
      <c r="DO118" s="834" t="s">
        <v>5142</v>
      </c>
    </row>
    <row r="119" spans="3:119">
      <c r="C119" s="641" t="s">
        <v>5143</v>
      </c>
      <c r="D119" s="841" t="s">
        <v>4837</v>
      </c>
      <c r="E119" s="816">
        <v>0</v>
      </c>
      <c r="F119" s="817" t="s">
        <v>4652</v>
      </c>
      <c r="G119" s="818" t="s">
        <v>4838</v>
      </c>
      <c r="H119" s="817"/>
      <c r="I119" s="818"/>
      <c r="J119" s="817"/>
      <c r="AW119" s="827" t="s">
        <v>5144</v>
      </c>
      <c r="AX119" s="827" t="s">
        <v>4572</v>
      </c>
      <c r="AY119" s="828" t="str">
        <f>+BZ6</f>
        <v>Western Asia &amp; Middle East</v>
      </c>
      <c r="AZ119" s="827">
        <v>470</v>
      </c>
      <c r="BA119" s="665" t="s">
        <v>4573</v>
      </c>
      <c r="BB119" s="829">
        <v>12.603374252118465</v>
      </c>
      <c r="BC119" s="665" t="s">
        <v>4598</v>
      </c>
      <c r="BD119" s="830"/>
      <c r="BE119" s="830"/>
      <c r="BF119" s="665"/>
      <c r="BG119" s="830"/>
      <c r="BH119" s="831">
        <f t="shared" si="28"/>
        <v>18</v>
      </c>
      <c r="BI119" s="831">
        <f t="shared" si="29"/>
        <v>2.9</v>
      </c>
      <c r="BJ119" s="831">
        <f t="shared" si="30"/>
        <v>41.1</v>
      </c>
      <c r="BK119" s="831">
        <f t="shared" si="31"/>
        <v>9.8000000000000007</v>
      </c>
      <c r="BL119" s="831">
        <f t="shared" si="32"/>
        <v>9.5</v>
      </c>
      <c r="BM119" s="831">
        <f t="shared" si="33"/>
        <v>5.6</v>
      </c>
      <c r="BN119" s="831">
        <f t="shared" si="34"/>
        <v>6.3</v>
      </c>
      <c r="BO119" s="831">
        <f t="shared" si="35"/>
        <v>6.8000000000000114</v>
      </c>
      <c r="BP119" s="831">
        <f t="shared" si="27"/>
        <v>100</v>
      </c>
      <c r="BQ119" s="665" t="s">
        <v>4575</v>
      </c>
      <c r="BR119" s="832"/>
      <c r="BS119" s="832"/>
      <c r="BT119" s="832"/>
      <c r="BU119" s="832"/>
      <c r="BV119" s="832"/>
      <c r="BW119" s="832"/>
      <c r="BX119" s="665"/>
      <c r="DH119" s="834" t="str">
        <f t="shared" si="38"/>
        <v>Iran</v>
      </c>
      <c r="DI119" s="834" t="str">
        <f t="shared" si="38"/>
        <v>Asia</v>
      </c>
      <c r="DJ119" s="834" t="str">
        <f t="shared" si="38"/>
        <v>Western Asia &amp; Middle East</v>
      </c>
      <c r="DL119" s="834" t="s">
        <v>4584</v>
      </c>
      <c r="DN119" s="834" t="s">
        <v>5145</v>
      </c>
      <c r="DO119" s="834" t="s">
        <v>5146</v>
      </c>
    </row>
    <row r="120" spans="3:119">
      <c r="C120" s="641" t="s">
        <v>5147</v>
      </c>
      <c r="D120" s="841" t="s">
        <v>4837</v>
      </c>
      <c r="E120" s="816">
        <v>0</v>
      </c>
      <c r="F120" s="817" t="s">
        <v>4652</v>
      </c>
      <c r="G120" s="818" t="s">
        <v>4838</v>
      </c>
      <c r="H120" s="817"/>
      <c r="I120" s="818"/>
      <c r="J120" s="817"/>
      <c r="AW120" s="827" t="s">
        <v>5148</v>
      </c>
      <c r="AX120" s="827" t="s">
        <v>4572</v>
      </c>
      <c r="AY120" s="828" t="str">
        <f>+BZ6</f>
        <v>Western Asia &amp; Middle East</v>
      </c>
      <c r="AZ120" s="827">
        <v>934</v>
      </c>
      <c r="BA120" s="665" t="s">
        <v>4573</v>
      </c>
      <c r="BB120" s="829">
        <v>50.631566521071889</v>
      </c>
      <c r="BC120" s="665" t="s">
        <v>4598</v>
      </c>
      <c r="BD120" s="830"/>
      <c r="BE120" s="830"/>
      <c r="BF120" s="665"/>
      <c r="BG120" s="830"/>
      <c r="BH120" s="831">
        <f t="shared" si="28"/>
        <v>18</v>
      </c>
      <c r="BI120" s="831">
        <f t="shared" si="29"/>
        <v>2.9</v>
      </c>
      <c r="BJ120" s="831">
        <f t="shared" si="30"/>
        <v>41.1</v>
      </c>
      <c r="BK120" s="831">
        <f t="shared" si="31"/>
        <v>9.8000000000000007</v>
      </c>
      <c r="BL120" s="831">
        <f t="shared" si="32"/>
        <v>9.5</v>
      </c>
      <c r="BM120" s="831">
        <f t="shared" si="33"/>
        <v>5.6</v>
      </c>
      <c r="BN120" s="831">
        <f t="shared" si="34"/>
        <v>6.3</v>
      </c>
      <c r="BO120" s="831">
        <f t="shared" si="35"/>
        <v>6.8000000000000114</v>
      </c>
      <c r="BP120" s="831">
        <f t="shared" si="27"/>
        <v>100</v>
      </c>
      <c r="BQ120" s="665" t="s">
        <v>4575</v>
      </c>
      <c r="BR120" s="832"/>
      <c r="BS120" s="832"/>
      <c r="BT120" s="832"/>
      <c r="BU120" s="832"/>
      <c r="BV120" s="832"/>
      <c r="BW120" s="832"/>
      <c r="BX120" s="665"/>
      <c r="DH120" s="834" t="str">
        <f t="shared" si="38"/>
        <v>Iraq</v>
      </c>
      <c r="DI120" s="834" t="str">
        <f t="shared" si="38"/>
        <v>Asia</v>
      </c>
      <c r="DJ120" s="834" t="str">
        <f t="shared" si="38"/>
        <v>Western Asia &amp; Middle East</v>
      </c>
      <c r="DL120" s="834" t="s">
        <v>4584</v>
      </c>
      <c r="DN120" s="834" t="s">
        <v>5149</v>
      </c>
      <c r="DO120" s="834" t="s">
        <v>5150</v>
      </c>
    </row>
    <row r="121" spans="3:119">
      <c r="C121" s="641" t="s">
        <v>5151</v>
      </c>
      <c r="D121" s="841" t="s">
        <v>4837</v>
      </c>
      <c r="E121" s="816">
        <v>3985</v>
      </c>
      <c r="F121" s="817" t="s">
        <v>4652</v>
      </c>
      <c r="G121" s="818" t="s">
        <v>4838</v>
      </c>
      <c r="H121" s="817"/>
      <c r="I121" s="818"/>
      <c r="J121" s="817"/>
      <c r="AW121" s="827" t="s">
        <v>5152</v>
      </c>
      <c r="AX121" s="827" t="s">
        <v>4597</v>
      </c>
      <c r="AY121" s="828" t="str">
        <f>+BZ13</f>
        <v>Northern Europe</v>
      </c>
      <c r="AZ121" s="827">
        <v>424.9</v>
      </c>
      <c r="BA121" s="665" t="s">
        <v>4747</v>
      </c>
      <c r="BB121" s="829">
        <v>7.9200247985120891</v>
      </c>
      <c r="BC121" s="665" t="s">
        <v>4598</v>
      </c>
      <c r="BD121" s="830"/>
      <c r="BE121" s="830"/>
      <c r="BF121" s="665"/>
      <c r="BG121" s="830"/>
      <c r="BH121" s="831">
        <f t="shared" si="28"/>
        <v>30.6</v>
      </c>
      <c r="BI121" s="831">
        <f t="shared" si="29"/>
        <v>2</v>
      </c>
      <c r="BJ121" s="831">
        <f t="shared" si="30"/>
        <v>23.8</v>
      </c>
      <c r="BK121" s="831">
        <f t="shared" si="31"/>
        <v>10</v>
      </c>
      <c r="BL121" s="831">
        <f t="shared" si="32"/>
        <v>9.5</v>
      </c>
      <c r="BM121" s="831">
        <f t="shared" si="33"/>
        <v>5.6</v>
      </c>
      <c r="BN121" s="831">
        <f t="shared" si="34"/>
        <v>13</v>
      </c>
      <c r="BO121" s="831">
        <f t="shared" si="35"/>
        <v>5.5</v>
      </c>
      <c r="BP121" s="831">
        <f t="shared" si="27"/>
        <v>100</v>
      </c>
      <c r="BQ121" s="665" t="s">
        <v>4575</v>
      </c>
      <c r="BR121" s="832"/>
      <c r="BS121" s="832"/>
      <c r="BT121" s="832"/>
      <c r="BU121" s="832"/>
      <c r="BV121" s="832"/>
      <c r="BW121" s="832"/>
      <c r="BX121" s="665"/>
      <c r="DH121" s="834" t="str">
        <f t="shared" si="38"/>
        <v>Ireland</v>
      </c>
      <c r="DI121" s="834" t="str">
        <f t="shared" si="38"/>
        <v>Europe</v>
      </c>
      <c r="DJ121" s="834" t="str">
        <f t="shared" si="38"/>
        <v>Northern Europe</v>
      </c>
      <c r="DK121" s="834" t="e">
        <f>VLOOKUP(DH121,#REF!,1)</f>
        <v>#REF!</v>
      </c>
      <c r="DL121" s="834" t="e">
        <f>VLOOKUP(DK121,#REF!,2,FALSE)</f>
        <v>#REF!</v>
      </c>
      <c r="DN121" s="834" t="s">
        <v>5153</v>
      </c>
      <c r="DO121" s="834" t="s">
        <v>5154</v>
      </c>
    </row>
    <row r="122" spans="3:119" ht="25.5">
      <c r="C122" s="641" t="s">
        <v>5155</v>
      </c>
      <c r="D122" s="841" t="s">
        <v>4837</v>
      </c>
      <c r="E122" s="816">
        <v>13214</v>
      </c>
      <c r="F122" s="817" t="s">
        <v>4652</v>
      </c>
      <c r="G122" s="818" t="s">
        <v>4838</v>
      </c>
      <c r="H122" s="817"/>
      <c r="I122" s="818"/>
      <c r="J122" s="817"/>
      <c r="AW122" s="827" t="s">
        <v>5156</v>
      </c>
      <c r="AX122" s="827" t="s">
        <v>4597</v>
      </c>
      <c r="AY122" s="828" t="str">
        <f>+BZ13</f>
        <v>Northern Europe</v>
      </c>
      <c r="AZ122" s="827">
        <v>303</v>
      </c>
      <c r="BA122" s="665" t="s">
        <v>4573</v>
      </c>
      <c r="BB122" s="829">
        <v>6.2171813834411278</v>
      </c>
      <c r="BC122" s="665" t="s">
        <v>4636</v>
      </c>
      <c r="BD122" s="830"/>
      <c r="BE122" s="830"/>
      <c r="BF122" s="665"/>
      <c r="BG122" s="830"/>
      <c r="BH122" s="831">
        <f t="shared" si="28"/>
        <v>30.6</v>
      </c>
      <c r="BI122" s="831">
        <f t="shared" si="29"/>
        <v>2</v>
      </c>
      <c r="BJ122" s="831">
        <f t="shared" si="30"/>
        <v>23.8</v>
      </c>
      <c r="BK122" s="831">
        <f t="shared" si="31"/>
        <v>10</v>
      </c>
      <c r="BL122" s="831">
        <f t="shared" si="32"/>
        <v>9.5</v>
      </c>
      <c r="BM122" s="831">
        <f t="shared" si="33"/>
        <v>5.6</v>
      </c>
      <c r="BN122" s="831">
        <f t="shared" si="34"/>
        <v>13</v>
      </c>
      <c r="BO122" s="831">
        <f t="shared" si="35"/>
        <v>5.5</v>
      </c>
      <c r="BP122" s="831">
        <f t="shared" si="27"/>
        <v>100</v>
      </c>
      <c r="BQ122" s="665" t="s">
        <v>4575</v>
      </c>
      <c r="BR122" s="832"/>
      <c r="BS122" s="832"/>
      <c r="BT122" s="832"/>
      <c r="BU122" s="832"/>
      <c r="BV122" s="832"/>
      <c r="BW122" s="832"/>
      <c r="BX122" s="665"/>
      <c r="DH122" s="834" t="str">
        <f t="shared" si="38"/>
        <v>Isle of Man</v>
      </c>
      <c r="DI122" s="834" t="str">
        <f t="shared" si="38"/>
        <v>Europe</v>
      </c>
      <c r="DJ122" s="834" t="str">
        <f t="shared" si="38"/>
        <v>Northern Europe</v>
      </c>
      <c r="DL122" s="834" t="s">
        <v>4584</v>
      </c>
      <c r="DN122" s="834" t="s">
        <v>5157</v>
      </c>
      <c r="DO122" s="834" t="s">
        <v>5158</v>
      </c>
    </row>
    <row r="123" spans="3:119">
      <c r="C123" s="641" t="s">
        <v>5159</v>
      </c>
      <c r="D123" s="841" t="s">
        <v>4837</v>
      </c>
      <c r="E123" s="816">
        <v>13396</v>
      </c>
      <c r="F123" s="817" t="s">
        <v>4652</v>
      </c>
      <c r="G123" s="818" t="s">
        <v>4838</v>
      </c>
      <c r="H123" s="817"/>
      <c r="I123" s="818"/>
      <c r="J123" s="817"/>
      <c r="AW123" s="827" t="s">
        <v>5160</v>
      </c>
      <c r="AX123" s="827" t="s">
        <v>4572</v>
      </c>
      <c r="AY123" s="828" t="str">
        <f>+BZ6</f>
        <v>Western Asia &amp; Middle East</v>
      </c>
      <c r="AZ123" s="827">
        <v>303</v>
      </c>
      <c r="BA123" s="665" t="s">
        <v>4573</v>
      </c>
      <c r="BB123" s="829">
        <v>2.8579415585483368</v>
      </c>
      <c r="BC123" s="665" t="s">
        <v>4598</v>
      </c>
      <c r="BD123" s="830"/>
      <c r="BE123" s="830"/>
      <c r="BF123" s="665"/>
      <c r="BG123" s="830"/>
      <c r="BH123" s="831">
        <f t="shared" si="28"/>
        <v>18</v>
      </c>
      <c r="BI123" s="831">
        <f t="shared" si="29"/>
        <v>2.9</v>
      </c>
      <c r="BJ123" s="831">
        <f t="shared" si="30"/>
        <v>41.1</v>
      </c>
      <c r="BK123" s="831">
        <f t="shared" si="31"/>
        <v>9.8000000000000007</v>
      </c>
      <c r="BL123" s="831">
        <f t="shared" si="32"/>
        <v>9.5</v>
      </c>
      <c r="BM123" s="831">
        <f t="shared" si="33"/>
        <v>5.6</v>
      </c>
      <c r="BN123" s="831">
        <f t="shared" si="34"/>
        <v>6.3</v>
      </c>
      <c r="BO123" s="831">
        <f t="shared" si="35"/>
        <v>6.8000000000000114</v>
      </c>
      <c r="BP123" s="831">
        <f t="shared" si="27"/>
        <v>100</v>
      </c>
      <c r="BQ123" s="665" t="s">
        <v>4575</v>
      </c>
      <c r="BR123" s="832"/>
      <c r="BS123" s="832"/>
      <c r="BT123" s="832"/>
      <c r="BU123" s="832"/>
      <c r="BV123" s="832"/>
      <c r="BW123" s="832"/>
      <c r="BX123" s="665"/>
      <c r="DH123" s="834" t="str">
        <f t="shared" si="38"/>
        <v>Israel</v>
      </c>
      <c r="DI123" s="834" t="str">
        <f t="shared" si="38"/>
        <v>Asia</v>
      </c>
      <c r="DJ123" s="834" t="str">
        <f t="shared" si="38"/>
        <v>Western Asia &amp; Middle East</v>
      </c>
      <c r="DL123" s="834" t="s">
        <v>4584</v>
      </c>
      <c r="DN123" s="834" t="s">
        <v>5161</v>
      </c>
      <c r="DO123" s="834" t="s">
        <v>1235</v>
      </c>
    </row>
    <row r="124" spans="3:119">
      <c r="C124" s="641" t="s">
        <v>5162</v>
      </c>
      <c r="D124" s="767" t="s">
        <v>4837</v>
      </c>
      <c r="E124" s="816">
        <v>4944.8</v>
      </c>
      <c r="F124" s="817" t="s">
        <v>4652</v>
      </c>
      <c r="G124" s="818" t="s">
        <v>4838</v>
      </c>
      <c r="H124" s="817"/>
      <c r="I124" s="818"/>
      <c r="J124" s="817"/>
      <c r="M124" s="857"/>
      <c r="N124" s="857"/>
      <c r="O124" s="857"/>
      <c r="P124" s="857"/>
      <c r="Q124" s="857"/>
      <c r="R124" s="857"/>
      <c r="S124" s="857"/>
      <c r="T124" s="857"/>
      <c r="U124" s="857"/>
      <c r="V124" s="857"/>
      <c r="AW124" s="827" t="s">
        <v>5163</v>
      </c>
      <c r="AX124" s="827" t="s">
        <v>4597</v>
      </c>
      <c r="AY124" s="828" t="str">
        <f>+BZ14</f>
        <v>Southern Europe</v>
      </c>
      <c r="AZ124" s="827">
        <v>256.2</v>
      </c>
      <c r="BA124" s="665" t="s">
        <v>4747</v>
      </c>
      <c r="BB124" s="829">
        <v>6.9938442951861814</v>
      </c>
      <c r="BC124" s="665" t="s">
        <v>4598</v>
      </c>
      <c r="BD124" s="842">
        <v>0.08</v>
      </c>
      <c r="BE124" s="842">
        <v>0.08</v>
      </c>
      <c r="BF124" s="665" t="s">
        <v>4748</v>
      </c>
      <c r="BG124" s="830"/>
      <c r="BH124" s="831">
        <f t="shared" si="28"/>
        <v>17</v>
      </c>
      <c r="BI124" s="831">
        <f t="shared" si="29"/>
        <v>6.8</v>
      </c>
      <c r="BJ124" s="831">
        <f t="shared" si="30"/>
        <v>36.9</v>
      </c>
      <c r="BK124" s="831">
        <f t="shared" si="31"/>
        <v>10.6</v>
      </c>
      <c r="BL124" s="831">
        <f t="shared" si="32"/>
        <v>9.5</v>
      </c>
      <c r="BM124" s="831">
        <f t="shared" si="33"/>
        <v>5.6</v>
      </c>
      <c r="BN124" s="831">
        <f t="shared" si="34"/>
        <v>6.8</v>
      </c>
      <c r="BO124" s="831">
        <f t="shared" si="35"/>
        <v>6.8</v>
      </c>
      <c r="BP124" s="831">
        <f t="shared" si="27"/>
        <v>99.999999999999986</v>
      </c>
      <c r="BQ124" s="665" t="s">
        <v>4575</v>
      </c>
      <c r="BR124" s="832"/>
      <c r="BS124" s="832"/>
      <c r="BT124" s="832"/>
      <c r="BU124" s="832"/>
      <c r="BV124" s="832"/>
      <c r="BW124" s="832"/>
      <c r="BX124" s="665"/>
      <c r="DH124" s="834" t="str">
        <f t="shared" si="38"/>
        <v>Italy</v>
      </c>
      <c r="DI124" s="834" t="str">
        <f t="shared" si="38"/>
        <v>Europe</v>
      </c>
      <c r="DJ124" s="834" t="str">
        <f t="shared" si="38"/>
        <v>Southern Europe</v>
      </c>
      <c r="DK124" s="834" t="e">
        <f>VLOOKUP(DH124,#REF!,1)</f>
        <v>#REF!</v>
      </c>
      <c r="DL124" s="834" t="e">
        <f>VLOOKUP(DK124,#REF!,2,FALSE)</f>
        <v>#REF!</v>
      </c>
      <c r="DN124" s="834" t="s">
        <v>5164</v>
      </c>
      <c r="DO124" s="834" t="s">
        <v>5165</v>
      </c>
    </row>
    <row r="125" spans="3:119">
      <c r="C125" s="641" t="s">
        <v>5166</v>
      </c>
      <c r="D125" s="767" t="s">
        <v>4837</v>
      </c>
      <c r="E125" s="816">
        <v>0</v>
      </c>
      <c r="F125" s="817" t="s">
        <v>4652</v>
      </c>
      <c r="G125" s="818" t="s">
        <v>4838</v>
      </c>
      <c r="H125" s="817"/>
      <c r="I125" s="818"/>
      <c r="J125" s="817"/>
      <c r="M125" s="857"/>
      <c r="N125" s="857"/>
      <c r="O125" s="857"/>
      <c r="P125" s="857"/>
      <c r="Q125" s="857"/>
      <c r="R125" s="857"/>
      <c r="S125" s="857"/>
      <c r="T125" s="857"/>
      <c r="U125" s="857"/>
      <c r="V125" s="857"/>
      <c r="AW125" s="827" t="s">
        <v>5167</v>
      </c>
      <c r="AX125" s="842" t="s">
        <v>4657</v>
      </c>
      <c r="AY125" s="828" t="str">
        <f>+BZ21</f>
        <v>Caribbean</v>
      </c>
      <c r="AZ125" s="827">
        <v>543</v>
      </c>
      <c r="BA125" s="665" t="s">
        <v>4573</v>
      </c>
      <c r="BB125" s="829">
        <v>26.7458777885548</v>
      </c>
      <c r="BC125" s="665" t="s">
        <v>4598</v>
      </c>
      <c r="BD125" s="830"/>
      <c r="BE125" s="830"/>
      <c r="BF125" s="665"/>
      <c r="BG125" s="830"/>
      <c r="BH125" s="831">
        <f t="shared" si="28"/>
        <v>17</v>
      </c>
      <c r="BI125" s="831">
        <f t="shared" si="29"/>
        <v>5.0999999999999996</v>
      </c>
      <c r="BJ125" s="831">
        <f t="shared" si="30"/>
        <v>46.9</v>
      </c>
      <c r="BK125" s="831">
        <f t="shared" si="31"/>
        <v>2.4</v>
      </c>
      <c r="BL125" s="831">
        <f t="shared" si="32"/>
        <v>9.5</v>
      </c>
      <c r="BM125" s="831">
        <f t="shared" si="33"/>
        <v>5.6</v>
      </c>
      <c r="BN125" s="831">
        <f t="shared" si="34"/>
        <v>9.9</v>
      </c>
      <c r="BO125" s="831">
        <f t="shared" si="35"/>
        <v>3.5999999999999943</v>
      </c>
      <c r="BP125" s="831">
        <f t="shared" si="27"/>
        <v>100</v>
      </c>
      <c r="BQ125" s="665" t="s">
        <v>4575</v>
      </c>
      <c r="BR125" s="832"/>
      <c r="BS125" s="832"/>
      <c r="BT125" s="832"/>
      <c r="BU125" s="832"/>
      <c r="BV125" s="832"/>
      <c r="BW125" s="832"/>
      <c r="BX125" s="665"/>
      <c r="DH125" s="834" t="str">
        <f t="shared" si="38"/>
        <v>Jamaica</v>
      </c>
      <c r="DI125" s="834" t="str">
        <f t="shared" si="38"/>
        <v>Americas</v>
      </c>
      <c r="DJ125" s="834" t="str">
        <f t="shared" si="38"/>
        <v>Caribbean</v>
      </c>
      <c r="DL125" s="834" t="s">
        <v>4584</v>
      </c>
      <c r="DN125" s="834" t="s">
        <v>5168</v>
      </c>
      <c r="DO125" s="834" t="s">
        <v>5169</v>
      </c>
    </row>
    <row r="126" spans="3:119">
      <c r="C126" s="641" t="s">
        <v>5170</v>
      </c>
      <c r="D126" s="767" t="s">
        <v>4837</v>
      </c>
      <c r="E126" s="816">
        <v>0</v>
      </c>
      <c r="F126" s="817" t="s">
        <v>4652</v>
      </c>
      <c r="G126" s="818" t="s">
        <v>4838</v>
      </c>
      <c r="H126" s="817"/>
      <c r="I126" s="818"/>
      <c r="J126" s="817"/>
      <c r="AW126" s="827" t="s">
        <v>5171</v>
      </c>
      <c r="AX126" s="827" t="s">
        <v>4572</v>
      </c>
      <c r="AY126" s="828" t="str">
        <f>+BZ3</f>
        <v>Eastern Asia</v>
      </c>
      <c r="AZ126" s="827">
        <v>506</v>
      </c>
      <c r="BA126" s="665" t="s">
        <v>5172</v>
      </c>
      <c r="BB126" s="829">
        <v>4.3078172265260761</v>
      </c>
      <c r="BC126" s="665" t="s">
        <v>4598</v>
      </c>
      <c r="BD126" s="830"/>
      <c r="BE126" s="830"/>
      <c r="BF126" s="665"/>
      <c r="BG126" s="830"/>
      <c r="BH126" s="831">
        <f t="shared" si="28"/>
        <v>18.8</v>
      </c>
      <c r="BI126" s="831">
        <f t="shared" si="29"/>
        <v>3.5</v>
      </c>
      <c r="BJ126" s="831">
        <f t="shared" si="30"/>
        <v>26.2</v>
      </c>
      <c r="BK126" s="831">
        <f t="shared" si="31"/>
        <v>3.5</v>
      </c>
      <c r="BL126" s="831">
        <f t="shared" si="32"/>
        <v>9.5</v>
      </c>
      <c r="BM126" s="831">
        <f t="shared" si="33"/>
        <v>5.6</v>
      </c>
      <c r="BN126" s="831">
        <f t="shared" si="34"/>
        <v>14.3</v>
      </c>
      <c r="BO126" s="831">
        <f t="shared" si="35"/>
        <v>18.600000000000009</v>
      </c>
      <c r="BP126" s="831">
        <f t="shared" si="27"/>
        <v>100</v>
      </c>
      <c r="BQ126" s="665" t="s">
        <v>4575</v>
      </c>
      <c r="BR126" s="832"/>
      <c r="BS126" s="832"/>
      <c r="BT126" s="832"/>
      <c r="BU126" s="832"/>
      <c r="BV126" s="832"/>
      <c r="BW126" s="832"/>
      <c r="BX126" s="665"/>
      <c r="DH126" s="834" t="str">
        <f t="shared" si="38"/>
        <v>Japan</v>
      </c>
      <c r="DI126" s="834" t="str">
        <f t="shared" si="38"/>
        <v>Asia</v>
      </c>
      <c r="DJ126" s="834" t="str">
        <f t="shared" si="38"/>
        <v>Eastern Asia</v>
      </c>
      <c r="DK126" s="834" t="e">
        <f>VLOOKUP(DH126,#REF!,1)</f>
        <v>#REF!</v>
      </c>
      <c r="DL126" s="834" t="e">
        <f>VLOOKUP(DK126,#REF!,2,FALSE)</f>
        <v>#REF!</v>
      </c>
      <c r="DN126" s="834" t="s">
        <v>5173</v>
      </c>
      <c r="DO126" s="834" t="s">
        <v>5174</v>
      </c>
    </row>
    <row r="127" spans="3:119">
      <c r="C127" s="641" t="s">
        <v>5175</v>
      </c>
      <c r="D127" s="767" t="s">
        <v>4837</v>
      </c>
      <c r="E127" s="816">
        <v>189.3</v>
      </c>
      <c r="F127" s="817" t="s">
        <v>4652</v>
      </c>
      <c r="G127" s="818" t="s">
        <v>4838</v>
      </c>
      <c r="H127" s="817"/>
      <c r="I127" s="818"/>
      <c r="J127" s="817"/>
      <c r="M127" s="858"/>
      <c r="N127" s="858"/>
      <c r="O127" s="858"/>
      <c r="P127" s="858"/>
      <c r="Q127" s="858"/>
      <c r="R127" s="858"/>
      <c r="S127" s="858"/>
      <c r="T127" s="858"/>
      <c r="U127" s="858"/>
      <c r="V127" s="858"/>
      <c r="AW127" s="827" t="s">
        <v>5176</v>
      </c>
      <c r="AX127" s="827" t="s">
        <v>4572</v>
      </c>
      <c r="AY127" s="828" t="str">
        <f>+BZ6</f>
        <v>Western Asia &amp; Middle East</v>
      </c>
      <c r="AZ127" s="827">
        <v>516</v>
      </c>
      <c r="BA127" s="665" t="s">
        <v>4573</v>
      </c>
      <c r="BB127" s="829">
        <v>10.746432491767289</v>
      </c>
      <c r="BC127" s="665" t="s">
        <v>4598</v>
      </c>
      <c r="BD127" s="830"/>
      <c r="BE127" s="830"/>
      <c r="BF127" s="665"/>
      <c r="BG127" s="830"/>
      <c r="BH127" s="831">
        <f t="shared" si="28"/>
        <v>18</v>
      </c>
      <c r="BI127" s="831">
        <f t="shared" si="29"/>
        <v>2.9</v>
      </c>
      <c r="BJ127" s="831">
        <f t="shared" si="30"/>
        <v>41.1</v>
      </c>
      <c r="BK127" s="831">
        <f t="shared" si="31"/>
        <v>9.8000000000000007</v>
      </c>
      <c r="BL127" s="831">
        <f t="shared" si="32"/>
        <v>9.5</v>
      </c>
      <c r="BM127" s="831">
        <f t="shared" si="33"/>
        <v>5.6</v>
      </c>
      <c r="BN127" s="831">
        <f t="shared" si="34"/>
        <v>6.3</v>
      </c>
      <c r="BO127" s="831">
        <f t="shared" si="35"/>
        <v>6.8000000000000114</v>
      </c>
      <c r="BP127" s="831">
        <f t="shared" si="27"/>
        <v>100</v>
      </c>
      <c r="BQ127" s="665" t="s">
        <v>4575</v>
      </c>
      <c r="BR127" s="832"/>
      <c r="BS127" s="832"/>
      <c r="BT127" s="832"/>
      <c r="BU127" s="832"/>
      <c r="BV127" s="832"/>
      <c r="BW127" s="832"/>
      <c r="BX127" s="665"/>
      <c r="DH127" s="834" t="str">
        <f t="shared" si="38"/>
        <v>Jordan</v>
      </c>
      <c r="DI127" s="834" t="str">
        <f t="shared" si="38"/>
        <v>Asia</v>
      </c>
      <c r="DJ127" s="834" t="str">
        <f t="shared" si="38"/>
        <v>Western Asia &amp; Middle East</v>
      </c>
      <c r="DL127" s="834" t="s">
        <v>4584</v>
      </c>
      <c r="DN127" s="834" t="s">
        <v>5177</v>
      </c>
      <c r="DO127" s="834" t="s">
        <v>5178</v>
      </c>
    </row>
    <row r="128" spans="3:119">
      <c r="C128" s="641" t="s">
        <v>5179</v>
      </c>
      <c r="D128" s="767" t="s">
        <v>4830</v>
      </c>
      <c r="E128" s="816">
        <v>4</v>
      </c>
      <c r="F128" s="817" t="s">
        <v>4652</v>
      </c>
      <c r="G128" s="818" t="s">
        <v>5180</v>
      </c>
      <c r="H128" s="817"/>
      <c r="I128" s="818"/>
      <c r="J128" s="817" t="s">
        <v>5181</v>
      </c>
      <c r="M128" s="858"/>
      <c r="N128" s="858"/>
      <c r="O128" s="858"/>
      <c r="P128" s="858"/>
      <c r="Q128" s="858"/>
      <c r="R128" s="858"/>
      <c r="S128" s="858"/>
      <c r="T128" s="858"/>
      <c r="U128" s="858"/>
      <c r="V128" s="858"/>
      <c r="AW128" s="827" t="s">
        <v>5182</v>
      </c>
      <c r="AX128" s="827" t="s">
        <v>4572</v>
      </c>
      <c r="AY128" s="828" t="str">
        <f>+BZ4</f>
        <v>South-Central Asia</v>
      </c>
      <c r="AZ128" s="827">
        <v>653</v>
      </c>
      <c r="BA128" s="665" t="s">
        <v>4573</v>
      </c>
      <c r="BB128" s="829">
        <v>6.7403966954734083</v>
      </c>
      <c r="BC128" s="665" t="s">
        <v>4598</v>
      </c>
      <c r="BD128" s="830"/>
      <c r="BE128" s="830"/>
      <c r="BF128" s="665"/>
      <c r="BG128" s="830"/>
      <c r="BH128" s="831">
        <f t="shared" si="28"/>
        <v>11.3</v>
      </c>
      <c r="BI128" s="831">
        <f t="shared" si="29"/>
        <v>2.5</v>
      </c>
      <c r="BJ128" s="831">
        <f t="shared" si="30"/>
        <v>40.299999999999997</v>
      </c>
      <c r="BK128" s="831">
        <f t="shared" si="31"/>
        <v>7.9</v>
      </c>
      <c r="BL128" s="831">
        <f t="shared" si="32"/>
        <v>9.5</v>
      </c>
      <c r="BM128" s="831">
        <f t="shared" si="33"/>
        <v>5.6</v>
      </c>
      <c r="BN128" s="831">
        <f t="shared" si="34"/>
        <v>6.4</v>
      </c>
      <c r="BO128" s="831">
        <f t="shared" si="35"/>
        <v>16.5</v>
      </c>
      <c r="BP128" s="831">
        <f t="shared" si="27"/>
        <v>100</v>
      </c>
      <c r="BQ128" s="665" t="s">
        <v>4575</v>
      </c>
      <c r="BR128" s="832"/>
      <c r="BS128" s="832"/>
      <c r="BT128" s="832"/>
      <c r="BU128" s="832"/>
      <c r="BV128" s="832"/>
      <c r="BW128" s="832"/>
      <c r="BX128" s="665"/>
      <c r="DH128" s="834" t="str">
        <f t="shared" si="38"/>
        <v>Kazakhstan</v>
      </c>
      <c r="DI128" s="834" t="str">
        <f t="shared" si="38"/>
        <v>Asia</v>
      </c>
      <c r="DJ128" s="834" t="str">
        <f t="shared" si="38"/>
        <v>South-Central Asia</v>
      </c>
      <c r="DL128" s="834" t="s">
        <v>4584</v>
      </c>
      <c r="DN128" s="834" t="s">
        <v>5183</v>
      </c>
      <c r="DO128" s="834" t="s">
        <v>5184</v>
      </c>
    </row>
    <row r="129" spans="3:119">
      <c r="C129" s="641" t="s">
        <v>5185</v>
      </c>
      <c r="D129" s="767" t="s">
        <v>4830</v>
      </c>
      <c r="E129" s="816">
        <v>3</v>
      </c>
      <c r="F129" s="817" t="s">
        <v>4652</v>
      </c>
      <c r="G129" s="818" t="s">
        <v>5186</v>
      </c>
      <c r="H129" s="817"/>
      <c r="I129" s="818"/>
      <c r="J129" s="817"/>
      <c r="AW129" s="827" t="s">
        <v>5187</v>
      </c>
      <c r="AX129" s="827" t="s">
        <v>4614</v>
      </c>
      <c r="AY129" s="828" t="str">
        <f>+BZ7</f>
        <v>Eastern Africa</v>
      </c>
      <c r="AZ129" s="827">
        <v>317</v>
      </c>
      <c r="BA129" s="665" t="s">
        <v>4573</v>
      </c>
      <c r="BB129" s="829">
        <v>17.552387124648952</v>
      </c>
      <c r="BC129" s="665" t="s">
        <v>4598</v>
      </c>
      <c r="BD129" s="830"/>
      <c r="BE129" s="830"/>
      <c r="BF129" s="665"/>
      <c r="BG129" s="830"/>
      <c r="BH129" s="831">
        <f t="shared" si="28"/>
        <v>7.7</v>
      </c>
      <c r="BI129" s="831">
        <f t="shared" si="29"/>
        <v>1.7</v>
      </c>
      <c r="BJ129" s="831">
        <f t="shared" si="30"/>
        <v>53.9</v>
      </c>
      <c r="BK129" s="831">
        <f t="shared" si="31"/>
        <v>7</v>
      </c>
      <c r="BL129" s="831">
        <f t="shared" si="32"/>
        <v>9.5</v>
      </c>
      <c r="BM129" s="831">
        <f t="shared" si="33"/>
        <v>5.6</v>
      </c>
      <c r="BN129" s="831">
        <f t="shared" si="34"/>
        <v>5.5</v>
      </c>
      <c r="BO129" s="831">
        <f t="shared" si="35"/>
        <v>9.1000000000000085</v>
      </c>
      <c r="BP129" s="831">
        <f t="shared" si="27"/>
        <v>100</v>
      </c>
      <c r="BQ129" s="665" t="s">
        <v>4575</v>
      </c>
      <c r="BR129" s="832"/>
      <c r="BS129" s="832"/>
      <c r="BT129" s="832"/>
      <c r="BU129" s="832"/>
      <c r="BV129" s="832"/>
      <c r="BW129" s="832"/>
      <c r="BX129" s="665"/>
      <c r="DH129" s="834" t="str">
        <f t="shared" si="38"/>
        <v>Kenya</v>
      </c>
      <c r="DI129" s="834" t="str">
        <f t="shared" si="38"/>
        <v>Africa</v>
      </c>
      <c r="DJ129" s="834" t="str">
        <f t="shared" si="38"/>
        <v>Eastern Africa</v>
      </c>
      <c r="DL129" s="834" t="s">
        <v>4584</v>
      </c>
      <c r="DN129" s="834" t="s">
        <v>5188</v>
      </c>
      <c r="DO129" s="834" t="s">
        <v>5189</v>
      </c>
    </row>
    <row r="130" spans="3:119" ht="25.5">
      <c r="C130" s="641" t="s">
        <v>5190</v>
      </c>
      <c r="D130" s="767"/>
      <c r="E130" s="816">
        <v>0</v>
      </c>
      <c r="F130" s="817" t="s">
        <v>4652</v>
      </c>
      <c r="G130" s="818" t="s">
        <v>5186</v>
      </c>
      <c r="H130" s="817"/>
      <c r="I130" s="818"/>
      <c r="J130" s="817" t="s">
        <v>5191</v>
      </c>
      <c r="AW130" s="827" t="s">
        <v>5192</v>
      </c>
      <c r="AX130" s="842" t="s">
        <v>4626</v>
      </c>
      <c r="AY130" s="828" t="str">
        <f>+BZ17</f>
        <v>Rest of Oceania</v>
      </c>
      <c r="AZ130" s="827">
        <v>602</v>
      </c>
      <c r="BA130" s="665" t="s">
        <v>4573</v>
      </c>
      <c r="BB130" s="829">
        <v>5.4123414965002699</v>
      </c>
      <c r="BC130" s="665" t="s">
        <v>4627</v>
      </c>
      <c r="BD130" s="830"/>
      <c r="BE130" s="830"/>
      <c r="BF130" s="665"/>
      <c r="BG130" s="830"/>
      <c r="BH130" s="831">
        <f t="shared" si="28"/>
        <v>6</v>
      </c>
      <c r="BI130" s="831">
        <f t="shared" si="29"/>
        <v>2.97</v>
      </c>
      <c r="BJ130" s="831">
        <f t="shared" si="30"/>
        <v>67.5</v>
      </c>
      <c r="BK130" s="831">
        <f t="shared" si="31"/>
        <v>2.5</v>
      </c>
      <c r="BL130" s="831">
        <f t="shared" si="32"/>
        <v>9.5</v>
      </c>
      <c r="BM130" s="831">
        <f t="shared" si="33"/>
        <v>5.6</v>
      </c>
      <c r="BN130" s="831">
        <f t="shared" si="34"/>
        <v>2.97</v>
      </c>
      <c r="BO130" s="831">
        <f t="shared" si="35"/>
        <v>2.9666666666666668</v>
      </c>
      <c r="BP130" s="831">
        <f t="shared" si="27"/>
        <v>100.00666666666666</v>
      </c>
      <c r="BQ130" s="665" t="s">
        <v>4575</v>
      </c>
      <c r="BR130" s="832"/>
      <c r="BS130" s="832"/>
      <c r="BT130" s="832"/>
      <c r="BU130" s="832"/>
      <c r="BV130" s="832"/>
      <c r="BW130" s="832"/>
      <c r="BX130" s="665"/>
      <c r="DH130" s="834" t="str">
        <f t="shared" si="38"/>
        <v>Kiribati</v>
      </c>
      <c r="DI130" s="834" t="str">
        <f t="shared" si="38"/>
        <v>Oceania</v>
      </c>
      <c r="DJ130" s="834" t="str">
        <f t="shared" si="38"/>
        <v>Rest of Oceania</v>
      </c>
      <c r="DL130" s="834" t="s">
        <v>4584</v>
      </c>
      <c r="DN130" s="834" t="s">
        <v>5193</v>
      </c>
      <c r="DO130" s="834" t="s">
        <v>5194</v>
      </c>
    </row>
    <row r="131" spans="3:119" ht="38.25">
      <c r="C131" s="641" t="s">
        <v>5195</v>
      </c>
      <c r="D131" s="767"/>
      <c r="E131" s="816">
        <v>0</v>
      </c>
      <c r="F131" s="817" t="s">
        <v>4652</v>
      </c>
      <c r="G131" s="818"/>
      <c r="H131" s="817"/>
      <c r="I131" s="818"/>
      <c r="J131" s="817" t="s">
        <v>5196</v>
      </c>
      <c r="AW131" s="827" t="s">
        <v>5197</v>
      </c>
      <c r="AX131" s="827" t="s">
        <v>4572</v>
      </c>
      <c r="AY131" s="828" t="str">
        <f>+BZ3</f>
        <v>Eastern Asia</v>
      </c>
      <c r="AZ131" s="827">
        <v>407</v>
      </c>
      <c r="BA131" s="665" t="s">
        <v>4573</v>
      </c>
      <c r="BB131" s="829">
        <v>15.813278239991066</v>
      </c>
      <c r="BC131" s="665" t="s">
        <v>4598</v>
      </c>
      <c r="BD131" s="830"/>
      <c r="BE131" s="830"/>
      <c r="BF131" s="665"/>
      <c r="BG131" s="830"/>
      <c r="BH131" s="831">
        <f t="shared" si="28"/>
        <v>18.8</v>
      </c>
      <c r="BI131" s="831">
        <f t="shared" si="29"/>
        <v>3.5</v>
      </c>
      <c r="BJ131" s="831">
        <f t="shared" si="30"/>
        <v>26.2</v>
      </c>
      <c r="BK131" s="831">
        <f t="shared" si="31"/>
        <v>3.5</v>
      </c>
      <c r="BL131" s="831">
        <f t="shared" si="32"/>
        <v>9.5</v>
      </c>
      <c r="BM131" s="831">
        <f t="shared" si="33"/>
        <v>5.6</v>
      </c>
      <c r="BN131" s="831">
        <f t="shared" si="34"/>
        <v>14.3</v>
      </c>
      <c r="BO131" s="831">
        <f t="shared" si="35"/>
        <v>18.600000000000009</v>
      </c>
      <c r="BP131" s="831">
        <f t="shared" si="27"/>
        <v>100</v>
      </c>
      <c r="BQ131" s="665" t="s">
        <v>4575</v>
      </c>
      <c r="BR131" s="832"/>
      <c r="BS131" s="832"/>
      <c r="BT131" s="832"/>
      <c r="BU131" s="832"/>
      <c r="BV131" s="832"/>
      <c r="BW131" s="832"/>
      <c r="BX131" s="665"/>
      <c r="DH131" s="834" t="str">
        <f t="shared" si="38"/>
        <v>Korea (North). Dem. People's Rep. of</v>
      </c>
      <c r="DI131" s="834" t="str">
        <f t="shared" si="38"/>
        <v>Asia</v>
      </c>
      <c r="DJ131" s="834" t="str">
        <f t="shared" si="38"/>
        <v>Eastern Asia</v>
      </c>
      <c r="DL131" s="834" t="s">
        <v>4584</v>
      </c>
      <c r="DN131" s="834" t="s">
        <v>5198</v>
      </c>
      <c r="DO131" s="834" t="s">
        <v>5199</v>
      </c>
    </row>
    <row r="132" spans="3:119">
      <c r="C132" s="641" t="s">
        <v>5200</v>
      </c>
      <c r="D132" s="767" t="s">
        <v>5201</v>
      </c>
      <c r="E132" s="816">
        <v>4</v>
      </c>
      <c r="F132" s="817" t="s">
        <v>4652</v>
      </c>
      <c r="G132" s="818" t="s">
        <v>5186</v>
      </c>
      <c r="H132" s="817"/>
      <c r="I132" s="818"/>
      <c r="J132" s="817"/>
      <c r="AW132" s="827" t="s">
        <v>5202</v>
      </c>
      <c r="AX132" s="827" t="s">
        <v>4572</v>
      </c>
      <c r="AY132" s="828" t="str">
        <f>+BZ3</f>
        <v>Eastern Asia</v>
      </c>
      <c r="AZ132" s="827">
        <v>500</v>
      </c>
      <c r="BA132" s="665" t="s">
        <v>5203</v>
      </c>
      <c r="BB132" s="829">
        <v>3.3469752649917743</v>
      </c>
      <c r="BC132" s="665" t="s">
        <v>4598</v>
      </c>
      <c r="BD132" s="830"/>
      <c r="BE132" s="830"/>
      <c r="BF132" s="665"/>
      <c r="BG132" s="830"/>
      <c r="BH132" s="831">
        <f t="shared" si="28"/>
        <v>18.8</v>
      </c>
      <c r="BI132" s="831">
        <f t="shared" si="29"/>
        <v>3.5</v>
      </c>
      <c r="BJ132" s="831">
        <f t="shared" si="30"/>
        <v>26.2</v>
      </c>
      <c r="BK132" s="831">
        <f t="shared" si="31"/>
        <v>3.5</v>
      </c>
      <c r="BL132" s="831">
        <f t="shared" si="32"/>
        <v>9.5</v>
      </c>
      <c r="BM132" s="831">
        <f t="shared" si="33"/>
        <v>5.6</v>
      </c>
      <c r="BN132" s="831">
        <f t="shared" si="34"/>
        <v>14.3</v>
      </c>
      <c r="BO132" s="831">
        <f t="shared" si="35"/>
        <v>18.600000000000009</v>
      </c>
      <c r="BP132" s="831">
        <f t="shared" ref="BP132:BP195" si="39">+SUM(BH132:BO132)</f>
        <v>100</v>
      </c>
      <c r="BQ132" s="665" t="s">
        <v>4575</v>
      </c>
      <c r="BR132" s="832"/>
      <c r="BS132" s="832"/>
      <c r="BT132" s="832"/>
      <c r="BU132" s="832"/>
      <c r="BV132" s="832"/>
      <c r="BW132" s="832"/>
      <c r="BX132" s="665"/>
      <c r="DH132" s="834" t="str">
        <f t="shared" si="38"/>
        <v>Korea (South). Republic of</v>
      </c>
      <c r="DI132" s="834" t="str">
        <f t="shared" si="38"/>
        <v>Asia</v>
      </c>
      <c r="DJ132" s="834" t="str">
        <f t="shared" si="38"/>
        <v>Eastern Asia</v>
      </c>
      <c r="DK132" s="834" t="s">
        <v>5204</v>
      </c>
      <c r="DL132" s="834" t="e">
        <f>VLOOKUP(DK132,#REF!,2,FALSE)</f>
        <v>#REF!</v>
      </c>
      <c r="DN132" s="834" t="s">
        <v>5205</v>
      </c>
      <c r="DO132" s="834" t="s">
        <v>5206</v>
      </c>
    </row>
    <row r="133" spans="3:119">
      <c r="C133" s="641" t="s">
        <v>5207</v>
      </c>
      <c r="D133" s="767" t="s">
        <v>5201</v>
      </c>
      <c r="E133" s="816">
        <v>7</v>
      </c>
      <c r="F133" s="817" t="s">
        <v>4652</v>
      </c>
      <c r="G133" s="818" t="s">
        <v>5186</v>
      </c>
      <c r="H133" s="817"/>
      <c r="I133" s="818"/>
      <c r="J133" s="817"/>
      <c r="AW133" s="827" t="s">
        <v>5208</v>
      </c>
      <c r="AX133" s="827" t="s">
        <v>4597</v>
      </c>
      <c r="AY133" s="828" t="str">
        <f>+BZ12</f>
        <v>Eastern Europe</v>
      </c>
      <c r="AZ133" s="827">
        <v>832</v>
      </c>
      <c r="BA133" s="665" t="s">
        <v>4573</v>
      </c>
      <c r="BB133" s="829">
        <v>15.047829286239883</v>
      </c>
      <c r="BC133" s="665" t="s">
        <v>4598</v>
      </c>
      <c r="BD133" s="830"/>
      <c r="BE133" s="830"/>
      <c r="BF133" s="665"/>
      <c r="BG133" s="830"/>
      <c r="BH133" s="831">
        <f t="shared" si="28"/>
        <v>21.8</v>
      </c>
      <c r="BI133" s="831">
        <f t="shared" si="29"/>
        <v>4.7</v>
      </c>
      <c r="BJ133" s="831">
        <f t="shared" si="30"/>
        <v>30.1</v>
      </c>
      <c r="BK133" s="831">
        <f t="shared" si="31"/>
        <v>7.5</v>
      </c>
      <c r="BL133" s="831">
        <f t="shared" si="32"/>
        <v>9.5</v>
      </c>
      <c r="BM133" s="831">
        <f t="shared" si="33"/>
        <v>5.6</v>
      </c>
      <c r="BN133" s="831">
        <f t="shared" si="34"/>
        <v>6.2</v>
      </c>
      <c r="BO133" s="831">
        <f t="shared" si="35"/>
        <v>14.600000000000009</v>
      </c>
      <c r="BP133" s="831">
        <f t="shared" si="39"/>
        <v>100</v>
      </c>
      <c r="BQ133" s="665" t="s">
        <v>4575</v>
      </c>
      <c r="BR133" s="832"/>
      <c r="BS133" s="832"/>
      <c r="BT133" s="832"/>
      <c r="BU133" s="832"/>
      <c r="BV133" s="832"/>
      <c r="BW133" s="832"/>
      <c r="BX133" s="665"/>
      <c r="DH133" s="834" t="str">
        <f t="shared" si="38"/>
        <v>Kosovo</v>
      </c>
      <c r="DI133" s="834" t="str">
        <f t="shared" si="38"/>
        <v>Europe</v>
      </c>
      <c r="DJ133" s="834" t="str">
        <f t="shared" si="38"/>
        <v>Eastern Europe</v>
      </c>
      <c r="DL133" s="834" t="s">
        <v>4584</v>
      </c>
      <c r="DN133" s="834" t="s">
        <v>5209</v>
      </c>
      <c r="DO133" s="834" t="s">
        <v>5210</v>
      </c>
    </row>
    <row r="134" spans="3:119">
      <c r="C134" s="641" t="s">
        <v>5211</v>
      </c>
      <c r="D134" s="767" t="s">
        <v>5212</v>
      </c>
      <c r="E134" s="816">
        <v>1</v>
      </c>
      <c r="F134" s="817" t="s">
        <v>4652</v>
      </c>
      <c r="G134" s="818" t="s">
        <v>5186</v>
      </c>
      <c r="H134" s="817"/>
      <c r="I134" s="818"/>
      <c r="J134" s="817"/>
      <c r="AW134" s="827" t="s">
        <v>5213</v>
      </c>
      <c r="AX134" s="827" t="s">
        <v>4572</v>
      </c>
      <c r="AY134" s="828" t="str">
        <f>+BZ6</f>
        <v>Western Asia &amp; Middle East</v>
      </c>
      <c r="AZ134" s="827">
        <v>407</v>
      </c>
      <c r="BA134" s="665" t="s">
        <v>4573</v>
      </c>
      <c r="BB134" s="829">
        <v>11.661037764814246</v>
      </c>
      <c r="BC134" s="665" t="s">
        <v>4598</v>
      </c>
      <c r="BD134" s="830"/>
      <c r="BE134" s="830"/>
      <c r="BF134" s="665"/>
      <c r="BG134" s="830"/>
      <c r="BH134" s="831">
        <f t="shared" si="28"/>
        <v>18</v>
      </c>
      <c r="BI134" s="831">
        <f t="shared" si="29"/>
        <v>2.9</v>
      </c>
      <c r="BJ134" s="831">
        <f t="shared" si="30"/>
        <v>41.1</v>
      </c>
      <c r="BK134" s="831">
        <f t="shared" si="31"/>
        <v>9.8000000000000007</v>
      </c>
      <c r="BL134" s="831">
        <f t="shared" si="32"/>
        <v>9.5</v>
      </c>
      <c r="BM134" s="831">
        <f t="shared" si="33"/>
        <v>5.6</v>
      </c>
      <c r="BN134" s="831">
        <f t="shared" si="34"/>
        <v>6.3</v>
      </c>
      <c r="BO134" s="831">
        <f t="shared" si="35"/>
        <v>6.8000000000000114</v>
      </c>
      <c r="BP134" s="831">
        <f t="shared" si="39"/>
        <v>100</v>
      </c>
      <c r="BQ134" s="665" t="s">
        <v>4575</v>
      </c>
      <c r="BR134" s="832"/>
      <c r="BS134" s="832"/>
      <c r="BT134" s="832"/>
      <c r="BU134" s="832"/>
      <c r="BV134" s="832"/>
      <c r="BW134" s="832"/>
      <c r="BX134" s="665"/>
      <c r="DH134" s="834" t="str">
        <f t="shared" si="38"/>
        <v>Kuwait</v>
      </c>
      <c r="DI134" s="834" t="str">
        <f t="shared" si="38"/>
        <v>Asia</v>
      </c>
      <c r="DJ134" s="834" t="str">
        <f t="shared" si="38"/>
        <v>Western Asia &amp; Middle East</v>
      </c>
      <c r="DL134" s="834" t="s">
        <v>4584</v>
      </c>
      <c r="DN134" s="834" t="s">
        <v>5214</v>
      </c>
      <c r="DO134" s="834" t="s">
        <v>5215</v>
      </c>
    </row>
    <row r="135" spans="3:119">
      <c r="C135" s="858" t="s">
        <v>5216</v>
      </c>
      <c r="D135" s="859"/>
      <c r="AW135" s="827" t="s">
        <v>5217</v>
      </c>
      <c r="AX135" s="827" t="s">
        <v>4572</v>
      </c>
      <c r="AY135" s="828" t="str">
        <f>+BZ4</f>
        <v>South-Central Asia</v>
      </c>
      <c r="AZ135" s="827">
        <v>156</v>
      </c>
      <c r="BA135" s="665" t="s">
        <v>4573</v>
      </c>
      <c r="BB135" s="829">
        <v>23.730441943453197</v>
      </c>
      <c r="BC135" s="665" t="s">
        <v>4598</v>
      </c>
      <c r="BD135" s="830"/>
      <c r="BE135" s="830"/>
      <c r="BF135" s="665"/>
      <c r="BG135" s="830"/>
      <c r="BH135" s="831">
        <f t="shared" si="28"/>
        <v>11.3</v>
      </c>
      <c r="BI135" s="831">
        <f t="shared" si="29"/>
        <v>2.5</v>
      </c>
      <c r="BJ135" s="831">
        <f t="shared" si="30"/>
        <v>40.299999999999997</v>
      </c>
      <c r="BK135" s="831">
        <f t="shared" si="31"/>
        <v>7.9</v>
      </c>
      <c r="BL135" s="831">
        <f t="shared" si="32"/>
        <v>9.5</v>
      </c>
      <c r="BM135" s="831">
        <f t="shared" si="33"/>
        <v>5.6</v>
      </c>
      <c r="BN135" s="831">
        <f t="shared" si="34"/>
        <v>6.4</v>
      </c>
      <c r="BO135" s="831">
        <f t="shared" si="35"/>
        <v>16.5</v>
      </c>
      <c r="BP135" s="831">
        <f t="shared" si="39"/>
        <v>100</v>
      </c>
      <c r="BQ135" s="665" t="s">
        <v>4575</v>
      </c>
      <c r="BR135" s="832"/>
      <c r="BS135" s="832"/>
      <c r="BT135" s="832"/>
      <c r="BU135" s="832"/>
      <c r="BV135" s="832"/>
      <c r="BW135" s="832"/>
      <c r="BX135" s="665"/>
      <c r="DH135" s="834" t="str">
        <f t="shared" si="38"/>
        <v>Kyrgyzstan</v>
      </c>
      <c r="DI135" s="834" t="str">
        <f t="shared" si="38"/>
        <v>Asia</v>
      </c>
      <c r="DJ135" s="834" t="str">
        <f t="shared" si="38"/>
        <v>South-Central Asia</v>
      </c>
      <c r="DL135" s="834" t="s">
        <v>4584</v>
      </c>
      <c r="DN135" s="834" t="s">
        <v>5218</v>
      </c>
      <c r="DO135" s="834" t="s">
        <v>5219</v>
      </c>
    </row>
    <row r="136" spans="3:119" ht="25.5">
      <c r="C136" s="858" t="s">
        <v>5220</v>
      </c>
      <c r="D136" s="859"/>
      <c r="AW136" s="827" t="s">
        <v>5221</v>
      </c>
      <c r="AX136" s="827" t="s">
        <v>4572</v>
      </c>
      <c r="AY136" s="828" t="str">
        <f>+BZ5</f>
        <v>South-Eastern Asia</v>
      </c>
      <c r="AZ136" s="827">
        <v>366</v>
      </c>
      <c r="BA136" s="665" t="s">
        <v>4573</v>
      </c>
      <c r="BB136" s="829">
        <v>5.4123414965002699</v>
      </c>
      <c r="BC136" s="665" t="s">
        <v>4627</v>
      </c>
      <c r="BD136" s="830"/>
      <c r="BE136" s="830"/>
      <c r="BF136" s="665"/>
      <c r="BG136" s="830"/>
      <c r="BH136" s="831">
        <f t="shared" si="28"/>
        <v>12.9</v>
      </c>
      <c r="BI136" s="831">
        <f t="shared" si="29"/>
        <v>2.7</v>
      </c>
      <c r="BJ136" s="831">
        <f t="shared" si="30"/>
        <v>43.5</v>
      </c>
      <c r="BK136" s="831">
        <f t="shared" si="31"/>
        <v>9.9</v>
      </c>
      <c r="BL136" s="831">
        <f t="shared" si="32"/>
        <v>9.5</v>
      </c>
      <c r="BM136" s="831">
        <f t="shared" si="33"/>
        <v>5.6</v>
      </c>
      <c r="BN136" s="831">
        <f t="shared" si="34"/>
        <v>7.2</v>
      </c>
      <c r="BO136" s="831">
        <f t="shared" si="35"/>
        <v>8.7000000000000028</v>
      </c>
      <c r="BP136" s="831">
        <f t="shared" si="39"/>
        <v>100</v>
      </c>
      <c r="BQ136" s="665" t="s">
        <v>4575</v>
      </c>
      <c r="BR136" s="832"/>
      <c r="BS136" s="832"/>
      <c r="BT136" s="832"/>
      <c r="BU136" s="832"/>
      <c r="BV136" s="832"/>
      <c r="BW136" s="832"/>
      <c r="BX136" s="665"/>
      <c r="DH136" s="834" t="str">
        <f t="shared" si="38"/>
        <v>Laos</v>
      </c>
      <c r="DI136" s="834" t="str">
        <f t="shared" si="38"/>
        <v>Asia</v>
      </c>
      <c r="DJ136" s="834" t="str">
        <f t="shared" si="38"/>
        <v>South-Eastern Asia</v>
      </c>
      <c r="DL136" s="834" t="s">
        <v>4584</v>
      </c>
      <c r="DN136" s="834" t="s">
        <v>5222</v>
      </c>
      <c r="DO136" s="834" t="s">
        <v>5223</v>
      </c>
    </row>
    <row r="137" spans="3:119">
      <c r="AW137" s="827" t="s">
        <v>5224</v>
      </c>
      <c r="AX137" s="827" t="s">
        <v>4597</v>
      </c>
      <c r="AY137" s="828" t="str">
        <f>+BZ13</f>
        <v>Northern Europe</v>
      </c>
      <c r="AZ137" s="827">
        <v>104.9</v>
      </c>
      <c r="BA137" s="665" t="s">
        <v>4747</v>
      </c>
      <c r="BB137" s="829">
        <v>9.0449328924333781</v>
      </c>
      <c r="BC137" s="665" t="s">
        <v>4598</v>
      </c>
      <c r="BD137" s="830"/>
      <c r="BE137" s="830"/>
      <c r="BF137" s="665"/>
      <c r="BG137" s="830"/>
      <c r="BH137" s="831">
        <f t="shared" si="28"/>
        <v>30.6</v>
      </c>
      <c r="BI137" s="831">
        <f t="shared" si="29"/>
        <v>2</v>
      </c>
      <c r="BJ137" s="831">
        <f t="shared" si="30"/>
        <v>23.8</v>
      </c>
      <c r="BK137" s="831">
        <f t="shared" si="31"/>
        <v>10</v>
      </c>
      <c r="BL137" s="831">
        <f t="shared" si="32"/>
        <v>9.5</v>
      </c>
      <c r="BM137" s="831">
        <f t="shared" si="33"/>
        <v>5.6</v>
      </c>
      <c r="BN137" s="831">
        <f t="shared" si="34"/>
        <v>13</v>
      </c>
      <c r="BO137" s="831">
        <f t="shared" si="35"/>
        <v>5.5</v>
      </c>
      <c r="BP137" s="831">
        <f t="shared" si="39"/>
        <v>100</v>
      </c>
      <c r="BQ137" s="665" t="s">
        <v>4575</v>
      </c>
      <c r="BR137" s="832"/>
      <c r="BS137" s="832"/>
      <c r="BT137" s="832"/>
      <c r="BU137" s="832"/>
      <c r="BV137" s="832"/>
      <c r="BW137" s="832"/>
      <c r="BX137" s="665"/>
      <c r="DH137" s="834" t="str">
        <f t="shared" si="38"/>
        <v>Latvia</v>
      </c>
      <c r="DI137" s="834" t="str">
        <f t="shared" si="38"/>
        <v>Europe</v>
      </c>
      <c r="DJ137" s="834" t="str">
        <f t="shared" si="38"/>
        <v>Northern Europe</v>
      </c>
      <c r="DK137" s="834" t="e">
        <f>VLOOKUP(DH137,#REF!,1)</f>
        <v>#REF!</v>
      </c>
      <c r="DL137" s="834" t="e">
        <f>VLOOKUP(DK137,#REF!,2,FALSE)</f>
        <v>#REF!</v>
      </c>
      <c r="DN137" s="834" t="s">
        <v>5225</v>
      </c>
      <c r="DO137" s="834" t="s">
        <v>5226</v>
      </c>
    </row>
    <row r="138" spans="3:119">
      <c r="AW138" s="827" t="s">
        <v>5227</v>
      </c>
      <c r="AX138" s="827" t="s">
        <v>4572</v>
      </c>
      <c r="AY138" s="828" t="str">
        <f>+BZ6</f>
        <v>Western Asia &amp; Middle East</v>
      </c>
      <c r="AZ138" s="827">
        <v>552</v>
      </c>
      <c r="BA138" s="665" t="s">
        <v>4573</v>
      </c>
      <c r="BB138" s="829">
        <v>10.466800356506239</v>
      </c>
      <c r="BC138" s="665" t="s">
        <v>4598</v>
      </c>
      <c r="BD138" s="830"/>
      <c r="BE138" s="830"/>
      <c r="BF138" s="665"/>
      <c r="BG138" s="830"/>
      <c r="BH138" s="831">
        <f t="shared" ref="BH138:BH158" si="40">+VLOOKUP($AY138,$BZ$3:$CH$21,2,FALSE)</f>
        <v>18</v>
      </c>
      <c r="BI138" s="831">
        <f t="shared" ref="BI138:BI158" si="41">+VLOOKUP($AY138,$BZ$3:$CH$21,3,FALSE)</f>
        <v>2.9</v>
      </c>
      <c r="BJ138" s="831">
        <f t="shared" ref="BJ138:BJ158" si="42">+VLOOKUP($AY138,$BZ$3:$CH$21,4,FALSE)</f>
        <v>41.1</v>
      </c>
      <c r="BK138" s="831">
        <f t="shared" ref="BK138:BK158" si="43">+VLOOKUP($AY138,$BZ$3:$CH$21,5,FALSE)</f>
        <v>9.8000000000000007</v>
      </c>
      <c r="BL138" s="831">
        <f t="shared" ref="BL138:BL158" si="44">+VLOOKUP($AY138,$BZ$3:$CH$21,6,FALSE)</f>
        <v>9.5</v>
      </c>
      <c r="BM138" s="831">
        <f t="shared" ref="BM138:BM158" si="45">+VLOOKUP($AY138,$BZ$3:$CH$21,7,FALSE)</f>
        <v>5.6</v>
      </c>
      <c r="BN138" s="831">
        <f t="shared" ref="BN138:BN158" si="46">+VLOOKUP($AY138,$BZ$3:$CH$21,8,FALSE)</f>
        <v>6.3</v>
      </c>
      <c r="BO138" s="831">
        <f t="shared" ref="BO138:BO158" si="47">+VLOOKUP($AY138,$BZ$3:$CH$21,9,FALSE)</f>
        <v>6.8000000000000114</v>
      </c>
      <c r="BP138" s="831">
        <f t="shared" si="39"/>
        <v>100</v>
      </c>
      <c r="BQ138" s="665" t="s">
        <v>4575</v>
      </c>
      <c r="BR138" s="832"/>
      <c r="BS138" s="832"/>
      <c r="BT138" s="832"/>
      <c r="BU138" s="832"/>
      <c r="BV138" s="832"/>
      <c r="BW138" s="832"/>
      <c r="BX138" s="665"/>
      <c r="DH138" s="834" t="str">
        <f t="shared" si="38"/>
        <v>Lebanon</v>
      </c>
      <c r="DI138" s="834" t="str">
        <f t="shared" si="38"/>
        <v>Asia</v>
      </c>
      <c r="DJ138" s="834" t="str">
        <f t="shared" si="38"/>
        <v>Western Asia &amp; Middle East</v>
      </c>
      <c r="DL138" s="834" t="s">
        <v>4584</v>
      </c>
      <c r="DN138" s="834" t="s">
        <v>5228</v>
      </c>
      <c r="DO138" s="834" t="s">
        <v>5229</v>
      </c>
    </row>
    <row r="139" spans="3:119" ht="25.5">
      <c r="AW139" s="827" t="s">
        <v>5230</v>
      </c>
      <c r="AX139" s="827" t="s">
        <v>4614</v>
      </c>
      <c r="AY139" s="828" t="str">
        <f>+BZ10</f>
        <v>Southern Africa</v>
      </c>
      <c r="AZ139" s="827">
        <v>43</v>
      </c>
      <c r="BA139" s="665" t="s">
        <v>4573</v>
      </c>
      <c r="BB139" s="829">
        <v>11.740747004194485</v>
      </c>
      <c r="BC139" s="665" t="s">
        <v>4826</v>
      </c>
      <c r="BD139" s="830"/>
      <c r="BE139" s="830"/>
      <c r="BF139" s="665"/>
      <c r="BG139" s="830"/>
      <c r="BH139" s="831">
        <f t="shared" si="40"/>
        <v>25</v>
      </c>
      <c r="BI139" s="831">
        <f t="shared" si="41"/>
        <v>7.3</v>
      </c>
      <c r="BJ139" s="831">
        <f t="shared" si="42"/>
        <v>23</v>
      </c>
      <c r="BK139" s="831">
        <f t="shared" si="43"/>
        <v>15</v>
      </c>
      <c r="BL139" s="831">
        <f t="shared" si="44"/>
        <v>9.5</v>
      </c>
      <c r="BM139" s="831">
        <f t="shared" si="45"/>
        <v>5.6</v>
      </c>
      <c r="BN139" s="831">
        <f t="shared" si="46"/>
        <v>7.3</v>
      </c>
      <c r="BO139" s="831">
        <f t="shared" si="47"/>
        <v>7.3</v>
      </c>
      <c r="BP139" s="831">
        <f t="shared" si="39"/>
        <v>99.999999999999986</v>
      </c>
      <c r="BQ139" s="665" t="s">
        <v>4575</v>
      </c>
      <c r="BR139" s="832"/>
      <c r="BS139" s="832"/>
      <c r="BT139" s="832"/>
      <c r="BU139" s="832"/>
      <c r="BV139" s="832"/>
      <c r="BW139" s="832"/>
      <c r="BX139" s="665"/>
      <c r="DH139" s="834" t="str">
        <f t="shared" si="38"/>
        <v>Lesotho</v>
      </c>
      <c r="DI139" s="834" t="str">
        <f t="shared" si="38"/>
        <v>Africa</v>
      </c>
      <c r="DJ139" s="834" t="str">
        <f t="shared" si="38"/>
        <v>Southern Africa</v>
      </c>
      <c r="DL139" s="834" t="s">
        <v>4584</v>
      </c>
      <c r="DN139" s="834" t="s">
        <v>5231</v>
      </c>
      <c r="DO139" s="834" t="s">
        <v>5232</v>
      </c>
    </row>
    <row r="140" spans="3:119" ht="25.5">
      <c r="AW140" s="827" t="s">
        <v>5233</v>
      </c>
      <c r="AX140" s="827" t="s">
        <v>4614</v>
      </c>
      <c r="AY140" s="828" t="str">
        <f>+BZ11</f>
        <v>Western Africa</v>
      </c>
      <c r="AZ140" s="827">
        <v>407</v>
      </c>
      <c r="BA140" s="665" t="s">
        <v>4573</v>
      </c>
      <c r="BB140" s="829">
        <v>13.490630673342661</v>
      </c>
      <c r="BC140" s="665" t="s">
        <v>4784</v>
      </c>
      <c r="BD140" s="830"/>
      <c r="BE140" s="830"/>
      <c r="BF140" s="665"/>
      <c r="BG140" s="830"/>
      <c r="BH140" s="831">
        <f t="shared" si="40"/>
        <v>9.8000000000000007</v>
      </c>
      <c r="BI140" s="831">
        <f t="shared" si="41"/>
        <v>1</v>
      </c>
      <c r="BJ140" s="831">
        <f t="shared" si="42"/>
        <v>40.4</v>
      </c>
      <c r="BK140" s="831">
        <f t="shared" si="43"/>
        <v>4.4000000000000004</v>
      </c>
      <c r="BL140" s="831">
        <f t="shared" si="44"/>
        <v>9.5</v>
      </c>
      <c r="BM140" s="831">
        <f t="shared" si="45"/>
        <v>5.6</v>
      </c>
      <c r="BN140" s="831">
        <f t="shared" si="46"/>
        <v>3</v>
      </c>
      <c r="BO140" s="831">
        <f t="shared" si="47"/>
        <v>26.300000000000011</v>
      </c>
      <c r="BP140" s="831">
        <f t="shared" si="39"/>
        <v>100</v>
      </c>
      <c r="BQ140" s="665" t="s">
        <v>4575</v>
      </c>
      <c r="BR140" s="832"/>
      <c r="BS140" s="832"/>
      <c r="BT140" s="832"/>
      <c r="BU140" s="832"/>
      <c r="BV140" s="832"/>
      <c r="BW140" s="832"/>
      <c r="BX140" s="665"/>
      <c r="DH140" s="834" t="str">
        <f t="shared" si="38"/>
        <v>Liberia</v>
      </c>
      <c r="DI140" s="834" t="str">
        <f t="shared" si="38"/>
        <v>Africa</v>
      </c>
      <c r="DJ140" s="834" t="str">
        <f t="shared" si="38"/>
        <v>Western Africa</v>
      </c>
      <c r="DL140" s="834" t="s">
        <v>4584</v>
      </c>
      <c r="DN140" s="834" t="s">
        <v>5234</v>
      </c>
      <c r="DO140" s="834" t="s">
        <v>5235</v>
      </c>
    </row>
    <row r="141" spans="3:119">
      <c r="AW141" s="827" t="s">
        <v>5236</v>
      </c>
      <c r="AX141" s="827" t="s">
        <v>4614</v>
      </c>
      <c r="AY141" s="828" t="str">
        <f>+BZ9</f>
        <v>Northern Africa</v>
      </c>
      <c r="AZ141" s="827">
        <v>538</v>
      </c>
      <c r="BA141" s="665" t="s">
        <v>4573</v>
      </c>
      <c r="BB141" s="829">
        <v>69.696005936762873</v>
      </c>
      <c r="BC141" s="665" t="s">
        <v>4598</v>
      </c>
      <c r="BD141" s="830"/>
      <c r="BE141" s="830"/>
      <c r="BF141" s="665"/>
      <c r="BG141" s="830"/>
      <c r="BH141" s="831">
        <f t="shared" si="40"/>
        <v>16.5</v>
      </c>
      <c r="BI141" s="831">
        <f t="shared" si="41"/>
        <v>2.5</v>
      </c>
      <c r="BJ141" s="831">
        <f t="shared" si="42"/>
        <v>51.1</v>
      </c>
      <c r="BK141" s="831">
        <f t="shared" si="43"/>
        <v>2</v>
      </c>
      <c r="BL141" s="831">
        <f t="shared" si="44"/>
        <v>9.5</v>
      </c>
      <c r="BM141" s="831">
        <f t="shared" si="45"/>
        <v>5.6</v>
      </c>
      <c r="BN141" s="831">
        <f t="shared" si="46"/>
        <v>4.5</v>
      </c>
      <c r="BO141" s="831">
        <f t="shared" si="47"/>
        <v>8.3000000000000114</v>
      </c>
      <c r="BP141" s="831">
        <f t="shared" si="39"/>
        <v>100</v>
      </c>
      <c r="BQ141" s="665" t="s">
        <v>4575</v>
      </c>
      <c r="BR141" s="832"/>
      <c r="BS141" s="832"/>
      <c r="BT141" s="832"/>
      <c r="BU141" s="832"/>
      <c r="BV141" s="832"/>
      <c r="BW141" s="832"/>
      <c r="BX141" s="665"/>
      <c r="DH141" s="834" t="str">
        <f t="shared" si="38"/>
        <v>Libya</v>
      </c>
      <c r="DI141" s="834" t="str">
        <f t="shared" si="38"/>
        <v>Africa</v>
      </c>
      <c r="DJ141" s="834" t="str">
        <f t="shared" si="38"/>
        <v>Northern Africa</v>
      </c>
      <c r="DL141" s="834" t="s">
        <v>4584</v>
      </c>
      <c r="DN141" s="834" t="s">
        <v>5237</v>
      </c>
      <c r="DO141" s="834" t="s">
        <v>5238</v>
      </c>
    </row>
    <row r="142" spans="3:119" ht="25.5">
      <c r="AW142" s="827" t="s">
        <v>5239</v>
      </c>
      <c r="AX142" s="827" t="s">
        <v>4597</v>
      </c>
      <c r="AY142" s="828" t="str">
        <f>+BZ15</f>
        <v>Western Europe</v>
      </c>
      <c r="AZ142" s="827">
        <v>97</v>
      </c>
      <c r="BA142" s="665" t="s">
        <v>4573</v>
      </c>
      <c r="BB142" s="829">
        <v>6.2171813834411278</v>
      </c>
      <c r="BC142" s="665" t="s">
        <v>4636</v>
      </c>
      <c r="BD142" s="830"/>
      <c r="BE142" s="830"/>
      <c r="BF142" s="665"/>
      <c r="BG142" s="830"/>
      <c r="BH142" s="831">
        <f t="shared" si="40"/>
        <v>27.5</v>
      </c>
      <c r="BI142" s="831">
        <f t="shared" si="41"/>
        <v>7.4</v>
      </c>
      <c r="BJ142" s="831">
        <f t="shared" si="42"/>
        <v>24.2</v>
      </c>
      <c r="BK142" s="831">
        <f t="shared" si="43"/>
        <v>11</v>
      </c>
      <c r="BL142" s="831">
        <f t="shared" si="44"/>
        <v>9.5</v>
      </c>
      <c r="BM142" s="831">
        <f t="shared" si="45"/>
        <v>5.6</v>
      </c>
      <c r="BN142" s="831">
        <f t="shared" si="46"/>
        <v>7.4</v>
      </c>
      <c r="BO142" s="831">
        <f t="shared" si="47"/>
        <v>7.3999999999999986</v>
      </c>
      <c r="BP142" s="831">
        <f t="shared" si="39"/>
        <v>100</v>
      </c>
      <c r="BQ142" s="665" t="s">
        <v>4575</v>
      </c>
      <c r="BR142" s="832"/>
      <c r="BS142" s="832"/>
      <c r="BT142" s="832"/>
      <c r="BU142" s="832"/>
      <c r="BV142" s="832"/>
      <c r="BW142" s="832"/>
      <c r="BX142" s="665"/>
      <c r="DH142" s="834" t="str">
        <f t="shared" ref="DH142:DJ157" si="48">AW142</f>
        <v>Liechtenstein</v>
      </c>
      <c r="DI142" s="834" t="str">
        <f t="shared" si="48"/>
        <v>Europe</v>
      </c>
      <c r="DJ142" s="834" t="str">
        <f t="shared" si="48"/>
        <v>Western Europe</v>
      </c>
      <c r="DL142" s="834" t="s">
        <v>4584</v>
      </c>
      <c r="DN142" s="834" t="s">
        <v>5240</v>
      </c>
      <c r="DO142" s="834" t="s">
        <v>5241</v>
      </c>
    </row>
    <row r="143" spans="3:119">
      <c r="AW143" s="827" t="s">
        <v>5242</v>
      </c>
      <c r="AX143" s="827" t="s">
        <v>4597</v>
      </c>
      <c r="AY143" s="828" t="str">
        <f>+BZ13</f>
        <v>Northern Europe</v>
      </c>
      <c r="AZ143" s="827">
        <v>18</v>
      </c>
      <c r="BA143" s="665" t="s">
        <v>4747</v>
      </c>
      <c r="BB143" s="829">
        <v>21.97950377562028</v>
      </c>
      <c r="BC143" s="665" t="s">
        <v>4598</v>
      </c>
      <c r="BD143" s="830"/>
      <c r="BE143" s="830"/>
      <c r="BF143" s="665"/>
      <c r="BG143" s="830"/>
      <c r="BH143" s="831">
        <f t="shared" si="40"/>
        <v>30.6</v>
      </c>
      <c r="BI143" s="831">
        <f t="shared" si="41"/>
        <v>2</v>
      </c>
      <c r="BJ143" s="831">
        <f t="shared" si="42"/>
        <v>23.8</v>
      </c>
      <c r="BK143" s="831">
        <f t="shared" si="43"/>
        <v>10</v>
      </c>
      <c r="BL143" s="831">
        <f t="shared" si="44"/>
        <v>9.5</v>
      </c>
      <c r="BM143" s="831">
        <f t="shared" si="45"/>
        <v>5.6</v>
      </c>
      <c r="BN143" s="831">
        <f t="shared" si="46"/>
        <v>13</v>
      </c>
      <c r="BO143" s="831">
        <f t="shared" si="47"/>
        <v>5.5</v>
      </c>
      <c r="BP143" s="831">
        <f t="shared" si="39"/>
        <v>100</v>
      </c>
      <c r="BQ143" s="665" t="s">
        <v>4575</v>
      </c>
      <c r="BR143" s="832"/>
      <c r="BS143" s="832"/>
      <c r="BT143" s="832"/>
      <c r="BU143" s="832"/>
      <c r="BV143" s="832"/>
      <c r="BW143" s="832"/>
      <c r="BX143" s="665"/>
      <c r="DH143" s="834" t="str">
        <f t="shared" si="48"/>
        <v>Lithuania</v>
      </c>
      <c r="DI143" s="834" t="str">
        <f t="shared" si="48"/>
        <v>Europe</v>
      </c>
      <c r="DJ143" s="834" t="str">
        <f t="shared" si="48"/>
        <v>Northern Europe</v>
      </c>
      <c r="DK143" s="834" t="e">
        <f>VLOOKUP(DH143,#REF!,1)</f>
        <v>#REF!</v>
      </c>
      <c r="DL143" s="834" t="e">
        <f>VLOOKUP(DK143,#REF!,2,FALSE)</f>
        <v>#REF!</v>
      </c>
      <c r="DN143" s="834" t="s">
        <v>5243</v>
      </c>
      <c r="DO143" s="834" t="s">
        <v>5244</v>
      </c>
    </row>
    <row r="144" spans="3:119">
      <c r="AW144" s="827" t="s">
        <v>5245</v>
      </c>
      <c r="AX144" s="827" t="s">
        <v>4597</v>
      </c>
      <c r="AY144" s="828" t="str">
        <f>+BZ15</f>
        <v>Western Europe</v>
      </c>
      <c r="AZ144" s="827">
        <v>219.3</v>
      </c>
      <c r="BA144" s="665" t="s">
        <v>4747</v>
      </c>
      <c r="BB144" s="829">
        <v>6.2992125984251963</v>
      </c>
      <c r="BC144" s="665" t="s">
        <v>4598</v>
      </c>
      <c r="BD144" s="830"/>
      <c r="BE144" s="830"/>
      <c r="BF144" s="665"/>
      <c r="BG144" s="830"/>
      <c r="BH144" s="831">
        <f t="shared" si="40"/>
        <v>27.5</v>
      </c>
      <c r="BI144" s="831">
        <f t="shared" si="41"/>
        <v>7.4</v>
      </c>
      <c r="BJ144" s="831">
        <f t="shared" si="42"/>
        <v>24.2</v>
      </c>
      <c r="BK144" s="831">
        <f t="shared" si="43"/>
        <v>11</v>
      </c>
      <c r="BL144" s="831">
        <f t="shared" si="44"/>
        <v>9.5</v>
      </c>
      <c r="BM144" s="831">
        <f t="shared" si="45"/>
        <v>5.6</v>
      </c>
      <c r="BN144" s="831">
        <f t="shared" si="46"/>
        <v>7.4</v>
      </c>
      <c r="BO144" s="831">
        <f t="shared" si="47"/>
        <v>7.3999999999999986</v>
      </c>
      <c r="BP144" s="831">
        <f t="shared" si="39"/>
        <v>100</v>
      </c>
      <c r="BQ144" s="665" t="s">
        <v>4575</v>
      </c>
      <c r="BR144" s="832"/>
      <c r="BS144" s="832"/>
      <c r="BT144" s="832"/>
      <c r="BU144" s="832"/>
      <c r="BV144" s="832"/>
      <c r="BW144" s="832"/>
      <c r="BX144" s="665"/>
      <c r="DH144" s="834" t="str">
        <f t="shared" si="48"/>
        <v>Luxembourg</v>
      </c>
      <c r="DI144" s="834" t="str">
        <f t="shared" si="48"/>
        <v>Europe</v>
      </c>
      <c r="DJ144" s="834" t="str">
        <f t="shared" si="48"/>
        <v>Western Europe</v>
      </c>
      <c r="DK144" s="834" t="e">
        <f>VLOOKUP(DH144,#REF!,1)</f>
        <v>#REF!</v>
      </c>
      <c r="DL144" s="834" t="e">
        <f>VLOOKUP(DK144,#REF!,2,FALSE)</f>
        <v>#REF!</v>
      </c>
      <c r="DN144" s="834" t="s">
        <v>5246</v>
      </c>
      <c r="DO144" s="834" t="s">
        <v>5247</v>
      </c>
    </row>
    <row r="145" spans="49:119" ht="25.5">
      <c r="AW145" s="827" t="s">
        <v>5248</v>
      </c>
      <c r="AX145" s="827" t="s">
        <v>4572</v>
      </c>
      <c r="AY145" s="828" t="str">
        <f>+BZ3</f>
        <v>Eastern Asia</v>
      </c>
      <c r="AZ145" s="827">
        <v>239</v>
      </c>
      <c r="BA145" s="665" t="s">
        <v>4573</v>
      </c>
      <c r="BB145" s="829">
        <v>5.4123414965002699</v>
      </c>
      <c r="BC145" s="665" t="s">
        <v>4627</v>
      </c>
      <c r="BD145" s="830"/>
      <c r="BE145" s="830"/>
      <c r="BF145" s="665"/>
      <c r="BG145" s="830"/>
      <c r="BH145" s="831">
        <f t="shared" si="40"/>
        <v>18.8</v>
      </c>
      <c r="BI145" s="831">
        <f t="shared" si="41"/>
        <v>3.5</v>
      </c>
      <c r="BJ145" s="831">
        <f t="shared" si="42"/>
        <v>26.2</v>
      </c>
      <c r="BK145" s="831">
        <f t="shared" si="43"/>
        <v>3.5</v>
      </c>
      <c r="BL145" s="831">
        <f t="shared" si="44"/>
        <v>9.5</v>
      </c>
      <c r="BM145" s="831">
        <f t="shared" si="45"/>
        <v>5.6</v>
      </c>
      <c r="BN145" s="831">
        <f t="shared" si="46"/>
        <v>14.3</v>
      </c>
      <c r="BO145" s="831">
        <f t="shared" si="47"/>
        <v>18.600000000000009</v>
      </c>
      <c r="BP145" s="831">
        <f t="shared" si="39"/>
        <v>100</v>
      </c>
      <c r="BQ145" s="665" t="s">
        <v>4575</v>
      </c>
      <c r="BR145" s="832"/>
      <c r="BS145" s="832"/>
      <c r="BT145" s="832"/>
      <c r="BU145" s="832"/>
      <c r="BV145" s="832"/>
      <c r="BW145" s="832"/>
      <c r="BX145" s="665"/>
      <c r="DH145" s="834" t="str">
        <f t="shared" si="48"/>
        <v>Macao (China)</v>
      </c>
      <c r="DI145" s="834" t="str">
        <f t="shared" si="48"/>
        <v>Asia</v>
      </c>
      <c r="DJ145" s="834" t="str">
        <f t="shared" si="48"/>
        <v>Eastern Asia</v>
      </c>
      <c r="DL145" s="834" t="s">
        <v>4584</v>
      </c>
      <c r="DN145" s="834" t="s">
        <v>5249</v>
      </c>
      <c r="DO145" s="834" t="s">
        <v>5250</v>
      </c>
    </row>
    <row r="146" spans="49:119">
      <c r="AW146" s="827" t="s">
        <v>5251</v>
      </c>
      <c r="AX146" s="827" t="s">
        <v>4597</v>
      </c>
      <c r="AY146" s="828" t="str">
        <f>+BZ14</f>
        <v>Southern Europe</v>
      </c>
      <c r="AZ146" s="827">
        <v>691</v>
      </c>
      <c r="BA146" s="665" t="s">
        <v>4573</v>
      </c>
      <c r="BB146" s="829">
        <v>19.892072943803498</v>
      </c>
      <c r="BC146" s="665" t="s">
        <v>4598</v>
      </c>
      <c r="BD146" s="830"/>
      <c r="BE146" s="830"/>
      <c r="BF146" s="665"/>
      <c r="BG146" s="830"/>
      <c r="BH146" s="831">
        <f t="shared" si="40"/>
        <v>17</v>
      </c>
      <c r="BI146" s="831">
        <f t="shared" si="41"/>
        <v>6.8</v>
      </c>
      <c r="BJ146" s="831">
        <f t="shared" si="42"/>
        <v>36.9</v>
      </c>
      <c r="BK146" s="831">
        <f t="shared" si="43"/>
        <v>10.6</v>
      </c>
      <c r="BL146" s="831">
        <f t="shared" si="44"/>
        <v>9.5</v>
      </c>
      <c r="BM146" s="831">
        <f t="shared" si="45"/>
        <v>5.6</v>
      </c>
      <c r="BN146" s="831">
        <f t="shared" si="46"/>
        <v>6.8</v>
      </c>
      <c r="BO146" s="831">
        <f t="shared" si="47"/>
        <v>6.8</v>
      </c>
      <c r="BP146" s="831">
        <f t="shared" si="39"/>
        <v>99.999999999999986</v>
      </c>
      <c r="BQ146" s="665" t="s">
        <v>4575</v>
      </c>
      <c r="BR146" s="832"/>
      <c r="BS146" s="832"/>
      <c r="BT146" s="832"/>
      <c r="BU146" s="832"/>
      <c r="BV146" s="832"/>
      <c r="BW146" s="832"/>
      <c r="BX146" s="665"/>
      <c r="DH146" s="834" t="str">
        <f t="shared" si="48"/>
        <v>Macedonia. North</v>
      </c>
      <c r="DI146" s="834" t="str">
        <f t="shared" si="48"/>
        <v>Europe</v>
      </c>
      <c r="DJ146" s="834" t="str">
        <f t="shared" si="48"/>
        <v>Southern Europe</v>
      </c>
      <c r="DL146" s="834" t="s">
        <v>4584</v>
      </c>
      <c r="DN146" s="834" t="s">
        <v>5252</v>
      </c>
      <c r="DO146" s="834" t="s">
        <v>5253</v>
      </c>
    </row>
    <row r="147" spans="49:119" ht="25.5">
      <c r="AW147" s="827" t="s">
        <v>5254</v>
      </c>
      <c r="AX147" s="827" t="s">
        <v>4614</v>
      </c>
      <c r="AY147" s="828" t="str">
        <f>+BZ7</f>
        <v>Eastern Africa</v>
      </c>
      <c r="AZ147" s="827">
        <v>377</v>
      </c>
      <c r="BA147" s="665" t="s">
        <v>4573</v>
      </c>
      <c r="BB147" s="829">
        <v>11.740747004194485</v>
      </c>
      <c r="BC147" s="665" t="s">
        <v>4826</v>
      </c>
      <c r="BD147" s="830"/>
      <c r="BE147" s="830"/>
      <c r="BF147" s="665"/>
      <c r="BG147" s="830"/>
      <c r="BH147" s="831">
        <f t="shared" si="40"/>
        <v>7.7</v>
      </c>
      <c r="BI147" s="831">
        <f t="shared" si="41"/>
        <v>1.7</v>
      </c>
      <c r="BJ147" s="831">
        <f t="shared" si="42"/>
        <v>53.9</v>
      </c>
      <c r="BK147" s="831">
        <f t="shared" si="43"/>
        <v>7</v>
      </c>
      <c r="BL147" s="831">
        <f t="shared" si="44"/>
        <v>9.5</v>
      </c>
      <c r="BM147" s="831">
        <f t="shared" si="45"/>
        <v>5.6</v>
      </c>
      <c r="BN147" s="831">
        <f t="shared" si="46"/>
        <v>5.5</v>
      </c>
      <c r="BO147" s="831">
        <f t="shared" si="47"/>
        <v>9.1000000000000085</v>
      </c>
      <c r="BP147" s="831">
        <f t="shared" si="39"/>
        <v>100</v>
      </c>
      <c r="BQ147" s="665" t="s">
        <v>4575</v>
      </c>
      <c r="BR147" s="832"/>
      <c r="BS147" s="832"/>
      <c r="BT147" s="832"/>
      <c r="BU147" s="832"/>
      <c r="BV147" s="832"/>
      <c r="BW147" s="832"/>
      <c r="BX147" s="665"/>
      <c r="DH147" s="834" t="str">
        <f t="shared" si="48"/>
        <v>Madagascar</v>
      </c>
      <c r="DI147" s="834" t="str">
        <f t="shared" si="48"/>
        <v>Africa</v>
      </c>
      <c r="DJ147" s="834" t="str">
        <f t="shared" si="48"/>
        <v>Eastern Africa</v>
      </c>
      <c r="DL147" s="834" t="s">
        <v>4584</v>
      </c>
      <c r="DN147" s="834" t="s">
        <v>5255</v>
      </c>
      <c r="DO147" s="834" t="s">
        <v>5256</v>
      </c>
    </row>
    <row r="148" spans="49:119">
      <c r="AW148" s="827" t="s">
        <v>5257</v>
      </c>
      <c r="AX148" s="827" t="s">
        <v>4597</v>
      </c>
      <c r="AY148" s="828" t="str">
        <f>+BZ14</f>
        <v>Southern Europe</v>
      </c>
      <c r="AZ148" s="827">
        <v>474</v>
      </c>
      <c r="BA148" s="665" t="s">
        <v>4573</v>
      </c>
      <c r="BB148" s="829">
        <v>10.025212186531689</v>
      </c>
      <c r="BC148" s="665" t="s">
        <v>4757</v>
      </c>
      <c r="BD148" s="830"/>
      <c r="BE148" s="830"/>
      <c r="BF148" s="665"/>
      <c r="BG148" s="830"/>
      <c r="BH148" s="831">
        <f t="shared" si="40"/>
        <v>17</v>
      </c>
      <c r="BI148" s="831">
        <f t="shared" si="41"/>
        <v>6.8</v>
      </c>
      <c r="BJ148" s="831">
        <f t="shared" si="42"/>
        <v>36.9</v>
      </c>
      <c r="BK148" s="831">
        <f t="shared" si="43"/>
        <v>10.6</v>
      </c>
      <c r="BL148" s="831">
        <f t="shared" si="44"/>
        <v>9.5</v>
      </c>
      <c r="BM148" s="831">
        <f t="shared" si="45"/>
        <v>5.6</v>
      </c>
      <c r="BN148" s="831">
        <f t="shared" si="46"/>
        <v>6.8</v>
      </c>
      <c r="BO148" s="831">
        <f t="shared" si="47"/>
        <v>6.8</v>
      </c>
      <c r="BP148" s="831">
        <f t="shared" si="39"/>
        <v>99.999999999999986</v>
      </c>
      <c r="BQ148" s="665" t="s">
        <v>4575</v>
      </c>
      <c r="BR148" s="832"/>
      <c r="BS148" s="832"/>
      <c r="BT148" s="832"/>
      <c r="BU148" s="832"/>
      <c r="BV148" s="832"/>
      <c r="BW148" s="832"/>
      <c r="BX148" s="665"/>
      <c r="DH148" s="834" t="str">
        <f t="shared" si="48"/>
        <v>Madeira (Portugal)</v>
      </c>
      <c r="DI148" s="834" t="str">
        <f t="shared" si="48"/>
        <v>Europe</v>
      </c>
      <c r="DJ148" s="834" t="str">
        <f t="shared" si="48"/>
        <v>Southern Europe</v>
      </c>
      <c r="DL148" s="834" t="s">
        <v>4584</v>
      </c>
      <c r="DN148" s="834" t="s">
        <v>5258</v>
      </c>
      <c r="DO148" s="834" t="s">
        <v>5259</v>
      </c>
    </row>
    <row r="149" spans="49:119" ht="25.5">
      <c r="AW149" s="827" t="s">
        <v>5260</v>
      </c>
      <c r="AX149" s="827" t="s">
        <v>4614</v>
      </c>
      <c r="AY149" s="828" t="str">
        <f>+BZ7</f>
        <v>Eastern Africa</v>
      </c>
      <c r="AZ149" s="827">
        <v>43</v>
      </c>
      <c r="BA149" s="665" t="s">
        <v>4573</v>
      </c>
      <c r="BB149" s="829">
        <v>11.740747004194485</v>
      </c>
      <c r="BC149" s="665" t="s">
        <v>4826</v>
      </c>
      <c r="BD149" s="830"/>
      <c r="BE149" s="830"/>
      <c r="BF149" s="665"/>
      <c r="BG149" s="830"/>
      <c r="BH149" s="831">
        <f t="shared" si="40"/>
        <v>7.7</v>
      </c>
      <c r="BI149" s="831">
        <f t="shared" si="41"/>
        <v>1.7</v>
      </c>
      <c r="BJ149" s="831">
        <f t="shared" si="42"/>
        <v>53.9</v>
      </c>
      <c r="BK149" s="831">
        <f t="shared" si="43"/>
        <v>7</v>
      </c>
      <c r="BL149" s="831">
        <f t="shared" si="44"/>
        <v>9.5</v>
      </c>
      <c r="BM149" s="831">
        <f t="shared" si="45"/>
        <v>5.6</v>
      </c>
      <c r="BN149" s="831">
        <f t="shared" si="46"/>
        <v>5.5</v>
      </c>
      <c r="BO149" s="831">
        <f t="shared" si="47"/>
        <v>9.1000000000000085</v>
      </c>
      <c r="BP149" s="831">
        <f t="shared" si="39"/>
        <v>100</v>
      </c>
      <c r="BQ149" s="665" t="s">
        <v>4575</v>
      </c>
      <c r="BR149" s="832"/>
      <c r="BS149" s="832"/>
      <c r="BT149" s="832"/>
      <c r="BU149" s="832"/>
      <c r="BV149" s="832"/>
      <c r="BW149" s="832"/>
      <c r="BX149" s="665"/>
      <c r="DH149" s="834" t="str">
        <f t="shared" si="48"/>
        <v>Malawi</v>
      </c>
      <c r="DI149" s="834" t="str">
        <f t="shared" si="48"/>
        <v>Africa</v>
      </c>
      <c r="DJ149" s="834" t="str">
        <f t="shared" si="48"/>
        <v>Eastern Africa</v>
      </c>
      <c r="DL149" s="834" t="s">
        <v>4584</v>
      </c>
      <c r="DN149" s="834" t="s">
        <v>5261</v>
      </c>
      <c r="DO149" s="834" t="s">
        <v>5262</v>
      </c>
    </row>
    <row r="150" spans="49:119">
      <c r="AW150" s="827" t="s">
        <v>5263</v>
      </c>
      <c r="AX150" s="827" t="s">
        <v>4572</v>
      </c>
      <c r="AY150" s="828" t="str">
        <f>+BZ5</f>
        <v>South-Eastern Asia</v>
      </c>
      <c r="AZ150" s="827">
        <v>470</v>
      </c>
      <c r="BA150" s="665" t="s">
        <v>4573</v>
      </c>
      <c r="BB150" s="829">
        <v>5.7924038272450487</v>
      </c>
      <c r="BC150" s="665" t="s">
        <v>4598</v>
      </c>
      <c r="BD150" s="830"/>
      <c r="BE150" s="830"/>
      <c r="BF150" s="665"/>
      <c r="BG150" s="830"/>
      <c r="BH150" s="831">
        <f t="shared" si="40"/>
        <v>12.9</v>
      </c>
      <c r="BI150" s="831">
        <f t="shared" si="41"/>
        <v>2.7</v>
      </c>
      <c r="BJ150" s="831">
        <f t="shared" si="42"/>
        <v>43.5</v>
      </c>
      <c r="BK150" s="831">
        <f t="shared" si="43"/>
        <v>9.9</v>
      </c>
      <c r="BL150" s="831">
        <f t="shared" si="44"/>
        <v>9.5</v>
      </c>
      <c r="BM150" s="831">
        <f t="shared" si="45"/>
        <v>5.6</v>
      </c>
      <c r="BN150" s="831">
        <f t="shared" si="46"/>
        <v>7.2</v>
      </c>
      <c r="BO150" s="831">
        <f t="shared" si="47"/>
        <v>8.7000000000000028</v>
      </c>
      <c r="BP150" s="831">
        <f t="shared" si="39"/>
        <v>100</v>
      </c>
      <c r="BQ150" s="665" t="s">
        <v>4575</v>
      </c>
      <c r="BR150" s="832"/>
      <c r="BS150" s="832"/>
      <c r="BT150" s="832"/>
      <c r="BU150" s="832"/>
      <c r="BV150" s="832"/>
      <c r="BW150" s="832"/>
      <c r="BX150" s="665"/>
      <c r="DH150" s="834" t="str">
        <f t="shared" si="48"/>
        <v>Malaysia</v>
      </c>
      <c r="DI150" s="834" t="str">
        <f t="shared" si="48"/>
        <v>Asia</v>
      </c>
      <c r="DJ150" s="834" t="str">
        <f t="shared" si="48"/>
        <v>South-Eastern Asia</v>
      </c>
      <c r="DL150" s="834" t="s">
        <v>4584</v>
      </c>
      <c r="DN150" s="834" t="s">
        <v>5264</v>
      </c>
      <c r="DO150" s="834" t="s">
        <v>5265</v>
      </c>
    </row>
    <row r="151" spans="49:119">
      <c r="AW151" s="827" t="s">
        <v>5266</v>
      </c>
      <c r="AX151" s="827" t="s">
        <v>4572</v>
      </c>
      <c r="AY151" s="828" t="str">
        <f>+BZ4</f>
        <v>South-Central Asia</v>
      </c>
      <c r="AZ151" s="827">
        <v>553</v>
      </c>
      <c r="BA151" s="665" t="s">
        <v>4573</v>
      </c>
      <c r="BB151" s="829">
        <v>18.8367793271604</v>
      </c>
      <c r="BC151" s="665" t="s">
        <v>4791</v>
      </c>
      <c r="BD151" s="830"/>
      <c r="BE151" s="830"/>
      <c r="BF151" s="665"/>
      <c r="BG151" s="830"/>
      <c r="BH151" s="831">
        <f t="shared" si="40"/>
        <v>11.3</v>
      </c>
      <c r="BI151" s="831">
        <f t="shared" si="41"/>
        <v>2.5</v>
      </c>
      <c r="BJ151" s="831">
        <f t="shared" si="42"/>
        <v>40.299999999999997</v>
      </c>
      <c r="BK151" s="831">
        <f t="shared" si="43"/>
        <v>7.9</v>
      </c>
      <c r="BL151" s="831">
        <f t="shared" si="44"/>
        <v>9.5</v>
      </c>
      <c r="BM151" s="831">
        <f t="shared" si="45"/>
        <v>5.6</v>
      </c>
      <c r="BN151" s="831">
        <f t="shared" si="46"/>
        <v>6.4</v>
      </c>
      <c r="BO151" s="831">
        <f t="shared" si="47"/>
        <v>16.5</v>
      </c>
      <c r="BP151" s="831">
        <f t="shared" si="39"/>
        <v>100</v>
      </c>
      <c r="BQ151" s="665" t="s">
        <v>4575</v>
      </c>
      <c r="BR151" s="832"/>
      <c r="BS151" s="832"/>
      <c r="BT151" s="832"/>
      <c r="BU151" s="832"/>
      <c r="BV151" s="832"/>
      <c r="BW151" s="832"/>
      <c r="BX151" s="665"/>
      <c r="DH151" s="834" t="str">
        <f t="shared" si="48"/>
        <v>Maldives</v>
      </c>
      <c r="DI151" s="834" t="str">
        <f t="shared" si="48"/>
        <v>Asia</v>
      </c>
      <c r="DJ151" s="834" t="str">
        <f t="shared" si="48"/>
        <v>South-Central Asia</v>
      </c>
      <c r="DL151" s="834" t="s">
        <v>4584</v>
      </c>
      <c r="DN151" s="834" t="s">
        <v>5267</v>
      </c>
      <c r="DO151" s="834" t="s">
        <v>5268</v>
      </c>
    </row>
    <row r="152" spans="49:119" ht="25.5">
      <c r="AW152" s="827" t="s">
        <v>5269</v>
      </c>
      <c r="AX152" s="827" t="s">
        <v>4614</v>
      </c>
      <c r="AY152" s="828" t="str">
        <f>+BZ11</f>
        <v>Western Africa</v>
      </c>
      <c r="AZ152" s="827">
        <v>550</v>
      </c>
      <c r="BA152" s="665" t="s">
        <v>4573</v>
      </c>
      <c r="BB152" s="829">
        <v>13.490630673342661</v>
      </c>
      <c r="BC152" s="665" t="s">
        <v>4784</v>
      </c>
      <c r="BD152" s="830"/>
      <c r="BE152" s="830"/>
      <c r="BF152" s="665"/>
      <c r="BG152" s="830"/>
      <c r="BH152" s="831">
        <f t="shared" si="40"/>
        <v>9.8000000000000007</v>
      </c>
      <c r="BI152" s="831">
        <f t="shared" si="41"/>
        <v>1</v>
      </c>
      <c r="BJ152" s="831">
        <f t="shared" si="42"/>
        <v>40.4</v>
      </c>
      <c r="BK152" s="831">
        <f t="shared" si="43"/>
        <v>4.4000000000000004</v>
      </c>
      <c r="BL152" s="831">
        <f t="shared" si="44"/>
        <v>9.5</v>
      </c>
      <c r="BM152" s="831">
        <f t="shared" si="45"/>
        <v>5.6</v>
      </c>
      <c r="BN152" s="831">
        <f t="shared" si="46"/>
        <v>3</v>
      </c>
      <c r="BO152" s="831">
        <f t="shared" si="47"/>
        <v>26.300000000000011</v>
      </c>
      <c r="BP152" s="831">
        <f t="shared" si="39"/>
        <v>100</v>
      </c>
      <c r="BQ152" s="665" t="s">
        <v>4575</v>
      </c>
      <c r="BR152" s="832"/>
      <c r="BS152" s="832"/>
      <c r="BT152" s="832"/>
      <c r="BU152" s="832"/>
      <c r="BV152" s="832"/>
      <c r="BW152" s="832"/>
      <c r="BX152" s="665"/>
      <c r="DH152" s="834" t="str">
        <f t="shared" si="48"/>
        <v>Mali</v>
      </c>
      <c r="DI152" s="834" t="str">
        <f t="shared" si="48"/>
        <v>Africa</v>
      </c>
      <c r="DJ152" s="834" t="str">
        <f t="shared" si="48"/>
        <v>Western Africa</v>
      </c>
      <c r="DL152" s="834" t="s">
        <v>4584</v>
      </c>
      <c r="DN152" s="834" t="s">
        <v>4371</v>
      </c>
      <c r="DO152" s="834" t="s">
        <v>5270</v>
      </c>
    </row>
    <row r="153" spans="49:119">
      <c r="AW153" s="827" t="s">
        <v>5271</v>
      </c>
      <c r="AX153" s="827" t="s">
        <v>4597</v>
      </c>
      <c r="AY153" s="828" t="str">
        <f>+BZ14</f>
        <v>Southern Europe</v>
      </c>
      <c r="AZ153" s="827">
        <v>648</v>
      </c>
      <c r="BA153" s="665" t="s">
        <v>4747</v>
      </c>
      <c r="BB153" s="829">
        <v>4.6770601336302899</v>
      </c>
      <c r="BC153" s="665" t="s">
        <v>4598</v>
      </c>
      <c r="BD153" s="830"/>
      <c r="BE153" s="830"/>
      <c r="BF153" s="665"/>
      <c r="BG153" s="830"/>
      <c r="BH153" s="831">
        <f t="shared" si="40"/>
        <v>17</v>
      </c>
      <c r="BI153" s="831">
        <f t="shared" si="41"/>
        <v>6.8</v>
      </c>
      <c r="BJ153" s="831">
        <f t="shared" si="42"/>
        <v>36.9</v>
      </c>
      <c r="BK153" s="831">
        <f t="shared" si="43"/>
        <v>10.6</v>
      </c>
      <c r="BL153" s="831">
        <f t="shared" si="44"/>
        <v>9.5</v>
      </c>
      <c r="BM153" s="831">
        <f t="shared" si="45"/>
        <v>5.6</v>
      </c>
      <c r="BN153" s="831">
        <f t="shared" si="46"/>
        <v>6.8</v>
      </c>
      <c r="BO153" s="831">
        <f t="shared" si="47"/>
        <v>6.8</v>
      </c>
      <c r="BP153" s="831">
        <f t="shared" si="39"/>
        <v>99.999999999999986</v>
      </c>
      <c r="BQ153" s="665" t="s">
        <v>4575</v>
      </c>
      <c r="BR153" s="832"/>
      <c r="BS153" s="832"/>
      <c r="BT153" s="832"/>
      <c r="BU153" s="832"/>
      <c r="BV153" s="832"/>
      <c r="BW153" s="832"/>
      <c r="BX153" s="665"/>
      <c r="DH153" s="834" t="str">
        <f t="shared" si="48"/>
        <v>Malta</v>
      </c>
      <c r="DI153" s="834" t="str">
        <f t="shared" si="48"/>
        <v>Europe</v>
      </c>
      <c r="DJ153" s="834" t="str">
        <f t="shared" si="48"/>
        <v>Southern Europe</v>
      </c>
      <c r="DK153" s="834" t="e">
        <f>VLOOKUP(DH153,#REF!,1)</f>
        <v>#REF!</v>
      </c>
      <c r="DL153" s="834" t="e">
        <f>VLOOKUP(DK153,#REF!,2,FALSE)</f>
        <v>#REF!</v>
      </c>
      <c r="DN153" s="834" t="s">
        <v>5272</v>
      </c>
      <c r="DO153" s="834" t="s">
        <v>5273</v>
      </c>
    </row>
    <row r="154" spans="49:119" ht="25.5">
      <c r="AW154" s="827" t="s">
        <v>5274</v>
      </c>
      <c r="AX154" s="842" t="s">
        <v>4626</v>
      </c>
      <c r="AY154" s="828" t="str">
        <f>+BZ17</f>
        <v>Rest of Oceania</v>
      </c>
      <c r="AZ154" s="827">
        <v>610</v>
      </c>
      <c r="BA154" s="665" t="s">
        <v>4573</v>
      </c>
      <c r="BB154" s="829">
        <v>5.4123414965002699</v>
      </c>
      <c r="BC154" s="665" t="s">
        <v>4627</v>
      </c>
      <c r="BD154" s="830"/>
      <c r="BE154" s="830"/>
      <c r="BF154" s="665"/>
      <c r="BG154" s="830"/>
      <c r="BH154" s="831">
        <f t="shared" si="40"/>
        <v>6</v>
      </c>
      <c r="BI154" s="831">
        <f t="shared" si="41"/>
        <v>2.97</v>
      </c>
      <c r="BJ154" s="831">
        <f t="shared" si="42"/>
        <v>67.5</v>
      </c>
      <c r="BK154" s="831">
        <f t="shared" si="43"/>
        <v>2.5</v>
      </c>
      <c r="BL154" s="831">
        <f t="shared" si="44"/>
        <v>9.5</v>
      </c>
      <c r="BM154" s="831">
        <f t="shared" si="45"/>
        <v>5.6</v>
      </c>
      <c r="BN154" s="831">
        <f t="shared" si="46"/>
        <v>2.97</v>
      </c>
      <c r="BO154" s="831">
        <f t="shared" si="47"/>
        <v>2.9666666666666668</v>
      </c>
      <c r="BP154" s="831">
        <f t="shared" si="39"/>
        <v>100.00666666666666</v>
      </c>
      <c r="BQ154" s="665" t="s">
        <v>4575</v>
      </c>
      <c r="BR154" s="832"/>
      <c r="BS154" s="832"/>
      <c r="BT154" s="832"/>
      <c r="BU154" s="832"/>
      <c r="BV154" s="832"/>
      <c r="BW154" s="832"/>
      <c r="BX154" s="665"/>
      <c r="DH154" s="834" t="str">
        <f t="shared" si="48"/>
        <v>Marshall Islands</v>
      </c>
      <c r="DI154" s="834" t="str">
        <f t="shared" si="48"/>
        <v>Oceania</v>
      </c>
      <c r="DJ154" s="834" t="str">
        <f t="shared" si="48"/>
        <v>Rest of Oceania</v>
      </c>
      <c r="DL154" s="834" t="s">
        <v>4584</v>
      </c>
      <c r="DN154" s="834" t="s">
        <v>5275</v>
      </c>
      <c r="DO154" s="834" t="s">
        <v>5276</v>
      </c>
    </row>
    <row r="155" spans="49:119" ht="25.5">
      <c r="AW155" s="827" t="s">
        <v>5277</v>
      </c>
      <c r="AX155" s="842" t="s">
        <v>4657</v>
      </c>
      <c r="AY155" s="828" t="str">
        <f>+BZ21</f>
        <v>Caribbean</v>
      </c>
      <c r="AZ155" s="827">
        <v>468</v>
      </c>
      <c r="BA155" s="665" t="s">
        <v>4573</v>
      </c>
      <c r="BB155" s="829">
        <v>9.3894684857089938</v>
      </c>
      <c r="BC155" s="665" t="s">
        <v>4658</v>
      </c>
      <c r="BD155" s="830"/>
      <c r="BE155" s="830"/>
      <c r="BF155" s="665"/>
      <c r="BG155" s="830"/>
      <c r="BH155" s="831">
        <f t="shared" si="40"/>
        <v>17</v>
      </c>
      <c r="BI155" s="831">
        <f t="shared" si="41"/>
        <v>5.0999999999999996</v>
      </c>
      <c r="BJ155" s="831">
        <f t="shared" si="42"/>
        <v>46.9</v>
      </c>
      <c r="BK155" s="831">
        <f t="shared" si="43"/>
        <v>2.4</v>
      </c>
      <c r="BL155" s="831">
        <f t="shared" si="44"/>
        <v>9.5</v>
      </c>
      <c r="BM155" s="831">
        <f t="shared" si="45"/>
        <v>5.6</v>
      </c>
      <c r="BN155" s="831">
        <f t="shared" si="46"/>
        <v>9.9</v>
      </c>
      <c r="BO155" s="831">
        <f t="shared" si="47"/>
        <v>3.5999999999999943</v>
      </c>
      <c r="BP155" s="831">
        <f t="shared" si="39"/>
        <v>100</v>
      </c>
      <c r="BQ155" s="665" t="s">
        <v>4575</v>
      </c>
      <c r="BR155" s="832"/>
      <c r="BS155" s="832"/>
      <c r="BT155" s="832"/>
      <c r="BU155" s="832"/>
      <c r="BV155" s="832"/>
      <c r="BW155" s="832"/>
      <c r="BX155" s="665"/>
      <c r="DH155" s="834" t="str">
        <f t="shared" si="48"/>
        <v>Martinique (France)</v>
      </c>
      <c r="DI155" s="834" t="str">
        <f t="shared" si="48"/>
        <v>Americas</v>
      </c>
      <c r="DJ155" s="834" t="str">
        <f t="shared" si="48"/>
        <v>Caribbean</v>
      </c>
      <c r="DL155" s="834" t="s">
        <v>4584</v>
      </c>
      <c r="DN155" s="834" t="s">
        <v>5278</v>
      </c>
      <c r="DO155" s="834" t="s">
        <v>5279</v>
      </c>
    </row>
    <row r="156" spans="49:119" ht="25.5">
      <c r="AW156" s="827" t="s">
        <v>5280</v>
      </c>
      <c r="AX156" s="827" t="s">
        <v>4614</v>
      </c>
      <c r="AY156" s="828" t="str">
        <f>+BZ11</f>
        <v>Western Africa</v>
      </c>
      <c r="AZ156" s="827">
        <v>512</v>
      </c>
      <c r="BA156" s="665" t="s">
        <v>4573</v>
      </c>
      <c r="BB156" s="829">
        <v>13.490630673342661</v>
      </c>
      <c r="BC156" s="665" t="s">
        <v>4784</v>
      </c>
      <c r="BD156" s="830"/>
      <c r="BE156" s="830"/>
      <c r="BF156" s="665"/>
      <c r="BG156" s="830"/>
      <c r="BH156" s="831">
        <f t="shared" si="40"/>
        <v>9.8000000000000007</v>
      </c>
      <c r="BI156" s="831">
        <f t="shared" si="41"/>
        <v>1</v>
      </c>
      <c r="BJ156" s="831">
        <f t="shared" si="42"/>
        <v>40.4</v>
      </c>
      <c r="BK156" s="831">
        <f t="shared" si="43"/>
        <v>4.4000000000000004</v>
      </c>
      <c r="BL156" s="831">
        <f t="shared" si="44"/>
        <v>9.5</v>
      </c>
      <c r="BM156" s="831">
        <f t="shared" si="45"/>
        <v>5.6</v>
      </c>
      <c r="BN156" s="831">
        <f t="shared" si="46"/>
        <v>3</v>
      </c>
      <c r="BO156" s="831">
        <f t="shared" si="47"/>
        <v>26.300000000000011</v>
      </c>
      <c r="BP156" s="831">
        <f t="shared" si="39"/>
        <v>100</v>
      </c>
      <c r="BQ156" s="665" t="s">
        <v>4575</v>
      </c>
      <c r="BR156" s="832"/>
      <c r="BS156" s="832"/>
      <c r="BT156" s="832"/>
      <c r="BU156" s="832"/>
      <c r="BV156" s="832"/>
      <c r="BW156" s="832"/>
      <c r="BX156" s="665"/>
      <c r="DH156" s="834" t="str">
        <f t="shared" si="48"/>
        <v>Mauritania</v>
      </c>
      <c r="DI156" s="834" t="str">
        <f t="shared" si="48"/>
        <v>Africa</v>
      </c>
      <c r="DJ156" s="834" t="str">
        <f t="shared" si="48"/>
        <v>Western Africa</v>
      </c>
      <c r="DL156" s="834" t="s">
        <v>4584</v>
      </c>
      <c r="DN156" s="834" t="s">
        <v>5281</v>
      </c>
      <c r="DO156" s="834" t="s">
        <v>5282</v>
      </c>
    </row>
    <row r="157" spans="49:119">
      <c r="AW157" s="827" t="s">
        <v>5283</v>
      </c>
      <c r="AX157" s="827" t="s">
        <v>4614</v>
      </c>
      <c r="AY157" s="828" t="str">
        <f>+BZ7</f>
        <v>Eastern Africa</v>
      </c>
      <c r="AZ157" s="827">
        <v>552</v>
      </c>
      <c r="BA157" s="665" t="s">
        <v>4573</v>
      </c>
      <c r="BB157" s="829">
        <v>6.1967994552264214</v>
      </c>
      <c r="BC157" s="665" t="s">
        <v>4598</v>
      </c>
      <c r="BD157" s="830"/>
      <c r="BE157" s="830"/>
      <c r="BF157" s="665"/>
      <c r="BG157" s="830"/>
      <c r="BH157" s="831">
        <f t="shared" si="40"/>
        <v>7.7</v>
      </c>
      <c r="BI157" s="831">
        <f t="shared" si="41"/>
        <v>1.7</v>
      </c>
      <c r="BJ157" s="831">
        <f t="shared" si="42"/>
        <v>53.9</v>
      </c>
      <c r="BK157" s="831">
        <f t="shared" si="43"/>
        <v>7</v>
      </c>
      <c r="BL157" s="831">
        <f t="shared" si="44"/>
        <v>9.5</v>
      </c>
      <c r="BM157" s="831">
        <f t="shared" si="45"/>
        <v>5.6</v>
      </c>
      <c r="BN157" s="831">
        <f t="shared" si="46"/>
        <v>5.5</v>
      </c>
      <c r="BO157" s="831">
        <f t="shared" si="47"/>
        <v>9.1000000000000085</v>
      </c>
      <c r="BP157" s="831">
        <f t="shared" si="39"/>
        <v>100</v>
      </c>
      <c r="BQ157" s="665" t="s">
        <v>4575</v>
      </c>
      <c r="BR157" s="832"/>
      <c r="BS157" s="832"/>
      <c r="BT157" s="832"/>
      <c r="BU157" s="832"/>
      <c r="BV157" s="832"/>
      <c r="BW157" s="832"/>
      <c r="BX157" s="665"/>
      <c r="DH157" s="834" t="str">
        <f t="shared" si="48"/>
        <v>Mauritius</v>
      </c>
      <c r="DI157" s="834" t="str">
        <f t="shared" si="48"/>
        <v>Africa</v>
      </c>
      <c r="DJ157" s="834" t="str">
        <f t="shared" si="48"/>
        <v>Eastern Africa</v>
      </c>
      <c r="DL157" s="834" t="s">
        <v>4584</v>
      </c>
      <c r="DN157" s="834" t="s">
        <v>5284</v>
      </c>
      <c r="DO157" s="834" t="s">
        <v>5285</v>
      </c>
    </row>
    <row r="158" spans="49:119" ht="25.5">
      <c r="AW158" s="827" t="s">
        <v>5286</v>
      </c>
      <c r="AX158" s="827" t="s">
        <v>4614</v>
      </c>
      <c r="AY158" s="828" t="str">
        <f>+BZ7</f>
        <v>Eastern Africa</v>
      </c>
      <c r="AZ158" s="827">
        <v>545</v>
      </c>
      <c r="BA158" s="665" t="s">
        <v>4573</v>
      </c>
      <c r="BB158" s="829">
        <v>11.740747004194485</v>
      </c>
      <c r="BC158" s="665" t="s">
        <v>4826</v>
      </c>
      <c r="BD158" s="830"/>
      <c r="BE158" s="830"/>
      <c r="BF158" s="665"/>
      <c r="BG158" s="830"/>
      <c r="BH158" s="831">
        <f t="shared" si="40"/>
        <v>7.7</v>
      </c>
      <c r="BI158" s="831">
        <f t="shared" si="41"/>
        <v>1.7</v>
      </c>
      <c r="BJ158" s="831">
        <f t="shared" si="42"/>
        <v>53.9</v>
      </c>
      <c r="BK158" s="831">
        <f t="shared" si="43"/>
        <v>7</v>
      </c>
      <c r="BL158" s="831">
        <f t="shared" si="44"/>
        <v>9.5</v>
      </c>
      <c r="BM158" s="831">
        <f t="shared" si="45"/>
        <v>5.6</v>
      </c>
      <c r="BN158" s="831">
        <f t="shared" si="46"/>
        <v>5.5</v>
      </c>
      <c r="BO158" s="831">
        <f t="shared" si="47"/>
        <v>9.1000000000000085</v>
      </c>
      <c r="BP158" s="831">
        <f t="shared" si="39"/>
        <v>100</v>
      </c>
      <c r="BQ158" s="665" t="s">
        <v>4575</v>
      </c>
      <c r="BR158" s="832"/>
      <c r="BS158" s="832"/>
      <c r="BT158" s="832"/>
      <c r="BU158" s="832"/>
      <c r="BV158" s="832"/>
      <c r="BW158" s="832"/>
      <c r="BX158" s="665"/>
      <c r="DH158" s="834" t="str">
        <f t="shared" ref="DH158:DJ181" si="49">AW158</f>
        <v>Mayotte (France)</v>
      </c>
      <c r="DI158" s="834" t="str">
        <f t="shared" si="49"/>
        <v>Africa</v>
      </c>
      <c r="DJ158" s="834" t="str">
        <f t="shared" si="49"/>
        <v>Eastern Africa</v>
      </c>
      <c r="DL158" s="834" t="s">
        <v>4584</v>
      </c>
      <c r="DN158" s="834" t="s">
        <v>5287</v>
      </c>
      <c r="DO158" s="834" t="s">
        <v>5288</v>
      </c>
    </row>
    <row r="159" spans="49:119">
      <c r="AW159" s="842" t="s">
        <v>5289</v>
      </c>
      <c r="AX159" s="842" t="s">
        <v>4657</v>
      </c>
      <c r="AY159" s="846" t="str">
        <f>+BZ19</f>
        <v>Central America</v>
      </c>
      <c r="AZ159" s="842">
        <v>505</v>
      </c>
      <c r="BA159" s="665" t="s">
        <v>5290</v>
      </c>
      <c r="BB159" s="847">
        <v>13.705654469711041</v>
      </c>
      <c r="BC159" s="665" t="s">
        <v>4598</v>
      </c>
      <c r="BD159" s="830"/>
      <c r="BE159" s="830"/>
      <c r="BF159" s="665"/>
      <c r="BG159" s="830"/>
      <c r="BH159" s="814">
        <v>14</v>
      </c>
      <c r="BI159" s="814">
        <v>3</v>
      </c>
      <c r="BJ159" s="814">
        <v>34</v>
      </c>
      <c r="BK159" s="814">
        <v>1</v>
      </c>
      <c r="BL159" s="814">
        <v>15</v>
      </c>
      <c r="BM159" s="814">
        <v>3</v>
      </c>
      <c r="BN159" s="814" t="s">
        <v>4563</v>
      </c>
      <c r="BO159" s="814">
        <f>100-SUM(BH159:BN159)</f>
        <v>30</v>
      </c>
      <c r="BP159" s="831">
        <f t="shared" si="39"/>
        <v>100</v>
      </c>
      <c r="BQ159" s="824" t="s">
        <v>5291</v>
      </c>
      <c r="BR159" s="856"/>
      <c r="BS159" s="856"/>
      <c r="BT159" s="856"/>
      <c r="BU159" s="856"/>
      <c r="BV159" s="856"/>
      <c r="BW159" s="856"/>
      <c r="BX159" s="824"/>
      <c r="DH159" s="834" t="str">
        <f t="shared" si="49"/>
        <v>Mexico</v>
      </c>
      <c r="DI159" s="834" t="str">
        <f t="shared" si="49"/>
        <v>Americas</v>
      </c>
      <c r="DJ159" s="834" t="str">
        <f t="shared" si="49"/>
        <v>Central America</v>
      </c>
      <c r="DK159" s="834" t="e">
        <f>VLOOKUP(DH159,#REF!,1)</f>
        <v>#REF!</v>
      </c>
      <c r="DL159" s="834" t="e">
        <f>VLOOKUP(DK159,#REF!,2,FALSE)</f>
        <v>#REF!</v>
      </c>
      <c r="DN159" s="834" t="s">
        <v>5292</v>
      </c>
      <c r="DO159" s="834" t="s">
        <v>5293</v>
      </c>
    </row>
    <row r="160" spans="49:119" ht="25.5">
      <c r="AW160" s="827" t="s">
        <v>5294</v>
      </c>
      <c r="AX160" s="842" t="s">
        <v>4626</v>
      </c>
      <c r="AY160" s="828" t="str">
        <f>+BZ17</f>
        <v>Rest of Oceania</v>
      </c>
      <c r="AZ160" s="827">
        <v>610</v>
      </c>
      <c r="BA160" s="665" t="s">
        <v>4573</v>
      </c>
      <c r="BB160" s="829">
        <v>5.4123414965002699</v>
      </c>
      <c r="BC160" s="665" t="s">
        <v>4627</v>
      </c>
      <c r="BD160" s="830"/>
      <c r="BE160" s="830"/>
      <c r="BF160" s="665"/>
      <c r="BG160" s="830"/>
      <c r="BH160" s="831">
        <f t="shared" ref="BH160:BH223" si="50">+VLOOKUP($AY160,$BZ$3:$CH$21,2,FALSE)</f>
        <v>6</v>
      </c>
      <c r="BI160" s="831">
        <f t="shared" ref="BI160:BI223" si="51">+VLOOKUP($AY160,$BZ$3:$CH$21,3,FALSE)</f>
        <v>2.97</v>
      </c>
      <c r="BJ160" s="831">
        <f t="shared" ref="BJ160:BJ223" si="52">+VLOOKUP($AY160,$BZ$3:$CH$21,4,FALSE)</f>
        <v>67.5</v>
      </c>
      <c r="BK160" s="831">
        <f t="shared" ref="BK160:BK223" si="53">+VLOOKUP($AY160,$BZ$3:$CH$21,5,FALSE)</f>
        <v>2.5</v>
      </c>
      <c r="BL160" s="831">
        <f t="shared" ref="BL160:BL223" si="54">+VLOOKUP($AY160,$BZ$3:$CH$21,6,FALSE)</f>
        <v>9.5</v>
      </c>
      <c r="BM160" s="831">
        <f t="shared" ref="BM160:BM223" si="55">+VLOOKUP($AY160,$BZ$3:$CH$21,7,FALSE)</f>
        <v>5.6</v>
      </c>
      <c r="BN160" s="831">
        <f t="shared" ref="BN160:BN223" si="56">+VLOOKUP($AY160,$BZ$3:$CH$21,8,FALSE)</f>
        <v>2.97</v>
      </c>
      <c r="BO160" s="831">
        <f t="shared" ref="BO160:BO223" si="57">+VLOOKUP($AY160,$BZ$3:$CH$21,9,FALSE)</f>
        <v>2.9666666666666668</v>
      </c>
      <c r="BP160" s="831">
        <f t="shared" si="39"/>
        <v>100.00666666666666</v>
      </c>
      <c r="BQ160" s="665" t="s">
        <v>4575</v>
      </c>
      <c r="BR160" s="832"/>
      <c r="BS160" s="832"/>
      <c r="BT160" s="832"/>
      <c r="BU160" s="832"/>
      <c r="BV160" s="832"/>
      <c r="BW160" s="832"/>
      <c r="BX160" s="665"/>
      <c r="DH160" s="834" t="str">
        <f t="shared" si="49"/>
        <v>Micronesia</v>
      </c>
      <c r="DI160" s="834" t="str">
        <f t="shared" si="49"/>
        <v>Oceania</v>
      </c>
      <c r="DJ160" s="834" t="str">
        <f t="shared" si="49"/>
        <v>Rest of Oceania</v>
      </c>
      <c r="DL160" s="834" t="s">
        <v>4584</v>
      </c>
      <c r="DN160" s="834" t="s">
        <v>5295</v>
      </c>
      <c r="DO160" s="834" t="s">
        <v>5295</v>
      </c>
    </row>
    <row r="161" spans="49:116">
      <c r="AW161" s="827" t="s">
        <v>5296</v>
      </c>
      <c r="AX161" s="827" t="s">
        <v>4597</v>
      </c>
      <c r="AY161" s="828" t="str">
        <f>+BZ12</f>
        <v>Eastern Europe</v>
      </c>
      <c r="AZ161" s="827">
        <v>436</v>
      </c>
      <c r="BA161" s="665" t="s">
        <v>4573</v>
      </c>
      <c r="BB161" s="829">
        <v>21.528686226873482</v>
      </c>
      <c r="BC161" s="665" t="s">
        <v>4598</v>
      </c>
      <c r="BD161" s="830"/>
      <c r="BE161" s="830"/>
      <c r="BF161" s="665"/>
      <c r="BG161" s="830"/>
      <c r="BH161" s="831">
        <f t="shared" si="50"/>
        <v>21.8</v>
      </c>
      <c r="BI161" s="831">
        <f t="shared" si="51"/>
        <v>4.7</v>
      </c>
      <c r="BJ161" s="831">
        <f t="shared" si="52"/>
        <v>30.1</v>
      </c>
      <c r="BK161" s="831">
        <f t="shared" si="53"/>
        <v>7.5</v>
      </c>
      <c r="BL161" s="831">
        <f t="shared" si="54"/>
        <v>9.5</v>
      </c>
      <c r="BM161" s="831">
        <f t="shared" si="55"/>
        <v>5.6</v>
      </c>
      <c r="BN161" s="831">
        <f t="shared" si="56"/>
        <v>6.2</v>
      </c>
      <c r="BO161" s="831">
        <f t="shared" si="57"/>
        <v>14.600000000000009</v>
      </c>
      <c r="BP161" s="831">
        <f t="shared" si="39"/>
        <v>100</v>
      </c>
      <c r="BQ161" s="665" t="s">
        <v>4575</v>
      </c>
      <c r="BR161" s="832"/>
      <c r="BS161" s="832"/>
      <c r="BT161" s="832"/>
      <c r="BU161" s="832"/>
      <c r="BV161" s="832"/>
      <c r="BW161" s="832"/>
      <c r="BX161" s="665"/>
      <c r="DH161" s="834" t="str">
        <f t="shared" si="49"/>
        <v>Moldova</v>
      </c>
      <c r="DI161" s="834" t="str">
        <f t="shared" si="49"/>
        <v>Europe</v>
      </c>
      <c r="DJ161" s="834" t="str">
        <f t="shared" si="49"/>
        <v>Eastern Europe</v>
      </c>
      <c r="DL161" s="834" t="s">
        <v>4584</v>
      </c>
    </row>
    <row r="162" spans="49:116" ht="25.5">
      <c r="AW162" s="827" t="s">
        <v>5297</v>
      </c>
      <c r="AX162" s="827" t="s">
        <v>4597</v>
      </c>
      <c r="AY162" s="828" t="str">
        <f>+BZ15</f>
        <v>Western Europe</v>
      </c>
      <c r="AZ162" s="827">
        <v>43</v>
      </c>
      <c r="BA162" s="665" t="s">
        <v>4573</v>
      </c>
      <c r="BB162" s="829">
        <v>6.2171813834411278</v>
      </c>
      <c r="BC162" s="665" t="s">
        <v>4636</v>
      </c>
      <c r="BD162" s="830"/>
      <c r="BE162" s="830"/>
      <c r="BF162" s="665"/>
      <c r="BG162" s="830"/>
      <c r="BH162" s="831">
        <f t="shared" si="50"/>
        <v>27.5</v>
      </c>
      <c r="BI162" s="831">
        <f t="shared" si="51"/>
        <v>7.4</v>
      </c>
      <c r="BJ162" s="831">
        <f t="shared" si="52"/>
        <v>24.2</v>
      </c>
      <c r="BK162" s="831">
        <f t="shared" si="53"/>
        <v>11</v>
      </c>
      <c r="BL162" s="831">
        <f t="shared" si="54"/>
        <v>9.5</v>
      </c>
      <c r="BM162" s="831">
        <f t="shared" si="55"/>
        <v>5.6</v>
      </c>
      <c r="BN162" s="831">
        <f t="shared" si="56"/>
        <v>7.4</v>
      </c>
      <c r="BO162" s="831">
        <f t="shared" si="57"/>
        <v>7.3999999999999986</v>
      </c>
      <c r="BP162" s="831">
        <f t="shared" si="39"/>
        <v>100</v>
      </c>
      <c r="BQ162" s="665" t="s">
        <v>4575</v>
      </c>
      <c r="BR162" s="832"/>
      <c r="BS162" s="832"/>
      <c r="BT162" s="832"/>
      <c r="BU162" s="832"/>
      <c r="BV162" s="832"/>
      <c r="BW162" s="832"/>
      <c r="BX162" s="665"/>
      <c r="DH162" s="834" t="str">
        <f t="shared" si="49"/>
        <v>Monaco</v>
      </c>
      <c r="DI162" s="834" t="str">
        <f t="shared" si="49"/>
        <v>Europe</v>
      </c>
      <c r="DJ162" s="834" t="str">
        <f t="shared" si="49"/>
        <v>Western Europe</v>
      </c>
      <c r="DL162" s="834" t="s">
        <v>4584</v>
      </c>
    </row>
    <row r="163" spans="49:116">
      <c r="AW163" s="827" t="s">
        <v>5298</v>
      </c>
      <c r="AX163" s="827" t="s">
        <v>4572</v>
      </c>
      <c r="AY163" s="828" t="str">
        <f>+BZ3</f>
        <v>Eastern Asia</v>
      </c>
      <c r="AZ163" s="827">
        <v>1049</v>
      </c>
      <c r="BA163" s="665" t="s">
        <v>4573</v>
      </c>
      <c r="BB163" s="829">
        <v>14.750744047619047</v>
      </c>
      <c r="BC163" s="665" t="s">
        <v>4598</v>
      </c>
      <c r="BD163" s="830"/>
      <c r="BE163" s="830"/>
      <c r="BF163" s="665"/>
      <c r="BG163" s="830"/>
      <c r="BH163" s="831">
        <f t="shared" si="50"/>
        <v>18.8</v>
      </c>
      <c r="BI163" s="831">
        <f t="shared" si="51"/>
        <v>3.5</v>
      </c>
      <c r="BJ163" s="831">
        <f t="shared" si="52"/>
        <v>26.2</v>
      </c>
      <c r="BK163" s="831">
        <f t="shared" si="53"/>
        <v>3.5</v>
      </c>
      <c r="BL163" s="831">
        <f t="shared" si="54"/>
        <v>9.5</v>
      </c>
      <c r="BM163" s="831">
        <f t="shared" si="55"/>
        <v>5.6</v>
      </c>
      <c r="BN163" s="831">
        <f t="shared" si="56"/>
        <v>14.3</v>
      </c>
      <c r="BO163" s="831">
        <f t="shared" si="57"/>
        <v>18.600000000000009</v>
      </c>
      <c r="BP163" s="831">
        <f t="shared" si="39"/>
        <v>100</v>
      </c>
      <c r="BQ163" s="665" t="s">
        <v>4575</v>
      </c>
      <c r="BR163" s="832"/>
      <c r="BS163" s="832"/>
      <c r="BT163" s="832"/>
      <c r="BU163" s="832"/>
      <c r="BV163" s="832"/>
      <c r="BW163" s="832"/>
      <c r="BX163" s="665"/>
      <c r="DH163" s="834" t="str">
        <f t="shared" si="49"/>
        <v>Mongolia</v>
      </c>
      <c r="DI163" s="834" t="str">
        <f t="shared" si="49"/>
        <v>Asia</v>
      </c>
      <c r="DJ163" s="834" t="str">
        <f t="shared" si="49"/>
        <v>Eastern Asia</v>
      </c>
      <c r="DL163" s="834" t="s">
        <v>4584</v>
      </c>
    </row>
    <row r="164" spans="49:116">
      <c r="AW164" s="827" t="s">
        <v>5299</v>
      </c>
      <c r="AX164" s="827" t="s">
        <v>4597</v>
      </c>
      <c r="AY164" s="828" t="str">
        <f>+BZ14</f>
        <v>Southern Europe</v>
      </c>
      <c r="AZ164" s="827">
        <v>544</v>
      </c>
      <c r="BA164" s="665" t="s">
        <v>4573</v>
      </c>
      <c r="BB164" s="829">
        <v>17.554364954301924</v>
      </c>
      <c r="BC164" s="665" t="s">
        <v>4598</v>
      </c>
      <c r="BD164" s="830"/>
      <c r="BE164" s="830"/>
      <c r="BF164" s="665"/>
      <c r="BG164" s="830"/>
      <c r="BH164" s="831">
        <f t="shared" si="50"/>
        <v>17</v>
      </c>
      <c r="BI164" s="831">
        <f t="shared" si="51"/>
        <v>6.8</v>
      </c>
      <c r="BJ164" s="831">
        <f t="shared" si="52"/>
        <v>36.9</v>
      </c>
      <c r="BK164" s="831">
        <f t="shared" si="53"/>
        <v>10.6</v>
      </c>
      <c r="BL164" s="831">
        <f t="shared" si="54"/>
        <v>9.5</v>
      </c>
      <c r="BM164" s="831">
        <f t="shared" si="55"/>
        <v>5.6</v>
      </c>
      <c r="BN164" s="831">
        <f t="shared" si="56"/>
        <v>6.8</v>
      </c>
      <c r="BO164" s="831">
        <f t="shared" si="57"/>
        <v>6.8</v>
      </c>
      <c r="BP164" s="831">
        <f t="shared" si="39"/>
        <v>99.999999999999986</v>
      </c>
      <c r="BQ164" s="665" t="s">
        <v>4575</v>
      </c>
      <c r="BR164" s="832"/>
      <c r="BS164" s="832"/>
      <c r="BT164" s="832"/>
      <c r="BU164" s="832"/>
      <c r="BV164" s="832"/>
      <c r="BW164" s="832"/>
      <c r="BX164" s="665"/>
      <c r="DH164" s="834" t="str">
        <f t="shared" si="49"/>
        <v>Montenegro</v>
      </c>
      <c r="DI164" s="834" t="str">
        <f t="shared" si="49"/>
        <v>Europe</v>
      </c>
      <c r="DJ164" s="834" t="str">
        <f t="shared" si="49"/>
        <v>Southern Europe</v>
      </c>
      <c r="DL164" s="834" t="s">
        <v>4584</v>
      </c>
    </row>
    <row r="165" spans="49:116" ht="25.5">
      <c r="AW165" s="827" t="s">
        <v>5300</v>
      </c>
      <c r="AX165" s="842" t="s">
        <v>4657</v>
      </c>
      <c r="AY165" s="828" t="str">
        <f>+BZ21</f>
        <v>Caribbean</v>
      </c>
      <c r="AZ165" s="827">
        <v>542</v>
      </c>
      <c r="BA165" s="665" t="s">
        <v>4573</v>
      </c>
      <c r="BB165" s="829">
        <v>9.3894684857089938</v>
      </c>
      <c r="BC165" s="665" t="s">
        <v>4658</v>
      </c>
      <c r="BD165" s="830"/>
      <c r="BE165" s="830"/>
      <c r="BF165" s="665"/>
      <c r="BG165" s="830"/>
      <c r="BH165" s="831">
        <f t="shared" si="50"/>
        <v>17</v>
      </c>
      <c r="BI165" s="831">
        <f t="shared" si="51"/>
        <v>5.0999999999999996</v>
      </c>
      <c r="BJ165" s="831">
        <f t="shared" si="52"/>
        <v>46.9</v>
      </c>
      <c r="BK165" s="831">
        <f t="shared" si="53"/>
        <v>2.4</v>
      </c>
      <c r="BL165" s="831">
        <f t="shared" si="54"/>
        <v>9.5</v>
      </c>
      <c r="BM165" s="831">
        <f t="shared" si="55"/>
        <v>5.6</v>
      </c>
      <c r="BN165" s="831">
        <f t="shared" si="56"/>
        <v>9.9</v>
      </c>
      <c r="BO165" s="831">
        <f t="shared" si="57"/>
        <v>3.5999999999999943</v>
      </c>
      <c r="BP165" s="831">
        <f t="shared" si="39"/>
        <v>100</v>
      </c>
      <c r="BQ165" s="665" t="s">
        <v>4575</v>
      </c>
      <c r="BR165" s="832"/>
      <c r="BS165" s="832"/>
      <c r="BT165" s="832"/>
      <c r="BU165" s="832"/>
      <c r="BV165" s="832"/>
      <c r="BW165" s="832"/>
      <c r="BX165" s="665"/>
      <c r="DH165" s="834" t="str">
        <f t="shared" si="49"/>
        <v>Montserrat</v>
      </c>
      <c r="DI165" s="834" t="str">
        <f t="shared" si="49"/>
        <v>Americas</v>
      </c>
      <c r="DJ165" s="834" t="str">
        <f t="shared" si="49"/>
        <v>Caribbean</v>
      </c>
      <c r="DL165" s="834" t="s">
        <v>4584</v>
      </c>
    </row>
    <row r="166" spans="49:116">
      <c r="AW166" s="827" t="s">
        <v>5301</v>
      </c>
      <c r="AX166" s="827" t="s">
        <v>4614</v>
      </c>
      <c r="AY166" s="828" t="str">
        <f>+BZ9</f>
        <v>Northern Africa</v>
      </c>
      <c r="AZ166" s="827">
        <v>551</v>
      </c>
      <c r="BA166" s="665" t="s">
        <v>4573</v>
      </c>
      <c r="BB166" s="829">
        <v>14.704654560634523</v>
      </c>
      <c r="BC166" s="665" t="s">
        <v>4598</v>
      </c>
      <c r="BD166" s="830"/>
      <c r="BE166" s="830"/>
      <c r="BF166" s="665"/>
      <c r="BG166" s="830"/>
      <c r="BH166" s="831">
        <f t="shared" si="50"/>
        <v>16.5</v>
      </c>
      <c r="BI166" s="831">
        <f t="shared" si="51"/>
        <v>2.5</v>
      </c>
      <c r="BJ166" s="831">
        <f t="shared" si="52"/>
        <v>51.1</v>
      </c>
      <c r="BK166" s="831">
        <f t="shared" si="53"/>
        <v>2</v>
      </c>
      <c r="BL166" s="831">
        <f t="shared" si="54"/>
        <v>9.5</v>
      </c>
      <c r="BM166" s="831">
        <f t="shared" si="55"/>
        <v>5.6</v>
      </c>
      <c r="BN166" s="831">
        <f t="shared" si="56"/>
        <v>4.5</v>
      </c>
      <c r="BO166" s="831">
        <f t="shared" si="57"/>
        <v>8.3000000000000114</v>
      </c>
      <c r="BP166" s="831">
        <f t="shared" si="39"/>
        <v>100</v>
      </c>
      <c r="BQ166" s="665" t="s">
        <v>4575</v>
      </c>
      <c r="BR166" s="832"/>
      <c r="BS166" s="832"/>
      <c r="BT166" s="832"/>
      <c r="BU166" s="832"/>
      <c r="BV166" s="832"/>
      <c r="BW166" s="832"/>
      <c r="BX166" s="665"/>
      <c r="DH166" s="834" t="str">
        <f t="shared" si="49"/>
        <v>Morocco</v>
      </c>
      <c r="DI166" s="834" t="str">
        <f t="shared" si="49"/>
        <v>Africa</v>
      </c>
      <c r="DJ166" s="834" t="str">
        <f t="shared" si="49"/>
        <v>Northern Africa</v>
      </c>
      <c r="DL166" s="834" t="s">
        <v>4584</v>
      </c>
    </row>
    <row r="167" spans="49:116">
      <c r="AW167" s="827" t="s">
        <v>5302</v>
      </c>
      <c r="AX167" s="827" t="s">
        <v>4614</v>
      </c>
      <c r="AY167" s="828" t="str">
        <f>+BZ7</f>
        <v>Eastern Africa</v>
      </c>
      <c r="AZ167" s="827">
        <v>128</v>
      </c>
      <c r="BA167" s="665" t="s">
        <v>4573</v>
      </c>
      <c r="BB167" s="829">
        <v>14.720468890892697</v>
      </c>
      <c r="BC167" s="665" t="s">
        <v>4598</v>
      </c>
      <c r="BD167" s="830"/>
      <c r="BE167" s="830"/>
      <c r="BF167" s="665"/>
      <c r="BG167" s="830"/>
      <c r="BH167" s="831">
        <f t="shared" si="50"/>
        <v>7.7</v>
      </c>
      <c r="BI167" s="831">
        <f t="shared" si="51"/>
        <v>1.7</v>
      </c>
      <c r="BJ167" s="831">
        <f t="shared" si="52"/>
        <v>53.9</v>
      </c>
      <c r="BK167" s="831">
        <f t="shared" si="53"/>
        <v>7</v>
      </c>
      <c r="BL167" s="831">
        <f t="shared" si="54"/>
        <v>9.5</v>
      </c>
      <c r="BM167" s="831">
        <f t="shared" si="55"/>
        <v>5.6</v>
      </c>
      <c r="BN167" s="831">
        <f t="shared" si="56"/>
        <v>5.5</v>
      </c>
      <c r="BO167" s="831">
        <f t="shared" si="57"/>
        <v>9.1000000000000085</v>
      </c>
      <c r="BP167" s="831">
        <f t="shared" si="39"/>
        <v>100</v>
      </c>
      <c r="BQ167" s="665" t="s">
        <v>4575</v>
      </c>
      <c r="BR167" s="832"/>
      <c r="BS167" s="832"/>
      <c r="BT167" s="832"/>
      <c r="BU167" s="832"/>
      <c r="BV167" s="832"/>
      <c r="BW167" s="832"/>
      <c r="BX167" s="665"/>
      <c r="DH167" s="834" t="str">
        <f t="shared" si="49"/>
        <v>Mozambique</v>
      </c>
      <c r="DI167" s="834" t="str">
        <f t="shared" si="49"/>
        <v>Africa</v>
      </c>
      <c r="DJ167" s="834" t="str">
        <f t="shared" si="49"/>
        <v>Eastern Africa</v>
      </c>
      <c r="DL167" s="834" t="s">
        <v>4584</v>
      </c>
    </row>
    <row r="168" spans="49:116">
      <c r="AW168" s="827" t="s">
        <v>5303</v>
      </c>
      <c r="AX168" s="827" t="s">
        <v>4572</v>
      </c>
      <c r="AY168" s="828" t="str">
        <f>+BZ5</f>
        <v>South-Eastern Asia</v>
      </c>
      <c r="AZ168" s="827">
        <v>367</v>
      </c>
      <c r="BA168" s="665" t="s">
        <v>4573</v>
      </c>
      <c r="BB168" s="829">
        <v>20.491629582538671</v>
      </c>
      <c r="BC168" s="665" t="s">
        <v>4598</v>
      </c>
      <c r="BD168" s="830"/>
      <c r="BE168" s="830"/>
      <c r="BF168" s="665"/>
      <c r="BG168" s="830"/>
      <c r="BH168" s="831">
        <f t="shared" si="50"/>
        <v>12.9</v>
      </c>
      <c r="BI168" s="831">
        <f t="shared" si="51"/>
        <v>2.7</v>
      </c>
      <c r="BJ168" s="831">
        <f t="shared" si="52"/>
        <v>43.5</v>
      </c>
      <c r="BK168" s="831">
        <f t="shared" si="53"/>
        <v>9.9</v>
      </c>
      <c r="BL168" s="831">
        <f t="shared" si="54"/>
        <v>9.5</v>
      </c>
      <c r="BM168" s="831">
        <f t="shared" si="55"/>
        <v>5.6</v>
      </c>
      <c r="BN168" s="831">
        <f t="shared" si="56"/>
        <v>7.2</v>
      </c>
      <c r="BO168" s="831">
        <f t="shared" si="57"/>
        <v>8.7000000000000028</v>
      </c>
      <c r="BP168" s="831">
        <f t="shared" si="39"/>
        <v>100</v>
      </c>
      <c r="BQ168" s="665" t="s">
        <v>4575</v>
      </c>
      <c r="BR168" s="832"/>
      <c r="BS168" s="832"/>
      <c r="BT168" s="832"/>
      <c r="BU168" s="832"/>
      <c r="BV168" s="832"/>
      <c r="BW168" s="832"/>
      <c r="BX168" s="665"/>
      <c r="DH168" s="834" t="str">
        <f t="shared" si="49"/>
        <v>Myanmar</v>
      </c>
      <c r="DI168" s="834" t="str">
        <f t="shared" si="49"/>
        <v>Asia</v>
      </c>
      <c r="DJ168" s="834" t="str">
        <f t="shared" si="49"/>
        <v>South-Eastern Asia</v>
      </c>
      <c r="DL168" s="834" t="s">
        <v>4584</v>
      </c>
    </row>
    <row r="169" spans="49:116">
      <c r="AW169" s="827" t="s">
        <v>5304</v>
      </c>
      <c r="AX169" s="827" t="s">
        <v>4614</v>
      </c>
      <c r="AY169" s="828" t="str">
        <f>+BZ10</f>
        <v>Southern Africa</v>
      </c>
      <c r="AZ169" s="827">
        <v>134</v>
      </c>
      <c r="BA169" s="665" t="s">
        <v>4573</v>
      </c>
      <c r="BB169" s="829">
        <v>36.248331108144193</v>
      </c>
      <c r="BC169" s="665" t="s">
        <v>4598</v>
      </c>
      <c r="BD169" s="830"/>
      <c r="BE169" s="830"/>
      <c r="BF169" s="665"/>
      <c r="BG169" s="830"/>
      <c r="BH169" s="831">
        <f t="shared" si="50"/>
        <v>25</v>
      </c>
      <c r="BI169" s="831">
        <f t="shared" si="51"/>
        <v>7.3</v>
      </c>
      <c r="BJ169" s="831">
        <f t="shared" si="52"/>
        <v>23</v>
      </c>
      <c r="BK169" s="831">
        <f t="shared" si="53"/>
        <v>15</v>
      </c>
      <c r="BL169" s="831">
        <f t="shared" si="54"/>
        <v>9.5</v>
      </c>
      <c r="BM169" s="831">
        <f t="shared" si="55"/>
        <v>5.6</v>
      </c>
      <c r="BN169" s="831">
        <f t="shared" si="56"/>
        <v>7.3</v>
      </c>
      <c r="BO169" s="831">
        <f t="shared" si="57"/>
        <v>7.3</v>
      </c>
      <c r="BP169" s="831">
        <f t="shared" si="39"/>
        <v>99.999999999999986</v>
      </c>
      <c r="BQ169" s="665" t="s">
        <v>4575</v>
      </c>
      <c r="BR169" s="832"/>
      <c r="BS169" s="832"/>
      <c r="BT169" s="832"/>
      <c r="BU169" s="832"/>
      <c r="BV169" s="832"/>
      <c r="BW169" s="832"/>
      <c r="BX169" s="665"/>
      <c r="DH169" s="834" t="str">
        <f t="shared" si="49"/>
        <v>Namibia</v>
      </c>
      <c r="DI169" s="834" t="str">
        <f t="shared" si="49"/>
        <v>Africa</v>
      </c>
      <c r="DJ169" s="834" t="str">
        <f t="shared" si="49"/>
        <v>Southern Africa</v>
      </c>
      <c r="DL169" s="834" t="s">
        <v>4584</v>
      </c>
    </row>
    <row r="170" spans="49:116" ht="25.5">
      <c r="AW170" s="827" t="s">
        <v>5305</v>
      </c>
      <c r="AX170" s="842" t="s">
        <v>4626</v>
      </c>
      <c r="AY170" s="828" t="str">
        <f>+BZ17</f>
        <v>Rest of Oceania</v>
      </c>
      <c r="AZ170" s="827">
        <v>568</v>
      </c>
      <c r="BA170" s="665" t="s">
        <v>4573</v>
      </c>
      <c r="BB170" s="829">
        <v>5.4123414965002699</v>
      </c>
      <c r="BC170" s="665" t="s">
        <v>4627</v>
      </c>
      <c r="BD170" s="830"/>
      <c r="BE170" s="830"/>
      <c r="BF170" s="665"/>
      <c r="BG170" s="830"/>
      <c r="BH170" s="831">
        <f t="shared" si="50"/>
        <v>6</v>
      </c>
      <c r="BI170" s="831">
        <f t="shared" si="51"/>
        <v>2.97</v>
      </c>
      <c r="BJ170" s="831">
        <f t="shared" si="52"/>
        <v>67.5</v>
      </c>
      <c r="BK170" s="831">
        <f t="shared" si="53"/>
        <v>2.5</v>
      </c>
      <c r="BL170" s="831">
        <f t="shared" si="54"/>
        <v>9.5</v>
      </c>
      <c r="BM170" s="831">
        <f t="shared" si="55"/>
        <v>5.6</v>
      </c>
      <c r="BN170" s="831">
        <f t="shared" si="56"/>
        <v>2.97</v>
      </c>
      <c r="BO170" s="831">
        <f t="shared" si="57"/>
        <v>2.9666666666666668</v>
      </c>
      <c r="BP170" s="831">
        <f t="shared" si="39"/>
        <v>100.00666666666666</v>
      </c>
      <c r="BQ170" s="665" t="s">
        <v>4575</v>
      </c>
      <c r="BR170" s="832"/>
      <c r="BS170" s="832"/>
      <c r="BT170" s="832"/>
      <c r="BU170" s="832"/>
      <c r="BV170" s="832"/>
      <c r="BW170" s="832"/>
      <c r="BX170" s="665"/>
      <c r="DH170" s="834" t="str">
        <f t="shared" si="49"/>
        <v>Nauru</v>
      </c>
      <c r="DI170" s="834" t="str">
        <f t="shared" si="49"/>
        <v>Oceania</v>
      </c>
      <c r="DJ170" s="834" t="str">
        <f t="shared" si="49"/>
        <v>Rest of Oceania</v>
      </c>
      <c r="DL170" s="834" t="s">
        <v>4584</v>
      </c>
    </row>
    <row r="171" spans="49:116">
      <c r="AW171" s="827" t="s">
        <v>5306</v>
      </c>
      <c r="AX171" s="827" t="s">
        <v>4572</v>
      </c>
      <c r="AY171" s="828" t="str">
        <f>+BZ4</f>
        <v>South-Central Asia</v>
      </c>
      <c r="AZ171" s="827">
        <v>43</v>
      </c>
      <c r="BA171" s="665" t="s">
        <v>4573</v>
      </c>
      <c r="BB171" s="829">
        <v>32.209639188833286</v>
      </c>
      <c r="BC171" s="665" t="s">
        <v>4598</v>
      </c>
      <c r="BD171" s="830"/>
      <c r="BE171" s="830"/>
      <c r="BF171" s="665"/>
      <c r="BG171" s="830"/>
      <c r="BH171" s="831">
        <f t="shared" si="50"/>
        <v>11.3</v>
      </c>
      <c r="BI171" s="831">
        <f t="shared" si="51"/>
        <v>2.5</v>
      </c>
      <c r="BJ171" s="831">
        <f t="shared" si="52"/>
        <v>40.299999999999997</v>
      </c>
      <c r="BK171" s="831">
        <f t="shared" si="53"/>
        <v>7.9</v>
      </c>
      <c r="BL171" s="831">
        <f t="shared" si="54"/>
        <v>9.5</v>
      </c>
      <c r="BM171" s="831">
        <f t="shared" si="55"/>
        <v>5.6</v>
      </c>
      <c r="BN171" s="831">
        <f t="shared" si="56"/>
        <v>6.4</v>
      </c>
      <c r="BO171" s="831">
        <f t="shared" si="57"/>
        <v>16.5</v>
      </c>
      <c r="BP171" s="831">
        <f t="shared" si="39"/>
        <v>100</v>
      </c>
      <c r="BQ171" s="665" t="s">
        <v>4575</v>
      </c>
      <c r="BR171" s="832"/>
      <c r="BS171" s="832"/>
      <c r="BT171" s="832"/>
      <c r="BU171" s="832"/>
      <c r="BV171" s="832"/>
      <c r="BW171" s="832"/>
      <c r="BX171" s="665"/>
      <c r="DH171" s="834" t="str">
        <f t="shared" si="49"/>
        <v>Nepal</v>
      </c>
      <c r="DI171" s="834" t="str">
        <f t="shared" si="49"/>
        <v>Asia</v>
      </c>
      <c r="DJ171" s="834" t="str">
        <f t="shared" si="49"/>
        <v>South-Central Asia</v>
      </c>
      <c r="DL171" s="834" t="s">
        <v>4584</v>
      </c>
    </row>
    <row r="172" spans="49:116">
      <c r="AW172" s="827" t="s">
        <v>5307</v>
      </c>
      <c r="AX172" s="827" t="s">
        <v>4597</v>
      </c>
      <c r="AY172" s="828" t="str">
        <f>+BZ15</f>
        <v>Western Europe</v>
      </c>
      <c r="AZ172" s="827">
        <v>505.2</v>
      </c>
      <c r="BA172" s="665" t="s">
        <v>4747</v>
      </c>
      <c r="BB172" s="829">
        <v>4.770929625403701</v>
      </c>
      <c r="BC172" s="665" t="s">
        <v>4598</v>
      </c>
      <c r="BD172" s="830"/>
      <c r="BE172" s="830"/>
      <c r="BF172" s="665"/>
      <c r="BG172" s="830"/>
      <c r="BH172" s="831">
        <f t="shared" si="50"/>
        <v>27.5</v>
      </c>
      <c r="BI172" s="831">
        <f t="shared" si="51"/>
        <v>7.4</v>
      </c>
      <c r="BJ172" s="831">
        <f t="shared" si="52"/>
        <v>24.2</v>
      </c>
      <c r="BK172" s="831">
        <f t="shared" si="53"/>
        <v>11</v>
      </c>
      <c r="BL172" s="831">
        <f t="shared" si="54"/>
        <v>9.5</v>
      </c>
      <c r="BM172" s="831">
        <f t="shared" si="55"/>
        <v>5.6</v>
      </c>
      <c r="BN172" s="831">
        <f t="shared" si="56"/>
        <v>7.4</v>
      </c>
      <c r="BO172" s="831">
        <f t="shared" si="57"/>
        <v>7.3999999999999986</v>
      </c>
      <c r="BP172" s="831">
        <f t="shared" si="39"/>
        <v>100</v>
      </c>
      <c r="BQ172" s="665" t="s">
        <v>4575</v>
      </c>
      <c r="BR172" s="832"/>
      <c r="BS172" s="832"/>
      <c r="BT172" s="832"/>
      <c r="BU172" s="832"/>
      <c r="BV172" s="832"/>
      <c r="BW172" s="832"/>
      <c r="BX172" s="665"/>
      <c r="DH172" s="834" t="str">
        <f t="shared" si="49"/>
        <v>Netherlands</v>
      </c>
      <c r="DI172" s="834" t="str">
        <f t="shared" si="49"/>
        <v>Europe</v>
      </c>
      <c r="DJ172" s="834" t="str">
        <f t="shared" si="49"/>
        <v>Western Europe</v>
      </c>
      <c r="DK172" s="834" t="s">
        <v>5308</v>
      </c>
      <c r="DL172" s="834" t="e">
        <f>VLOOKUP(DK172,#REF!,2,FALSE)</f>
        <v>#REF!</v>
      </c>
    </row>
    <row r="173" spans="49:116" ht="25.5">
      <c r="AW173" s="827" t="s">
        <v>5309</v>
      </c>
      <c r="AX173" s="842" t="s">
        <v>4657</v>
      </c>
      <c r="AY173" s="828" t="str">
        <f>+BZ21</f>
        <v>Caribbean</v>
      </c>
      <c r="AZ173" s="827">
        <v>485</v>
      </c>
      <c r="BA173" s="665" t="s">
        <v>4573</v>
      </c>
      <c r="BB173" s="829">
        <v>9.3894684857089938</v>
      </c>
      <c r="BC173" s="665" t="s">
        <v>4658</v>
      </c>
      <c r="BD173" s="830"/>
      <c r="BE173" s="830"/>
      <c r="BF173" s="665"/>
      <c r="BG173" s="830"/>
      <c r="BH173" s="831">
        <f t="shared" si="50"/>
        <v>17</v>
      </c>
      <c r="BI173" s="831">
        <f t="shared" si="51"/>
        <v>5.0999999999999996</v>
      </c>
      <c r="BJ173" s="831">
        <f t="shared" si="52"/>
        <v>46.9</v>
      </c>
      <c r="BK173" s="831">
        <f t="shared" si="53"/>
        <v>2.4</v>
      </c>
      <c r="BL173" s="831">
        <f t="shared" si="54"/>
        <v>9.5</v>
      </c>
      <c r="BM173" s="831">
        <f t="shared" si="55"/>
        <v>5.6</v>
      </c>
      <c r="BN173" s="831">
        <f t="shared" si="56"/>
        <v>9.9</v>
      </c>
      <c r="BO173" s="831">
        <f t="shared" si="57"/>
        <v>3.5999999999999943</v>
      </c>
      <c r="BP173" s="831">
        <f t="shared" si="39"/>
        <v>100</v>
      </c>
      <c r="BQ173" s="665" t="s">
        <v>4575</v>
      </c>
      <c r="BR173" s="832"/>
      <c r="BS173" s="832"/>
      <c r="BT173" s="832"/>
      <c r="BU173" s="832"/>
      <c r="BV173" s="832"/>
      <c r="BW173" s="832"/>
      <c r="BX173" s="665"/>
      <c r="DH173" s="834" t="str">
        <f t="shared" si="49"/>
        <v>Netherlands Antilles</v>
      </c>
      <c r="DI173" s="834" t="str">
        <f t="shared" si="49"/>
        <v>Americas</v>
      </c>
      <c r="DJ173" s="834" t="str">
        <f t="shared" si="49"/>
        <v>Caribbean</v>
      </c>
      <c r="DL173" s="834" t="s">
        <v>4584</v>
      </c>
    </row>
    <row r="174" spans="49:116" ht="25.5">
      <c r="AW174" s="827" t="s">
        <v>5310</v>
      </c>
      <c r="AX174" s="842" t="s">
        <v>4626</v>
      </c>
      <c r="AY174" s="828" t="str">
        <f>+BZ17</f>
        <v>Rest of Oceania</v>
      </c>
      <c r="AZ174" s="827">
        <v>417</v>
      </c>
      <c r="BA174" s="665" t="s">
        <v>4573</v>
      </c>
      <c r="BB174" s="829">
        <v>5.4123414965002699</v>
      </c>
      <c r="BC174" s="665" t="s">
        <v>4627</v>
      </c>
      <c r="BD174" s="830"/>
      <c r="BE174" s="830"/>
      <c r="BF174" s="665"/>
      <c r="BG174" s="830"/>
      <c r="BH174" s="831">
        <f t="shared" si="50"/>
        <v>6</v>
      </c>
      <c r="BI174" s="831">
        <f t="shared" si="51"/>
        <v>2.97</v>
      </c>
      <c r="BJ174" s="831">
        <f t="shared" si="52"/>
        <v>67.5</v>
      </c>
      <c r="BK174" s="831">
        <f t="shared" si="53"/>
        <v>2.5</v>
      </c>
      <c r="BL174" s="831">
        <f t="shared" si="54"/>
        <v>9.5</v>
      </c>
      <c r="BM174" s="831">
        <f t="shared" si="55"/>
        <v>5.6</v>
      </c>
      <c r="BN174" s="831">
        <f t="shared" si="56"/>
        <v>2.97</v>
      </c>
      <c r="BO174" s="831">
        <f t="shared" si="57"/>
        <v>2.9666666666666668</v>
      </c>
      <c r="BP174" s="831">
        <f t="shared" si="39"/>
        <v>100.00666666666666</v>
      </c>
      <c r="BQ174" s="665" t="s">
        <v>4575</v>
      </c>
      <c r="BR174" s="832"/>
      <c r="BS174" s="832"/>
      <c r="BT174" s="832"/>
      <c r="BU174" s="832"/>
      <c r="BV174" s="832"/>
      <c r="BW174" s="832"/>
      <c r="BX174" s="665"/>
      <c r="DH174" s="834" t="str">
        <f t="shared" si="49"/>
        <v>New Caledonia (France)</v>
      </c>
      <c r="DI174" s="834" t="str">
        <f t="shared" si="49"/>
        <v>Oceania</v>
      </c>
      <c r="DJ174" s="834" t="str">
        <f t="shared" si="49"/>
        <v>Rest of Oceania</v>
      </c>
      <c r="DL174" s="834" t="s">
        <v>4584</v>
      </c>
    </row>
    <row r="175" spans="49:116">
      <c r="AW175" s="827" t="s">
        <v>5311</v>
      </c>
      <c r="AX175" s="842" t="s">
        <v>4626</v>
      </c>
      <c r="AY175" s="828" t="str">
        <f>+BZ16</f>
        <v>Australia and New Zealand</v>
      </c>
      <c r="AZ175" s="827">
        <v>160</v>
      </c>
      <c r="BA175" s="665" t="s">
        <v>4573</v>
      </c>
      <c r="BB175" s="829">
        <v>6.5440753936329159</v>
      </c>
      <c r="BC175" s="665" t="s">
        <v>4598</v>
      </c>
      <c r="BD175" s="830"/>
      <c r="BE175" s="830"/>
      <c r="BF175" s="665"/>
      <c r="BG175" s="830"/>
      <c r="BH175" s="831">
        <f t="shared" si="50"/>
        <v>30</v>
      </c>
      <c r="BI175" s="831">
        <f t="shared" si="51"/>
        <v>2</v>
      </c>
      <c r="BJ175" s="831">
        <f t="shared" si="52"/>
        <v>36</v>
      </c>
      <c r="BK175" s="831">
        <f t="shared" si="53"/>
        <v>24</v>
      </c>
      <c r="BL175" s="831">
        <f t="shared" si="54"/>
        <v>2</v>
      </c>
      <c r="BM175" s="831">
        <f t="shared" si="55"/>
        <v>2</v>
      </c>
      <c r="BN175" s="831">
        <f t="shared" si="56"/>
        <v>2</v>
      </c>
      <c r="BO175" s="831">
        <f t="shared" si="57"/>
        <v>2</v>
      </c>
      <c r="BP175" s="831">
        <f t="shared" si="39"/>
        <v>100</v>
      </c>
      <c r="BQ175" s="665" t="s">
        <v>4575</v>
      </c>
      <c r="BR175" s="832"/>
      <c r="BS175" s="832"/>
      <c r="BT175" s="832"/>
      <c r="BU175" s="832"/>
      <c r="BV175" s="832"/>
      <c r="BW175" s="832"/>
      <c r="BX175" s="665"/>
      <c r="DH175" s="834" t="str">
        <f t="shared" si="49"/>
        <v>New Zealand</v>
      </c>
      <c r="DI175" s="834" t="str">
        <f t="shared" si="49"/>
        <v>Oceania</v>
      </c>
      <c r="DJ175" s="834" t="str">
        <f t="shared" si="49"/>
        <v>Australia and New Zealand</v>
      </c>
      <c r="DL175" s="834" t="s">
        <v>4584</v>
      </c>
    </row>
    <row r="176" spans="49:116">
      <c r="AW176" s="827" t="s">
        <v>5312</v>
      </c>
      <c r="AX176" s="842" t="s">
        <v>4657</v>
      </c>
      <c r="AY176" s="828" t="str">
        <f>+BZ19</f>
        <v>Central America</v>
      </c>
      <c r="AZ176" s="827">
        <v>429</v>
      </c>
      <c r="BA176" s="665" t="s">
        <v>4573</v>
      </c>
      <c r="BB176" s="829">
        <v>20.827710301394511</v>
      </c>
      <c r="BC176" s="665" t="s">
        <v>4598</v>
      </c>
      <c r="BD176" s="830"/>
      <c r="BE176" s="830"/>
      <c r="BF176" s="665"/>
      <c r="BG176" s="830"/>
      <c r="BH176" s="831">
        <f t="shared" si="50"/>
        <v>13.7</v>
      </c>
      <c r="BI176" s="831">
        <f t="shared" si="51"/>
        <v>2.6</v>
      </c>
      <c r="BJ176" s="831">
        <f t="shared" si="52"/>
        <v>43.8</v>
      </c>
      <c r="BK176" s="831">
        <f t="shared" si="53"/>
        <v>13.5</v>
      </c>
      <c r="BL176" s="831">
        <f t="shared" si="54"/>
        <v>9.5</v>
      </c>
      <c r="BM176" s="831">
        <f t="shared" si="55"/>
        <v>5.6</v>
      </c>
      <c r="BN176" s="831">
        <f t="shared" si="56"/>
        <v>6.7</v>
      </c>
      <c r="BO176" s="831">
        <f t="shared" si="57"/>
        <v>4.6000000000000085</v>
      </c>
      <c r="BP176" s="831">
        <f t="shared" si="39"/>
        <v>100</v>
      </c>
      <c r="BQ176" s="665" t="s">
        <v>4575</v>
      </c>
      <c r="BR176" s="832"/>
      <c r="BS176" s="832"/>
      <c r="BT176" s="832"/>
      <c r="BU176" s="832"/>
      <c r="BV176" s="832"/>
      <c r="BW176" s="832"/>
      <c r="BX176" s="665"/>
      <c r="DH176" s="834" t="str">
        <f t="shared" si="49"/>
        <v>Nicaragua</v>
      </c>
      <c r="DI176" s="834" t="str">
        <f t="shared" si="49"/>
        <v>Americas</v>
      </c>
      <c r="DJ176" s="834" t="str">
        <f t="shared" si="49"/>
        <v>Central America</v>
      </c>
      <c r="DL176" s="834" t="s">
        <v>4584</v>
      </c>
    </row>
    <row r="177" spans="49:116">
      <c r="AW177" s="827" t="s">
        <v>5313</v>
      </c>
      <c r="AX177" s="827" t="s">
        <v>4614</v>
      </c>
      <c r="AY177" s="828" t="str">
        <f>+BZ11</f>
        <v>Western Africa</v>
      </c>
      <c r="AZ177" s="827">
        <v>749</v>
      </c>
      <c r="BA177" s="665" t="s">
        <v>4573</v>
      </c>
      <c r="BB177" s="829">
        <v>41.760722347629795</v>
      </c>
      <c r="BC177" s="665" t="s">
        <v>4598</v>
      </c>
      <c r="BD177" s="830"/>
      <c r="BE177" s="830"/>
      <c r="BF177" s="665"/>
      <c r="BG177" s="830"/>
      <c r="BH177" s="831">
        <f t="shared" si="50"/>
        <v>9.8000000000000007</v>
      </c>
      <c r="BI177" s="831">
        <f t="shared" si="51"/>
        <v>1</v>
      </c>
      <c r="BJ177" s="831">
        <f t="shared" si="52"/>
        <v>40.4</v>
      </c>
      <c r="BK177" s="831">
        <f t="shared" si="53"/>
        <v>4.4000000000000004</v>
      </c>
      <c r="BL177" s="831">
        <f t="shared" si="54"/>
        <v>9.5</v>
      </c>
      <c r="BM177" s="831">
        <f t="shared" si="55"/>
        <v>5.6</v>
      </c>
      <c r="BN177" s="831">
        <f t="shared" si="56"/>
        <v>3</v>
      </c>
      <c r="BO177" s="831">
        <f t="shared" si="57"/>
        <v>26.300000000000011</v>
      </c>
      <c r="BP177" s="831">
        <f t="shared" si="39"/>
        <v>100</v>
      </c>
      <c r="BQ177" s="665" t="s">
        <v>4575</v>
      </c>
      <c r="BR177" s="832"/>
      <c r="BS177" s="832"/>
      <c r="BT177" s="832"/>
      <c r="BU177" s="832"/>
      <c r="BV177" s="832"/>
      <c r="BW177" s="832"/>
      <c r="BX177" s="665"/>
      <c r="DH177" s="834" t="str">
        <f t="shared" si="49"/>
        <v>Niger</v>
      </c>
      <c r="DI177" s="834" t="str">
        <f t="shared" si="49"/>
        <v>Africa</v>
      </c>
      <c r="DJ177" s="834" t="str">
        <f t="shared" si="49"/>
        <v>Western Africa</v>
      </c>
      <c r="DL177" s="834" t="s">
        <v>4584</v>
      </c>
    </row>
    <row r="178" spans="49:116">
      <c r="AW178" s="827" t="s">
        <v>5314</v>
      </c>
      <c r="AX178" s="827" t="s">
        <v>4614</v>
      </c>
      <c r="AY178" s="828" t="str">
        <f>+BZ11</f>
        <v>Western Africa</v>
      </c>
      <c r="AZ178" s="827">
        <v>395</v>
      </c>
      <c r="BA178" s="665" t="s">
        <v>4573</v>
      </c>
      <c r="BB178" s="829">
        <v>16.107272128989798</v>
      </c>
      <c r="BC178" s="665" t="s">
        <v>4598</v>
      </c>
      <c r="BD178" s="830"/>
      <c r="BE178" s="830"/>
      <c r="BF178" s="665"/>
      <c r="BG178" s="830"/>
      <c r="BH178" s="831">
        <f t="shared" si="50"/>
        <v>9.8000000000000007</v>
      </c>
      <c r="BI178" s="831">
        <f t="shared" si="51"/>
        <v>1</v>
      </c>
      <c r="BJ178" s="831">
        <f t="shared" si="52"/>
        <v>40.4</v>
      </c>
      <c r="BK178" s="831">
        <f t="shared" si="53"/>
        <v>4.4000000000000004</v>
      </c>
      <c r="BL178" s="831">
        <f t="shared" si="54"/>
        <v>9.5</v>
      </c>
      <c r="BM178" s="831">
        <f t="shared" si="55"/>
        <v>5.6</v>
      </c>
      <c r="BN178" s="831">
        <f t="shared" si="56"/>
        <v>3</v>
      </c>
      <c r="BO178" s="831">
        <f t="shared" si="57"/>
        <v>26.300000000000011</v>
      </c>
      <c r="BP178" s="831">
        <f t="shared" si="39"/>
        <v>100</v>
      </c>
      <c r="BQ178" s="665" t="s">
        <v>4575</v>
      </c>
      <c r="BR178" s="832"/>
      <c r="BS178" s="832"/>
      <c r="BT178" s="832"/>
      <c r="BU178" s="832"/>
      <c r="BV178" s="832"/>
      <c r="BW178" s="832"/>
      <c r="BX178" s="665"/>
      <c r="DH178" s="834" t="str">
        <f t="shared" si="49"/>
        <v>Nigeria</v>
      </c>
      <c r="DI178" s="834" t="str">
        <f t="shared" si="49"/>
        <v>Africa</v>
      </c>
      <c r="DJ178" s="834" t="str">
        <f t="shared" si="49"/>
        <v>Western Africa</v>
      </c>
      <c r="DL178" s="834" t="s">
        <v>4584</v>
      </c>
    </row>
    <row r="179" spans="49:116" ht="25.5">
      <c r="AW179" s="827" t="s">
        <v>5315</v>
      </c>
      <c r="AX179" s="842" t="s">
        <v>4626</v>
      </c>
      <c r="AY179" s="828" t="str">
        <f>+BZ17</f>
        <v>Rest of Oceania</v>
      </c>
      <c r="AZ179" s="827">
        <v>355</v>
      </c>
      <c r="BA179" s="665" t="s">
        <v>4573</v>
      </c>
      <c r="BB179" s="829">
        <v>5.4123414965002699</v>
      </c>
      <c r="BC179" s="665" t="s">
        <v>4627</v>
      </c>
      <c r="BD179" s="830"/>
      <c r="BE179" s="830"/>
      <c r="BF179" s="665"/>
      <c r="BG179" s="830"/>
      <c r="BH179" s="831">
        <f t="shared" si="50"/>
        <v>6</v>
      </c>
      <c r="BI179" s="831">
        <f t="shared" si="51"/>
        <v>2.97</v>
      </c>
      <c r="BJ179" s="831">
        <f t="shared" si="52"/>
        <v>67.5</v>
      </c>
      <c r="BK179" s="831">
        <f t="shared" si="53"/>
        <v>2.5</v>
      </c>
      <c r="BL179" s="831">
        <f t="shared" si="54"/>
        <v>9.5</v>
      </c>
      <c r="BM179" s="831">
        <f t="shared" si="55"/>
        <v>5.6</v>
      </c>
      <c r="BN179" s="831">
        <f t="shared" si="56"/>
        <v>2.97</v>
      </c>
      <c r="BO179" s="831">
        <f t="shared" si="57"/>
        <v>2.9666666666666668</v>
      </c>
      <c r="BP179" s="831">
        <f t="shared" si="39"/>
        <v>100.00666666666666</v>
      </c>
      <c r="BQ179" s="665" t="s">
        <v>4575</v>
      </c>
      <c r="BR179" s="832"/>
      <c r="BS179" s="832"/>
      <c r="BT179" s="832"/>
      <c r="BU179" s="832"/>
      <c r="BV179" s="832"/>
      <c r="BW179" s="832"/>
      <c r="BX179" s="665"/>
      <c r="DH179" s="834" t="str">
        <f t="shared" si="49"/>
        <v>Niue</v>
      </c>
      <c r="DI179" s="834" t="str">
        <f t="shared" si="49"/>
        <v>Oceania</v>
      </c>
      <c r="DJ179" s="834" t="str">
        <f t="shared" si="49"/>
        <v>Rest of Oceania</v>
      </c>
      <c r="DL179" s="834" t="s">
        <v>4584</v>
      </c>
    </row>
    <row r="180" spans="49:116" ht="25.5">
      <c r="AW180" s="827" t="s">
        <v>5316</v>
      </c>
      <c r="AX180" s="842" t="s">
        <v>4626</v>
      </c>
      <c r="AY180" s="828" t="str">
        <f>+BZ17</f>
        <v>Rest of Oceania</v>
      </c>
      <c r="AZ180" s="827">
        <v>486</v>
      </c>
      <c r="BA180" s="665" t="s">
        <v>4573</v>
      </c>
      <c r="BB180" s="829">
        <v>5.4123414965002699</v>
      </c>
      <c r="BC180" s="665" t="s">
        <v>4627</v>
      </c>
      <c r="BD180" s="830"/>
      <c r="BE180" s="830"/>
      <c r="BF180" s="665"/>
      <c r="BG180" s="830"/>
      <c r="BH180" s="831">
        <f t="shared" si="50"/>
        <v>6</v>
      </c>
      <c r="BI180" s="831">
        <f t="shared" si="51"/>
        <v>2.97</v>
      </c>
      <c r="BJ180" s="831">
        <f t="shared" si="52"/>
        <v>67.5</v>
      </c>
      <c r="BK180" s="831">
        <f t="shared" si="53"/>
        <v>2.5</v>
      </c>
      <c r="BL180" s="831">
        <f t="shared" si="54"/>
        <v>9.5</v>
      </c>
      <c r="BM180" s="831">
        <f t="shared" si="55"/>
        <v>5.6</v>
      </c>
      <c r="BN180" s="831">
        <f t="shared" si="56"/>
        <v>2.97</v>
      </c>
      <c r="BO180" s="831">
        <f t="shared" si="57"/>
        <v>2.9666666666666668</v>
      </c>
      <c r="BP180" s="831">
        <f t="shared" si="39"/>
        <v>100.00666666666666</v>
      </c>
      <c r="BQ180" s="665" t="s">
        <v>4575</v>
      </c>
      <c r="BR180" s="832"/>
      <c r="BS180" s="832"/>
      <c r="BT180" s="832"/>
      <c r="BU180" s="832"/>
      <c r="BV180" s="832"/>
      <c r="BW180" s="832"/>
      <c r="BX180" s="665"/>
      <c r="DH180" s="834" t="str">
        <f t="shared" si="49"/>
        <v>Northern Mariana Islands (U.S.)</v>
      </c>
      <c r="DI180" s="834" t="str">
        <f t="shared" si="49"/>
        <v>Oceania</v>
      </c>
      <c r="DJ180" s="834" t="str">
        <f t="shared" si="49"/>
        <v>Rest of Oceania</v>
      </c>
      <c r="DL180" s="834" t="s">
        <v>4584</v>
      </c>
    </row>
    <row r="181" spans="49:116">
      <c r="AW181" s="827" t="s">
        <v>5317</v>
      </c>
      <c r="AX181" s="827" t="s">
        <v>4597</v>
      </c>
      <c r="AY181" s="828" t="str">
        <f>+BZ13</f>
        <v>Northern Europe</v>
      </c>
      <c r="AZ181" s="827">
        <v>61</v>
      </c>
      <c r="BA181" s="665" t="s">
        <v>4573</v>
      </c>
      <c r="BB181" s="829">
        <v>6.0796170676787558</v>
      </c>
      <c r="BC181" s="665" t="s">
        <v>4598</v>
      </c>
      <c r="BD181" s="842">
        <v>0.04</v>
      </c>
      <c r="BE181" s="842">
        <v>0</v>
      </c>
      <c r="BF181" s="665" t="s">
        <v>4748</v>
      </c>
      <c r="BG181" s="830"/>
      <c r="BH181" s="831">
        <f t="shared" si="50"/>
        <v>30.6</v>
      </c>
      <c r="BI181" s="831">
        <f t="shared" si="51"/>
        <v>2</v>
      </c>
      <c r="BJ181" s="831">
        <f t="shared" si="52"/>
        <v>23.8</v>
      </c>
      <c r="BK181" s="831">
        <f t="shared" si="53"/>
        <v>10</v>
      </c>
      <c r="BL181" s="831">
        <f t="shared" si="54"/>
        <v>9.5</v>
      </c>
      <c r="BM181" s="831">
        <f t="shared" si="55"/>
        <v>5.6</v>
      </c>
      <c r="BN181" s="831">
        <f t="shared" si="56"/>
        <v>13</v>
      </c>
      <c r="BO181" s="831">
        <f t="shared" si="57"/>
        <v>5.5</v>
      </c>
      <c r="BP181" s="831">
        <f t="shared" si="39"/>
        <v>100</v>
      </c>
      <c r="BQ181" s="665" t="s">
        <v>4575</v>
      </c>
      <c r="BR181" s="832"/>
      <c r="BS181" s="832"/>
      <c r="BT181" s="832"/>
      <c r="BU181" s="832"/>
      <c r="BV181" s="832"/>
      <c r="BW181" s="832"/>
      <c r="BX181" s="665"/>
      <c r="DH181" s="834" t="str">
        <f t="shared" si="49"/>
        <v>Norway</v>
      </c>
      <c r="DI181" s="834" t="str">
        <f t="shared" si="49"/>
        <v>Europe</v>
      </c>
      <c r="DJ181" s="834" t="str">
        <f t="shared" si="49"/>
        <v>Northern Europe</v>
      </c>
      <c r="DK181" s="834" t="e">
        <f>VLOOKUP(DH181,#REF!,1)</f>
        <v>#REF!</v>
      </c>
      <c r="DL181" s="834" t="e">
        <f>VLOOKUP(DK181,#REF!,2,FALSE)</f>
        <v>#REF!</v>
      </c>
    </row>
    <row r="182" spans="49:116">
      <c r="AW182" s="827" t="s">
        <v>5318</v>
      </c>
      <c r="AX182" s="827" t="s">
        <v>4572</v>
      </c>
      <c r="AY182" s="828" t="str">
        <f>+BZ5</f>
        <v>South-Eastern Asia</v>
      </c>
      <c r="AZ182" s="827">
        <v>381</v>
      </c>
      <c r="BA182" s="665" t="s">
        <v>4573</v>
      </c>
      <c r="BB182" s="829">
        <v>10.882999176050536</v>
      </c>
      <c r="BC182" s="665" t="s">
        <v>4598</v>
      </c>
      <c r="BD182" s="830"/>
      <c r="BE182" s="830"/>
      <c r="BF182" s="665"/>
      <c r="BG182" s="830"/>
      <c r="BH182" s="831">
        <f t="shared" si="50"/>
        <v>12.9</v>
      </c>
      <c r="BI182" s="831">
        <f t="shared" si="51"/>
        <v>2.7</v>
      </c>
      <c r="BJ182" s="831">
        <f t="shared" si="52"/>
        <v>43.5</v>
      </c>
      <c r="BK182" s="831">
        <f t="shared" si="53"/>
        <v>9.9</v>
      </c>
      <c r="BL182" s="831">
        <f t="shared" si="54"/>
        <v>9.5</v>
      </c>
      <c r="BM182" s="831">
        <f t="shared" si="55"/>
        <v>5.6</v>
      </c>
      <c r="BN182" s="831">
        <f t="shared" si="56"/>
        <v>7.2</v>
      </c>
      <c r="BO182" s="831">
        <f t="shared" si="57"/>
        <v>8.7000000000000028</v>
      </c>
      <c r="BP182" s="831">
        <f t="shared" si="39"/>
        <v>100</v>
      </c>
      <c r="BQ182" s="665" t="s">
        <v>4575</v>
      </c>
      <c r="BR182" s="832"/>
      <c r="BS182" s="832"/>
      <c r="BT182" s="832"/>
      <c r="BU182" s="832"/>
      <c r="BV182" s="832"/>
      <c r="BW182" s="832"/>
      <c r="BX182" s="665"/>
      <c r="DH182" s="834" t="str">
        <f t="shared" ref="DH182:DJ212" si="58">AW182</f>
        <v>Oman</v>
      </c>
      <c r="DI182" s="834" t="str">
        <f t="shared" si="58"/>
        <v>Asia</v>
      </c>
      <c r="DJ182" s="834" t="str">
        <f t="shared" si="58"/>
        <v>South-Eastern Asia</v>
      </c>
      <c r="DL182" s="834" t="s">
        <v>4584</v>
      </c>
    </row>
    <row r="183" spans="49:116">
      <c r="AW183" s="827" t="s">
        <v>5319</v>
      </c>
      <c r="AX183" s="827" t="s">
        <v>4572</v>
      </c>
      <c r="AY183" s="828" t="str">
        <f>+BZ4</f>
        <v>South-Central Asia</v>
      </c>
      <c r="AZ183" s="827">
        <v>453</v>
      </c>
      <c r="BA183" s="665" t="s">
        <v>4573</v>
      </c>
      <c r="BB183" s="829">
        <v>17.135566605600626</v>
      </c>
      <c r="BC183" s="665" t="s">
        <v>4598</v>
      </c>
      <c r="BD183" s="830"/>
      <c r="BE183" s="830"/>
      <c r="BF183" s="665"/>
      <c r="BG183" s="830"/>
      <c r="BH183" s="831">
        <f t="shared" si="50"/>
        <v>11.3</v>
      </c>
      <c r="BI183" s="831">
        <f t="shared" si="51"/>
        <v>2.5</v>
      </c>
      <c r="BJ183" s="831">
        <f t="shared" si="52"/>
        <v>40.299999999999997</v>
      </c>
      <c r="BK183" s="831">
        <f t="shared" si="53"/>
        <v>7.9</v>
      </c>
      <c r="BL183" s="831">
        <f t="shared" si="54"/>
        <v>9.5</v>
      </c>
      <c r="BM183" s="831">
        <f t="shared" si="55"/>
        <v>5.6</v>
      </c>
      <c r="BN183" s="831">
        <f t="shared" si="56"/>
        <v>6.4</v>
      </c>
      <c r="BO183" s="831">
        <f t="shared" si="57"/>
        <v>16.5</v>
      </c>
      <c r="BP183" s="831">
        <f t="shared" si="39"/>
        <v>100</v>
      </c>
      <c r="BQ183" s="665" t="s">
        <v>4575</v>
      </c>
      <c r="BR183" s="832"/>
      <c r="BS183" s="832"/>
      <c r="BT183" s="832"/>
      <c r="BU183" s="832"/>
      <c r="BV183" s="832"/>
      <c r="BW183" s="832"/>
      <c r="BX183" s="665"/>
      <c r="DH183" s="834" t="str">
        <f t="shared" si="58"/>
        <v>Pakistan</v>
      </c>
      <c r="DI183" s="834" t="str">
        <f t="shared" si="58"/>
        <v>Asia</v>
      </c>
      <c r="DJ183" s="834" t="str">
        <f t="shared" si="58"/>
        <v>South-Central Asia</v>
      </c>
      <c r="DL183" s="834" t="s">
        <v>4584</v>
      </c>
    </row>
    <row r="184" spans="49:116" ht="25.5">
      <c r="AW184" s="827" t="s">
        <v>5320</v>
      </c>
      <c r="AX184" s="842" t="s">
        <v>4626</v>
      </c>
      <c r="AY184" s="828" t="str">
        <f>+BZ17</f>
        <v>Rest of Oceania</v>
      </c>
      <c r="AZ184" s="827">
        <v>530</v>
      </c>
      <c r="BA184" s="665" t="s">
        <v>4573</v>
      </c>
      <c r="BB184" s="829">
        <v>5.4123414965002699</v>
      </c>
      <c r="BC184" s="665" t="s">
        <v>4627</v>
      </c>
      <c r="BD184" s="830"/>
      <c r="BE184" s="830"/>
      <c r="BF184" s="665"/>
      <c r="BG184" s="830"/>
      <c r="BH184" s="831">
        <f t="shared" si="50"/>
        <v>6</v>
      </c>
      <c r="BI184" s="831">
        <f t="shared" si="51"/>
        <v>2.97</v>
      </c>
      <c r="BJ184" s="831">
        <f t="shared" si="52"/>
        <v>67.5</v>
      </c>
      <c r="BK184" s="831">
        <f t="shared" si="53"/>
        <v>2.5</v>
      </c>
      <c r="BL184" s="831">
        <f t="shared" si="54"/>
        <v>9.5</v>
      </c>
      <c r="BM184" s="831">
        <f t="shared" si="55"/>
        <v>5.6</v>
      </c>
      <c r="BN184" s="831">
        <f t="shared" si="56"/>
        <v>2.97</v>
      </c>
      <c r="BO184" s="831">
        <f t="shared" si="57"/>
        <v>2.9666666666666668</v>
      </c>
      <c r="BP184" s="831">
        <f t="shared" si="39"/>
        <v>100.00666666666666</v>
      </c>
      <c r="BQ184" s="665" t="s">
        <v>4575</v>
      </c>
      <c r="BR184" s="832"/>
      <c r="BS184" s="832"/>
      <c r="BT184" s="832"/>
      <c r="BU184" s="832"/>
      <c r="BV184" s="832"/>
      <c r="BW184" s="832"/>
      <c r="BX184" s="665"/>
      <c r="DH184" s="834" t="str">
        <f t="shared" si="58"/>
        <v>Palau</v>
      </c>
      <c r="DI184" s="834" t="str">
        <f t="shared" si="58"/>
        <v>Oceania</v>
      </c>
      <c r="DJ184" s="834" t="str">
        <f t="shared" si="58"/>
        <v>Rest of Oceania</v>
      </c>
      <c r="DL184" s="834" t="s">
        <v>4584</v>
      </c>
    </row>
    <row r="185" spans="49:116">
      <c r="AW185" s="827" t="s">
        <v>5321</v>
      </c>
      <c r="AX185" s="842" t="s">
        <v>4657</v>
      </c>
      <c r="AY185" s="828" t="str">
        <f>+BZ19</f>
        <v>Central America</v>
      </c>
      <c r="AZ185" s="827">
        <v>361</v>
      </c>
      <c r="BA185" s="665" t="s">
        <v>4573</v>
      </c>
      <c r="BB185" s="829">
        <v>14.299558522666093</v>
      </c>
      <c r="BC185" s="665" t="s">
        <v>4598</v>
      </c>
      <c r="BD185" s="830"/>
      <c r="BE185" s="830"/>
      <c r="BF185" s="665"/>
      <c r="BG185" s="830"/>
      <c r="BH185" s="831">
        <f t="shared" si="50"/>
        <v>13.7</v>
      </c>
      <c r="BI185" s="831">
        <f t="shared" si="51"/>
        <v>2.6</v>
      </c>
      <c r="BJ185" s="831">
        <f t="shared" si="52"/>
        <v>43.8</v>
      </c>
      <c r="BK185" s="831">
        <f t="shared" si="53"/>
        <v>13.5</v>
      </c>
      <c r="BL185" s="831">
        <f t="shared" si="54"/>
        <v>9.5</v>
      </c>
      <c r="BM185" s="831">
        <f t="shared" si="55"/>
        <v>5.6</v>
      </c>
      <c r="BN185" s="831">
        <f t="shared" si="56"/>
        <v>6.7</v>
      </c>
      <c r="BO185" s="831">
        <f t="shared" si="57"/>
        <v>4.6000000000000085</v>
      </c>
      <c r="BP185" s="831">
        <f t="shared" si="39"/>
        <v>100</v>
      </c>
      <c r="BQ185" s="665" t="s">
        <v>4575</v>
      </c>
      <c r="BR185" s="832"/>
      <c r="BS185" s="832"/>
      <c r="BT185" s="832"/>
      <c r="BU185" s="832"/>
      <c r="BV185" s="832"/>
      <c r="BW185" s="832"/>
      <c r="BX185" s="665"/>
      <c r="DH185" s="834" t="str">
        <f t="shared" si="58"/>
        <v>Panama</v>
      </c>
      <c r="DI185" s="834" t="str">
        <f t="shared" si="58"/>
        <v>Americas</v>
      </c>
      <c r="DJ185" s="834" t="str">
        <f t="shared" si="58"/>
        <v>Central America</v>
      </c>
      <c r="DL185" s="834" t="s">
        <v>4584</v>
      </c>
    </row>
    <row r="186" spans="49:116" ht="25.5">
      <c r="AW186" s="827" t="s">
        <v>5322</v>
      </c>
      <c r="AX186" s="842" t="s">
        <v>4626</v>
      </c>
      <c r="AY186" s="828" t="str">
        <f>+BZ17</f>
        <v>Rest of Oceania</v>
      </c>
      <c r="AZ186" s="827">
        <v>468</v>
      </c>
      <c r="BA186" s="665" t="s">
        <v>4573</v>
      </c>
      <c r="BB186" s="829">
        <v>5.4123414965002699</v>
      </c>
      <c r="BC186" s="665" t="s">
        <v>4627</v>
      </c>
      <c r="BD186" s="830"/>
      <c r="BE186" s="830"/>
      <c r="BF186" s="665"/>
      <c r="BG186" s="830"/>
      <c r="BH186" s="831">
        <f t="shared" si="50"/>
        <v>6</v>
      </c>
      <c r="BI186" s="831">
        <f t="shared" si="51"/>
        <v>2.97</v>
      </c>
      <c r="BJ186" s="831">
        <f t="shared" si="52"/>
        <v>67.5</v>
      </c>
      <c r="BK186" s="831">
        <f t="shared" si="53"/>
        <v>2.5</v>
      </c>
      <c r="BL186" s="831">
        <f t="shared" si="54"/>
        <v>9.5</v>
      </c>
      <c r="BM186" s="831">
        <f t="shared" si="55"/>
        <v>5.6</v>
      </c>
      <c r="BN186" s="831">
        <f t="shared" si="56"/>
        <v>2.97</v>
      </c>
      <c r="BO186" s="831">
        <f t="shared" si="57"/>
        <v>2.9666666666666668</v>
      </c>
      <c r="BP186" s="831">
        <f t="shared" si="39"/>
        <v>100.00666666666666</v>
      </c>
      <c r="BQ186" s="665" t="s">
        <v>4575</v>
      </c>
      <c r="BR186" s="832"/>
      <c r="BS186" s="832"/>
      <c r="BT186" s="832"/>
      <c r="BU186" s="832"/>
      <c r="BV186" s="832"/>
      <c r="BW186" s="832"/>
      <c r="BX186" s="665"/>
      <c r="DH186" s="834" t="str">
        <f t="shared" si="58"/>
        <v>Papua New Guinea</v>
      </c>
      <c r="DI186" s="834" t="str">
        <f t="shared" si="58"/>
        <v>Oceania</v>
      </c>
      <c r="DJ186" s="834" t="str">
        <f t="shared" si="58"/>
        <v>Rest of Oceania</v>
      </c>
      <c r="DL186" s="834" t="s">
        <v>4584</v>
      </c>
    </row>
    <row r="187" spans="49:116">
      <c r="AW187" s="827" t="s">
        <v>5323</v>
      </c>
      <c r="AX187" s="842" t="s">
        <v>4657</v>
      </c>
      <c r="AY187" s="828" t="str">
        <f>+BZ20</f>
        <v>South America</v>
      </c>
      <c r="AZ187" s="827">
        <v>43</v>
      </c>
      <c r="BA187" s="665" t="s">
        <v>4573</v>
      </c>
      <c r="BB187" s="829">
        <v>6.5789949712383775</v>
      </c>
      <c r="BC187" s="665" t="s">
        <v>4598</v>
      </c>
      <c r="BD187" s="842">
        <v>0.02</v>
      </c>
      <c r="BE187" s="842">
        <v>0.25</v>
      </c>
      <c r="BF187" s="665" t="s">
        <v>4748</v>
      </c>
      <c r="BG187" s="830"/>
      <c r="BH187" s="831">
        <f t="shared" si="50"/>
        <v>17.100000000000001</v>
      </c>
      <c r="BI187" s="831">
        <f t="shared" si="51"/>
        <v>2.6</v>
      </c>
      <c r="BJ187" s="831">
        <f t="shared" si="52"/>
        <v>44.9</v>
      </c>
      <c r="BK187" s="831">
        <f t="shared" si="53"/>
        <v>4.7</v>
      </c>
      <c r="BL187" s="831">
        <f t="shared" si="54"/>
        <v>9.5</v>
      </c>
      <c r="BM187" s="831">
        <f t="shared" si="55"/>
        <v>5.6</v>
      </c>
      <c r="BN187" s="831">
        <f t="shared" si="56"/>
        <v>10.8</v>
      </c>
      <c r="BO187" s="831">
        <f t="shared" si="57"/>
        <v>4.8000000000000114</v>
      </c>
      <c r="BP187" s="831">
        <f t="shared" si="39"/>
        <v>100</v>
      </c>
      <c r="BQ187" s="665" t="s">
        <v>4575</v>
      </c>
      <c r="BR187" s="832"/>
      <c r="BS187" s="832"/>
      <c r="BT187" s="832"/>
      <c r="BU187" s="832"/>
      <c r="BV187" s="832"/>
      <c r="BW187" s="832"/>
      <c r="BX187" s="665"/>
      <c r="DH187" s="834" t="str">
        <f t="shared" si="58"/>
        <v>Paraguay</v>
      </c>
      <c r="DI187" s="834" t="str">
        <f t="shared" si="58"/>
        <v>Americas</v>
      </c>
      <c r="DJ187" s="834" t="str">
        <f t="shared" si="58"/>
        <v>South America</v>
      </c>
      <c r="DL187" s="834" t="s">
        <v>4584</v>
      </c>
    </row>
    <row r="188" spans="49:116">
      <c r="AW188" s="827" t="s">
        <v>5324</v>
      </c>
      <c r="AX188" s="842" t="s">
        <v>4657</v>
      </c>
      <c r="AY188" s="828" t="str">
        <f>+BZ20</f>
        <v>South America</v>
      </c>
      <c r="AZ188" s="827">
        <v>301</v>
      </c>
      <c r="BA188" s="665" t="s">
        <v>4573</v>
      </c>
      <c r="BB188" s="829">
        <v>10.969689017189346</v>
      </c>
      <c r="BC188" s="665" t="s">
        <v>4598</v>
      </c>
      <c r="BD188" s="842">
        <v>0.05</v>
      </c>
      <c r="BE188" s="842">
        <v>0.08</v>
      </c>
      <c r="BF188" s="665" t="s">
        <v>4748</v>
      </c>
      <c r="BG188" s="830"/>
      <c r="BH188" s="831">
        <f t="shared" si="50"/>
        <v>17.100000000000001</v>
      </c>
      <c r="BI188" s="831">
        <f t="shared" si="51"/>
        <v>2.6</v>
      </c>
      <c r="BJ188" s="831">
        <f t="shared" si="52"/>
        <v>44.9</v>
      </c>
      <c r="BK188" s="831">
        <f t="shared" si="53"/>
        <v>4.7</v>
      </c>
      <c r="BL188" s="831">
        <f t="shared" si="54"/>
        <v>9.5</v>
      </c>
      <c r="BM188" s="831">
        <f t="shared" si="55"/>
        <v>5.6</v>
      </c>
      <c r="BN188" s="831">
        <f t="shared" si="56"/>
        <v>10.8</v>
      </c>
      <c r="BO188" s="831">
        <f t="shared" si="57"/>
        <v>4.8000000000000114</v>
      </c>
      <c r="BP188" s="831">
        <f t="shared" si="39"/>
        <v>100</v>
      </c>
      <c r="BQ188" s="665" t="s">
        <v>4575</v>
      </c>
      <c r="BR188" s="832"/>
      <c r="BS188" s="832"/>
      <c r="BT188" s="832"/>
      <c r="BU188" s="832"/>
      <c r="BV188" s="832"/>
      <c r="BW188" s="832"/>
      <c r="BX188" s="665"/>
      <c r="DH188" s="834" t="str">
        <f t="shared" si="58"/>
        <v>Peru</v>
      </c>
      <c r="DI188" s="834" t="str">
        <f t="shared" si="58"/>
        <v>Americas</v>
      </c>
      <c r="DJ188" s="834" t="str">
        <f t="shared" si="58"/>
        <v>South America</v>
      </c>
      <c r="DL188" s="834" t="s">
        <v>4584</v>
      </c>
    </row>
    <row r="189" spans="49:116">
      <c r="AW189" s="827" t="s">
        <v>5325</v>
      </c>
      <c r="AX189" s="827" t="s">
        <v>4572</v>
      </c>
      <c r="AY189" s="828" t="str">
        <f>+BZ5</f>
        <v>South-Eastern Asia</v>
      </c>
      <c r="AZ189" s="827">
        <v>489</v>
      </c>
      <c r="BA189" s="665" t="s">
        <v>4573</v>
      </c>
      <c r="BB189" s="829">
        <v>9.4095415598871366</v>
      </c>
      <c r="BC189" s="665" t="s">
        <v>4598</v>
      </c>
      <c r="BD189" s="830"/>
      <c r="BE189" s="830"/>
      <c r="BF189" s="665"/>
      <c r="BG189" s="830"/>
      <c r="BH189" s="831">
        <f t="shared" si="50"/>
        <v>12.9</v>
      </c>
      <c r="BI189" s="831">
        <f t="shared" si="51"/>
        <v>2.7</v>
      </c>
      <c r="BJ189" s="831">
        <f t="shared" si="52"/>
        <v>43.5</v>
      </c>
      <c r="BK189" s="831">
        <f t="shared" si="53"/>
        <v>9.9</v>
      </c>
      <c r="BL189" s="831">
        <f t="shared" si="54"/>
        <v>9.5</v>
      </c>
      <c r="BM189" s="831">
        <f t="shared" si="55"/>
        <v>5.6</v>
      </c>
      <c r="BN189" s="831">
        <f t="shared" si="56"/>
        <v>7.2</v>
      </c>
      <c r="BO189" s="831">
        <f t="shared" si="57"/>
        <v>8.7000000000000028</v>
      </c>
      <c r="BP189" s="831">
        <f t="shared" si="39"/>
        <v>100</v>
      </c>
      <c r="BQ189" s="665" t="s">
        <v>4575</v>
      </c>
      <c r="BR189" s="832"/>
      <c r="BS189" s="832"/>
      <c r="BT189" s="832"/>
      <c r="BU189" s="832"/>
      <c r="BV189" s="832"/>
      <c r="BW189" s="832"/>
      <c r="BX189" s="665"/>
      <c r="DH189" s="834" t="str">
        <f t="shared" si="58"/>
        <v>Philippines</v>
      </c>
      <c r="DI189" s="834" t="str">
        <f t="shared" si="58"/>
        <v>Asia</v>
      </c>
      <c r="DJ189" s="834" t="str">
        <f t="shared" si="58"/>
        <v>South-Eastern Asia</v>
      </c>
      <c r="DL189" s="834" t="s">
        <v>4584</v>
      </c>
    </row>
    <row r="190" spans="49:116">
      <c r="AW190" s="827" t="s">
        <v>5326</v>
      </c>
      <c r="AX190" s="827" t="s">
        <v>4597</v>
      </c>
      <c r="AY190" s="828" t="str">
        <f>+BZ12</f>
        <v>Eastern Europe</v>
      </c>
      <c r="AZ190" s="827">
        <v>773.3</v>
      </c>
      <c r="BA190" s="665" t="s">
        <v>4747</v>
      </c>
      <c r="BB190" s="829">
        <v>6.4665505841976429</v>
      </c>
      <c r="BC190" s="665" t="s">
        <v>4598</v>
      </c>
      <c r="BD190" s="842">
        <v>0.08</v>
      </c>
      <c r="BE190" s="842">
        <v>0.08</v>
      </c>
      <c r="BF190" s="665" t="s">
        <v>4748</v>
      </c>
      <c r="BG190" s="830"/>
      <c r="BH190" s="831">
        <f t="shared" si="50"/>
        <v>21.8</v>
      </c>
      <c r="BI190" s="831">
        <f t="shared" si="51"/>
        <v>4.7</v>
      </c>
      <c r="BJ190" s="831">
        <f t="shared" si="52"/>
        <v>30.1</v>
      </c>
      <c r="BK190" s="831">
        <f t="shared" si="53"/>
        <v>7.5</v>
      </c>
      <c r="BL190" s="831">
        <f t="shared" si="54"/>
        <v>9.5</v>
      </c>
      <c r="BM190" s="831">
        <f t="shared" si="55"/>
        <v>5.6</v>
      </c>
      <c r="BN190" s="831">
        <f t="shared" si="56"/>
        <v>6.2</v>
      </c>
      <c r="BO190" s="831">
        <f t="shared" si="57"/>
        <v>14.600000000000009</v>
      </c>
      <c r="BP190" s="831">
        <f t="shared" si="39"/>
        <v>100</v>
      </c>
      <c r="BQ190" s="665" t="s">
        <v>4575</v>
      </c>
      <c r="BR190" s="832"/>
      <c r="BS190" s="832"/>
      <c r="BT190" s="832"/>
      <c r="BU190" s="832"/>
      <c r="BV190" s="832"/>
      <c r="BW190" s="832"/>
      <c r="BX190" s="665"/>
      <c r="DH190" s="834" t="str">
        <f t="shared" si="58"/>
        <v>Poland</v>
      </c>
      <c r="DI190" s="834" t="str">
        <f t="shared" si="58"/>
        <v>Europe</v>
      </c>
      <c r="DJ190" s="834" t="str">
        <f t="shared" si="58"/>
        <v>Eastern Europe</v>
      </c>
      <c r="DK190" s="834" t="e">
        <f>VLOOKUP(DH190,#REF!,1)</f>
        <v>#REF!</v>
      </c>
      <c r="DL190" s="834" t="e">
        <f>VLOOKUP(DK190,#REF!,2,FALSE)</f>
        <v>#REF!</v>
      </c>
    </row>
    <row r="191" spans="49:116">
      <c r="AW191" s="827" t="s">
        <v>5327</v>
      </c>
      <c r="AX191" s="827" t="s">
        <v>4597</v>
      </c>
      <c r="AY191" s="828" t="str">
        <f>+BZ14</f>
        <v>Southern Europe</v>
      </c>
      <c r="AZ191" s="827">
        <v>324.7</v>
      </c>
      <c r="BA191" s="665" t="s">
        <v>4747</v>
      </c>
      <c r="BB191" s="829">
        <v>10.025212186531689</v>
      </c>
      <c r="BC191" s="665" t="s">
        <v>4598</v>
      </c>
      <c r="BD191" s="830"/>
      <c r="BE191" s="830"/>
      <c r="BF191" s="665"/>
      <c r="BG191" s="830"/>
      <c r="BH191" s="831">
        <f t="shared" si="50"/>
        <v>17</v>
      </c>
      <c r="BI191" s="831">
        <f t="shared" si="51"/>
        <v>6.8</v>
      </c>
      <c r="BJ191" s="831">
        <f t="shared" si="52"/>
        <v>36.9</v>
      </c>
      <c r="BK191" s="831">
        <f t="shared" si="53"/>
        <v>10.6</v>
      </c>
      <c r="BL191" s="831">
        <f t="shared" si="54"/>
        <v>9.5</v>
      </c>
      <c r="BM191" s="831">
        <f t="shared" si="55"/>
        <v>5.6</v>
      </c>
      <c r="BN191" s="831">
        <f t="shared" si="56"/>
        <v>6.8</v>
      </c>
      <c r="BO191" s="831">
        <f t="shared" si="57"/>
        <v>6.8</v>
      </c>
      <c r="BP191" s="831">
        <f t="shared" si="39"/>
        <v>99.999999999999986</v>
      </c>
      <c r="BQ191" s="665" t="s">
        <v>4575</v>
      </c>
      <c r="BR191" s="832"/>
      <c r="BS191" s="832"/>
      <c r="BT191" s="832"/>
      <c r="BU191" s="832"/>
      <c r="BV191" s="832"/>
      <c r="BW191" s="832"/>
      <c r="BX191" s="665"/>
      <c r="DH191" s="834" t="str">
        <f t="shared" si="58"/>
        <v>Portugal</v>
      </c>
      <c r="DI191" s="834" t="str">
        <f t="shared" si="58"/>
        <v>Europe</v>
      </c>
      <c r="DJ191" s="834" t="str">
        <f t="shared" si="58"/>
        <v>Southern Europe</v>
      </c>
      <c r="DK191" s="834" t="e">
        <f>VLOOKUP(DH191,#REF!,1)</f>
        <v>#REF!</v>
      </c>
      <c r="DL191" s="834" t="e">
        <f>VLOOKUP(DK191,#REF!,2,FALSE)</f>
        <v>#REF!</v>
      </c>
    </row>
    <row r="192" spans="49:116" ht="25.5">
      <c r="AW192" s="827" t="s">
        <v>5328</v>
      </c>
      <c r="AX192" s="842" t="s">
        <v>4657</v>
      </c>
      <c r="AY192" s="828" t="str">
        <f>+BZ21</f>
        <v>Caribbean</v>
      </c>
      <c r="AZ192" s="827">
        <v>390</v>
      </c>
      <c r="BA192" s="665" t="s">
        <v>4573</v>
      </c>
      <c r="BB192" s="829">
        <v>9.3894684857089938</v>
      </c>
      <c r="BC192" s="665" t="s">
        <v>4658</v>
      </c>
      <c r="BD192" s="830"/>
      <c r="BE192" s="830"/>
      <c r="BF192" s="665"/>
      <c r="BG192" s="830"/>
      <c r="BH192" s="831">
        <f t="shared" si="50"/>
        <v>17</v>
      </c>
      <c r="BI192" s="831">
        <f t="shared" si="51"/>
        <v>5.0999999999999996</v>
      </c>
      <c r="BJ192" s="831">
        <f t="shared" si="52"/>
        <v>46.9</v>
      </c>
      <c r="BK192" s="831">
        <f t="shared" si="53"/>
        <v>2.4</v>
      </c>
      <c r="BL192" s="831">
        <f t="shared" si="54"/>
        <v>9.5</v>
      </c>
      <c r="BM192" s="831">
        <f t="shared" si="55"/>
        <v>5.6</v>
      </c>
      <c r="BN192" s="831">
        <f t="shared" si="56"/>
        <v>9.9</v>
      </c>
      <c r="BO192" s="831">
        <f t="shared" si="57"/>
        <v>3.5999999999999943</v>
      </c>
      <c r="BP192" s="831">
        <f t="shared" si="39"/>
        <v>100</v>
      </c>
      <c r="BQ192" s="665" t="s">
        <v>4575</v>
      </c>
      <c r="BR192" s="832"/>
      <c r="BS192" s="832"/>
      <c r="BT192" s="832"/>
      <c r="BU192" s="832"/>
      <c r="BV192" s="832"/>
      <c r="BW192" s="832"/>
      <c r="BX192" s="665"/>
      <c r="DH192" s="834" t="str">
        <f t="shared" si="58"/>
        <v>Puerto Rico (U.S.)</v>
      </c>
      <c r="DI192" s="834" t="str">
        <f t="shared" si="58"/>
        <v>Americas</v>
      </c>
      <c r="DJ192" s="834" t="str">
        <f t="shared" si="58"/>
        <v>Caribbean</v>
      </c>
      <c r="DL192" s="834" t="s">
        <v>4584</v>
      </c>
    </row>
    <row r="193" spans="49:116">
      <c r="AW193" s="827" t="s">
        <v>5329</v>
      </c>
      <c r="AX193" s="827" t="s">
        <v>4572</v>
      </c>
      <c r="AY193" s="828" t="str">
        <f>+BZ5</f>
        <v>South-Eastern Asia</v>
      </c>
      <c r="AZ193" s="827">
        <v>276</v>
      </c>
      <c r="BA193" s="665" t="s">
        <v>4573</v>
      </c>
      <c r="BB193" s="829">
        <v>6.0503463248216685</v>
      </c>
      <c r="BC193" s="665" t="s">
        <v>4598</v>
      </c>
      <c r="BD193" s="830"/>
      <c r="BE193" s="830"/>
      <c r="BF193" s="665"/>
      <c r="BG193" s="830"/>
      <c r="BH193" s="831">
        <f t="shared" si="50"/>
        <v>12.9</v>
      </c>
      <c r="BI193" s="831">
        <f t="shared" si="51"/>
        <v>2.7</v>
      </c>
      <c r="BJ193" s="831">
        <f t="shared" si="52"/>
        <v>43.5</v>
      </c>
      <c r="BK193" s="831">
        <f t="shared" si="53"/>
        <v>9.9</v>
      </c>
      <c r="BL193" s="831">
        <f t="shared" si="54"/>
        <v>9.5</v>
      </c>
      <c r="BM193" s="831">
        <f t="shared" si="55"/>
        <v>5.6</v>
      </c>
      <c r="BN193" s="831">
        <f t="shared" si="56"/>
        <v>7.2</v>
      </c>
      <c r="BO193" s="831">
        <f t="shared" si="57"/>
        <v>8.7000000000000028</v>
      </c>
      <c r="BP193" s="831">
        <f t="shared" si="39"/>
        <v>100</v>
      </c>
      <c r="BQ193" s="665" t="s">
        <v>4575</v>
      </c>
      <c r="BR193" s="832"/>
      <c r="BS193" s="832"/>
      <c r="BT193" s="832"/>
      <c r="BU193" s="832"/>
      <c r="BV193" s="832"/>
      <c r="BW193" s="832"/>
      <c r="BX193" s="665"/>
      <c r="DH193" s="834" t="str">
        <f t="shared" si="58"/>
        <v>Qatar</v>
      </c>
      <c r="DI193" s="834" t="str">
        <f t="shared" si="58"/>
        <v>Asia</v>
      </c>
      <c r="DJ193" s="834" t="str">
        <f t="shared" si="58"/>
        <v>South-Eastern Asia</v>
      </c>
      <c r="DL193" s="834" t="s">
        <v>4584</v>
      </c>
    </row>
    <row r="194" spans="49:116" ht="25.5">
      <c r="AW194" s="827" t="s">
        <v>5330</v>
      </c>
      <c r="AX194" s="827" t="s">
        <v>4614</v>
      </c>
      <c r="AY194" s="828" t="str">
        <f>+BZ7</f>
        <v>Eastern Africa</v>
      </c>
      <c r="AZ194" s="827">
        <v>430</v>
      </c>
      <c r="BA194" s="665" t="s">
        <v>4573</v>
      </c>
      <c r="BB194" s="829">
        <v>11.740747004194485</v>
      </c>
      <c r="BC194" s="665" t="s">
        <v>4826</v>
      </c>
      <c r="BD194" s="830"/>
      <c r="BE194" s="830"/>
      <c r="BF194" s="665"/>
      <c r="BG194" s="830"/>
      <c r="BH194" s="831">
        <f t="shared" si="50"/>
        <v>7.7</v>
      </c>
      <c r="BI194" s="831">
        <f t="shared" si="51"/>
        <v>1.7</v>
      </c>
      <c r="BJ194" s="831">
        <f t="shared" si="52"/>
        <v>53.9</v>
      </c>
      <c r="BK194" s="831">
        <f t="shared" si="53"/>
        <v>7</v>
      </c>
      <c r="BL194" s="831">
        <f t="shared" si="54"/>
        <v>9.5</v>
      </c>
      <c r="BM194" s="831">
        <f t="shared" si="55"/>
        <v>5.6</v>
      </c>
      <c r="BN194" s="831">
        <f t="shared" si="56"/>
        <v>5.5</v>
      </c>
      <c r="BO194" s="831">
        <f t="shared" si="57"/>
        <v>9.1000000000000085</v>
      </c>
      <c r="BP194" s="831">
        <f t="shared" si="39"/>
        <v>100</v>
      </c>
      <c r="BQ194" s="665" t="s">
        <v>4575</v>
      </c>
      <c r="BR194" s="832"/>
      <c r="BS194" s="832"/>
      <c r="BT194" s="832"/>
      <c r="BU194" s="832"/>
      <c r="BV194" s="832"/>
      <c r="BW194" s="832"/>
      <c r="BX194" s="665"/>
      <c r="DH194" s="834" t="str">
        <f t="shared" si="58"/>
        <v>Reunion (France)</v>
      </c>
      <c r="DI194" s="834" t="str">
        <f t="shared" si="58"/>
        <v>Africa</v>
      </c>
      <c r="DJ194" s="834" t="str">
        <f t="shared" si="58"/>
        <v>Eastern Africa</v>
      </c>
      <c r="DL194" s="834" t="s">
        <v>4584</v>
      </c>
    </row>
    <row r="195" spans="49:116">
      <c r="AW195" s="827" t="s">
        <v>5331</v>
      </c>
      <c r="AX195" s="827" t="s">
        <v>4597</v>
      </c>
      <c r="AY195" s="828" t="str">
        <f>+BZ12</f>
        <v>Eastern Europe</v>
      </c>
      <c r="AZ195" s="827">
        <v>306</v>
      </c>
      <c r="BA195" s="665" t="s">
        <v>4747</v>
      </c>
      <c r="BB195" s="829">
        <v>10.884635440630655</v>
      </c>
      <c r="BC195" s="665" t="s">
        <v>4598</v>
      </c>
      <c r="BD195" s="830"/>
      <c r="BE195" s="830"/>
      <c r="BF195" s="665"/>
      <c r="BG195" s="830"/>
      <c r="BH195" s="831">
        <f t="shared" si="50"/>
        <v>21.8</v>
      </c>
      <c r="BI195" s="831">
        <f t="shared" si="51"/>
        <v>4.7</v>
      </c>
      <c r="BJ195" s="831">
        <f t="shared" si="52"/>
        <v>30.1</v>
      </c>
      <c r="BK195" s="831">
        <f t="shared" si="53"/>
        <v>7.5</v>
      </c>
      <c r="BL195" s="831">
        <f t="shared" si="54"/>
        <v>9.5</v>
      </c>
      <c r="BM195" s="831">
        <f t="shared" si="55"/>
        <v>5.6</v>
      </c>
      <c r="BN195" s="831">
        <f t="shared" si="56"/>
        <v>6.2</v>
      </c>
      <c r="BO195" s="831">
        <f t="shared" si="57"/>
        <v>14.600000000000009</v>
      </c>
      <c r="BP195" s="831">
        <f t="shared" si="39"/>
        <v>100</v>
      </c>
      <c r="BQ195" s="665" t="s">
        <v>4575</v>
      </c>
      <c r="BR195" s="832"/>
      <c r="BS195" s="832"/>
      <c r="BT195" s="832"/>
      <c r="BU195" s="832"/>
      <c r="BV195" s="832"/>
      <c r="BW195" s="832"/>
      <c r="BX195" s="665"/>
      <c r="DH195" s="834" t="str">
        <f t="shared" si="58"/>
        <v>Romania</v>
      </c>
      <c r="DI195" s="834" t="str">
        <f t="shared" si="58"/>
        <v>Europe</v>
      </c>
      <c r="DJ195" s="834" t="str">
        <f t="shared" si="58"/>
        <v>Eastern Europe</v>
      </c>
      <c r="DK195" s="834" t="e">
        <f>VLOOKUP(DH195,#REF!,1)</f>
        <v>#REF!</v>
      </c>
      <c r="DL195" s="834" t="e">
        <f>VLOOKUP(DK195,#REF!,2,FALSE)</f>
        <v>#REF!</v>
      </c>
    </row>
    <row r="196" spans="49:116">
      <c r="AW196" s="827" t="s">
        <v>5332</v>
      </c>
      <c r="AX196" s="827" t="s">
        <v>4597</v>
      </c>
      <c r="AY196" s="828" t="str">
        <f>+BZ12</f>
        <v>Eastern Europe</v>
      </c>
      <c r="AZ196" s="827">
        <v>325</v>
      </c>
      <c r="BA196" s="665" t="s">
        <v>5333</v>
      </c>
      <c r="BB196" s="829">
        <v>10.031411996050203</v>
      </c>
      <c r="BC196" s="665" t="s">
        <v>4598</v>
      </c>
      <c r="BD196" s="830"/>
      <c r="BE196" s="830"/>
      <c r="BF196" s="665"/>
      <c r="BG196" s="830"/>
      <c r="BH196" s="831">
        <f t="shared" si="50"/>
        <v>21.8</v>
      </c>
      <c r="BI196" s="831">
        <f t="shared" si="51"/>
        <v>4.7</v>
      </c>
      <c r="BJ196" s="831">
        <f t="shared" si="52"/>
        <v>30.1</v>
      </c>
      <c r="BK196" s="831">
        <f t="shared" si="53"/>
        <v>7.5</v>
      </c>
      <c r="BL196" s="831">
        <f t="shared" si="54"/>
        <v>9.5</v>
      </c>
      <c r="BM196" s="831">
        <f t="shared" si="55"/>
        <v>5.6</v>
      </c>
      <c r="BN196" s="831">
        <f t="shared" si="56"/>
        <v>6.2</v>
      </c>
      <c r="BO196" s="831">
        <f t="shared" si="57"/>
        <v>14.600000000000009</v>
      </c>
      <c r="BP196" s="831">
        <f t="shared" ref="BP196:BP259" si="59">+SUM(BH196:BO196)</f>
        <v>100</v>
      </c>
      <c r="BQ196" s="665" t="s">
        <v>4575</v>
      </c>
      <c r="BR196" s="832"/>
      <c r="BS196" s="832"/>
      <c r="BT196" s="832"/>
      <c r="BU196" s="832"/>
      <c r="BV196" s="832"/>
      <c r="BW196" s="832"/>
      <c r="BX196" s="665"/>
      <c r="DH196" s="834" t="str">
        <f t="shared" si="58"/>
        <v>Russian Federation</v>
      </c>
      <c r="DI196" s="834" t="str">
        <f t="shared" si="58"/>
        <v>Europe</v>
      </c>
      <c r="DJ196" s="834" t="str">
        <f t="shared" si="58"/>
        <v>Eastern Europe</v>
      </c>
      <c r="DK196" s="834" t="s">
        <v>5334</v>
      </c>
      <c r="DL196" s="834" t="e">
        <f>VLOOKUP(DK196,#REF!,2,FALSE)</f>
        <v>#REF!</v>
      </c>
    </row>
    <row r="197" spans="49:116" ht="25.5">
      <c r="AW197" s="827" t="s">
        <v>5335</v>
      </c>
      <c r="AX197" s="827" t="s">
        <v>4614</v>
      </c>
      <c r="AY197" s="828" t="str">
        <f>+BZ7</f>
        <v>Eastern Africa</v>
      </c>
      <c r="AZ197" s="827">
        <v>461</v>
      </c>
      <c r="BA197" s="665" t="s">
        <v>4573</v>
      </c>
      <c r="BB197" s="829">
        <v>11.740747004194485</v>
      </c>
      <c r="BC197" s="665" t="s">
        <v>4826</v>
      </c>
      <c r="BD197" s="830"/>
      <c r="BE197" s="830"/>
      <c r="BF197" s="665"/>
      <c r="BG197" s="830"/>
      <c r="BH197" s="831">
        <f t="shared" si="50"/>
        <v>7.7</v>
      </c>
      <c r="BI197" s="831">
        <f t="shared" si="51"/>
        <v>1.7</v>
      </c>
      <c r="BJ197" s="831">
        <f t="shared" si="52"/>
        <v>53.9</v>
      </c>
      <c r="BK197" s="831">
        <f t="shared" si="53"/>
        <v>7</v>
      </c>
      <c r="BL197" s="831">
        <f t="shared" si="54"/>
        <v>9.5</v>
      </c>
      <c r="BM197" s="831">
        <f t="shared" si="55"/>
        <v>5.6</v>
      </c>
      <c r="BN197" s="831">
        <f t="shared" si="56"/>
        <v>5.5</v>
      </c>
      <c r="BO197" s="831">
        <f t="shared" si="57"/>
        <v>9.1000000000000085</v>
      </c>
      <c r="BP197" s="831">
        <f t="shared" si="59"/>
        <v>100</v>
      </c>
      <c r="BQ197" s="665" t="s">
        <v>4575</v>
      </c>
      <c r="BR197" s="832"/>
      <c r="BS197" s="832"/>
      <c r="BT197" s="832"/>
      <c r="BU197" s="832"/>
      <c r="BV197" s="832"/>
      <c r="BW197" s="832"/>
      <c r="BX197" s="665"/>
      <c r="DH197" s="834" t="str">
        <f t="shared" si="58"/>
        <v>Rwanda</v>
      </c>
      <c r="DI197" s="834" t="str">
        <f t="shared" si="58"/>
        <v>Africa</v>
      </c>
      <c r="DJ197" s="834" t="str">
        <f t="shared" si="58"/>
        <v>Eastern Africa</v>
      </c>
      <c r="DL197" s="834" t="s">
        <v>4584</v>
      </c>
    </row>
    <row r="198" spans="49:116" ht="25.5">
      <c r="AW198" s="827" t="s">
        <v>5336</v>
      </c>
      <c r="AX198" s="827" t="s">
        <v>4614</v>
      </c>
      <c r="AY198" s="828" t="str">
        <f>+BZ11</f>
        <v>Western Africa</v>
      </c>
      <c r="AZ198" s="827">
        <v>310</v>
      </c>
      <c r="BA198" s="665" t="s">
        <v>4573</v>
      </c>
      <c r="BB198" s="829">
        <v>11.740747004194485</v>
      </c>
      <c r="BC198" s="665" t="s">
        <v>4826</v>
      </c>
      <c r="BD198" s="830"/>
      <c r="BE198" s="830"/>
      <c r="BF198" s="665"/>
      <c r="BG198" s="830"/>
      <c r="BH198" s="831">
        <f t="shared" si="50"/>
        <v>9.8000000000000007</v>
      </c>
      <c r="BI198" s="831">
        <f t="shared" si="51"/>
        <v>1</v>
      </c>
      <c r="BJ198" s="831">
        <f t="shared" si="52"/>
        <v>40.4</v>
      </c>
      <c r="BK198" s="831">
        <f t="shared" si="53"/>
        <v>4.4000000000000004</v>
      </c>
      <c r="BL198" s="831">
        <f t="shared" si="54"/>
        <v>9.5</v>
      </c>
      <c r="BM198" s="831">
        <f t="shared" si="55"/>
        <v>5.6</v>
      </c>
      <c r="BN198" s="831">
        <f t="shared" si="56"/>
        <v>3</v>
      </c>
      <c r="BO198" s="831">
        <f t="shared" si="57"/>
        <v>26.300000000000011</v>
      </c>
      <c r="BP198" s="831">
        <f t="shared" si="59"/>
        <v>100</v>
      </c>
      <c r="BQ198" s="665" t="s">
        <v>4575</v>
      </c>
      <c r="BR198" s="832"/>
      <c r="BS198" s="832"/>
      <c r="BT198" s="832"/>
      <c r="BU198" s="832"/>
      <c r="BV198" s="832"/>
      <c r="BW198" s="832"/>
      <c r="BX198" s="665"/>
      <c r="DH198" s="834" t="str">
        <f t="shared" si="58"/>
        <v>Saint Helena (U.K.)</v>
      </c>
      <c r="DI198" s="834" t="str">
        <f t="shared" si="58"/>
        <v>Africa</v>
      </c>
      <c r="DJ198" s="834" t="str">
        <f t="shared" si="58"/>
        <v>Western Africa</v>
      </c>
      <c r="DL198" s="834" t="s">
        <v>4584</v>
      </c>
    </row>
    <row r="199" spans="49:116" ht="25.5">
      <c r="AW199" s="827" t="s">
        <v>5337</v>
      </c>
      <c r="AX199" s="842" t="s">
        <v>4657</v>
      </c>
      <c r="AY199" s="828" t="str">
        <f>+BZ21</f>
        <v>Caribbean</v>
      </c>
      <c r="AZ199" s="827">
        <v>502</v>
      </c>
      <c r="BA199" s="665" t="s">
        <v>4573</v>
      </c>
      <c r="BB199" s="829">
        <v>9.3894684857089938</v>
      </c>
      <c r="BC199" s="665" t="s">
        <v>4658</v>
      </c>
      <c r="BD199" s="830"/>
      <c r="BE199" s="830"/>
      <c r="BF199" s="665"/>
      <c r="BG199" s="830"/>
      <c r="BH199" s="831">
        <f t="shared" si="50"/>
        <v>17</v>
      </c>
      <c r="BI199" s="831">
        <f t="shared" si="51"/>
        <v>5.0999999999999996</v>
      </c>
      <c r="BJ199" s="831">
        <f t="shared" si="52"/>
        <v>46.9</v>
      </c>
      <c r="BK199" s="831">
        <f t="shared" si="53"/>
        <v>2.4</v>
      </c>
      <c r="BL199" s="831">
        <f t="shared" si="54"/>
        <v>9.5</v>
      </c>
      <c r="BM199" s="831">
        <f t="shared" si="55"/>
        <v>5.6</v>
      </c>
      <c r="BN199" s="831">
        <f t="shared" si="56"/>
        <v>9.9</v>
      </c>
      <c r="BO199" s="831">
        <f t="shared" si="57"/>
        <v>3.5999999999999943</v>
      </c>
      <c r="BP199" s="831">
        <f t="shared" si="59"/>
        <v>100</v>
      </c>
      <c r="BQ199" s="665" t="s">
        <v>4575</v>
      </c>
      <c r="BR199" s="832"/>
      <c r="BS199" s="832"/>
      <c r="BT199" s="832"/>
      <c r="BU199" s="832"/>
      <c r="BV199" s="832"/>
      <c r="BW199" s="832"/>
      <c r="BX199" s="665"/>
      <c r="DH199" s="834" t="str">
        <f t="shared" si="58"/>
        <v>Saint Kitts and Nevis</v>
      </c>
      <c r="DI199" s="834" t="str">
        <f t="shared" si="58"/>
        <v>Americas</v>
      </c>
      <c r="DJ199" s="834" t="str">
        <f t="shared" si="58"/>
        <v>Caribbean</v>
      </c>
      <c r="DL199" s="834" t="s">
        <v>4584</v>
      </c>
    </row>
    <row r="200" spans="49:116" ht="25.5">
      <c r="AW200" s="827" t="s">
        <v>5338</v>
      </c>
      <c r="AX200" s="842" t="s">
        <v>4657</v>
      </c>
      <c r="AY200" s="828" t="str">
        <f>+BZ21</f>
        <v>Caribbean</v>
      </c>
      <c r="AZ200" s="827">
        <v>561</v>
      </c>
      <c r="BA200" s="665" t="s">
        <v>4573</v>
      </c>
      <c r="BB200" s="829">
        <v>9.3894684857089938</v>
      </c>
      <c r="BC200" s="665" t="s">
        <v>4658</v>
      </c>
      <c r="BD200" s="830"/>
      <c r="BE200" s="830"/>
      <c r="BF200" s="665"/>
      <c r="BG200" s="830"/>
      <c r="BH200" s="831">
        <f t="shared" si="50"/>
        <v>17</v>
      </c>
      <c r="BI200" s="831">
        <f t="shared" si="51"/>
        <v>5.0999999999999996</v>
      </c>
      <c r="BJ200" s="831">
        <f t="shared" si="52"/>
        <v>46.9</v>
      </c>
      <c r="BK200" s="831">
        <f t="shared" si="53"/>
        <v>2.4</v>
      </c>
      <c r="BL200" s="831">
        <f t="shared" si="54"/>
        <v>9.5</v>
      </c>
      <c r="BM200" s="831">
        <f t="shared" si="55"/>
        <v>5.6</v>
      </c>
      <c r="BN200" s="831">
        <f t="shared" si="56"/>
        <v>9.9</v>
      </c>
      <c r="BO200" s="831">
        <f t="shared" si="57"/>
        <v>3.5999999999999943</v>
      </c>
      <c r="BP200" s="831">
        <f t="shared" si="59"/>
        <v>100</v>
      </c>
      <c r="BQ200" s="665" t="s">
        <v>4575</v>
      </c>
      <c r="BR200" s="832"/>
      <c r="BS200" s="832"/>
      <c r="BT200" s="832"/>
      <c r="BU200" s="832"/>
      <c r="BV200" s="832"/>
      <c r="BW200" s="832"/>
      <c r="BX200" s="665"/>
      <c r="DH200" s="834" t="str">
        <f t="shared" si="58"/>
        <v>Saint Lucia</v>
      </c>
      <c r="DI200" s="834" t="str">
        <f t="shared" si="58"/>
        <v>Americas</v>
      </c>
      <c r="DJ200" s="834" t="str">
        <f t="shared" si="58"/>
        <v>Caribbean</v>
      </c>
      <c r="DL200" s="834" t="s">
        <v>4584</v>
      </c>
    </row>
    <row r="201" spans="49:116" ht="25.5">
      <c r="AW201" s="827" t="s">
        <v>5339</v>
      </c>
      <c r="AX201" s="842" t="s">
        <v>4657</v>
      </c>
      <c r="AY201" s="828" t="str">
        <f>+BZ21</f>
        <v>Caribbean</v>
      </c>
      <c r="AZ201" s="827">
        <v>487</v>
      </c>
      <c r="BA201" s="665" t="s">
        <v>4573</v>
      </c>
      <c r="BB201" s="829">
        <v>9.3894684857089938</v>
      </c>
      <c r="BC201" s="665" t="s">
        <v>4658</v>
      </c>
      <c r="BD201" s="830"/>
      <c r="BE201" s="830"/>
      <c r="BF201" s="665"/>
      <c r="BG201" s="830"/>
      <c r="BH201" s="831">
        <f t="shared" si="50"/>
        <v>17</v>
      </c>
      <c r="BI201" s="831">
        <f t="shared" si="51"/>
        <v>5.0999999999999996</v>
      </c>
      <c r="BJ201" s="831">
        <f t="shared" si="52"/>
        <v>46.9</v>
      </c>
      <c r="BK201" s="831">
        <f t="shared" si="53"/>
        <v>2.4</v>
      </c>
      <c r="BL201" s="831">
        <f t="shared" si="54"/>
        <v>9.5</v>
      </c>
      <c r="BM201" s="831">
        <f t="shared" si="55"/>
        <v>5.6</v>
      </c>
      <c r="BN201" s="831">
        <f t="shared" si="56"/>
        <v>9.9</v>
      </c>
      <c r="BO201" s="831">
        <f t="shared" si="57"/>
        <v>3.5999999999999943</v>
      </c>
      <c r="BP201" s="831">
        <f t="shared" si="59"/>
        <v>100</v>
      </c>
      <c r="BQ201" s="665" t="s">
        <v>4575</v>
      </c>
      <c r="BR201" s="832"/>
      <c r="BS201" s="832"/>
      <c r="BT201" s="832"/>
      <c r="BU201" s="832"/>
      <c r="BV201" s="832"/>
      <c r="BW201" s="832"/>
      <c r="BX201" s="665"/>
      <c r="DH201" s="834" t="str">
        <f t="shared" si="58"/>
        <v>Saint Martin (France)</v>
      </c>
      <c r="DI201" s="834" t="str">
        <f t="shared" si="58"/>
        <v>Americas</v>
      </c>
      <c r="DJ201" s="834" t="str">
        <f t="shared" si="58"/>
        <v>Caribbean</v>
      </c>
      <c r="DL201" s="834" t="s">
        <v>4584</v>
      </c>
    </row>
    <row r="202" spans="49:116">
      <c r="AW202" s="827" t="s">
        <v>5340</v>
      </c>
      <c r="AX202" s="842" t="s">
        <v>4657</v>
      </c>
      <c r="AY202" s="828" t="str">
        <f>+BZ18</f>
        <v>North America</v>
      </c>
      <c r="AZ202" s="827">
        <v>432</v>
      </c>
      <c r="BA202" s="665" t="s">
        <v>4573</v>
      </c>
      <c r="BB202" s="847">
        <v>8.2505991847772364</v>
      </c>
      <c r="BC202" s="665" t="s">
        <v>5080</v>
      </c>
      <c r="BD202" s="830"/>
      <c r="BE202" s="830"/>
      <c r="BF202" s="665"/>
      <c r="BG202" s="830"/>
      <c r="BH202" s="831">
        <f t="shared" si="50"/>
        <v>23.2</v>
      </c>
      <c r="BI202" s="831">
        <f t="shared" si="51"/>
        <v>3.9</v>
      </c>
      <c r="BJ202" s="831">
        <f t="shared" si="52"/>
        <v>33.9</v>
      </c>
      <c r="BK202" s="831">
        <f t="shared" si="53"/>
        <v>6.2</v>
      </c>
      <c r="BL202" s="831">
        <f t="shared" si="54"/>
        <v>9.5</v>
      </c>
      <c r="BM202" s="831">
        <f t="shared" si="55"/>
        <v>5.6</v>
      </c>
      <c r="BN202" s="831">
        <f t="shared" si="56"/>
        <v>8.5</v>
      </c>
      <c r="BO202" s="831">
        <f t="shared" si="57"/>
        <v>9.2000000000000028</v>
      </c>
      <c r="BP202" s="831">
        <f t="shared" si="59"/>
        <v>100</v>
      </c>
      <c r="BQ202" s="665" t="s">
        <v>4575</v>
      </c>
      <c r="BR202" s="832"/>
      <c r="BS202" s="832"/>
      <c r="BT202" s="832"/>
      <c r="BU202" s="832"/>
      <c r="BV202" s="832"/>
      <c r="BW202" s="832"/>
      <c r="BX202" s="665"/>
      <c r="DH202" s="834" t="str">
        <f t="shared" si="58"/>
        <v>Saint Pierre and Miquelon (France)</v>
      </c>
      <c r="DI202" s="834" t="str">
        <f t="shared" si="58"/>
        <v>Americas</v>
      </c>
      <c r="DJ202" s="834" t="str">
        <f t="shared" si="58"/>
        <v>North America</v>
      </c>
      <c r="DL202" s="834" t="s">
        <v>4584</v>
      </c>
    </row>
    <row r="203" spans="49:116" ht="25.5">
      <c r="AW203" s="827" t="s">
        <v>5341</v>
      </c>
      <c r="AX203" s="842" t="s">
        <v>4657</v>
      </c>
      <c r="AY203" s="828" t="str">
        <f>+BZ21</f>
        <v>Caribbean</v>
      </c>
      <c r="AZ203" s="827">
        <v>521</v>
      </c>
      <c r="BA203" s="665" t="s">
        <v>4573</v>
      </c>
      <c r="BB203" s="829">
        <v>9.3894684857089938</v>
      </c>
      <c r="BC203" s="665" t="s">
        <v>4658</v>
      </c>
      <c r="BD203" s="830"/>
      <c r="BE203" s="830"/>
      <c r="BF203" s="665"/>
      <c r="BG203" s="830"/>
      <c r="BH203" s="831">
        <f t="shared" si="50"/>
        <v>17</v>
      </c>
      <c r="BI203" s="831">
        <f t="shared" si="51"/>
        <v>5.0999999999999996</v>
      </c>
      <c r="BJ203" s="831">
        <f t="shared" si="52"/>
        <v>46.9</v>
      </c>
      <c r="BK203" s="831">
        <f t="shared" si="53"/>
        <v>2.4</v>
      </c>
      <c r="BL203" s="831">
        <f t="shared" si="54"/>
        <v>9.5</v>
      </c>
      <c r="BM203" s="831">
        <f t="shared" si="55"/>
        <v>5.6</v>
      </c>
      <c r="BN203" s="831">
        <f t="shared" si="56"/>
        <v>9.9</v>
      </c>
      <c r="BO203" s="831">
        <f t="shared" si="57"/>
        <v>3.5999999999999943</v>
      </c>
      <c r="BP203" s="831">
        <f t="shared" si="59"/>
        <v>100</v>
      </c>
      <c r="BQ203" s="665" t="s">
        <v>4575</v>
      </c>
      <c r="BR203" s="832"/>
      <c r="BS203" s="832"/>
      <c r="BT203" s="832"/>
      <c r="BU203" s="832"/>
      <c r="BV203" s="832"/>
      <c r="BW203" s="832"/>
      <c r="BX203" s="665"/>
      <c r="DH203" s="834" t="str">
        <f t="shared" si="58"/>
        <v>Saint Vincent and Grenadines</v>
      </c>
      <c r="DI203" s="834" t="str">
        <f t="shared" si="58"/>
        <v>Americas</v>
      </c>
      <c r="DJ203" s="834" t="str">
        <f t="shared" si="58"/>
        <v>Caribbean</v>
      </c>
      <c r="DL203" s="834" t="s">
        <v>4584</v>
      </c>
    </row>
    <row r="204" spans="49:116" ht="25.5">
      <c r="AW204" s="827" t="s">
        <v>5342</v>
      </c>
      <c r="AX204" s="842" t="s">
        <v>4626</v>
      </c>
      <c r="AY204" s="828" t="str">
        <f>+BZ17</f>
        <v>Rest of Oceania</v>
      </c>
      <c r="AZ204" s="827">
        <v>459</v>
      </c>
      <c r="BA204" s="665" t="s">
        <v>4573</v>
      </c>
      <c r="BB204" s="829">
        <v>5.4123414965002699</v>
      </c>
      <c r="BC204" s="665" t="s">
        <v>4627</v>
      </c>
      <c r="BD204" s="830"/>
      <c r="BE204" s="830"/>
      <c r="BF204" s="665"/>
      <c r="BG204" s="830"/>
      <c r="BH204" s="831">
        <f t="shared" si="50"/>
        <v>6</v>
      </c>
      <c r="BI204" s="831">
        <f t="shared" si="51"/>
        <v>2.97</v>
      </c>
      <c r="BJ204" s="831">
        <f t="shared" si="52"/>
        <v>67.5</v>
      </c>
      <c r="BK204" s="831">
        <f t="shared" si="53"/>
        <v>2.5</v>
      </c>
      <c r="BL204" s="831">
        <f t="shared" si="54"/>
        <v>9.5</v>
      </c>
      <c r="BM204" s="831">
        <f t="shared" si="55"/>
        <v>5.6</v>
      </c>
      <c r="BN204" s="831">
        <f t="shared" si="56"/>
        <v>2.97</v>
      </c>
      <c r="BO204" s="831">
        <f t="shared" si="57"/>
        <v>2.9666666666666668</v>
      </c>
      <c r="BP204" s="831">
        <f t="shared" si="59"/>
        <v>100.00666666666666</v>
      </c>
      <c r="BQ204" s="665" t="s">
        <v>4575</v>
      </c>
      <c r="BR204" s="832"/>
      <c r="BS204" s="832"/>
      <c r="BT204" s="832"/>
      <c r="BU204" s="832"/>
      <c r="BV204" s="832"/>
      <c r="BW204" s="832"/>
      <c r="BX204" s="665"/>
      <c r="DH204" s="834" t="str">
        <f t="shared" si="58"/>
        <v>Samoa</v>
      </c>
      <c r="DI204" s="834" t="str">
        <f t="shared" si="58"/>
        <v>Oceania</v>
      </c>
      <c r="DJ204" s="834" t="str">
        <f t="shared" si="58"/>
        <v>Rest of Oceania</v>
      </c>
      <c r="DL204" s="834" t="s">
        <v>4584</v>
      </c>
    </row>
    <row r="205" spans="49:116" ht="25.5">
      <c r="AW205" s="827" t="s">
        <v>5343</v>
      </c>
      <c r="AX205" s="827" t="s">
        <v>4597</v>
      </c>
      <c r="AY205" s="828" t="str">
        <f>+BZ14</f>
        <v>Southern Europe</v>
      </c>
      <c r="AZ205" s="827">
        <v>43</v>
      </c>
      <c r="BA205" s="665" t="s">
        <v>4573</v>
      </c>
      <c r="BB205" s="829">
        <v>6.2171813834411278</v>
      </c>
      <c r="BC205" s="665" t="s">
        <v>4636</v>
      </c>
      <c r="BD205" s="830"/>
      <c r="BE205" s="830"/>
      <c r="BF205" s="665"/>
      <c r="BG205" s="830"/>
      <c r="BH205" s="831">
        <f t="shared" si="50"/>
        <v>17</v>
      </c>
      <c r="BI205" s="831">
        <f t="shared" si="51"/>
        <v>6.8</v>
      </c>
      <c r="BJ205" s="831">
        <f t="shared" si="52"/>
        <v>36.9</v>
      </c>
      <c r="BK205" s="831">
        <f t="shared" si="53"/>
        <v>10.6</v>
      </c>
      <c r="BL205" s="831">
        <f t="shared" si="54"/>
        <v>9.5</v>
      </c>
      <c r="BM205" s="831">
        <f t="shared" si="55"/>
        <v>5.6</v>
      </c>
      <c r="BN205" s="831">
        <f t="shared" si="56"/>
        <v>6.8</v>
      </c>
      <c r="BO205" s="831">
        <f t="shared" si="57"/>
        <v>6.8</v>
      </c>
      <c r="BP205" s="831">
        <f t="shared" si="59"/>
        <v>99.999999999999986</v>
      </c>
      <c r="BQ205" s="665" t="s">
        <v>4575</v>
      </c>
      <c r="BR205" s="832"/>
      <c r="BS205" s="832"/>
      <c r="BT205" s="832"/>
      <c r="BU205" s="832"/>
      <c r="BV205" s="832"/>
      <c r="BW205" s="832"/>
      <c r="BX205" s="665"/>
      <c r="DH205" s="834" t="str">
        <f t="shared" si="58"/>
        <v>San Marino</v>
      </c>
      <c r="DI205" s="834" t="str">
        <f t="shared" si="58"/>
        <v>Europe</v>
      </c>
      <c r="DJ205" s="834" t="str">
        <f t="shared" si="58"/>
        <v>Southern Europe</v>
      </c>
      <c r="DL205" s="834" t="s">
        <v>4584</v>
      </c>
    </row>
    <row r="206" spans="49:116" ht="25.5">
      <c r="AW206" s="827" t="s">
        <v>5344</v>
      </c>
      <c r="AX206" s="827" t="s">
        <v>4614</v>
      </c>
      <c r="AY206" s="828" t="str">
        <f>+BZ8</f>
        <v>Middle Africa</v>
      </c>
      <c r="AZ206" s="827">
        <v>530</v>
      </c>
      <c r="BA206" s="665" t="s">
        <v>4573</v>
      </c>
      <c r="BB206" s="829">
        <v>11.740747004194485</v>
      </c>
      <c r="BC206" s="665" t="s">
        <v>4826</v>
      </c>
      <c r="BD206" s="830"/>
      <c r="BE206" s="830"/>
      <c r="BF206" s="665"/>
      <c r="BG206" s="830"/>
      <c r="BH206" s="831">
        <f t="shared" si="50"/>
        <v>16.8</v>
      </c>
      <c r="BI206" s="831">
        <f t="shared" si="51"/>
        <v>2.5</v>
      </c>
      <c r="BJ206" s="831">
        <f t="shared" si="52"/>
        <v>43.4</v>
      </c>
      <c r="BK206" s="831">
        <f t="shared" si="53"/>
        <v>6.5</v>
      </c>
      <c r="BL206" s="831">
        <f t="shared" si="54"/>
        <v>9.5</v>
      </c>
      <c r="BM206" s="831">
        <f t="shared" si="55"/>
        <v>5.6</v>
      </c>
      <c r="BN206" s="831">
        <f t="shared" si="56"/>
        <v>4.5</v>
      </c>
      <c r="BO206" s="831">
        <f t="shared" si="57"/>
        <v>11.200000000000003</v>
      </c>
      <c r="BP206" s="831">
        <f t="shared" si="59"/>
        <v>100</v>
      </c>
      <c r="BQ206" s="665" t="s">
        <v>4575</v>
      </c>
      <c r="BR206" s="832"/>
      <c r="BS206" s="832"/>
      <c r="BT206" s="832"/>
      <c r="BU206" s="832"/>
      <c r="BV206" s="832"/>
      <c r="BW206" s="832"/>
      <c r="BX206" s="665"/>
      <c r="DH206" s="834" t="str">
        <f t="shared" si="58"/>
        <v>Sao Tomé &amp; Principe</v>
      </c>
      <c r="DI206" s="834" t="str">
        <f t="shared" si="58"/>
        <v>Africa</v>
      </c>
      <c r="DJ206" s="834" t="str">
        <f t="shared" si="58"/>
        <v>Middle Africa</v>
      </c>
      <c r="DL206" s="834" t="s">
        <v>4584</v>
      </c>
    </row>
    <row r="207" spans="49:116">
      <c r="AW207" s="827" t="s">
        <v>5345</v>
      </c>
      <c r="AX207" s="827" t="s">
        <v>4572</v>
      </c>
      <c r="AY207" s="828" t="str">
        <f>+BZ5</f>
        <v>South-Eastern Asia</v>
      </c>
      <c r="AZ207" s="827">
        <v>732</v>
      </c>
      <c r="BA207" s="665" t="s">
        <v>5346</v>
      </c>
      <c r="BB207" s="829">
        <v>6.7811395547231283</v>
      </c>
      <c r="BC207" s="665" t="s">
        <v>4598</v>
      </c>
      <c r="BD207" s="830"/>
      <c r="BE207" s="830"/>
      <c r="BF207" s="665"/>
      <c r="BG207" s="830"/>
      <c r="BH207" s="831">
        <f t="shared" si="50"/>
        <v>12.9</v>
      </c>
      <c r="BI207" s="831">
        <f t="shared" si="51"/>
        <v>2.7</v>
      </c>
      <c r="BJ207" s="831">
        <f t="shared" si="52"/>
        <v>43.5</v>
      </c>
      <c r="BK207" s="831">
        <f t="shared" si="53"/>
        <v>9.9</v>
      </c>
      <c r="BL207" s="831">
        <f t="shared" si="54"/>
        <v>9.5</v>
      </c>
      <c r="BM207" s="831">
        <f t="shared" si="55"/>
        <v>5.6</v>
      </c>
      <c r="BN207" s="831">
        <f t="shared" si="56"/>
        <v>7.2</v>
      </c>
      <c r="BO207" s="831">
        <f t="shared" si="57"/>
        <v>8.7000000000000028</v>
      </c>
      <c r="BP207" s="831">
        <f t="shared" si="59"/>
        <v>100</v>
      </c>
      <c r="BQ207" s="665" t="s">
        <v>4575</v>
      </c>
      <c r="BR207" s="832"/>
      <c r="BS207" s="832"/>
      <c r="BT207" s="832"/>
      <c r="BU207" s="832"/>
      <c r="BV207" s="832"/>
      <c r="BW207" s="832"/>
      <c r="BX207" s="665"/>
      <c r="DH207" s="834" t="str">
        <f t="shared" si="58"/>
        <v>Saudi Arabia</v>
      </c>
      <c r="DI207" s="834" t="str">
        <f t="shared" si="58"/>
        <v>Asia</v>
      </c>
      <c r="DJ207" s="834" t="str">
        <f t="shared" si="58"/>
        <v>South-Eastern Asia</v>
      </c>
      <c r="DL207" s="834" t="s">
        <v>4584</v>
      </c>
    </row>
    <row r="208" spans="49:116">
      <c r="AW208" s="827" t="s">
        <v>5347</v>
      </c>
      <c r="AX208" s="827" t="s">
        <v>4614</v>
      </c>
      <c r="AY208" s="828" t="str">
        <f>+BZ11</f>
        <v>Western Africa</v>
      </c>
      <c r="AZ208" s="827">
        <v>568</v>
      </c>
      <c r="BA208" s="665" t="s">
        <v>4573</v>
      </c>
      <c r="BB208" s="829">
        <v>12.866756393001348</v>
      </c>
      <c r="BC208" s="665" t="s">
        <v>4598</v>
      </c>
      <c r="BD208" s="830"/>
      <c r="BE208" s="830"/>
      <c r="BF208" s="665"/>
      <c r="BG208" s="830"/>
      <c r="BH208" s="831">
        <f t="shared" si="50"/>
        <v>9.8000000000000007</v>
      </c>
      <c r="BI208" s="831">
        <f t="shared" si="51"/>
        <v>1</v>
      </c>
      <c r="BJ208" s="831">
        <f t="shared" si="52"/>
        <v>40.4</v>
      </c>
      <c r="BK208" s="831">
        <f t="shared" si="53"/>
        <v>4.4000000000000004</v>
      </c>
      <c r="BL208" s="831">
        <f t="shared" si="54"/>
        <v>9.5</v>
      </c>
      <c r="BM208" s="831">
        <f t="shared" si="55"/>
        <v>5.6</v>
      </c>
      <c r="BN208" s="831">
        <f t="shared" si="56"/>
        <v>3</v>
      </c>
      <c r="BO208" s="831">
        <f t="shared" si="57"/>
        <v>26.300000000000011</v>
      </c>
      <c r="BP208" s="831">
        <f t="shared" si="59"/>
        <v>100</v>
      </c>
      <c r="BQ208" s="665" t="s">
        <v>4575</v>
      </c>
      <c r="BR208" s="832"/>
      <c r="BS208" s="832"/>
      <c r="BT208" s="832"/>
      <c r="BU208" s="832"/>
      <c r="BV208" s="832"/>
      <c r="BW208" s="832"/>
      <c r="BX208" s="665"/>
      <c r="DH208" s="834" t="str">
        <f t="shared" si="58"/>
        <v>Senegal</v>
      </c>
      <c r="DI208" s="834" t="str">
        <f t="shared" si="58"/>
        <v>Africa</v>
      </c>
      <c r="DJ208" s="834" t="str">
        <f t="shared" si="58"/>
        <v>Western Africa</v>
      </c>
      <c r="DL208" s="834" t="s">
        <v>4584</v>
      </c>
    </row>
    <row r="209" spans="49:116">
      <c r="AW209" s="827" t="s">
        <v>5348</v>
      </c>
      <c r="AX209" s="827" t="s">
        <v>4597</v>
      </c>
      <c r="AY209" s="828" t="str">
        <f>+BZ14</f>
        <v>Southern Europe</v>
      </c>
      <c r="AZ209" s="827">
        <v>690</v>
      </c>
      <c r="BA209" s="665" t="s">
        <v>4573</v>
      </c>
      <c r="BB209" s="829">
        <v>15.436823536446809</v>
      </c>
      <c r="BC209" s="665" t="s">
        <v>4598</v>
      </c>
      <c r="BD209" s="830"/>
      <c r="BE209" s="830"/>
      <c r="BF209" s="665"/>
      <c r="BG209" s="830"/>
      <c r="BH209" s="831">
        <f t="shared" si="50"/>
        <v>17</v>
      </c>
      <c r="BI209" s="831">
        <f t="shared" si="51"/>
        <v>6.8</v>
      </c>
      <c r="BJ209" s="831">
        <f t="shared" si="52"/>
        <v>36.9</v>
      </c>
      <c r="BK209" s="831">
        <f t="shared" si="53"/>
        <v>10.6</v>
      </c>
      <c r="BL209" s="831">
        <f t="shared" si="54"/>
        <v>9.5</v>
      </c>
      <c r="BM209" s="831">
        <f t="shared" si="55"/>
        <v>5.6</v>
      </c>
      <c r="BN209" s="831">
        <f t="shared" si="56"/>
        <v>6.8</v>
      </c>
      <c r="BO209" s="831">
        <f t="shared" si="57"/>
        <v>6.8</v>
      </c>
      <c r="BP209" s="831">
        <f t="shared" si="59"/>
        <v>99.999999999999986</v>
      </c>
      <c r="BQ209" s="665" t="s">
        <v>4575</v>
      </c>
      <c r="BR209" s="832"/>
      <c r="BS209" s="832"/>
      <c r="BT209" s="832"/>
      <c r="BU209" s="832"/>
      <c r="BV209" s="832"/>
      <c r="BW209" s="832"/>
      <c r="BX209" s="665"/>
      <c r="DH209" s="834" t="str">
        <f t="shared" si="58"/>
        <v>Serbia</v>
      </c>
      <c r="DI209" s="834" t="str">
        <f t="shared" si="58"/>
        <v>Europe</v>
      </c>
      <c r="DJ209" s="834" t="str">
        <f t="shared" si="58"/>
        <v>Southern Europe</v>
      </c>
      <c r="DL209" s="834" t="s">
        <v>4584</v>
      </c>
    </row>
    <row r="210" spans="49:116" ht="25.5">
      <c r="AW210" s="827" t="s">
        <v>5349</v>
      </c>
      <c r="AX210" s="827" t="s">
        <v>4614</v>
      </c>
      <c r="AY210" s="828" t="str">
        <f>+BZ7</f>
        <v>Eastern Africa</v>
      </c>
      <c r="AZ210" s="827">
        <v>516</v>
      </c>
      <c r="BA210" s="665" t="s">
        <v>4573</v>
      </c>
      <c r="BB210" s="829">
        <v>11.740747004194485</v>
      </c>
      <c r="BC210" s="665" t="s">
        <v>4826</v>
      </c>
      <c r="BD210" s="830"/>
      <c r="BE210" s="830"/>
      <c r="BF210" s="665"/>
      <c r="BG210" s="830"/>
      <c r="BH210" s="831">
        <f t="shared" si="50"/>
        <v>7.7</v>
      </c>
      <c r="BI210" s="831">
        <f t="shared" si="51"/>
        <v>1.7</v>
      </c>
      <c r="BJ210" s="831">
        <f t="shared" si="52"/>
        <v>53.9</v>
      </c>
      <c r="BK210" s="831">
        <f t="shared" si="53"/>
        <v>7</v>
      </c>
      <c r="BL210" s="831">
        <f t="shared" si="54"/>
        <v>9.5</v>
      </c>
      <c r="BM210" s="831">
        <f t="shared" si="55"/>
        <v>5.6</v>
      </c>
      <c r="BN210" s="831">
        <f t="shared" si="56"/>
        <v>5.5</v>
      </c>
      <c r="BO210" s="831">
        <f t="shared" si="57"/>
        <v>9.1000000000000085</v>
      </c>
      <c r="BP210" s="831">
        <f t="shared" si="59"/>
        <v>100</v>
      </c>
      <c r="BQ210" s="665" t="s">
        <v>4575</v>
      </c>
      <c r="BR210" s="832"/>
      <c r="BS210" s="832"/>
      <c r="BT210" s="832"/>
      <c r="BU210" s="832"/>
      <c r="BV210" s="832"/>
      <c r="BW210" s="832"/>
      <c r="BX210" s="665"/>
      <c r="DH210" s="834" t="str">
        <f t="shared" si="58"/>
        <v>Seychelles</v>
      </c>
      <c r="DI210" s="834" t="str">
        <f t="shared" si="58"/>
        <v>Africa</v>
      </c>
      <c r="DJ210" s="834" t="str">
        <f t="shared" si="58"/>
        <v>Eastern Africa</v>
      </c>
      <c r="DL210" s="834" t="s">
        <v>4584</v>
      </c>
    </row>
    <row r="211" spans="49:116" ht="25.5">
      <c r="AW211" s="827" t="s">
        <v>5350</v>
      </c>
      <c r="AX211" s="827" t="s">
        <v>4614</v>
      </c>
      <c r="AY211" s="828" t="str">
        <f>+BZ11</f>
        <v>Western Africa</v>
      </c>
      <c r="AZ211" s="827">
        <v>455</v>
      </c>
      <c r="BA211" s="665" t="s">
        <v>4573</v>
      </c>
      <c r="BB211" s="829">
        <v>13.490630673342661</v>
      </c>
      <c r="BC211" s="665" t="s">
        <v>4784</v>
      </c>
      <c r="BD211" s="830"/>
      <c r="BE211" s="830"/>
      <c r="BF211" s="665"/>
      <c r="BG211" s="830"/>
      <c r="BH211" s="831">
        <f t="shared" si="50"/>
        <v>9.8000000000000007</v>
      </c>
      <c r="BI211" s="831">
        <f t="shared" si="51"/>
        <v>1</v>
      </c>
      <c r="BJ211" s="831">
        <f t="shared" si="52"/>
        <v>40.4</v>
      </c>
      <c r="BK211" s="831">
        <f t="shared" si="53"/>
        <v>4.4000000000000004</v>
      </c>
      <c r="BL211" s="831">
        <f t="shared" si="54"/>
        <v>9.5</v>
      </c>
      <c r="BM211" s="831">
        <f t="shared" si="55"/>
        <v>5.6</v>
      </c>
      <c r="BN211" s="831">
        <f t="shared" si="56"/>
        <v>3</v>
      </c>
      <c r="BO211" s="831">
        <f t="shared" si="57"/>
        <v>26.300000000000011</v>
      </c>
      <c r="BP211" s="831">
        <f t="shared" si="59"/>
        <v>100</v>
      </c>
      <c r="BQ211" s="665" t="s">
        <v>4575</v>
      </c>
      <c r="BR211" s="832"/>
      <c r="BS211" s="832"/>
      <c r="BT211" s="832"/>
      <c r="BU211" s="832"/>
      <c r="BV211" s="832"/>
      <c r="BW211" s="832"/>
      <c r="BX211" s="665"/>
      <c r="DH211" s="834" t="str">
        <f t="shared" si="58"/>
        <v>Sierra Leone</v>
      </c>
      <c r="DI211" s="834" t="str">
        <f t="shared" si="58"/>
        <v>Africa</v>
      </c>
      <c r="DJ211" s="834" t="str">
        <f t="shared" si="58"/>
        <v>Western Africa</v>
      </c>
      <c r="DL211" s="834" t="s">
        <v>4584</v>
      </c>
    </row>
    <row r="212" spans="49:116">
      <c r="AW212" s="827" t="s">
        <v>5351</v>
      </c>
      <c r="AX212" s="827" t="s">
        <v>4572</v>
      </c>
      <c r="AY212" s="828" t="str">
        <f>+BZ5</f>
        <v>South-Eastern Asia</v>
      </c>
      <c r="AZ212" s="827">
        <v>249</v>
      </c>
      <c r="BA212" s="665" t="s">
        <v>4573</v>
      </c>
      <c r="BB212" s="829">
        <v>2.0291616038882139</v>
      </c>
      <c r="BC212" s="665" t="s">
        <v>4598</v>
      </c>
      <c r="BD212" s="830"/>
      <c r="BE212" s="830"/>
      <c r="BF212" s="665"/>
      <c r="BG212" s="830"/>
      <c r="BH212" s="831">
        <f t="shared" si="50"/>
        <v>12.9</v>
      </c>
      <c r="BI212" s="831">
        <f t="shared" si="51"/>
        <v>2.7</v>
      </c>
      <c r="BJ212" s="831">
        <f t="shared" si="52"/>
        <v>43.5</v>
      </c>
      <c r="BK212" s="831">
        <f t="shared" si="53"/>
        <v>9.9</v>
      </c>
      <c r="BL212" s="831">
        <f t="shared" si="54"/>
        <v>9.5</v>
      </c>
      <c r="BM212" s="831">
        <f t="shared" si="55"/>
        <v>5.6</v>
      </c>
      <c r="BN212" s="831">
        <f t="shared" si="56"/>
        <v>7.2</v>
      </c>
      <c r="BO212" s="831">
        <f t="shared" si="57"/>
        <v>8.7000000000000028</v>
      </c>
      <c r="BP212" s="831">
        <f t="shared" si="59"/>
        <v>100</v>
      </c>
      <c r="BQ212" s="665" t="s">
        <v>4575</v>
      </c>
      <c r="BR212" s="832"/>
      <c r="BS212" s="832"/>
      <c r="BT212" s="832"/>
      <c r="BU212" s="832"/>
      <c r="BV212" s="832"/>
      <c r="BW212" s="832"/>
      <c r="BX212" s="665"/>
      <c r="DH212" s="834" t="str">
        <f t="shared" si="58"/>
        <v>Singapore</v>
      </c>
      <c r="DI212" s="834" t="str">
        <f t="shared" si="58"/>
        <v>Asia</v>
      </c>
      <c r="DJ212" s="834" t="str">
        <f t="shared" si="58"/>
        <v>South-Eastern Asia</v>
      </c>
      <c r="DL212" s="834" t="s">
        <v>4584</v>
      </c>
    </row>
    <row r="213" spans="49:116" ht="25.5">
      <c r="AW213" s="827" t="s">
        <v>5352</v>
      </c>
      <c r="AX213" s="842" t="s">
        <v>4657</v>
      </c>
      <c r="AY213" s="828" t="str">
        <f>+BZ21</f>
        <v>Caribbean</v>
      </c>
      <c r="AZ213" s="827">
        <v>469</v>
      </c>
      <c r="BA213" s="665" t="s">
        <v>4573</v>
      </c>
      <c r="BB213" s="829">
        <v>9.3894684857089938</v>
      </c>
      <c r="BC213" s="665" t="s">
        <v>4658</v>
      </c>
      <c r="BD213" s="830"/>
      <c r="BE213" s="830"/>
      <c r="BF213" s="665"/>
      <c r="BG213" s="830"/>
      <c r="BH213" s="831">
        <f t="shared" si="50"/>
        <v>17</v>
      </c>
      <c r="BI213" s="831">
        <f t="shared" si="51"/>
        <v>5.0999999999999996</v>
      </c>
      <c r="BJ213" s="831">
        <f t="shared" si="52"/>
        <v>46.9</v>
      </c>
      <c r="BK213" s="831">
        <f t="shared" si="53"/>
        <v>2.4</v>
      </c>
      <c r="BL213" s="831">
        <f t="shared" si="54"/>
        <v>9.5</v>
      </c>
      <c r="BM213" s="831">
        <f t="shared" si="55"/>
        <v>5.6</v>
      </c>
      <c r="BN213" s="831">
        <f t="shared" si="56"/>
        <v>9.9</v>
      </c>
      <c r="BO213" s="831">
        <f t="shared" si="57"/>
        <v>3.5999999999999943</v>
      </c>
      <c r="BP213" s="831">
        <f t="shared" si="59"/>
        <v>100</v>
      </c>
      <c r="BQ213" s="665" t="s">
        <v>4575</v>
      </c>
      <c r="BR213" s="832"/>
      <c r="BS213" s="832"/>
      <c r="BT213" s="832"/>
      <c r="BU213" s="832"/>
      <c r="BV213" s="832"/>
      <c r="BW213" s="832"/>
      <c r="BX213" s="665"/>
      <c r="DH213" s="834" t="str">
        <f t="shared" ref="DH213:DJ266" si="60">AW213</f>
        <v>Sint Martin (Netherlands)</v>
      </c>
      <c r="DI213" s="834" t="str">
        <f t="shared" si="60"/>
        <v>Americas</v>
      </c>
      <c r="DJ213" s="834" t="str">
        <f t="shared" si="60"/>
        <v>Caribbean</v>
      </c>
      <c r="DL213" s="834" t="s">
        <v>4584</v>
      </c>
    </row>
    <row r="214" spans="49:116">
      <c r="AW214" s="827" t="s">
        <v>5353</v>
      </c>
      <c r="AX214" s="827" t="s">
        <v>4597</v>
      </c>
      <c r="AY214" s="828" t="str">
        <f>+BZ12</f>
        <v>Eastern Europe</v>
      </c>
      <c r="AZ214" s="827">
        <v>132.30000000000001</v>
      </c>
      <c r="BA214" s="665" t="s">
        <v>4747</v>
      </c>
      <c r="BB214" s="829">
        <v>2.456902902607927</v>
      </c>
      <c r="BC214" s="665" t="s">
        <v>4598</v>
      </c>
      <c r="BD214" s="830"/>
      <c r="BE214" s="830"/>
      <c r="BF214" s="665"/>
      <c r="BG214" s="830"/>
      <c r="BH214" s="831">
        <f t="shared" si="50"/>
        <v>21.8</v>
      </c>
      <c r="BI214" s="831">
        <f t="shared" si="51"/>
        <v>4.7</v>
      </c>
      <c r="BJ214" s="831">
        <f t="shared" si="52"/>
        <v>30.1</v>
      </c>
      <c r="BK214" s="831">
        <f t="shared" si="53"/>
        <v>7.5</v>
      </c>
      <c r="BL214" s="831">
        <f t="shared" si="54"/>
        <v>9.5</v>
      </c>
      <c r="BM214" s="831">
        <f t="shared" si="55"/>
        <v>5.6</v>
      </c>
      <c r="BN214" s="831">
        <f t="shared" si="56"/>
        <v>6.2</v>
      </c>
      <c r="BO214" s="831">
        <f t="shared" si="57"/>
        <v>14.600000000000009</v>
      </c>
      <c r="BP214" s="831">
        <f t="shared" si="59"/>
        <v>100</v>
      </c>
      <c r="BQ214" s="665" t="s">
        <v>4575</v>
      </c>
      <c r="BR214" s="832"/>
      <c r="BS214" s="832"/>
      <c r="BT214" s="832"/>
      <c r="BU214" s="832"/>
      <c r="BV214" s="832"/>
      <c r="BW214" s="832"/>
      <c r="BX214" s="665"/>
      <c r="DH214" s="834" t="str">
        <f t="shared" si="60"/>
        <v>Slovakia</v>
      </c>
      <c r="DI214" s="834" t="str">
        <f t="shared" si="60"/>
        <v>Europe</v>
      </c>
      <c r="DJ214" s="834" t="str">
        <f t="shared" si="60"/>
        <v>Eastern Europe</v>
      </c>
      <c r="DK214" s="834" t="e">
        <f>VLOOKUP(DH214,#REF!,1)</f>
        <v>#REF!</v>
      </c>
      <c r="DL214" s="834" t="e">
        <f>VLOOKUP(DK214,#REF!,2,FALSE)</f>
        <v>#REF!</v>
      </c>
    </row>
    <row r="215" spans="49:116">
      <c r="AW215" s="827" t="s">
        <v>5354</v>
      </c>
      <c r="AX215" s="827" t="s">
        <v>4597</v>
      </c>
      <c r="AY215" s="828" t="str">
        <f>+BZ14</f>
        <v>Southern Europe</v>
      </c>
      <c r="AZ215" s="827">
        <v>254.1</v>
      </c>
      <c r="BA215" s="665" t="s">
        <v>4747</v>
      </c>
      <c r="BB215" s="829">
        <v>4.7835460001165302</v>
      </c>
      <c r="BC215" s="665" t="s">
        <v>4598</v>
      </c>
      <c r="BD215" s="830"/>
      <c r="BE215" s="830"/>
      <c r="BF215" s="665"/>
      <c r="BG215" s="830"/>
      <c r="BH215" s="831">
        <f t="shared" si="50"/>
        <v>17</v>
      </c>
      <c r="BI215" s="831">
        <f t="shared" si="51"/>
        <v>6.8</v>
      </c>
      <c r="BJ215" s="831">
        <f t="shared" si="52"/>
        <v>36.9</v>
      </c>
      <c r="BK215" s="831">
        <f t="shared" si="53"/>
        <v>10.6</v>
      </c>
      <c r="BL215" s="831">
        <f t="shared" si="54"/>
        <v>9.5</v>
      </c>
      <c r="BM215" s="831">
        <f t="shared" si="55"/>
        <v>5.6</v>
      </c>
      <c r="BN215" s="831">
        <f t="shared" si="56"/>
        <v>6.8</v>
      </c>
      <c r="BO215" s="831">
        <f t="shared" si="57"/>
        <v>6.8</v>
      </c>
      <c r="BP215" s="831">
        <f t="shared" si="59"/>
        <v>99.999999999999986</v>
      </c>
      <c r="BQ215" s="665" t="s">
        <v>4575</v>
      </c>
      <c r="BR215" s="832"/>
      <c r="BS215" s="832"/>
      <c r="BT215" s="832"/>
      <c r="BU215" s="832"/>
      <c r="BV215" s="832"/>
      <c r="BW215" s="832"/>
      <c r="BX215" s="665"/>
      <c r="DH215" s="834" t="str">
        <f t="shared" si="60"/>
        <v>Slovenia</v>
      </c>
      <c r="DI215" s="834" t="str">
        <f t="shared" si="60"/>
        <v>Europe</v>
      </c>
      <c r="DJ215" s="834" t="str">
        <f t="shared" si="60"/>
        <v>Southern Europe</v>
      </c>
      <c r="DK215" s="834" t="e">
        <f>VLOOKUP(DH215,#REF!,1)</f>
        <v>#REF!</v>
      </c>
      <c r="DL215" s="834" t="e">
        <f>VLOOKUP(DK215,#REF!,2,FALSE)</f>
        <v>#REF!</v>
      </c>
    </row>
    <row r="216" spans="49:116" ht="25.5">
      <c r="AW216" s="827" t="s">
        <v>5355</v>
      </c>
      <c r="AX216" s="842" t="s">
        <v>4626</v>
      </c>
      <c r="AY216" s="828" t="str">
        <f>+BZ17</f>
        <v>Rest of Oceania</v>
      </c>
      <c r="AZ216" s="827">
        <v>631</v>
      </c>
      <c r="BA216" s="665" t="s">
        <v>4573</v>
      </c>
      <c r="BB216" s="829">
        <v>5.4123414965002699</v>
      </c>
      <c r="BC216" s="665" t="s">
        <v>4627</v>
      </c>
      <c r="BD216" s="830"/>
      <c r="BE216" s="830"/>
      <c r="BF216" s="665"/>
      <c r="BG216" s="830"/>
      <c r="BH216" s="831">
        <f t="shared" si="50"/>
        <v>6</v>
      </c>
      <c r="BI216" s="831">
        <f t="shared" si="51"/>
        <v>2.97</v>
      </c>
      <c r="BJ216" s="831">
        <f t="shared" si="52"/>
        <v>67.5</v>
      </c>
      <c r="BK216" s="831">
        <f t="shared" si="53"/>
        <v>2.5</v>
      </c>
      <c r="BL216" s="831">
        <f t="shared" si="54"/>
        <v>9.5</v>
      </c>
      <c r="BM216" s="831">
        <f t="shared" si="55"/>
        <v>5.6</v>
      </c>
      <c r="BN216" s="831">
        <f t="shared" si="56"/>
        <v>2.97</v>
      </c>
      <c r="BO216" s="831">
        <f t="shared" si="57"/>
        <v>2.9666666666666668</v>
      </c>
      <c r="BP216" s="831">
        <f t="shared" si="59"/>
        <v>100.00666666666666</v>
      </c>
      <c r="BQ216" s="665" t="s">
        <v>4575</v>
      </c>
      <c r="BR216" s="832"/>
      <c r="BS216" s="832"/>
      <c r="BT216" s="832"/>
      <c r="BU216" s="832"/>
      <c r="BV216" s="832"/>
      <c r="BW216" s="832"/>
      <c r="BX216" s="665"/>
      <c r="DH216" s="834" t="str">
        <f t="shared" si="60"/>
        <v>Solomon Islands</v>
      </c>
      <c r="DI216" s="834" t="str">
        <f t="shared" si="60"/>
        <v>Oceania</v>
      </c>
      <c r="DJ216" s="834" t="str">
        <f t="shared" si="60"/>
        <v>Rest of Oceania</v>
      </c>
      <c r="DL216" s="834" t="s">
        <v>4584</v>
      </c>
    </row>
    <row r="217" spans="49:116" ht="25.5">
      <c r="AW217" s="827" t="s">
        <v>5356</v>
      </c>
      <c r="AX217" s="827" t="s">
        <v>4614</v>
      </c>
      <c r="AY217" s="828" t="str">
        <f>+BZ7</f>
        <v>Eastern Africa</v>
      </c>
      <c r="AZ217" s="827">
        <v>658</v>
      </c>
      <c r="BA217" s="665" t="s">
        <v>4573</v>
      </c>
      <c r="BB217" s="829">
        <v>13.490630673342661</v>
      </c>
      <c r="BC217" s="665" t="s">
        <v>4784</v>
      </c>
      <c r="BD217" s="830"/>
      <c r="BE217" s="830"/>
      <c r="BF217" s="665"/>
      <c r="BG217" s="830"/>
      <c r="BH217" s="831">
        <f t="shared" si="50"/>
        <v>7.7</v>
      </c>
      <c r="BI217" s="831">
        <f t="shared" si="51"/>
        <v>1.7</v>
      </c>
      <c r="BJ217" s="831">
        <f t="shared" si="52"/>
        <v>53.9</v>
      </c>
      <c r="BK217" s="831">
        <f t="shared" si="53"/>
        <v>7</v>
      </c>
      <c r="BL217" s="831">
        <f t="shared" si="54"/>
        <v>9.5</v>
      </c>
      <c r="BM217" s="831">
        <f t="shared" si="55"/>
        <v>5.6</v>
      </c>
      <c r="BN217" s="831">
        <f t="shared" si="56"/>
        <v>5.5</v>
      </c>
      <c r="BO217" s="831">
        <f t="shared" si="57"/>
        <v>9.1000000000000085</v>
      </c>
      <c r="BP217" s="831">
        <f t="shared" si="59"/>
        <v>100</v>
      </c>
      <c r="BQ217" s="665" t="s">
        <v>4575</v>
      </c>
      <c r="BR217" s="832"/>
      <c r="BS217" s="832"/>
      <c r="BT217" s="832"/>
      <c r="BU217" s="832"/>
      <c r="BV217" s="832"/>
      <c r="BW217" s="832"/>
      <c r="BX217" s="665"/>
      <c r="DH217" s="834" t="str">
        <f t="shared" si="60"/>
        <v>Somalia</v>
      </c>
      <c r="DI217" s="834" t="str">
        <f t="shared" si="60"/>
        <v>Africa</v>
      </c>
      <c r="DJ217" s="834" t="str">
        <f t="shared" si="60"/>
        <v>Eastern Africa</v>
      </c>
      <c r="DL217" s="834" t="s">
        <v>4584</v>
      </c>
    </row>
    <row r="218" spans="49:116">
      <c r="AW218" s="827" t="s">
        <v>5357</v>
      </c>
      <c r="AX218" s="827" t="s">
        <v>4614</v>
      </c>
      <c r="AY218" s="828" t="str">
        <f>+BZ10</f>
        <v>Southern Africa</v>
      </c>
      <c r="AZ218" s="827">
        <v>928</v>
      </c>
      <c r="BA218" s="665" t="s">
        <v>5358</v>
      </c>
      <c r="BB218" s="829">
        <v>8.393761198696442</v>
      </c>
      <c r="BC218" s="665" t="s">
        <v>4598</v>
      </c>
      <c r="BD218" s="830"/>
      <c r="BE218" s="830"/>
      <c r="BF218" s="665"/>
      <c r="BG218" s="830"/>
      <c r="BH218" s="831">
        <f t="shared" si="50"/>
        <v>25</v>
      </c>
      <c r="BI218" s="831">
        <f t="shared" si="51"/>
        <v>7.3</v>
      </c>
      <c r="BJ218" s="831">
        <f t="shared" si="52"/>
        <v>23</v>
      </c>
      <c r="BK218" s="831">
        <f t="shared" si="53"/>
        <v>15</v>
      </c>
      <c r="BL218" s="831">
        <f t="shared" si="54"/>
        <v>9.5</v>
      </c>
      <c r="BM218" s="831">
        <f t="shared" si="55"/>
        <v>5.6</v>
      </c>
      <c r="BN218" s="831">
        <f t="shared" si="56"/>
        <v>7.3</v>
      </c>
      <c r="BO218" s="831">
        <f t="shared" si="57"/>
        <v>7.3</v>
      </c>
      <c r="BP218" s="831">
        <f t="shared" si="59"/>
        <v>99.999999999999986</v>
      </c>
      <c r="BQ218" s="665" t="s">
        <v>4575</v>
      </c>
      <c r="BR218" s="832"/>
      <c r="BS218" s="832"/>
      <c r="BT218" s="832"/>
      <c r="BU218" s="832"/>
      <c r="BV218" s="832"/>
      <c r="BW218" s="832"/>
      <c r="BX218" s="665"/>
      <c r="DH218" s="834" t="str">
        <f t="shared" si="60"/>
        <v>South Africa</v>
      </c>
      <c r="DI218" s="834" t="str">
        <f t="shared" si="60"/>
        <v>Africa</v>
      </c>
      <c r="DJ218" s="834" t="str">
        <f t="shared" si="60"/>
        <v>Southern Africa</v>
      </c>
      <c r="DL218" s="834" t="s">
        <v>4584</v>
      </c>
    </row>
    <row r="219" spans="49:116">
      <c r="AW219" s="827" t="s">
        <v>5359</v>
      </c>
      <c r="AX219" s="827" t="s">
        <v>4614</v>
      </c>
      <c r="AY219" s="828" t="str">
        <f>+BZ7</f>
        <v>Eastern Africa</v>
      </c>
      <c r="AZ219" s="827">
        <v>743</v>
      </c>
      <c r="BA219" s="665" t="s">
        <v>4573</v>
      </c>
      <c r="BB219" s="829">
        <v>5.7377049180327866</v>
      </c>
      <c r="BC219" s="665" t="s">
        <v>4598</v>
      </c>
      <c r="BD219" s="830"/>
      <c r="BE219" s="830"/>
      <c r="BF219" s="665"/>
      <c r="BG219" s="830"/>
      <c r="BH219" s="831">
        <f t="shared" si="50"/>
        <v>7.7</v>
      </c>
      <c r="BI219" s="831">
        <f t="shared" si="51"/>
        <v>1.7</v>
      </c>
      <c r="BJ219" s="831">
        <f t="shared" si="52"/>
        <v>53.9</v>
      </c>
      <c r="BK219" s="831">
        <f t="shared" si="53"/>
        <v>7</v>
      </c>
      <c r="BL219" s="831">
        <f t="shared" si="54"/>
        <v>9.5</v>
      </c>
      <c r="BM219" s="831">
        <f t="shared" si="55"/>
        <v>5.6</v>
      </c>
      <c r="BN219" s="831">
        <f t="shared" si="56"/>
        <v>5.5</v>
      </c>
      <c r="BO219" s="831">
        <f t="shared" si="57"/>
        <v>9.1000000000000085</v>
      </c>
      <c r="BP219" s="831">
        <f t="shared" si="59"/>
        <v>100</v>
      </c>
      <c r="BQ219" s="665" t="s">
        <v>4575</v>
      </c>
      <c r="BR219" s="832"/>
      <c r="BS219" s="832"/>
      <c r="BT219" s="832"/>
      <c r="BU219" s="832"/>
      <c r="BV219" s="832"/>
      <c r="BW219" s="832"/>
      <c r="BX219" s="665"/>
      <c r="DH219" s="834" t="str">
        <f t="shared" si="60"/>
        <v>South Sudan</v>
      </c>
      <c r="DI219" s="834" t="str">
        <f t="shared" si="60"/>
        <v>Africa</v>
      </c>
      <c r="DJ219" s="834" t="str">
        <f t="shared" si="60"/>
        <v>Eastern Africa</v>
      </c>
      <c r="DL219" s="834" t="s">
        <v>4584</v>
      </c>
    </row>
    <row r="220" spans="49:116">
      <c r="AW220" s="827" t="s">
        <v>5360</v>
      </c>
      <c r="AX220" s="827" t="s">
        <v>4597</v>
      </c>
      <c r="AY220" s="828" t="str">
        <f>+BZ14</f>
        <v>Southern Europe</v>
      </c>
      <c r="AZ220" s="827">
        <v>265.39999999999998</v>
      </c>
      <c r="BA220" s="665" t="s">
        <v>4747</v>
      </c>
      <c r="BB220" s="829">
        <v>9.5992347671750036</v>
      </c>
      <c r="BC220" s="665" t="s">
        <v>4598</v>
      </c>
      <c r="BD220" s="830"/>
      <c r="BE220" s="830"/>
      <c r="BF220" s="665"/>
      <c r="BG220" s="830"/>
      <c r="BH220" s="831">
        <f t="shared" si="50"/>
        <v>17</v>
      </c>
      <c r="BI220" s="831">
        <f t="shared" si="51"/>
        <v>6.8</v>
      </c>
      <c r="BJ220" s="831">
        <f t="shared" si="52"/>
        <v>36.9</v>
      </c>
      <c r="BK220" s="831">
        <f t="shared" si="53"/>
        <v>10.6</v>
      </c>
      <c r="BL220" s="831">
        <f t="shared" si="54"/>
        <v>9.5</v>
      </c>
      <c r="BM220" s="831">
        <f t="shared" si="55"/>
        <v>5.6</v>
      </c>
      <c r="BN220" s="831">
        <f t="shared" si="56"/>
        <v>6.8</v>
      </c>
      <c r="BO220" s="831">
        <f t="shared" si="57"/>
        <v>6.8</v>
      </c>
      <c r="BP220" s="831">
        <f t="shared" si="59"/>
        <v>99.999999999999986</v>
      </c>
      <c r="BQ220" s="665" t="s">
        <v>4575</v>
      </c>
      <c r="BR220" s="832"/>
      <c r="BS220" s="832"/>
      <c r="BT220" s="832"/>
      <c r="BU220" s="832"/>
      <c r="BV220" s="832"/>
      <c r="BW220" s="832"/>
      <c r="BX220" s="665"/>
      <c r="DH220" s="834" t="str">
        <f t="shared" si="60"/>
        <v>Spain</v>
      </c>
      <c r="DI220" s="834" t="str">
        <f t="shared" si="60"/>
        <v>Europe</v>
      </c>
      <c r="DJ220" s="834" t="str">
        <f t="shared" si="60"/>
        <v>Southern Europe</v>
      </c>
      <c r="DK220" s="834" t="e">
        <f>VLOOKUP(DH220,#REF!,1)</f>
        <v>#REF!</v>
      </c>
      <c r="DL220" s="834" t="e">
        <f>VLOOKUP(DK220,#REF!,2,FALSE)</f>
        <v>#REF!</v>
      </c>
    </row>
    <row r="221" spans="49:116">
      <c r="AW221" s="827" t="s">
        <v>5361</v>
      </c>
      <c r="AX221" s="827" t="s">
        <v>4572</v>
      </c>
      <c r="AY221" s="828" t="str">
        <f>+BZ4</f>
        <v>South-Central Asia</v>
      </c>
      <c r="AZ221" s="827">
        <v>468</v>
      </c>
      <c r="BA221" s="665" t="s">
        <v>4573</v>
      </c>
      <c r="BB221" s="829">
        <v>11.443704357595699</v>
      </c>
      <c r="BC221" s="665" t="s">
        <v>4598</v>
      </c>
      <c r="BD221" s="830"/>
      <c r="BE221" s="830"/>
      <c r="BF221" s="665"/>
      <c r="BG221" s="830"/>
      <c r="BH221" s="831">
        <f t="shared" si="50"/>
        <v>11.3</v>
      </c>
      <c r="BI221" s="831">
        <f t="shared" si="51"/>
        <v>2.5</v>
      </c>
      <c r="BJ221" s="831">
        <f t="shared" si="52"/>
        <v>40.299999999999997</v>
      </c>
      <c r="BK221" s="831">
        <f t="shared" si="53"/>
        <v>7.9</v>
      </c>
      <c r="BL221" s="831">
        <f t="shared" si="54"/>
        <v>9.5</v>
      </c>
      <c r="BM221" s="831">
        <f t="shared" si="55"/>
        <v>5.6</v>
      </c>
      <c r="BN221" s="831">
        <f t="shared" si="56"/>
        <v>6.4</v>
      </c>
      <c r="BO221" s="831">
        <f t="shared" si="57"/>
        <v>16.5</v>
      </c>
      <c r="BP221" s="831">
        <f t="shared" si="59"/>
        <v>100</v>
      </c>
      <c r="BQ221" s="665" t="s">
        <v>4575</v>
      </c>
      <c r="BR221" s="832"/>
      <c r="BS221" s="832"/>
      <c r="BT221" s="832"/>
      <c r="BU221" s="832"/>
      <c r="BV221" s="832"/>
      <c r="BW221" s="832"/>
      <c r="BX221" s="665"/>
      <c r="DH221" s="834" t="str">
        <f t="shared" si="60"/>
        <v>Sri Lanka</v>
      </c>
      <c r="DI221" s="834" t="str">
        <f t="shared" si="60"/>
        <v>Asia</v>
      </c>
      <c r="DJ221" s="834" t="str">
        <f t="shared" si="60"/>
        <v>South-Central Asia</v>
      </c>
      <c r="DL221" s="834" t="s">
        <v>4584</v>
      </c>
    </row>
    <row r="222" spans="49:116">
      <c r="AW222" s="827" t="s">
        <v>5362</v>
      </c>
      <c r="AX222" s="827" t="s">
        <v>4614</v>
      </c>
      <c r="AY222" s="828" t="str">
        <f>+BZ7</f>
        <v>Eastern Africa</v>
      </c>
      <c r="AZ222" s="827">
        <v>352</v>
      </c>
      <c r="BA222" s="665" t="s">
        <v>4573</v>
      </c>
      <c r="BB222" s="829">
        <v>14.284458509142054</v>
      </c>
      <c r="BC222" s="665" t="s">
        <v>4598</v>
      </c>
      <c r="BD222" s="830"/>
      <c r="BE222" s="830"/>
      <c r="BF222" s="665"/>
      <c r="BG222" s="830"/>
      <c r="BH222" s="831">
        <f t="shared" si="50"/>
        <v>7.7</v>
      </c>
      <c r="BI222" s="831">
        <f t="shared" si="51"/>
        <v>1.7</v>
      </c>
      <c r="BJ222" s="831">
        <f t="shared" si="52"/>
        <v>53.9</v>
      </c>
      <c r="BK222" s="831">
        <f t="shared" si="53"/>
        <v>7</v>
      </c>
      <c r="BL222" s="831">
        <f t="shared" si="54"/>
        <v>9.5</v>
      </c>
      <c r="BM222" s="831">
        <f t="shared" si="55"/>
        <v>5.6</v>
      </c>
      <c r="BN222" s="831">
        <f t="shared" si="56"/>
        <v>5.5</v>
      </c>
      <c r="BO222" s="831">
        <f t="shared" si="57"/>
        <v>9.1000000000000085</v>
      </c>
      <c r="BP222" s="831">
        <f t="shared" si="59"/>
        <v>100</v>
      </c>
      <c r="BQ222" s="665" t="s">
        <v>4575</v>
      </c>
      <c r="BR222" s="832"/>
      <c r="BS222" s="832"/>
      <c r="BT222" s="832"/>
      <c r="BU222" s="832"/>
      <c r="BV222" s="832"/>
      <c r="BW222" s="832"/>
      <c r="BX222" s="665"/>
      <c r="DH222" s="834" t="str">
        <f t="shared" si="60"/>
        <v>Sudan</v>
      </c>
      <c r="DI222" s="834" t="str">
        <f t="shared" si="60"/>
        <v>Africa</v>
      </c>
      <c r="DJ222" s="834" t="str">
        <f t="shared" si="60"/>
        <v>Eastern Africa</v>
      </c>
      <c r="DL222" s="834" t="s">
        <v>4584</v>
      </c>
    </row>
    <row r="223" spans="49:116">
      <c r="AW223" s="827" t="s">
        <v>5363</v>
      </c>
      <c r="AX223" s="842" t="s">
        <v>4657</v>
      </c>
      <c r="AY223" s="828" t="str">
        <f>+BZ20</f>
        <v>South America</v>
      </c>
      <c r="AZ223" s="827">
        <v>485</v>
      </c>
      <c r="BA223" s="665" t="s">
        <v>4573</v>
      </c>
      <c r="BB223" s="829">
        <v>8.7155963302752291</v>
      </c>
      <c r="BC223" s="665" t="s">
        <v>4598</v>
      </c>
      <c r="BD223" s="830"/>
      <c r="BE223" s="830"/>
      <c r="BF223" s="665"/>
      <c r="BG223" s="830"/>
      <c r="BH223" s="831">
        <f t="shared" si="50"/>
        <v>17.100000000000001</v>
      </c>
      <c r="BI223" s="831">
        <f t="shared" si="51"/>
        <v>2.6</v>
      </c>
      <c r="BJ223" s="831">
        <f t="shared" si="52"/>
        <v>44.9</v>
      </c>
      <c r="BK223" s="831">
        <f t="shared" si="53"/>
        <v>4.7</v>
      </c>
      <c r="BL223" s="831">
        <f t="shared" si="54"/>
        <v>9.5</v>
      </c>
      <c r="BM223" s="831">
        <f t="shared" si="55"/>
        <v>5.6</v>
      </c>
      <c r="BN223" s="831">
        <f t="shared" si="56"/>
        <v>10.8</v>
      </c>
      <c r="BO223" s="831">
        <f t="shared" si="57"/>
        <v>4.8000000000000114</v>
      </c>
      <c r="BP223" s="831">
        <f t="shared" si="59"/>
        <v>100</v>
      </c>
      <c r="BQ223" s="665" t="s">
        <v>4575</v>
      </c>
      <c r="BR223" s="832"/>
      <c r="BS223" s="832"/>
      <c r="BT223" s="832"/>
      <c r="BU223" s="832"/>
      <c r="BV223" s="832"/>
      <c r="BW223" s="832"/>
      <c r="BX223" s="665"/>
      <c r="DH223" s="834" t="str">
        <f t="shared" si="60"/>
        <v>Suriname</v>
      </c>
      <c r="DI223" s="834" t="str">
        <f t="shared" si="60"/>
        <v>Americas</v>
      </c>
      <c r="DJ223" s="834" t="str">
        <f t="shared" si="60"/>
        <v>South America</v>
      </c>
      <c r="DL223" s="834" t="s">
        <v>4584</v>
      </c>
    </row>
    <row r="224" spans="49:116">
      <c r="AW224" s="827" t="s">
        <v>5364</v>
      </c>
      <c r="AX224" s="827" t="s">
        <v>4597</v>
      </c>
      <c r="AY224" s="828" t="str">
        <f>+BZ13</f>
        <v>Northern Europe</v>
      </c>
      <c r="AZ224" s="827">
        <v>13.3</v>
      </c>
      <c r="BA224" s="665" t="s">
        <v>4747</v>
      </c>
      <c r="BB224" s="829">
        <v>4.7761699467288379</v>
      </c>
      <c r="BC224" s="665" t="s">
        <v>4598</v>
      </c>
      <c r="BD224" s="830"/>
      <c r="BE224" s="830"/>
      <c r="BF224" s="665"/>
      <c r="BG224" s="830"/>
      <c r="BH224" s="831">
        <f t="shared" ref="BH224:BH280" si="61">+VLOOKUP($AY224,$BZ$3:$CH$21,2,FALSE)</f>
        <v>30.6</v>
      </c>
      <c r="BI224" s="831">
        <f t="shared" ref="BI224:BI280" si="62">+VLOOKUP($AY224,$BZ$3:$CH$21,3,FALSE)</f>
        <v>2</v>
      </c>
      <c r="BJ224" s="831">
        <f t="shared" ref="BJ224:BJ280" si="63">+VLOOKUP($AY224,$BZ$3:$CH$21,4,FALSE)</f>
        <v>23.8</v>
      </c>
      <c r="BK224" s="831">
        <f t="shared" ref="BK224:BK280" si="64">+VLOOKUP($AY224,$BZ$3:$CH$21,5,FALSE)</f>
        <v>10</v>
      </c>
      <c r="BL224" s="831">
        <f t="shared" ref="BL224:BL280" si="65">+VLOOKUP($AY224,$BZ$3:$CH$21,6,FALSE)</f>
        <v>9.5</v>
      </c>
      <c r="BM224" s="831">
        <f t="shared" ref="BM224:BM280" si="66">+VLOOKUP($AY224,$BZ$3:$CH$21,7,FALSE)</f>
        <v>5.6</v>
      </c>
      <c r="BN224" s="831">
        <f t="shared" ref="BN224:BN280" si="67">+VLOOKUP($AY224,$BZ$3:$CH$21,8,FALSE)</f>
        <v>13</v>
      </c>
      <c r="BO224" s="831">
        <f t="shared" ref="BO224:BO280" si="68">+VLOOKUP($AY224,$BZ$3:$CH$21,9,FALSE)</f>
        <v>5.5</v>
      </c>
      <c r="BP224" s="831">
        <f t="shared" si="59"/>
        <v>100</v>
      </c>
      <c r="BQ224" s="665" t="s">
        <v>4575</v>
      </c>
      <c r="BR224" s="832"/>
      <c r="BS224" s="832"/>
      <c r="BT224" s="832"/>
      <c r="BU224" s="832"/>
      <c r="BV224" s="832"/>
      <c r="BW224" s="832"/>
      <c r="BX224" s="665"/>
      <c r="DH224" s="834" t="str">
        <f t="shared" si="60"/>
        <v>Sweden</v>
      </c>
      <c r="DI224" s="834" t="str">
        <f t="shared" si="60"/>
        <v>Europe</v>
      </c>
      <c r="DJ224" s="834" t="str">
        <f t="shared" si="60"/>
        <v>Northern Europe</v>
      </c>
      <c r="DK224" s="834" t="e">
        <f>VLOOKUP(DH224,#REF!,1)</f>
        <v>#REF!</v>
      </c>
      <c r="DL224" s="834" t="e">
        <f>VLOOKUP(DK224,#REF!,2,FALSE)</f>
        <v>#REF!</v>
      </c>
    </row>
    <row r="225" spans="49:116">
      <c r="AW225" s="827" t="s">
        <v>5365</v>
      </c>
      <c r="AX225" s="827" t="s">
        <v>4597</v>
      </c>
      <c r="AY225" s="828" t="str">
        <f>+BZ15</f>
        <v>Western Europe</v>
      </c>
      <c r="AZ225" s="827">
        <v>55</v>
      </c>
      <c r="BA225" s="665" t="s">
        <v>4573</v>
      </c>
      <c r="BB225" s="829">
        <v>6.6988103049841667</v>
      </c>
      <c r="BC225" s="665" t="s">
        <v>4598</v>
      </c>
      <c r="BD225" s="830"/>
      <c r="BE225" s="830"/>
      <c r="BF225" s="665"/>
      <c r="BG225" s="830"/>
      <c r="BH225" s="831">
        <f t="shared" si="61"/>
        <v>27.5</v>
      </c>
      <c r="BI225" s="831">
        <f t="shared" si="62"/>
        <v>7.4</v>
      </c>
      <c r="BJ225" s="831">
        <f t="shared" si="63"/>
        <v>24.2</v>
      </c>
      <c r="BK225" s="831">
        <f t="shared" si="64"/>
        <v>11</v>
      </c>
      <c r="BL225" s="831">
        <f t="shared" si="65"/>
        <v>9.5</v>
      </c>
      <c r="BM225" s="831">
        <f t="shared" si="66"/>
        <v>5.6</v>
      </c>
      <c r="BN225" s="831">
        <f t="shared" si="67"/>
        <v>7.4</v>
      </c>
      <c r="BO225" s="831">
        <f t="shared" si="68"/>
        <v>7.3999999999999986</v>
      </c>
      <c r="BP225" s="831">
        <f t="shared" si="59"/>
        <v>100</v>
      </c>
      <c r="BQ225" s="665" t="s">
        <v>4575</v>
      </c>
      <c r="BR225" s="832"/>
      <c r="BS225" s="832"/>
      <c r="BT225" s="832"/>
      <c r="BU225" s="832"/>
      <c r="BV225" s="832"/>
      <c r="BW225" s="832"/>
      <c r="BX225" s="665"/>
      <c r="DH225" s="834" t="str">
        <f t="shared" si="60"/>
        <v>Switzerland</v>
      </c>
      <c r="DI225" s="834" t="str">
        <f t="shared" si="60"/>
        <v>Europe</v>
      </c>
      <c r="DJ225" s="834" t="str">
        <f t="shared" si="60"/>
        <v>Western Europe</v>
      </c>
      <c r="DK225" s="834" t="e">
        <f>VLOOKUP(DH225,#REF!,1)</f>
        <v>#REF!</v>
      </c>
      <c r="DL225" s="834" t="e">
        <f>VLOOKUP(DK225,#REF!,2,FALSE)</f>
        <v>#REF!</v>
      </c>
    </row>
    <row r="226" spans="49:116">
      <c r="AW226" s="827" t="s">
        <v>5366</v>
      </c>
      <c r="AX226" s="827" t="s">
        <v>4572</v>
      </c>
      <c r="AY226" s="828" t="str">
        <f>+BZ6</f>
        <v>Western Asia &amp; Middle East</v>
      </c>
      <c r="AZ226" s="827">
        <v>525</v>
      </c>
      <c r="BA226" s="665" t="s">
        <v>4573</v>
      </c>
      <c r="BB226" s="829">
        <v>15.915887406844828</v>
      </c>
      <c r="BC226" s="665" t="s">
        <v>4598</v>
      </c>
      <c r="BD226" s="830"/>
      <c r="BE226" s="830"/>
      <c r="BF226" s="665"/>
      <c r="BG226" s="830"/>
      <c r="BH226" s="831">
        <f t="shared" si="61"/>
        <v>18</v>
      </c>
      <c r="BI226" s="831">
        <f t="shared" si="62"/>
        <v>2.9</v>
      </c>
      <c r="BJ226" s="831">
        <f t="shared" si="63"/>
        <v>41.1</v>
      </c>
      <c r="BK226" s="831">
        <f t="shared" si="64"/>
        <v>9.8000000000000007</v>
      </c>
      <c r="BL226" s="831">
        <f t="shared" si="65"/>
        <v>9.5</v>
      </c>
      <c r="BM226" s="831">
        <f t="shared" si="66"/>
        <v>5.6</v>
      </c>
      <c r="BN226" s="831">
        <f t="shared" si="67"/>
        <v>6.3</v>
      </c>
      <c r="BO226" s="831">
        <f t="shared" si="68"/>
        <v>6.8000000000000114</v>
      </c>
      <c r="BP226" s="831">
        <f t="shared" si="59"/>
        <v>100</v>
      </c>
      <c r="BQ226" s="665" t="s">
        <v>4575</v>
      </c>
      <c r="BR226" s="832"/>
      <c r="BS226" s="832"/>
      <c r="BT226" s="832"/>
      <c r="BU226" s="832"/>
      <c r="BV226" s="832"/>
      <c r="BW226" s="832"/>
      <c r="BX226" s="665"/>
      <c r="DH226" s="834" t="str">
        <f t="shared" si="60"/>
        <v>Syrian Arab Republic</v>
      </c>
      <c r="DI226" s="834" t="str">
        <f t="shared" si="60"/>
        <v>Asia</v>
      </c>
      <c r="DJ226" s="834" t="str">
        <f t="shared" si="60"/>
        <v>Western Asia &amp; Middle East</v>
      </c>
      <c r="DL226" s="834" t="s">
        <v>4584</v>
      </c>
    </row>
    <row r="227" spans="49:116" ht="25.5">
      <c r="AW227" s="827" t="s">
        <v>5367</v>
      </c>
      <c r="AX227" s="827" t="s">
        <v>4572</v>
      </c>
      <c r="AY227" s="828" t="str">
        <f>+BZ3</f>
        <v>Eastern Asia</v>
      </c>
      <c r="AZ227" s="827">
        <v>365</v>
      </c>
      <c r="BA227" s="665" t="s">
        <v>4573</v>
      </c>
      <c r="BB227" s="829">
        <v>5.4123414965002699</v>
      </c>
      <c r="BC227" s="665" t="s">
        <v>4627</v>
      </c>
      <c r="BD227" s="830"/>
      <c r="BE227" s="830"/>
      <c r="BF227" s="665"/>
      <c r="BG227" s="830"/>
      <c r="BH227" s="831">
        <f t="shared" si="61"/>
        <v>18.8</v>
      </c>
      <c r="BI227" s="831">
        <f t="shared" si="62"/>
        <v>3.5</v>
      </c>
      <c r="BJ227" s="831">
        <f t="shared" si="63"/>
        <v>26.2</v>
      </c>
      <c r="BK227" s="831">
        <f t="shared" si="64"/>
        <v>3.5</v>
      </c>
      <c r="BL227" s="831">
        <f t="shared" si="65"/>
        <v>9.5</v>
      </c>
      <c r="BM227" s="831">
        <f t="shared" si="66"/>
        <v>5.6</v>
      </c>
      <c r="BN227" s="831">
        <f t="shared" si="67"/>
        <v>14.3</v>
      </c>
      <c r="BO227" s="831">
        <f t="shared" si="68"/>
        <v>18.600000000000009</v>
      </c>
      <c r="BP227" s="831">
        <f t="shared" si="59"/>
        <v>100</v>
      </c>
      <c r="BQ227" s="665" t="s">
        <v>4575</v>
      </c>
      <c r="BR227" s="832"/>
      <c r="BS227" s="832"/>
      <c r="BT227" s="832"/>
      <c r="BU227" s="832"/>
      <c r="BV227" s="832"/>
      <c r="BW227" s="832"/>
      <c r="BX227" s="665"/>
      <c r="DH227" s="834" t="str">
        <f t="shared" si="60"/>
        <v>Taiwan</v>
      </c>
      <c r="DI227" s="834" t="str">
        <f t="shared" si="60"/>
        <v>Asia</v>
      </c>
      <c r="DJ227" s="834" t="str">
        <f t="shared" si="60"/>
        <v>Eastern Asia</v>
      </c>
      <c r="DK227" s="834" t="s">
        <v>5368</v>
      </c>
      <c r="DL227" s="834" t="e">
        <f>VLOOKUP(DK227,#REF!,2,FALSE)</f>
        <v>#REF!</v>
      </c>
    </row>
    <row r="228" spans="49:116">
      <c r="AW228" s="827" t="s">
        <v>5369</v>
      </c>
      <c r="AX228" s="827" t="s">
        <v>4572</v>
      </c>
      <c r="AY228" s="828" t="str">
        <f>+BZ4</f>
        <v>South-Central Asia</v>
      </c>
      <c r="AZ228" s="827">
        <v>63</v>
      </c>
      <c r="BA228" s="665" t="s">
        <v>4573</v>
      </c>
      <c r="BB228" s="829">
        <v>17.022826614861582</v>
      </c>
      <c r="BC228" s="665" t="s">
        <v>4598</v>
      </c>
      <c r="BD228" s="830"/>
      <c r="BE228" s="830"/>
      <c r="BF228" s="665"/>
      <c r="BG228" s="830"/>
      <c r="BH228" s="831">
        <f t="shared" si="61"/>
        <v>11.3</v>
      </c>
      <c r="BI228" s="831">
        <f t="shared" si="62"/>
        <v>2.5</v>
      </c>
      <c r="BJ228" s="831">
        <f t="shared" si="63"/>
        <v>40.299999999999997</v>
      </c>
      <c r="BK228" s="831">
        <f t="shared" si="64"/>
        <v>7.9</v>
      </c>
      <c r="BL228" s="831">
        <f t="shared" si="65"/>
        <v>9.5</v>
      </c>
      <c r="BM228" s="831">
        <f t="shared" si="66"/>
        <v>5.6</v>
      </c>
      <c r="BN228" s="831">
        <f t="shared" si="67"/>
        <v>6.4</v>
      </c>
      <c r="BO228" s="831">
        <f t="shared" si="68"/>
        <v>16.5</v>
      </c>
      <c r="BP228" s="831">
        <f t="shared" si="59"/>
        <v>100</v>
      </c>
      <c r="BQ228" s="665" t="s">
        <v>4575</v>
      </c>
      <c r="BR228" s="832"/>
      <c r="BS228" s="832"/>
      <c r="BT228" s="832"/>
      <c r="BU228" s="832"/>
      <c r="BV228" s="832"/>
      <c r="BW228" s="832"/>
      <c r="BX228" s="665"/>
      <c r="DH228" s="834" t="str">
        <f t="shared" si="60"/>
        <v>Tajikistan</v>
      </c>
      <c r="DI228" s="834" t="str">
        <f t="shared" si="60"/>
        <v>Asia</v>
      </c>
      <c r="DJ228" s="834" t="str">
        <f t="shared" si="60"/>
        <v>South-Central Asia</v>
      </c>
      <c r="DL228" s="834" t="s">
        <v>4584</v>
      </c>
    </row>
    <row r="229" spans="49:116">
      <c r="AW229" s="827" t="s">
        <v>5370</v>
      </c>
      <c r="AX229" s="827" t="s">
        <v>4614</v>
      </c>
      <c r="AY229" s="828" t="str">
        <f>+BZ7</f>
        <v>Eastern Africa</v>
      </c>
      <c r="AZ229" s="827">
        <v>477</v>
      </c>
      <c r="BA229" s="665" t="s">
        <v>4573</v>
      </c>
      <c r="BB229" s="829">
        <v>17.655571635311144</v>
      </c>
      <c r="BC229" s="665" t="s">
        <v>4598</v>
      </c>
      <c r="BD229" s="830"/>
      <c r="BE229" s="830"/>
      <c r="BF229" s="665"/>
      <c r="BG229" s="830"/>
      <c r="BH229" s="831">
        <f t="shared" si="61"/>
        <v>7.7</v>
      </c>
      <c r="BI229" s="831">
        <f t="shared" si="62"/>
        <v>1.7</v>
      </c>
      <c r="BJ229" s="831">
        <f t="shared" si="63"/>
        <v>53.9</v>
      </c>
      <c r="BK229" s="831">
        <f t="shared" si="64"/>
        <v>7</v>
      </c>
      <c r="BL229" s="831">
        <f t="shared" si="65"/>
        <v>9.5</v>
      </c>
      <c r="BM229" s="831">
        <f t="shared" si="66"/>
        <v>5.6</v>
      </c>
      <c r="BN229" s="831">
        <f t="shared" si="67"/>
        <v>5.5</v>
      </c>
      <c r="BO229" s="831">
        <f t="shared" si="68"/>
        <v>9.1000000000000085</v>
      </c>
      <c r="BP229" s="831">
        <f t="shared" si="59"/>
        <v>100</v>
      </c>
      <c r="BQ229" s="665" t="s">
        <v>4575</v>
      </c>
      <c r="BR229" s="832"/>
      <c r="BS229" s="832"/>
      <c r="BT229" s="832"/>
      <c r="BU229" s="832"/>
      <c r="BV229" s="832"/>
      <c r="BW229" s="832"/>
      <c r="BX229" s="665"/>
      <c r="DH229" s="834" t="str">
        <f t="shared" si="60"/>
        <v>Tanzania</v>
      </c>
      <c r="DI229" s="834" t="str">
        <f t="shared" si="60"/>
        <v>Africa</v>
      </c>
      <c r="DJ229" s="834" t="str">
        <f t="shared" si="60"/>
        <v>Eastern Africa</v>
      </c>
      <c r="DL229" s="834" t="s">
        <v>4584</v>
      </c>
    </row>
    <row r="230" spans="49:116">
      <c r="AW230" s="827" t="s">
        <v>5371</v>
      </c>
      <c r="AX230" s="827" t="s">
        <v>4572</v>
      </c>
      <c r="AY230" s="828" t="str">
        <f>+BZ5</f>
        <v>South-Eastern Asia</v>
      </c>
      <c r="AZ230" s="827">
        <v>390</v>
      </c>
      <c r="BA230" s="665" t="s">
        <v>4573</v>
      </c>
      <c r="BB230" s="829">
        <v>6.1112012610691266</v>
      </c>
      <c r="BC230" s="665" t="s">
        <v>4598</v>
      </c>
      <c r="BD230" s="842">
        <v>7.0000000000000007E-2</v>
      </c>
      <c r="BE230" s="842">
        <v>0.14000000000000001</v>
      </c>
      <c r="BF230" s="665" t="s">
        <v>4748</v>
      </c>
      <c r="BG230" s="830"/>
      <c r="BH230" s="831">
        <f t="shared" si="61"/>
        <v>12.9</v>
      </c>
      <c r="BI230" s="831">
        <f t="shared" si="62"/>
        <v>2.7</v>
      </c>
      <c r="BJ230" s="831">
        <f t="shared" si="63"/>
        <v>43.5</v>
      </c>
      <c r="BK230" s="831">
        <f t="shared" si="64"/>
        <v>9.9</v>
      </c>
      <c r="BL230" s="831">
        <f t="shared" si="65"/>
        <v>9.5</v>
      </c>
      <c r="BM230" s="831">
        <f t="shared" si="66"/>
        <v>5.6</v>
      </c>
      <c r="BN230" s="831">
        <f t="shared" si="67"/>
        <v>7.2</v>
      </c>
      <c r="BO230" s="831">
        <f t="shared" si="68"/>
        <v>8.7000000000000028</v>
      </c>
      <c r="BP230" s="831">
        <f t="shared" si="59"/>
        <v>100</v>
      </c>
      <c r="BQ230" s="665" t="s">
        <v>4575</v>
      </c>
      <c r="BR230" s="832"/>
      <c r="BS230" s="832"/>
      <c r="BT230" s="832"/>
      <c r="BU230" s="832"/>
      <c r="BV230" s="832"/>
      <c r="BW230" s="832"/>
      <c r="BX230" s="665"/>
      <c r="DH230" s="834" t="str">
        <f t="shared" si="60"/>
        <v>Thailand</v>
      </c>
      <c r="DI230" s="834" t="str">
        <f t="shared" si="60"/>
        <v>Asia</v>
      </c>
      <c r="DJ230" s="834" t="str">
        <f t="shared" si="60"/>
        <v>South-Eastern Asia</v>
      </c>
      <c r="DL230" s="834" t="s">
        <v>4584</v>
      </c>
    </row>
    <row r="231" spans="49:116" ht="25.5">
      <c r="AW231" s="827" t="s">
        <v>5372</v>
      </c>
      <c r="AX231" s="827" t="s">
        <v>4572</v>
      </c>
      <c r="AY231" s="828" t="str">
        <f>+BZ5</f>
        <v>South-Eastern Asia</v>
      </c>
      <c r="AZ231" s="827">
        <v>630</v>
      </c>
      <c r="BA231" s="665" t="s">
        <v>4573</v>
      </c>
      <c r="BB231" s="829">
        <v>5.4123414965002699</v>
      </c>
      <c r="BC231" s="665" t="s">
        <v>4627</v>
      </c>
      <c r="BD231" s="830"/>
      <c r="BE231" s="830"/>
      <c r="BF231" s="665"/>
      <c r="BG231" s="830"/>
      <c r="BH231" s="831">
        <f t="shared" si="61"/>
        <v>12.9</v>
      </c>
      <c r="BI231" s="831">
        <f t="shared" si="62"/>
        <v>2.7</v>
      </c>
      <c r="BJ231" s="831">
        <f t="shared" si="63"/>
        <v>43.5</v>
      </c>
      <c r="BK231" s="831">
        <f t="shared" si="64"/>
        <v>9.9</v>
      </c>
      <c r="BL231" s="831">
        <f t="shared" si="65"/>
        <v>9.5</v>
      </c>
      <c r="BM231" s="831">
        <f t="shared" si="66"/>
        <v>5.6</v>
      </c>
      <c r="BN231" s="831">
        <f t="shared" si="67"/>
        <v>7.2</v>
      </c>
      <c r="BO231" s="831">
        <f t="shared" si="68"/>
        <v>8.7000000000000028</v>
      </c>
      <c r="BP231" s="831">
        <f t="shared" si="59"/>
        <v>100</v>
      </c>
      <c r="BQ231" s="665" t="s">
        <v>4575</v>
      </c>
      <c r="BR231" s="832"/>
      <c r="BS231" s="832"/>
      <c r="BT231" s="832"/>
      <c r="BU231" s="832"/>
      <c r="BV231" s="832"/>
      <c r="BW231" s="832"/>
      <c r="BX231" s="665"/>
      <c r="DH231" s="834" t="str">
        <f t="shared" si="60"/>
        <v>Timor-Leste</v>
      </c>
      <c r="DI231" s="834" t="str">
        <f t="shared" si="60"/>
        <v>Asia</v>
      </c>
      <c r="DJ231" s="834" t="str">
        <f t="shared" si="60"/>
        <v>South-Eastern Asia</v>
      </c>
      <c r="DL231" s="834" t="s">
        <v>4584</v>
      </c>
    </row>
    <row r="232" spans="49:116">
      <c r="AW232" s="827" t="s">
        <v>5373</v>
      </c>
      <c r="AX232" s="827" t="s">
        <v>4614</v>
      </c>
      <c r="AY232" s="828" t="str">
        <f>+BZ11</f>
        <v>Western Africa</v>
      </c>
      <c r="AZ232" s="827">
        <v>341</v>
      </c>
      <c r="BA232" s="665" t="s">
        <v>4573</v>
      </c>
      <c r="BB232" s="829">
        <v>71.034482758620683</v>
      </c>
      <c r="BC232" s="665" t="s">
        <v>4598</v>
      </c>
      <c r="BD232" s="830"/>
      <c r="BE232" s="830"/>
      <c r="BF232" s="665"/>
      <c r="BG232" s="830"/>
      <c r="BH232" s="831">
        <f t="shared" si="61"/>
        <v>9.8000000000000007</v>
      </c>
      <c r="BI232" s="831">
        <f t="shared" si="62"/>
        <v>1</v>
      </c>
      <c r="BJ232" s="831">
        <f t="shared" si="63"/>
        <v>40.4</v>
      </c>
      <c r="BK232" s="831">
        <f t="shared" si="64"/>
        <v>4.4000000000000004</v>
      </c>
      <c r="BL232" s="831">
        <f t="shared" si="65"/>
        <v>9.5</v>
      </c>
      <c r="BM232" s="831">
        <f t="shared" si="66"/>
        <v>5.6</v>
      </c>
      <c r="BN232" s="831">
        <f t="shared" si="67"/>
        <v>3</v>
      </c>
      <c r="BO232" s="831">
        <f t="shared" si="68"/>
        <v>26.300000000000011</v>
      </c>
      <c r="BP232" s="831">
        <f t="shared" si="59"/>
        <v>100</v>
      </c>
      <c r="BQ232" s="665" t="s">
        <v>4575</v>
      </c>
      <c r="BR232" s="832"/>
      <c r="BS232" s="832"/>
      <c r="BT232" s="832"/>
      <c r="BU232" s="832"/>
      <c r="BV232" s="832"/>
      <c r="BW232" s="832"/>
      <c r="BX232" s="665"/>
      <c r="DH232" s="834" t="str">
        <f t="shared" si="60"/>
        <v>Togo</v>
      </c>
      <c r="DI232" s="834" t="str">
        <f t="shared" si="60"/>
        <v>Africa</v>
      </c>
      <c r="DJ232" s="834" t="str">
        <f t="shared" si="60"/>
        <v>Western Africa</v>
      </c>
      <c r="DL232" s="834" t="s">
        <v>4584</v>
      </c>
    </row>
    <row r="233" spans="49:116" ht="25.5">
      <c r="AW233" s="827" t="s">
        <v>5374</v>
      </c>
      <c r="AX233" s="842" t="s">
        <v>4626</v>
      </c>
      <c r="AY233" s="828" t="str">
        <f>+BZ17</f>
        <v>Rest of Oceania</v>
      </c>
      <c r="AZ233" s="827">
        <v>583</v>
      </c>
      <c r="BA233" s="665" t="s">
        <v>4573</v>
      </c>
      <c r="BB233" s="829">
        <v>5.4123414965002699</v>
      </c>
      <c r="BC233" s="665" t="s">
        <v>4627</v>
      </c>
      <c r="BD233" s="830"/>
      <c r="BE233" s="830"/>
      <c r="BF233" s="665"/>
      <c r="BG233" s="830"/>
      <c r="BH233" s="831">
        <f t="shared" si="61"/>
        <v>6</v>
      </c>
      <c r="BI233" s="831">
        <f t="shared" si="62"/>
        <v>2.97</v>
      </c>
      <c r="BJ233" s="831">
        <f t="shared" si="63"/>
        <v>67.5</v>
      </c>
      <c r="BK233" s="831">
        <f t="shared" si="64"/>
        <v>2.5</v>
      </c>
      <c r="BL233" s="831">
        <f t="shared" si="65"/>
        <v>9.5</v>
      </c>
      <c r="BM233" s="831">
        <f t="shared" si="66"/>
        <v>5.6</v>
      </c>
      <c r="BN233" s="831">
        <f t="shared" si="67"/>
        <v>2.97</v>
      </c>
      <c r="BO233" s="831">
        <f t="shared" si="68"/>
        <v>2.9666666666666668</v>
      </c>
      <c r="BP233" s="831">
        <f t="shared" si="59"/>
        <v>100.00666666666666</v>
      </c>
      <c r="BQ233" s="665" t="s">
        <v>4575</v>
      </c>
      <c r="BR233" s="832"/>
      <c r="BS233" s="832"/>
      <c r="BT233" s="832"/>
      <c r="BU233" s="832"/>
      <c r="BV233" s="832"/>
      <c r="BW233" s="832"/>
      <c r="BX233" s="665"/>
      <c r="DH233" s="834" t="str">
        <f t="shared" si="60"/>
        <v>Tonga</v>
      </c>
      <c r="DI233" s="834" t="str">
        <f t="shared" si="60"/>
        <v>Oceania</v>
      </c>
      <c r="DJ233" s="834" t="str">
        <f t="shared" si="60"/>
        <v>Rest of Oceania</v>
      </c>
      <c r="DL233" s="834" t="s">
        <v>4584</v>
      </c>
    </row>
    <row r="234" spans="49:116">
      <c r="AW234" s="827" t="s">
        <v>5375</v>
      </c>
      <c r="AX234" s="842" t="s">
        <v>4657</v>
      </c>
      <c r="AY234" s="828" t="str">
        <f>+BZ21</f>
        <v>Caribbean</v>
      </c>
      <c r="AZ234" s="827">
        <v>424</v>
      </c>
      <c r="BA234" s="665" t="s">
        <v>4573</v>
      </c>
      <c r="BB234" s="829">
        <v>2.3041940373926222</v>
      </c>
      <c r="BC234" s="665" t="s">
        <v>4598</v>
      </c>
      <c r="BD234" s="830"/>
      <c r="BE234" s="830"/>
      <c r="BF234" s="665"/>
      <c r="BG234" s="830"/>
      <c r="BH234" s="831">
        <f t="shared" si="61"/>
        <v>17</v>
      </c>
      <c r="BI234" s="831">
        <f t="shared" si="62"/>
        <v>5.0999999999999996</v>
      </c>
      <c r="BJ234" s="831">
        <f t="shared" si="63"/>
        <v>46.9</v>
      </c>
      <c r="BK234" s="831">
        <f t="shared" si="64"/>
        <v>2.4</v>
      </c>
      <c r="BL234" s="831">
        <f t="shared" si="65"/>
        <v>9.5</v>
      </c>
      <c r="BM234" s="831">
        <f t="shared" si="66"/>
        <v>5.6</v>
      </c>
      <c r="BN234" s="831">
        <f t="shared" si="67"/>
        <v>9.9</v>
      </c>
      <c r="BO234" s="831">
        <f t="shared" si="68"/>
        <v>3.5999999999999943</v>
      </c>
      <c r="BP234" s="831">
        <f t="shared" si="59"/>
        <v>100</v>
      </c>
      <c r="BQ234" s="665" t="s">
        <v>4575</v>
      </c>
      <c r="BR234" s="832"/>
      <c r="BS234" s="832"/>
      <c r="BT234" s="832"/>
      <c r="BU234" s="832"/>
      <c r="BV234" s="832"/>
      <c r="BW234" s="832"/>
      <c r="BX234" s="665"/>
      <c r="DH234" s="834" t="str">
        <f t="shared" si="60"/>
        <v>Trinidad and Tobago</v>
      </c>
      <c r="DI234" s="834" t="str">
        <f t="shared" si="60"/>
        <v>Americas</v>
      </c>
      <c r="DJ234" s="834" t="str">
        <f t="shared" si="60"/>
        <v>Caribbean</v>
      </c>
      <c r="DL234" s="834" t="s">
        <v>4584</v>
      </c>
    </row>
    <row r="235" spans="49:116">
      <c r="AW235" s="827" t="s">
        <v>5376</v>
      </c>
      <c r="AX235" s="827" t="s">
        <v>4614</v>
      </c>
      <c r="AY235" s="828" t="str">
        <f>+BZ9</f>
        <v>Northern Africa</v>
      </c>
      <c r="AZ235" s="827">
        <v>404</v>
      </c>
      <c r="BA235" s="665" t="s">
        <v>4573</v>
      </c>
      <c r="BB235" s="829">
        <v>14.799770869135031</v>
      </c>
      <c r="BC235" s="665" t="s">
        <v>4598</v>
      </c>
      <c r="BD235" s="830"/>
      <c r="BE235" s="830"/>
      <c r="BF235" s="665"/>
      <c r="BG235" s="830"/>
      <c r="BH235" s="831">
        <f t="shared" si="61"/>
        <v>16.5</v>
      </c>
      <c r="BI235" s="831">
        <f t="shared" si="62"/>
        <v>2.5</v>
      </c>
      <c r="BJ235" s="831">
        <f t="shared" si="63"/>
        <v>51.1</v>
      </c>
      <c r="BK235" s="831">
        <f t="shared" si="64"/>
        <v>2</v>
      </c>
      <c r="BL235" s="831">
        <f t="shared" si="65"/>
        <v>9.5</v>
      </c>
      <c r="BM235" s="831">
        <f t="shared" si="66"/>
        <v>5.6</v>
      </c>
      <c r="BN235" s="831">
        <f t="shared" si="67"/>
        <v>4.5</v>
      </c>
      <c r="BO235" s="831">
        <f t="shared" si="68"/>
        <v>8.3000000000000114</v>
      </c>
      <c r="BP235" s="831">
        <f t="shared" si="59"/>
        <v>100</v>
      </c>
      <c r="BQ235" s="665" t="s">
        <v>4575</v>
      </c>
      <c r="BR235" s="832"/>
      <c r="BS235" s="832"/>
      <c r="BT235" s="832"/>
      <c r="BU235" s="832"/>
      <c r="BV235" s="832"/>
      <c r="BW235" s="832"/>
      <c r="BX235" s="665"/>
      <c r="DH235" s="834" t="str">
        <f t="shared" si="60"/>
        <v>Tunisia</v>
      </c>
      <c r="DI235" s="834" t="str">
        <f t="shared" si="60"/>
        <v>Africa</v>
      </c>
      <c r="DJ235" s="834" t="str">
        <f t="shared" si="60"/>
        <v>Northern Africa</v>
      </c>
      <c r="DL235" s="834" t="s">
        <v>4584</v>
      </c>
    </row>
    <row r="236" spans="49:116">
      <c r="AW236" s="827" t="s">
        <v>5377</v>
      </c>
      <c r="AX236" s="827" t="s">
        <v>4572</v>
      </c>
      <c r="AY236" s="828" t="str">
        <f>+BZ6</f>
        <v>Western Asia &amp; Middle East</v>
      </c>
      <c r="AZ236" s="827">
        <v>481</v>
      </c>
      <c r="BA236" s="665" t="s">
        <v>5378</v>
      </c>
      <c r="BB236" s="829">
        <v>14.816064263403753</v>
      </c>
      <c r="BC236" s="665" t="s">
        <v>4598</v>
      </c>
      <c r="BD236" s="830"/>
      <c r="BE236" s="830"/>
      <c r="BF236" s="665"/>
      <c r="BG236" s="830"/>
      <c r="BH236" s="831">
        <f t="shared" si="61"/>
        <v>18</v>
      </c>
      <c r="BI236" s="831">
        <f t="shared" si="62"/>
        <v>2.9</v>
      </c>
      <c r="BJ236" s="831">
        <f t="shared" si="63"/>
        <v>41.1</v>
      </c>
      <c r="BK236" s="831">
        <f t="shared" si="64"/>
        <v>9.8000000000000007</v>
      </c>
      <c r="BL236" s="831">
        <f t="shared" si="65"/>
        <v>9.5</v>
      </c>
      <c r="BM236" s="831">
        <f t="shared" si="66"/>
        <v>5.6</v>
      </c>
      <c r="BN236" s="831">
        <f t="shared" si="67"/>
        <v>6.3</v>
      </c>
      <c r="BO236" s="831">
        <f t="shared" si="68"/>
        <v>6.8000000000000114</v>
      </c>
      <c r="BP236" s="831">
        <f t="shared" si="59"/>
        <v>100</v>
      </c>
      <c r="BQ236" s="665" t="s">
        <v>4575</v>
      </c>
      <c r="BR236" s="832"/>
      <c r="BS236" s="832"/>
      <c r="BT236" s="832"/>
      <c r="BU236" s="832"/>
      <c r="BV236" s="832"/>
      <c r="BW236" s="832"/>
      <c r="BX236" s="665"/>
      <c r="DH236" s="834" t="str">
        <f t="shared" si="60"/>
        <v>Turkey</v>
      </c>
      <c r="DI236" s="834" t="str">
        <f t="shared" si="60"/>
        <v>Asia</v>
      </c>
      <c r="DJ236" s="834" t="str">
        <f t="shared" si="60"/>
        <v>Western Asia &amp; Middle East</v>
      </c>
      <c r="DK236" s="834" t="e">
        <f>VLOOKUP(DH236,#REF!,1)</f>
        <v>#REF!</v>
      </c>
      <c r="DL236" s="834" t="e">
        <f>VLOOKUP(DK236,#REF!,2,FALSE)</f>
        <v>#REF!</v>
      </c>
    </row>
    <row r="237" spans="49:116">
      <c r="AW237" s="827" t="s">
        <v>5379</v>
      </c>
      <c r="AX237" s="827" t="s">
        <v>4572</v>
      </c>
      <c r="AY237" s="828" t="str">
        <f>+BZ4</f>
        <v>South-Central Asia</v>
      </c>
      <c r="AZ237" s="827">
        <v>691</v>
      </c>
      <c r="BA237" s="665" t="s">
        <v>4573</v>
      </c>
      <c r="BB237" s="829">
        <v>12.485294117647058</v>
      </c>
      <c r="BC237" s="665" t="s">
        <v>4598</v>
      </c>
      <c r="BD237" s="830"/>
      <c r="BE237" s="830"/>
      <c r="BF237" s="665"/>
      <c r="BG237" s="830"/>
      <c r="BH237" s="831">
        <f t="shared" si="61"/>
        <v>11.3</v>
      </c>
      <c r="BI237" s="831">
        <f t="shared" si="62"/>
        <v>2.5</v>
      </c>
      <c r="BJ237" s="831">
        <f t="shared" si="63"/>
        <v>40.299999999999997</v>
      </c>
      <c r="BK237" s="831">
        <f t="shared" si="64"/>
        <v>7.9</v>
      </c>
      <c r="BL237" s="831">
        <f t="shared" si="65"/>
        <v>9.5</v>
      </c>
      <c r="BM237" s="831">
        <f t="shared" si="66"/>
        <v>5.6</v>
      </c>
      <c r="BN237" s="831">
        <f t="shared" si="67"/>
        <v>6.4</v>
      </c>
      <c r="BO237" s="831">
        <f t="shared" si="68"/>
        <v>16.5</v>
      </c>
      <c r="BP237" s="831">
        <f t="shared" si="59"/>
        <v>100</v>
      </c>
      <c r="BQ237" s="665" t="s">
        <v>4575</v>
      </c>
      <c r="BR237" s="832"/>
      <c r="BS237" s="832"/>
      <c r="BT237" s="832"/>
      <c r="BU237" s="832"/>
      <c r="BV237" s="832"/>
      <c r="BW237" s="832"/>
      <c r="BX237" s="665"/>
      <c r="DH237" s="834" t="str">
        <f t="shared" si="60"/>
        <v>Turkmenistan</v>
      </c>
      <c r="DI237" s="834" t="str">
        <f t="shared" si="60"/>
        <v>Asia</v>
      </c>
      <c r="DJ237" s="834" t="str">
        <f t="shared" si="60"/>
        <v>South-Central Asia</v>
      </c>
      <c r="DL237" s="834" t="s">
        <v>4584</v>
      </c>
    </row>
    <row r="238" spans="49:116" ht="25.5">
      <c r="AW238" s="827" t="s">
        <v>5380</v>
      </c>
      <c r="AX238" s="842" t="s">
        <v>4657</v>
      </c>
      <c r="AY238" s="828" t="str">
        <f>+BZ21</f>
        <v>Caribbean</v>
      </c>
      <c r="AZ238" s="827">
        <v>468</v>
      </c>
      <c r="BA238" s="665" t="s">
        <v>4573</v>
      </c>
      <c r="BB238" s="829">
        <v>9.3894684857089938</v>
      </c>
      <c r="BC238" s="665" t="s">
        <v>4658</v>
      </c>
      <c r="BD238" s="830"/>
      <c r="BE238" s="830"/>
      <c r="BF238" s="665"/>
      <c r="BG238" s="830"/>
      <c r="BH238" s="831">
        <f t="shared" si="61"/>
        <v>17</v>
      </c>
      <c r="BI238" s="831">
        <f t="shared" si="62"/>
        <v>5.0999999999999996</v>
      </c>
      <c r="BJ238" s="831">
        <f t="shared" si="63"/>
        <v>46.9</v>
      </c>
      <c r="BK238" s="831">
        <f t="shared" si="64"/>
        <v>2.4</v>
      </c>
      <c r="BL238" s="831">
        <f t="shared" si="65"/>
        <v>9.5</v>
      </c>
      <c r="BM238" s="831">
        <f t="shared" si="66"/>
        <v>5.6</v>
      </c>
      <c r="BN238" s="831">
        <f t="shared" si="67"/>
        <v>9.9</v>
      </c>
      <c r="BO238" s="831">
        <f t="shared" si="68"/>
        <v>3.5999999999999943</v>
      </c>
      <c r="BP238" s="831">
        <f t="shared" si="59"/>
        <v>100</v>
      </c>
      <c r="BQ238" s="665" t="s">
        <v>4575</v>
      </c>
      <c r="BR238" s="832"/>
      <c r="BS238" s="832"/>
      <c r="BT238" s="832"/>
      <c r="BU238" s="832"/>
      <c r="BV238" s="832"/>
      <c r="BW238" s="832"/>
      <c r="BX238" s="665"/>
      <c r="DH238" s="834" t="str">
        <f t="shared" si="60"/>
        <v>Turks and Caicos Islands (U.K.)</v>
      </c>
      <c r="DI238" s="834" t="str">
        <f t="shared" si="60"/>
        <v>Americas</v>
      </c>
      <c r="DJ238" s="834" t="str">
        <f t="shared" si="60"/>
        <v>Caribbean</v>
      </c>
      <c r="DL238" s="834" t="s">
        <v>4584</v>
      </c>
    </row>
    <row r="239" spans="49:116" ht="25.5">
      <c r="AW239" s="827" t="s">
        <v>5381</v>
      </c>
      <c r="AX239" s="842" t="s">
        <v>4626</v>
      </c>
      <c r="AY239" s="828" t="str">
        <f>+BZ17</f>
        <v>Rest of Oceania</v>
      </c>
      <c r="AZ239" s="827">
        <v>528</v>
      </c>
      <c r="BA239" s="665" t="s">
        <v>4573</v>
      </c>
      <c r="BB239" s="829">
        <v>5.4123414965002699</v>
      </c>
      <c r="BC239" s="665" t="s">
        <v>4627</v>
      </c>
      <c r="BD239" s="830"/>
      <c r="BE239" s="830"/>
      <c r="BF239" s="665"/>
      <c r="BG239" s="830"/>
      <c r="BH239" s="831">
        <f t="shared" si="61"/>
        <v>6</v>
      </c>
      <c r="BI239" s="831">
        <f t="shared" si="62"/>
        <v>2.97</v>
      </c>
      <c r="BJ239" s="831">
        <f t="shared" si="63"/>
        <v>67.5</v>
      </c>
      <c r="BK239" s="831">
        <f t="shared" si="64"/>
        <v>2.5</v>
      </c>
      <c r="BL239" s="831">
        <f t="shared" si="65"/>
        <v>9.5</v>
      </c>
      <c r="BM239" s="831">
        <f t="shared" si="66"/>
        <v>5.6</v>
      </c>
      <c r="BN239" s="831">
        <f t="shared" si="67"/>
        <v>2.97</v>
      </c>
      <c r="BO239" s="831">
        <f t="shared" si="68"/>
        <v>2.9666666666666668</v>
      </c>
      <c r="BP239" s="831">
        <f t="shared" si="59"/>
        <v>100.00666666666666</v>
      </c>
      <c r="BQ239" s="665" t="s">
        <v>4575</v>
      </c>
      <c r="BR239" s="832"/>
      <c r="BS239" s="832"/>
      <c r="BT239" s="832"/>
      <c r="BU239" s="832"/>
      <c r="BV239" s="832"/>
      <c r="BW239" s="832"/>
      <c r="BX239" s="665"/>
      <c r="DH239" s="834" t="str">
        <f t="shared" si="60"/>
        <v>Tuvalu</v>
      </c>
      <c r="DI239" s="834" t="str">
        <f t="shared" si="60"/>
        <v>Oceania</v>
      </c>
      <c r="DJ239" s="834" t="str">
        <f t="shared" si="60"/>
        <v>Rest of Oceania</v>
      </c>
      <c r="DL239" s="834" t="s">
        <v>4584</v>
      </c>
    </row>
    <row r="240" spans="49:116" ht="25.5">
      <c r="AW240" s="827" t="s">
        <v>5382</v>
      </c>
      <c r="AX240" s="827" t="s">
        <v>4614</v>
      </c>
      <c r="AY240" s="828" t="str">
        <f>+BZ7</f>
        <v>Eastern Africa</v>
      </c>
      <c r="AZ240" s="827">
        <v>140</v>
      </c>
      <c r="BA240" s="665" t="s">
        <v>4573</v>
      </c>
      <c r="BB240" s="829">
        <v>11.740747004194485</v>
      </c>
      <c r="BC240" s="665" t="s">
        <v>4826</v>
      </c>
      <c r="BD240" s="830"/>
      <c r="BE240" s="830"/>
      <c r="BF240" s="665"/>
      <c r="BG240" s="830"/>
      <c r="BH240" s="831">
        <f t="shared" si="61"/>
        <v>7.7</v>
      </c>
      <c r="BI240" s="831">
        <f t="shared" si="62"/>
        <v>1.7</v>
      </c>
      <c r="BJ240" s="831">
        <f t="shared" si="63"/>
        <v>53.9</v>
      </c>
      <c r="BK240" s="831">
        <f t="shared" si="64"/>
        <v>7</v>
      </c>
      <c r="BL240" s="831">
        <f t="shared" si="65"/>
        <v>9.5</v>
      </c>
      <c r="BM240" s="831">
        <f t="shared" si="66"/>
        <v>5.6</v>
      </c>
      <c r="BN240" s="831">
        <f t="shared" si="67"/>
        <v>5.5</v>
      </c>
      <c r="BO240" s="831">
        <f t="shared" si="68"/>
        <v>9.1000000000000085</v>
      </c>
      <c r="BP240" s="831">
        <f t="shared" si="59"/>
        <v>100</v>
      </c>
      <c r="BQ240" s="665" t="s">
        <v>4575</v>
      </c>
      <c r="BR240" s="832"/>
      <c r="BS240" s="832"/>
      <c r="BT240" s="832"/>
      <c r="BU240" s="832"/>
      <c r="BV240" s="832"/>
      <c r="BW240" s="832"/>
      <c r="BX240" s="665"/>
      <c r="DH240" s="834" t="str">
        <f t="shared" si="60"/>
        <v>Uganda</v>
      </c>
      <c r="DI240" s="834" t="str">
        <f t="shared" si="60"/>
        <v>Africa</v>
      </c>
      <c r="DJ240" s="834" t="str">
        <f t="shared" si="60"/>
        <v>Eastern Africa</v>
      </c>
      <c r="DL240" s="834" t="s">
        <v>4584</v>
      </c>
    </row>
    <row r="241" spans="49:116">
      <c r="AW241" s="827" t="s">
        <v>5383</v>
      </c>
      <c r="AX241" s="827" t="s">
        <v>4597</v>
      </c>
      <c r="AY241" s="828" t="str">
        <f>+BZ12</f>
        <v>Eastern Europe</v>
      </c>
      <c r="AZ241" s="827">
        <v>525</v>
      </c>
      <c r="BA241" s="665" t="s">
        <v>4573</v>
      </c>
      <c r="BB241" s="829">
        <v>10.77895315290562</v>
      </c>
      <c r="BC241" s="665" t="s">
        <v>4598</v>
      </c>
      <c r="BD241" s="830"/>
      <c r="BE241" s="830"/>
      <c r="BF241" s="665"/>
      <c r="BG241" s="830"/>
      <c r="BH241" s="831">
        <f t="shared" si="61"/>
        <v>21.8</v>
      </c>
      <c r="BI241" s="831">
        <f t="shared" si="62"/>
        <v>4.7</v>
      </c>
      <c r="BJ241" s="831">
        <f t="shared" si="63"/>
        <v>30.1</v>
      </c>
      <c r="BK241" s="831">
        <f t="shared" si="64"/>
        <v>7.5</v>
      </c>
      <c r="BL241" s="831">
        <f t="shared" si="65"/>
        <v>9.5</v>
      </c>
      <c r="BM241" s="831">
        <f t="shared" si="66"/>
        <v>5.6</v>
      </c>
      <c r="BN241" s="831">
        <f t="shared" si="67"/>
        <v>6.2</v>
      </c>
      <c r="BO241" s="831">
        <f t="shared" si="68"/>
        <v>14.600000000000009</v>
      </c>
      <c r="BP241" s="831">
        <f t="shared" si="59"/>
        <v>100</v>
      </c>
      <c r="BQ241" s="665" t="s">
        <v>4575</v>
      </c>
      <c r="BR241" s="832"/>
      <c r="BS241" s="832"/>
      <c r="BT241" s="832"/>
      <c r="BU241" s="832"/>
      <c r="BV241" s="832"/>
      <c r="BW241" s="832"/>
      <c r="BX241" s="665"/>
      <c r="DH241" s="834" t="str">
        <f t="shared" si="60"/>
        <v>Ukraine</v>
      </c>
      <c r="DI241" s="834" t="str">
        <f t="shared" si="60"/>
        <v>Europe</v>
      </c>
      <c r="DJ241" s="834" t="str">
        <f t="shared" si="60"/>
        <v>Eastern Europe</v>
      </c>
      <c r="DL241" s="834" t="s">
        <v>4584</v>
      </c>
    </row>
    <row r="242" spans="49:116">
      <c r="AW242" s="827" t="s">
        <v>5384</v>
      </c>
      <c r="AX242" s="827" t="s">
        <v>4572</v>
      </c>
      <c r="AY242" s="828" t="str">
        <f>+BZ5</f>
        <v>South-Eastern Asia</v>
      </c>
      <c r="AZ242" s="827">
        <v>353</v>
      </c>
      <c r="BA242" s="665" t="s">
        <v>4573</v>
      </c>
      <c r="BB242" s="829">
        <v>6.773479335438692</v>
      </c>
      <c r="BC242" s="665" t="s">
        <v>4598</v>
      </c>
      <c r="BD242" s="830"/>
      <c r="BE242" s="830"/>
      <c r="BF242" s="665"/>
      <c r="BG242" s="830"/>
      <c r="BH242" s="831">
        <f t="shared" si="61"/>
        <v>12.9</v>
      </c>
      <c r="BI242" s="831">
        <f t="shared" si="62"/>
        <v>2.7</v>
      </c>
      <c r="BJ242" s="831">
        <f t="shared" si="63"/>
        <v>43.5</v>
      </c>
      <c r="BK242" s="831">
        <f t="shared" si="64"/>
        <v>9.9</v>
      </c>
      <c r="BL242" s="831">
        <f t="shared" si="65"/>
        <v>9.5</v>
      </c>
      <c r="BM242" s="831">
        <f t="shared" si="66"/>
        <v>5.6</v>
      </c>
      <c r="BN242" s="831">
        <f t="shared" si="67"/>
        <v>7.2</v>
      </c>
      <c r="BO242" s="831">
        <f t="shared" si="68"/>
        <v>8.7000000000000028</v>
      </c>
      <c r="BP242" s="831">
        <f t="shared" si="59"/>
        <v>100</v>
      </c>
      <c r="BQ242" s="665" t="s">
        <v>4575</v>
      </c>
      <c r="BR242" s="832"/>
      <c r="BS242" s="832"/>
      <c r="BT242" s="832"/>
      <c r="BU242" s="832"/>
      <c r="BV242" s="832"/>
      <c r="BW242" s="832"/>
      <c r="BX242" s="665"/>
      <c r="DH242" s="834" t="str">
        <f t="shared" si="60"/>
        <v>United Arab Emirates</v>
      </c>
      <c r="DI242" s="834" t="str">
        <f t="shared" si="60"/>
        <v>Asia</v>
      </c>
      <c r="DJ242" s="834" t="str">
        <f t="shared" si="60"/>
        <v>South-Eastern Asia</v>
      </c>
      <c r="DL242" s="834" t="s">
        <v>4584</v>
      </c>
    </row>
    <row r="243" spans="49:116">
      <c r="AW243" s="827" t="s">
        <v>5385</v>
      </c>
      <c r="AX243" s="827" t="s">
        <v>4597</v>
      </c>
      <c r="AY243" s="828" t="str">
        <f>+BZ13</f>
        <v>Northern Europe</v>
      </c>
      <c r="AZ243" s="827">
        <v>233.14</v>
      </c>
      <c r="BA243" s="665" t="s">
        <v>5386</v>
      </c>
      <c r="BB243" s="829">
        <v>8.5999828429269964</v>
      </c>
      <c r="BC243" s="665" t="s">
        <v>5386</v>
      </c>
      <c r="BD243" s="830"/>
      <c r="BE243" s="830"/>
      <c r="BF243" s="665"/>
      <c r="BG243" s="830"/>
      <c r="BH243" s="831">
        <f t="shared" si="61"/>
        <v>30.6</v>
      </c>
      <c r="BI243" s="831">
        <f t="shared" si="62"/>
        <v>2</v>
      </c>
      <c r="BJ243" s="831">
        <f t="shared" si="63"/>
        <v>23.8</v>
      </c>
      <c r="BK243" s="831">
        <f t="shared" si="64"/>
        <v>10</v>
      </c>
      <c r="BL243" s="831">
        <f t="shared" si="65"/>
        <v>9.5</v>
      </c>
      <c r="BM243" s="831">
        <f t="shared" si="66"/>
        <v>5.6</v>
      </c>
      <c r="BN243" s="831">
        <f t="shared" si="67"/>
        <v>13</v>
      </c>
      <c r="BO243" s="831">
        <f t="shared" si="68"/>
        <v>5.5</v>
      </c>
      <c r="BP243" s="831">
        <f t="shared" si="59"/>
        <v>100</v>
      </c>
      <c r="BQ243" s="665" t="s">
        <v>4575</v>
      </c>
      <c r="BR243" s="832"/>
      <c r="BS243" s="832"/>
      <c r="BT243" s="832"/>
      <c r="BU243" s="832"/>
      <c r="BV243" s="832"/>
      <c r="BW243" s="832"/>
      <c r="BX243" s="665"/>
      <c r="DH243" s="834" t="str">
        <f t="shared" si="60"/>
        <v>United Kingdom</v>
      </c>
      <c r="DI243" s="834" t="str">
        <f t="shared" si="60"/>
        <v>Europe</v>
      </c>
      <c r="DJ243" s="834" t="str">
        <f t="shared" si="60"/>
        <v>Northern Europe</v>
      </c>
      <c r="DK243" s="834" t="s">
        <v>5387</v>
      </c>
      <c r="DL243" s="834" t="e">
        <f>VLOOKUP(DK243,#REF!,2,FALSE)</f>
        <v>#REF!</v>
      </c>
    </row>
    <row r="244" spans="49:116">
      <c r="AW244" s="842" t="s">
        <v>5388</v>
      </c>
      <c r="AX244" s="842" t="s">
        <v>4657</v>
      </c>
      <c r="AY244" s="846" t="str">
        <f>+BZ20</f>
        <v>South America</v>
      </c>
      <c r="AZ244" s="842">
        <v>28</v>
      </c>
      <c r="BA244" s="665" t="s">
        <v>5389</v>
      </c>
      <c r="BB244" s="847">
        <v>9.6273530541682675</v>
      </c>
      <c r="BC244" s="665" t="s">
        <v>4598</v>
      </c>
      <c r="BD244" s="842">
        <v>0.05</v>
      </c>
      <c r="BE244" s="842">
        <v>0.08</v>
      </c>
      <c r="BF244" s="665" t="s">
        <v>4748</v>
      </c>
      <c r="BG244" s="830"/>
      <c r="BH244" s="831">
        <f t="shared" si="61"/>
        <v>17.100000000000001</v>
      </c>
      <c r="BI244" s="831">
        <f t="shared" si="62"/>
        <v>2.6</v>
      </c>
      <c r="BJ244" s="831">
        <f t="shared" si="63"/>
        <v>44.9</v>
      </c>
      <c r="BK244" s="831">
        <f t="shared" si="64"/>
        <v>4.7</v>
      </c>
      <c r="BL244" s="831">
        <f t="shared" si="65"/>
        <v>9.5</v>
      </c>
      <c r="BM244" s="831">
        <f t="shared" si="66"/>
        <v>5.6</v>
      </c>
      <c r="BN244" s="831">
        <f t="shared" si="67"/>
        <v>10.8</v>
      </c>
      <c r="BO244" s="831">
        <f t="shared" si="68"/>
        <v>4.8000000000000114</v>
      </c>
      <c r="BP244" s="831">
        <f t="shared" si="59"/>
        <v>100</v>
      </c>
      <c r="BQ244" s="665" t="s">
        <v>5390</v>
      </c>
      <c r="BR244" s="832"/>
      <c r="BS244" s="832"/>
      <c r="BT244" s="832"/>
      <c r="BU244" s="832"/>
      <c r="BV244" s="832"/>
      <c r="BW244" s="832"/>
      <c r="BX244" s="665"/>
      <c r="DH244" s="834" t="str">
        <f t="shared" si="60"/>
        <v>Uruguay</v>
      </c>
      <c r="DI244" s="834" t="str">
        <f t="shared" si="60"/>
        <v>Americas</v>
      </c>
      <c r="DJ244" s="834" t="str">
        <f t="shared" si="60"/>
        <v>South America</v>
      </c>
      <c r="DK244" s="834" t="e">
        <f>VLOOKUP(DH244,#REF!,1)</f>
        <v>#REF!</v>
      </c>
      <c r="DL244" s="834" t="e">
        <f>VLOOKUP(DK244,#REF!,2,FALSE)</f>
        <v>#REF!</v>
      </c>
    </row>
    <row r="245" spans="49:116">
      <c r="AW245" s="842" t="s">
        <v>1331</v>
      </c>
      <c r="AX245" s="842" t="s">
        <v>4657</v>
      </c>
      <c r="AY245" s="846" t="str">
        <f>+BZ18</f>
        <v>North America</v>
      </c>
      <c r="AZ245" s="1098">
        <v>709.370714432</v>
      </c>
      <c r="BA245" s="665" t="s">
        <v>5392</v>
      </c>
      <c r="BB245" s="847">
        <v>5.9113863912301383</v>
      </c>
      <c r="BC245" s="665" t="s">
        <v>4598</v>
      </c>
      <c r="BD245" s="842">
        <v>0.04</v>
      </c>
      <c r="BE245" s="842">
        <v>0.1</v>
      </c>
      <c r="BF245" s="665" t="s">
        <v>4748</v>
      </c>
      <c r="BG245" s="830"/>
      <c r="BH245" s="831">
        <f t="shared" si="61"/>
        <v>23.2</v>
      </c>
      <c r="BI245" s="831">
        <f t="shared" si="62"/>
        <v>3.9</v>
      </c>
      <c r="BJ245" s="831">
        <f t="shared" si="63"/>
        <v>33.9</v>
      </c>
      <c r="BK245" s="831">
        <f t="shared" si="64"/>
        <v>6.2</v>
      </c>
      <c r="BL245" s="831">
        <f t="shared" si="65"/>
        <v>9.5</v>
      </c>
      <c r="BM245" s="831">
        <f t="shared" si="66"/>
        <v>5.6</v>
      </c>
      <c r="BN245" s="831">
        <f t="shared" si="67"/>
        <v>8.5</v>
      </c>
      <c r="BO245" s="831">
        <f t="shared" si="68"/>
        <v>9.2000000000000028</v>
      </c>
      <c r="BP245" s="831">
        <f t="shared" si="59"/>
        <v>100</v>
      </c>
      <c r="BQ245" s="665" t="s">
        <v>4575</v>
      </c>
      <c r="BR245" s="855">
        <v>6.6400000000000001E-2</v>
      </c>
      <c r="BS245" s="855">
        <v>6.6400000000000001E-2</v>
      </c>
      <c r="BT245" s="855">
        <v>5.2699999999999997E-2</v>
      </c>
      <c r="BU245" s="855">
        <v>7.3889999999999997E-2</v>
      </c>
      <c r="BV245" s="855">
        <v>4.931E-2</v>
      </c>
      <c r="BW245" s="855" t="s">
        <v>4845</v>
      </c>
      <c r="BX245" s="665" t="s">
        <v>4846</v>
      </c>
      <c r="DH245" s="834" t="str">
        <f t="shared" si="60"/>
        <v>PRMS (Puerto Rico Miscellaneous)</v>
      </c>
      <c r="DI245" s="834" t="str">
        <f t="shared" si="60"/>
        <v>Americas</v>
      </c>
      <c r="DJ245" s="834" t="str">
        <f t="shared" si="60"/>
        <v>North America</v>
      </c>
      <c r="DK245" s="834" t="e">
        <f>VLOOKUP(DH245,#REF!,1)</f>
        <v>#REF!</v>
      </c>
      <c r="DL245" s="834" t="e">
        <f>VLOOKUP(DK245,#REF!,2,FALSE)</f>
        <v>#REF!</v>
      </c>
    </row>
    <row r="246" spans="49:116">
      <c r="AW246" s="842"/>
      <c r="AX246" s="842" t="s">
        <v>4657</v>
      </c>
      <c r="AY246" s="846" t="str">
        <f>+BZ18</f>
        <v>North America</v>
      </c>
      <c r="AZ246" s="842"/>
      <c r="BA246" s="665" t="s">
        <v>5392</v>
      </c>
      <c r="BB246" s="847">
        <v>5.9113863912301383</v>
      </c>
      <c r="BC246" s="665" t="s">
        <v>4598</v>
      </c>
      <c r="BD246" s="842">
        <v>0.04</v>
      </c>
      <c r="BE246" s="842">
        <v>0.1</v>
      </c>
      <c r="BF246" s="665" t="s">
        <v>4748</v>
      </c>
      <c r="BG246" s="830"/>
      <c r="BH246" s="831">
        <f t="shared" si="61"/>
        <v>23.2</v>
      </c>
      <c r="BI246" s="831">
        <f t="shared" si="62"/>
        <v>3.9</v>
      </c>
      <c r="BJ246" s="831">
        <f t="shared" si="63"/>
        <v>33.9</v>
      </c>
      <c r="BK246" s="831">
        <f t="shared" si="64"/>
        <v>6.2</v>
      </c>
      <c r="BL246" s="831">
        <f t="shared" si="65"/>
        <v>9.5</v>
      </c>
      <c r="BM246" s="831">
        <f t="shared" si="66"/>
        <v>5.6</v>
      </c>
      <c r="BN246" s="831">
        <f t="shared" si="67"/>
        <v>8.5</v>
      </c>
      <c r="BO246" s="831">
        <f t="shared" si="68"/>
        <v>9.2000000000000028</v>
      </c>
      <c r="BP246" s="831">
        <f t="shared" si="59"/>
        <v>100</v>
      </c>
      <c r="BQ246" s="665" t="s">
        <v>4575</v>
      </c>
      <c r="BR246" s="855">
        <v>6.6400000000000001E-2</v>
      </c>
      <c r="BS246" s="855">
        <v>6.6400000000000001E-2</v>
      </c>
      <c r="BT246" s="855">
        <v>5.2699999999999997E-2</v>
      </c>
      <c r="BU246" s="855">
        <v>7.3889999999999997E-2</v>
      </c>
      <c r="BV246" s="855">
        <v>4.931E-2</v>
      </c>
      <c r="BW246" s="855" t="s">
        <v>4845</v>
      </c>
      <c r="BX246" s="665" t="s">
        <v>4846</v>
      </c>
      <c r="DH246" s="834">
        <f t="shared" si="60"/>
        <v>0</v>
      </c>
      <c r="DI246" s="834" t="str">
        <f t="shared" si="60"/>
        <v>Americas</v>
      </c>
      <c r="DJ246" s="834" t="str">
        <f t="shared" si="60"/>
        <v>North America</v>
      </c>
      <c r="DK246" s="834" t="e">
        <f>VLOOKUP(DH246,#REF!,1)</f>
        <v>#REF!</v>
      </c>
      <c r="DL246" s="834" t="e">
        <f>VLOOKUP(DK246,#REF!,2,FALSE)</f>
        <v>#REF!</v>
      </c>
    </row>
    <row r="247" spans="49:116">
      <c r="AW247" s="842"/>
      <c r="AX247" s="842" t="s">
        <v>4657</v>
      </c>
      <c r="AY247" s="846" t="str">
        <f>+BZ18</f>
        <v>North America</v>
      </c>
      <c r="AZ247" s="842"/>
      <c r="BA247" s="665" t="s">
        <v>5392</v>
      </c>
      <c r="BB247" s="847">
        <v>5.9113863912301383</v>
      </c>
      <c r="BC247" s="665" t="s">
        <v>4598</v>
      </c>
      <c r="BD247" s="842">
        <v>0.04</v>
      </c>
      <c r="BE247" s="842">
        <v>0.1</v>
      </c>
      <c r="BF247" s="665" t="s">
        <v>4748</v>
      </c>
      <c r="BG247" s="830"/>
      <c r="BH247" s="831">
        <f t="shared" si="61"/>
        <v>23.2</v>
      </c>
      <c r="BI247" s="831">
        <f t="shared" si="62"/>
        <v>3.9</v>
      </c>
      <c r="BJ247" s="831">
        <f t="shared" si="63"/>
        <v>33.9</v>
      </c>
      <c r="BK247" s="831">
        <f t="shared" si="64"/>
        <v>6.2</v>
      </c>
      <c r="BL247" s="831">
        <f t="shared" si="65"/>
        <v>9.5</v>
      </c>
      <c r="BM247" s="831">
        <f t="shared" si="66"/>
        <v>5.6</v>
      </c>
      <c r="BN247" s="831">
        <f t="shared" si="67"/>
        <v>8.5</v>
      </c>
      <c r="BO247" s="831">
        <f t="shared" si="68"/>
        <v>9.2000000000000028</v>
      </c>
      <c r="BP247" s="831">
        <f t="shared" si="59"/>
        <v>100</v>
      </c>
      <c r="BQ247" s="665" t="s">
        <v>4575</v>
      </c>
      <c r="BR247" s="855">
        <v>6.6400000000000001E-2</v>
      </c>
      <c r="BS247" s="855">
        <v>6.6400000000000001E-2</v>
      </c>
      <c r="BT247" s="855">
        <v>5.2699999999999997E-2</v>
      </c>
      <c r="BU247" s="855">
        <v>7.3889999999999997E-2</v>
      </c>
      <c r="BV247" s="855">
        <v>4.931E-2</v>
      </c>
      <c r="BW247" s="855" t="s">
        <v>4845</v>
      </c>
      <c r="BX247" s="665" t="s">
        <v>4846</v>
      </c>
      <c r="DH247" s="834">
        <f t="shared" si="60"/>
        <v>0</v>
      </c>
      <c r="DI247" s="834" t="str">
        <f t="shared" si="60"/>
        <v>Americas</v>
      </c>
      <c r="DJ247" s="834" t="str">
        <f t="shared" si="60"/>
        <v>North America</v>
      </c>
      <c r="DK247" s="834" t="e">
        <f>VLOOKUP(DH247,#REF!,1)</f>
        <v>#REF!</v>
      </c>
      <c r="DL247" s="834" t="e">
        <f>VLOOKUP(DK247,#REF!,2,FALSE)</f>
        <v>#REF!</v>
      </c>
    </row>
    <row r="248" spans="49:116">
      <c r="AW248" s="842"/>
      <c r="AX248" s="842" t="s">
        <v>4657</v>
      </c>
      <c r="AY248" s="846" t="str">
        <f>+BZ18</f>
        <v>North America</v>
      </c>
      <c r="AZ248" s="842"/>
      <c r="BA248" s="665" t="s">
        <v>5392</v>
      </c>
      <c r="BB248" s="847">
        <v>5.9113863912301383</v>
      </c>
      <c r="BC248" s="665" t="s">
        <v>4598</v>
      </c>
      <c r="BD248" s="842">
        <v>0.04</v>
      </c>
      <c r="BE248" s="842">
        <v>0.1</v>
      </c>
      <c r="BF248" s="665" t="s">
        <v>4748</v>
      </c>
      <c r="BG248" s="830"/>
      <c r="BH248" s="831">
        <f t="shared" si="61"/>
        <v>23.2</v>
      </c>
      <c r="BI248" s="831">
        <f t="shared" si="62"/>
        <v>3.9</v>
      </c>
      <c r="BJ248" s="831">
        <f t="shared" si="63"/>
        <v>33.9</v>
      </c>
      <c r="BK248" s="831">
        <f t="shared" si="64"/>
        <v>6.2</v>
      </c>
      <c r="BL248" s="831">
        <f t="shared" si="65"/>
        <v>9.5</v>
      </c>
      <c r="BM248" s="831">
        <f t="shared" si="66"/>
        <v>5.6</v>
      </c>
      <c r="BN248" s="831">
        <f t="shared" si="67"/>
        <v>8.5</v>
      </c>
      <c r="BO248" s="831">
        <f t="shared" si="68"/>
        <v>9.2000000000000028</v>
      </c>
      <c r="BP248" s="831">
        <f t="shared" si="59"/>
        <v>100</v>
      </c>
      <c r="BQ248" s="665" t="s">
        <v>4575</v>
      </c>
      <c r="BR248" s="855">
        <v>6.6400000000000001E-2</v>
      </c>
      <c r="BS248" s="855">
        <v>6.6400000000000001E-2</v>
      </c>
      <c r="BT248" s="855">
        <v>5.2699999999999997E-2</v>
      </c>
      <c r="BU248" s="855">
        <v>7.3889999999999997E-2</v>
      </c>
      <c r="BV248" s="855">
        <v>4.931E-2</v>
      </c>
      <c r="BW248" s="855" t="s">
        <v>4845</v>
      </c>
      <c r="BX248" s="665" t="s">
        <v>4846</v>
      </c>
      <c r="DH248" s="834">
        <f t="shared" si="60"/>
        <v>0</v>
      </c>
      <c r="DI248" s="834" t="str">
        <f t="shared" si="60"/>
        <v>Americas</v>
      </c>
      <c r="DJ248" s="834" t="str">
        <f t="shared" si="60"/>
        <v>North America</v>
      </c>
      <c r="DK248" s="834" t="e">
        <f>VLOOKUP(DH248,#REF!,1)</f>
        <v>#REF!</v>
      </c>
      <c r="DL248" s="834" t="e">
        <f>VLOOKUP(DK248,#REF!,2,FALSE)</f>
        <v>#REF!</v>
      </c>
    </row>
    <row r="249" spans="49:116">
      <c r="AW249" s="842"/>
      <c r="AX249" s="842" t="s">
        <v>4657</v>
      </c>
      <c r="AY249" s="846" t="str">
        <f>+BZ18</f>
        <v>North America</v>
      </c>
      <c r="AZ249" s="842"/>
      <c r="BA249" s="665" t="s">
        <v>5392</v>
      </c>
      <c r="BB249" s="847">
        <v>5.9113863912301383</v>
      </c>
      <c r="BC249" s="665" t="s">
        <v>4598</v>
      </c>
      <c r="BD249" s="842">
        <v>0.04</v>
      </c>
      <c r="BE249" s="842">
        <v>0.1</v>
      </c>
      <c r="BF249" s="665" t="s">
        <v>4748</v>
      </c>
      <c r="BG249" s="830"/>
      <c r="BH249" s="831">
        <f t="shared" si="61"/>
        <v>23.2</v>
      </c>
      <c r="BI249" s="831">
        <f t="shared" si="62"/>
        <v>3.9</v>
      </c>
      <c r="BJ249" s="831">
        <f t="shared" si="63"/>
        <v>33.9</v>
      </c>
      <c r="BK249" s="831">
        <f t="shared" si="64"/>
        <v>6.2</v>
      </c>
      <c r="BL249" s="831">
        <f t="shared" si="65"/>
        <v>9.5</v>
      </c>
      <c r="BM249" s="831">
        <f t="shared" si="66"/>
        <v>5.6</v>
      </c>
      <c r="BN249" s="831">
        <f t="shared" si="67"/>
        <v>8.5</v>
      </c>
      <c r="BO249" s="831">
        <f t="shared" si="68"/>
        <v>9.2000000000000028</v>
      </c>
      <c r="BP249" s="831">
        <f t="shared" si="59"/>
        <v>100</v>
      </c>
      <c r="BQ249" s="665" t="s">
        <v>4575</v>
      </c>
      <c r="BR249" s="855">
        <v>6.6400000000000001E-2</v>
      </c>
      <c r="BS249" s="855">
        <v>6.6400000000000001E-2</v>
      </c>
      <c r="BT249" s="855">
        <v>5.2699999999999997E-2</v>
      </c>
      <c r="BU249" s="855">
        <v>7.3889999999999997E-2</v>
      </c>
      <c r="BV249" s="855">
        <v>4.931E-2</v>
      </c>
      <c r="BW249" s="855" t="s">
        <v>4845</v>
      </c>
      <c r="BX249" s="665" t="s">
        <v>4846</v>
      </c>
      <c r="DH249" s="834">
        <f t="shared" si="60"/>
        <v>0</v>
      </c>
      <c r="DI249" s="834" t="str">
        <f t="shared" si="60"/>
        <v>Americas</v>
      </c>
      <c r="DJ249" s="834" t="str">
        <f t="shared" si="60"/>
        <v>North America</v>
      </c>
      <c r="DK249" s="834" t="e">
        <f>VLOOKUP(DH249,#REF!,1)</f>
        <v>#REF!</v>
      </c>
      <c r="DL249" s="834" t="e">
        <f>VLOOKUP(DK249,#REF!,2,FALSE)</f>
        <v>#REF!</v>
      </c>
    </row>
    <row r="250" spans="49:116">
      <c r="AW250" s="842"/>
      <c r="AX250" s="842" t="s">
        <v>4657</v>
      </c>
      <c r="AY250" s="846" t="str">
        <f>+BZ18</f>
        <v>North America</v>
      </c>
      <c r="AZ250" s="842"/>
      <c r="BA250" s="665" t="s">
        <v>5392</v>
      </c>
      <c r="BB250" s="847">
        <v>5.9113863912301383</v>
      </c>
      <c r="BC250" s="665" t="s">
        <v>4598</v>
      </c>
      <c r="BD250" s="842">
        <v>0.04</v>
      </c>
      <c r="BE250" s="842">
        <v>0.1</v>
      </c>
      <c r="BF250" s="665" t="s">
        <v>4748</v>
      </c>
      <c r="BG250" s="830"/>
      <c r="BH250" s="831">
        <f t="shared" si="61"/>
        <v>23.2</v>
      </c>
      <c r="BI250" s="831">
        <f t="shared" si="62"/>
        <v>3.9</v>
      </c>
      <c r="BJ250" s="831">
        <f t="shared" si="63"/>
        <v>33.9</v>
      </c>
      <c r="BK250" s="831">
        <f t="shared" si="64"/>
        <v>6.2</v>
      </c>
      <c r="BL250" s="831">
        <f t="shared" si="65"/>
        <v>9.5</v>
      </c>
      <c r="BM250" s="831">
        <f t="shared" si="66"/>
        <v>5.6</v>
      </c>
      <c r="BN250" s="831">
        <f t="shared" si="67"/>
        <v>8.5</v>
      </c>
      <c r="BO250" s="831">
        <f t="shared" si="68"/>
        <v>9.2000000000000028</v>
      </c>
      <c r="BP250" s="831">
        <f t="shared" si="59"/>
        <v>100</v>
      </c>
      <c r="BQ250" s="665" t="s">
        <v>4575</v>
      </c>
      <c r="BR250" s="855">
        <v>6.6400000000000001E-2</v>
      </c>
      <c r="BS250" s="855">
        <v>6.6400000000000001E-2</v>
      </c>
      <c r="BT250" s="855">
        <v>5.2699999999999997E-2</v>
      </c>
      <c r="BU250" s="855">
        <v>7.3889999999999997E-2</v>
      </c>
      <c r="BV250" s="855">
        <v>4.931E-2</v>
      </c>
      <c r="BW250" s="855" t="s">
        <v>4845</v>
      </c>
      <c r="BX250" s="665" t="s">
        <v>4846</v>
      </c>
      <c r="DH250" s="834">
        <f t="shared" si="60"/>
        <v>0</v>
      </c>
      <c r="DI250" s="834" t="str">
        <f t="shared" si="60"/>
        <v>Americas</v>
      </c>
      <c r="DJ250" s="834" t="str">
        <f t="shared" si="60"/>
        <v>North America</v>
      </c>
      <c r="DK250" s="834" t="e">
        <f>VLOOKUP(DH250,#REF!,1)</f>
        <v>#REF!</v>
      </c>
      <c r="DL250" s="834" t="e">
        <f>VLOOKUP(DK250,#REF!,2,FALSE)</f>
        <v>#REF!</v>
      </c>
    </row>
    <row r="251" spans="49:116">
      <c r="AW251" s="842"/>
      <c r="AX251" s="842" t="s">
        <v>4657</v>
      </c>
      <c r="AY251" s="846" t="str">
        <f>+BZ18</f>
        <v>North America</v>
      </c>
      <c r="AZ251" s="842"/>
      <c r="BA251" s="665" t="s">
        <v>5392</v>
      </c>
      <c r="BB251" s="847">
        <v>5.9113863912301383</v>
      </c>
      <c r="BC251" s="665" t="s">
        <v>4598</v>
      </c>
      <c r="BD251" s="842">
        <v>0.04</v>
      </c>
      <c r="BE251" s="842">
        <v>0.1</v>
      </c>
      <c r="BF251" s="665" t="s">
        <v>4748</v>
      </c>
      <c r="BG251" s="830"/>
      <c r="BH251" s="831">
        <f t="shared" si="61"/>
        <v>23.2</v>
      </c>
      <c r="BI251" s="831">
        <f t="shared" si="62"/>
        <v>3.9</v>
      </c>
      <c r="BJ251" s="831">
        <f t="shared" si="63"/>
        <v>33.9</v>
      </c>
      <c r="BK251" s="831">
        <f t="shared" si="64"/>
        <v>6.2</v>
      </c>
      <c r="BL251" s="831">
        <f t="shared" si="65"/>
        <v>9.5</v>
      </c>
      <c r="BM251" s="831">
        <f t="shared" si="66"/>
        <v>5.6</v>
      </c>
      <c r="BN251" s="831">
        <f t="shared" si="67"/>
        <v>8.5</v>
      </c>
      <c r="BO251" s="831">
        <f t="shared" si="68"/>
        <v>9.2000000000000028</v>
      </c>
      <c r="BP251" s="831">
        <f t="shared" si="59"/>
        <v>100</v>
      </c>
      <c r="BQ251" s="665" t="s">
        <v>4575</v>
      </c>
      <c r="BR251" s="855">
        <v>6.6400000000000001E-2</v>
      </c>
      <c r="BS251" s="855">
        <v>6.6400000000000001E-2</v>
      </c>
      <c r="BT251" s="855">
        <v>5.2699999999999997E-2</v>
      </c>
      <c r="BU251" s="855">
        <v>7.3889999999999997E-2</v>
      </c>
      <c r="BV251" s="855">
        <v>4.931E-2</v>
      </c>
      <c r="BW251" s="855" t="s">
        <v>4845</v>
      </c>
      <c r="BX251" s="665" t="s">
        <v>4846</v>
      </c>
      <c r="DH251" s="834">
        <f t="shared" si="60"/>
        <v>0</v>
      </c>
      <c r="DI251" s="834" t="str">
        <f t="shared" si="60"/>
        <v>Americas</v>
      </c>
      <c r="DJ251" s="834" t="str">
        <f t="shared" si="60"/>
        <v>North America</v>
      </c>
      <c r="DK251" s="834" t="e">
        <f>VLOOKUP(DH251,#REF!,1)</f>
        <v>#REF!</v>
      </c>
      <c r="DL251" s="834" t="e">
        <f>VLOOKUP(DK251,#REF!,2,FALSE)</f>
        <v>#REF!</v>
      </c>
    </row>
    <row r="252" spans="49:116">
      <c r="AW252" s="842"/>
      <c r="AX252" s="842" t="s">
        <v>4657</v>
      </c>
      <c r="AY252" s="846" t="str">
        <f>+BZ18</f>
        <v>North America</v>
      </c>
      <c r="AZ252" s="842"/>
      <c r="BA252" s="665" t="s">
        <v>5392</v>
      </c>
      <c r="BB252" s="847">
        <v>5.9113863912301383</v>
      </c>
      <c r="BC252" s="665" t="s">
        <v>4598</v>
      </c>
      <c r="BD252" s="842">
        <v>0.04</v>
      </c>
      <c r="BE252" s="842">
        <v>0.1</v>
      </c>
      <c r="BF252" s="665" t="s">
        <v>4748</v>
      </c>
      <c r="BG252" s="830"/>
      <c r="BH252" s="831">
        <f t="shared" si="61"/>
        <v>23.2</v>
      </c>
      <c r="BI252" s="831">
        <f t="shared" si="62"/>
        <v>3.9</v>
      </c>
      <c r="BJ252" s="831">
        <f t="shared" si="63"/>
        <v>33.9</v>
      </c>
      <c r="BK252" s="831">
        <f t="shared" si="64"/>
        <v>6.2</v>
      </c>
      <c r="BL252" s="831">
        <f t="shared" si="65"/>
        <v>9.5</v>
      </c>
      <c r="BM252" s="831">
        <f t="shared" si="66"/>
        <v>5.6</v>
      </c>
      <c r="BN252" s="831">
        <f t="shared" si="67"/>
        <v>8.5</v>
      </c>
      <c r="BO252" s="831">
        <f t="shared" si="68"/>
        <v>9.2000000000000028</v>
      </c>
      <c r="BP252" s="831">
        <f t="shared" si="59"/>
        <v>100</v>
      </c>
      <c r="BQ252" s="665" t="s">
        <v>4575</v>
      </c>
      <c r="BR252" s="855">
        <v>6.6400000000000001E-2</v>
      </c>
      <c r="BS252" s="855">
        <v>6.6400000000000001E-2</v>
      </c>
      <c r="BT252" s="855">
        <v>5.2699999999999997E-2</v>
      </c>
      <c r="BU252" s="855">
        <v>7.3889999999999997E-2</v>
      </c>
      <c r="BV252" s="855">
        <v>4.931E-2</v>
      </c>
      <c r="BW252" s="855" t="s">
        <v>4845</v>
      </c>
      <c r="BX252" s="665" t="s">
        <v>4846</v>
      </c>
      <c r="DH252" s="834">
        <f t="shared" si="60"/>
        <v>0</v>
      </c>
      <c r="DI252" s="834" t="str">
        <f t="shared" si="60"/>
        <v>Americas</v>
      </c>
      <c r="DJ252" s="834" t="str">
        <f t="shared" si="60"/>
        <v>North America</v>
      </c>
      <c r="DK252" s="834" t="e">
        <f>VLOOKUP(DH252,#REF!,1)</f>
        <v>#REF!</v>
      </c>
      <c r="DL252" s="834" t="e">
        <f>VLOOKUP(DK252,#REF!,2,FALSE)</f>
        <v>#REF!</v>
      </c>
    </row>
    <row r="253" spans="49:116">
      <c r="AW253" s="842"/>
      <c r="AX253" s="842" t="s">
        <v>4657</v>
      </c>
      <c r="AY253" s="846" t="str">
        <f>+BZ18</f>
        <v>North America</v>
      </c>
      <c r="AZ253" s="842"/>
      <c r="BA253" s="665" t="s">
        <v>5392</v>
      </c>
      <c r="BB253" s="847">
        <v>5.9113863912301383</v>
      </c>
      <c r="BC253" s="665" t="s">
        <v>4598</v>
      </c>
      <c r="BD253" s="842">
        <v>0.04</v>
      </c>
      <c r="BE253" s="842">
        <v>0.1</v>
      </c>
      <c r="BF253" s="665" t="s">
        <v>4748</v>
      </c>
      <c r="BG253" s="830"/>
      <c r="BH253" s="831">
        <f t="shared" si="61"/>
        <v>23.2</v>
      </c>
      <c r="BI253" s="831">
        <f t="shared" si="62"/>
        <v>3.9</v>
      </c>
      <c r="BJ253" s="831">
        <f t="shared" si="63"/>
        <v>33.9</v>
      </c>
      <c r="BK253" s="831">
        <f t="shared" si="64"/>
        <v>6.2</v>
      </c>
      <c r="BL253" s="831">
        <f t="shared" si="65"/>
        <v>9.5</v>
      </c>
      <c r="BM253" s="831">
        <f t="shared" si="66"/>
        <v>5.6</v>
      </c>
      <c r="BN253" s="831">
        <f t="shared" si="67"/>
        <v>8.5</v>
      </c>
      <c r="BO253" s="831">
        <f t="shared" si="68"/>
        <v>9.2000000000000028</v>
      </c>
      <c r="BP253" s="831">
        <f t="shared" si="59"/>
        <v>100</v>
      </c>
      <c r="BQ253" s="665" t="s">
        <v>4575</v>
      </c>
      <c r="BR253" s="855">
        <v>6.6400000000000001E-2</v>
      </c>
      <c r="BS253" s="855">
        <v>6.6400000000000001E-2</v>
      </c>
      <c r="BT253" s="855">
        <v>5.2699999999999997E-2</v>
      </c>
      <c r="BU253" s="855">
        <v>7.3889999999999997E-2</v>
      </c>
      <c r="BV253" s="855">
        <v>4.931E-2</v>
      </c>
      <c r="BW253" s="855" t="s">
        <v>4845</v>
      </c>
      <c r="BX253" s="665" t="s">
        <v>4846</v>
      </c>
      <c r="DH253" s="834">
        <f t="shared" si="60"/>
        <v>0</v>
      </c>
      <c r="DI253" s="834" t="str">
        <f t="shared" si="60"/>
        <v>Americas</v>
      </c>
      <c r="DJ253" s="834" t="str">
        <f t="shared" si="60"/>
        <v>North America</v>
      </c>
      <c r="DK253" s="834" t="e">
        <f>VLOOKUP(DH253,#REF!,1)</f>
        <v>#REF!</v>
      </c>
      <c r="DL253" s="834" t="e">
        <f>VLOOKUP(DK253,#REF!,2,FALSE)</f>
        <v>#REF!</v>
      </c>
    </row>
    <row r="254" spans="49:116">
      <c r="AW254" s="842"/>
      <c r="AX254" s="842" t="s">
        <v>4657</v>
      </c>
      <c r="AY254" s="846" t="str">
        <f>+BZ18</f>
        <v>North America</v>
      </c>
      <c r="AZ254" s="842"/>
      <c r="BA254" s="665" t="s">
        <v>5392</v>
      </c>
      <c r="BB254" s="847">
        <v>5.9113863912301383</v>
      </c>
      <c r="BC254" s="665" t="s">
        <v>4598</v>
      </c>
      <c r="BD254" s="842">
        <v>0.04</v>
      </c>
      <c r="BE254" s="842">
        <v>0.1</v>
      </c>
      <c r="BF254" s="665" t="s">
        <v>4748</v>
      </c>
      <c r="BG254" s="830"/>
      <c r="BH254" s="831">
        <f t="shared" si="61"/>
        <v>23.2</v>
      </c>
      <c r="BI254" s="831">
        <f t="shared" si="62"/>
        <v>3.9</v>
      </c>
      <c r="BJ254" s="831">
        <f t="shared" si="63"/>
        <v>33.9</v>
      </c>
      <c r="BK254" s="831">
        <f t="shared" si="64"/>
        <v>6.2</v>
      </c>
      <c r="BL254" s="831">
        <f t="shared" si="65"/>
        <v>9.5</v>
      </c>
      <c r="BM254" s="831">
        <f t="shared" si="66"/>
        <v>5.6</v>
      </c>
      <c r="BN254" s="831">
        <f t="shared" si="67"/>
        <v>8.5</v>
      </c>
      <c r="BO254" s="831">
        <f t="shared" si="68"/>
        <v>9.2000000000000028</v>
      </c>
      <c r="BP254" s="831">
        <f t="shared" si="59"/>
        <v>100</v>
      </c>
      <c r="BQ254" s="665" t="s">
        <v>4575</v>
      </c>
      <c r="BR254" s="855">
        <v>6.6400000000000001E-2</v>
      </c>
      <c r="BS254" s="855">
        <v>6.6400000000000001E-2</v>
      </c>
      <c r="BT254" s="855">
        <v>5.2699999999999997E-2</v>
      </c>
      <c r="BU254" s="855">
        <v>7.3889999999999997E-2</v>
      </c>
      <c r="BV254" s="855">
        <v>4.931E-2</v>
      </c>
      <c r="BW254" s="855" t="s">
        <v>4845</v>
      </c>
      <c r="BX254" s="665" t="s">
        <v>4846</v>
      </c>
      <c r="DH254" s="834">
        <f t="shared" si="60"/>
        <v>0</v>
      </c>
      <c r="DI254" s="834" t="str">
        <f t="shared" si="60"/>
        <v>Americas</v>
      </c>
      <c r="DJ254" s="834" t="str">
        <f t="shared" si="60"/>
        <v>North America</v>
      </c>
      <c r="DK254" s="834" t="e">
        <f>VLOOKUP(DH254,#REF!,1)</f>
        <v>#REF!</v>
      </c>
      <c r="DL254" s="834" t="e">
        <f>VLOOKUP(DK254,#REF!,2,FALSE)</f>
        <v>#REF!</v>
      </c>
    </row>
    <row r="255" spans="49:116">
      <c r="AW255" s="842"/>
      <c r="AX255" s="842" t="s">
        <v>4657</v>
      </c>
      <c r="AY255" s="846" t="str">
        <f>+BZ18</f>
        <v>North America</v>
      </c>
      <c r="AZ255" s="842"/>
      <c r="BA255" s="665" t="s">
        <v>5392</v>
      </c>
      <c r="BB255" s="847">
        <v>5.9113863912301383</v>
      </c>
      <c r="BC255" s="665" t="s">
        <v>4598</v>
      </c>
      <c r="BD255" s="842">
        <v>0.04</v>
      </c>
      <c r="BE255" s="842">
        <v>0.1</v>
      </c>
      <c r="BF255" s="665" t="s">
        <v>4748</v>
      </c>
      <c r="BG255" s="830"/>
      <c r="BH255" s="831">
        <f t="shared" si="61"/>
        <v>23.2</v>
      </c>
      <c r="BI255" s="831">
        <f t="shared" si="62"/>
        <v>3.9</v>
      </c>
      <c r="BJ255" s="831">
        <f t="shared" si="63"/>
        <v>33.9</v>
      </c>
      <c r="BK255" s="831">
        <f t="shared" si="64"/>
        <v>6.2</v>
      </c>
      <c r="BL255" s="831">
        <f t="shared" si="65"/>
        <v>9.5</v>
      </c>
      <c r="BM255" s="831">
        <f t="shared" si="66"/>
        <v>5.6</v>
      </c>
      <c r="BN255" s="831">
        <f t="shared" si="67"/>
        <v>8.5</v>
      </c>
      <c r="BO255" s="831">
        <f t="shared" si="68"/>
        <v>9.2000000000000028</v>
      </c>
      <c r="BP255" s="831">
        <f t="shared" si="59"/>
        <v>100</v>
      </c>
      <c r="BQ255" s="665" t="s">
        <v>4575</v>
      </c>
      <c r="BR255" s="855">
        <v>6.6400000000000001E-2</v>
      </c>
      <c r="BS255" s="855">
        <v>6.6400000000000001E-2</v>
      </c>
      <c r="BT255" s="855">
        <v>5.2699999999999997E-2</v>
      </c>
      <c r="BU255" s="855">
        <v>7.3889999999999997E-2</v>
      </c>
      <c r="BV255" s="855">
        <v>4.931E-2</v>
      </c>
      <c r="BW255" s="855" t="s">
        <v>4845</v>
      </c>
      <c r="BX255" s="665" t="s">
        <v>4846</v>
      </c>
      <c r="DH255" s="834">
        <f t="shared" si="60"/>
        <v>0</v>
      </c>
      <c r="DI255" s="834" t="str">
        <f t="shared" si="60"/>
        <v>Americas</v>
      </c>
      <c r="DJ255" s="834" t="str">
        <f t="shared" si="60"/>
        <v>North America</v>
      </c>
      <c r="DK255" s="834" t="e">
        <f>VLOOKUP(DH255,#REF!,1)</f>
        <v>#REF!</v>
      </c>
      <c r="DL255" s="834" t="e">
        <f>VLOOKUP(DK255,#REF!,2,FALSE)</f>
        <v>#REF!</v>
      </c>
    </row>
    <row r="256" spans="49:116">
      <c r="AW256" s="842"/>
      <c r="AX256" s="842" t="s">
        <v>4657</v>
      </c>
      <c r="AY256" s="846" t="str">
        <f>+BZ18</f>
        <v>North America</v>
      </c>
      <c r="AZ256" s="842"/>
      <c r="BA256" s="665" t="s">
        <v>5392</v>
      </c>
      <c r="BB256" s="847">
        <v>5.9113863912301383</v>
      </c>
      <c r="BC256" s="665" t="s">
        <v>4598</v>
      </c>
      <c r="BD256" s="842">
        <v>0.04</v>
      </c>
      <c r="BE256" s="842">
        <v>0.1</v>
      </c>
      <c r="BF256" s="665" t="s">
        <v>4748</v>
      </c>
      <c r="BG256" s="830"/>
      <c r="BH256" s="831">
        <f t="shared" si="61"/>
        <v>23.2</v>
      </c>
      <c r="BI256" s="831">
        <f t="shared" si="62"/>
        <v>3.9</v>
      </c>
      <c r="BJ256" s="831">
        <f t="shared" si="63"/>
        <v>33.9</v>
      </c>
      <c r="BK256" s="831">
        <f t="shared" si="64"/>
        <v>6.2</v>
      </c>
      <c r="BL256" s="831">
        <f t="shared" si="65"/>
        <v>9.5</v>
      </c>
      <c r="BM256" s="831">
        <f t="shared" si="66"/>
        <v>5.6</v>
      </c>
      <c r="BN256" s="831">
        <f t="shared" si="67"/>
        <v>8.5</v>
      </c>
      <c r="BO256" s="831">
        <f t="shared" si="68"/>
        <v>9.2000000000000028</v>
      </c>
      <c r="BP256" s="831">
        <f t="shared" si="59"/>
        <v>100</v>
      </c>
      <c r="BQ256" s="665" t="s">
        <v>4575</v>
      </c>
      <c r="BR256" s="855">
        <v>6.6400000000000001E-2</v>
      </c>
      <c r="BS256" s="855">
        <v>6.6400000000000001E-2</v>
      </c>
      <c r="BT256" s="855">
        <v>5.2699999999999997E-2</v>
      </c>
      <c r="BU256" s="855">
        <v>7.3889999999999997E-2</v>
      </c>
      <c r="BV256" s="855">
        <v>4.931E-2</v>
      </c>
      <c r="BW256" s="855" t="s">
        <v>4845</v>
      </c>
      <c r="BX256" s="665" t="s">
        <v>4846</v>
      </c>
      <c r="DH256" s="834">
        <f t="shared" si="60"/>
        <v>0</v>
      </c>
      <c r="DI256" s="834" t="str">
        <f t="shared" si="60"/>
        <v>Americas</v>
      </c>
      <c r="DJ256" s="834" t="str">
        <f t="shared" si="60"/>
        <v>North America</v>
      </c>
      <c r="DK256" s="834" t="e">
        <f>VLOOKUP(DH256,#REF!,1)</f>
        <v>#REF!</v>
      </c>
      <c r="DL256" s="834" t="e">
        <f>VLOOKUP(DK256,#REF!,2,FALSE)</f>
        <v>#REF!</v>
      </c>
    </row>
    <row r="257" spans="49:116">
      <c r="AW257" s="842"/>
      <c r="AX257" s="842" t="s">
        <v>4657</v>
      </c>
      <c r="AY257" s="846" t="str">
        <f>+BZ18</f>
        <v>North America</v>
      </c>
      <c r="AZ257" s="842"/>
      <c r="BA257" s="665" t="s">
        <v>5392</v>
      </c>
      <c r="BB257" s="847">
        <v>5.9113863912301383</v>
      </c>
      <c r="BC257" s="665" t="s">
        <v>4598</v>
      </c>
      <c r="BD257" s="842">
        <v>0.04</v>
      </c>
      <c r="BE257" s="842">
        <v>0.1</v>
      </c>
      <c r="BF257" s="665" t="s">
        <v>4748</v>
      </c>
      <c r="BG257" s="830"/>
      <c r="BH257" s="831">
        <f t="shared" si="61"/>
        <v>23.2</v>
      </c>
      <c r="BI257" s="831">
        <f t="shared" si="62"/>
        <v>3.9</v>
      </c>
      <c r="BJ257" s="831">
        <f t="shared" si="63"/>
        <v>33.9</v>
      </c>
      <c r="BK257" s="831">
        <f t="shared" si="64"/>
        <v>6.2</v>
      </c>
      <c r="BL257" s="831">
        <f t="shared" si="65"/>
        <v>9.5</v>
      </c>
      <c r="BM257" s="831">
        <f t="shared" si="66"/>
        <v>5.6</v>
      </c>
      <c r="BN257" s="831">
        <f t="shared" si="67"/>
        <v>8.5</v>
      </c>
      <c r="BO257" s="831">
        <f t="shared" si="68"/>
        <v>9.2000000000000028</v>
      </c>
      <c r="BP257" s="831">
        <f t="shared" si="59"/>
        <v>100</v>
      </c>
      <c r="BQ257" s="665" t="s">
        <v>4575</v>
      </c>
      <c r="BR257" s="855">
        <v>6.6400000000000001E-2</v>
      </c>
      <c r="BS257" s="855">
        <v>6.6400000000000001E-2</v>
      </c>
      <c r="BT257" s="855">
        <v>5.2699999999999997E-2</v>
      </c>
      <c r="BU257" s="855">
        <v>7.3889999999999997E-2</v>
      </c>
      <c r="BV257" s="855">
        <v>4.931E-2</v>
      </c>
      <c r="BW257" s="855" t="s">
        <v>4845</v>
      </c>
      <c r="BX257" s="665" t="s">
        <v>4846</v>
      </c>
      <c r="DH257" s="834">
        <f t="shared" si="60"/>
        <v>0</v>
      </c>
      <c r="DI257" s="834" t="str">
        <f t="shared" si="60"/>
        <v>Americas</v>
      </c>
      <c r="DJ257" s="834" t="str">
        <f t="shared" si="60"/>
        <v>North America</v>
      </c>
      <c r="DK257" s="834" t="e">
        <f>VLOOKUP(DH257,#REF!,1)</f>
        <v>#REF!</v>
      </c>
      <c r="DL257" s="834" t="e">
        <f>VLOOKUP(DK257,#REF!,2,FALSE)</f>
        <v>#REF!</v>
      </c>
    </row>
    <row r="258" spans="49:116">
      <c r="AW258" s="842"/>
      <c r="AX258" s="842" t="s">
        <v>4657</v>
      </c>
      <c r="AY258" s="846" t="str">
        <f>+BZ18</f>
        <v>North America</v>
      </c>
      <c r="AZ258" s="842"/>
      <c r="BA258" s="665" t="s">
        <v>5392</v>
      </c>
      <c r="BB258" s="847">
        <v>5.9113863912301383</v>
      </c>
      <c r="BC258" s="665" t="s">
        <v>4598</v>
      </c>
      <c r="BD258" s="842">
        <v>0.04</v>
      </c>
      <c r="BE258" s="842">
        <v>0.1</v>
      </c>
      <c r="BF258" s="665" t="s">
        <v>4748</v>
      </c>
      <c r="BG258" s="830"/>
      <c r="BH258" s="831">
        <f t="shared" si="61"/>
        <v>23.2</v>
      </c>
      <c r="BI258" s="831">
        <f t="shared" si="62"/>
        <v>3.9</v>
      </c>
      <c r="BJ258" s="831">
        <f t="shared" si="63"/>
        <v>33.9</v>
      </c>
      <c r="BK258" s="831">
        <f t="shared" si="64"/>
        <v>6.2</v>
      </c>
      <c r="BL258" s="831">
        <f t="shared" si="65"/>
        <v>9.5</v>
      </c>
      <c r="BM258" s="831">
        <f t="shared" si="66"/>
        <v>5.6</v>
      </c>
      <c r="BN258" s="831">
        <f t="shared" si="67"/>
        <v>8.5</v>
      </c>
      <c r="BO258" s="831">
        <f t="shared" si="68"/>
        <v>9.2000000000000028</v>
      </c>
      <c r="BP258" s="831">
        <f t="shared" si="59"/>
        <v>100</v>
      </c>
      <c r="BQ258" s="665" t="s">
        <v>4575</v>
      </c>
      <c r="BR258" s="855">
        <v>6.6400000000000001E-2</v>
      </c>
      <c r="BS258" s="855">
        <v>6.6400000000000001E-2</v>
      </c>
      <c r="BT258" s="855">
        <v>5.2699999999999997E-2</v>
      </c>
      <c r="BU258" s="855">
        <v>7.3889999999999997E-2</v>
      </c>
      <c r="BV258" s="855">
        <v>4.931E-2</v>
      </c>
      <c r="BW258" s="855" t="s">
        <v>4845</v>
      </c>
      <c r="BX258" s="665" t="s">
        <v>4846</v>
      </c>
      <c r="DH258" s="834">
        <f t="shared" si="60"/>
        <v>0</v>
      </c>
      <c r="DI258" s="834" t="str">
        <f t="shared" si="60"/>
        <v>Americas</v>
      </c>
      <c r="DJ258" s="834" t="str">
        <f t="shared" si="60"/>
        <v>North America</v>
      </c>
      <c r="DK258" s="834" t="e">
        <f>VLOOKUP(DH258,#REF!,1)</f>
        <v>#REF!</v>
      </c>
      <c r="DL258" s="834" t="e">
        <f>VLOOKUP(DK258,#REF!,2,FALSE)</f>
        <v>#REF!</v>
      </c>
    </row>
    <row r="259" spans="49:116">
      <c r="AW259" s="842"/>
      <c r="AX259" s="842" t="s">
        <v>4657</v>
      </c>
      <c r="AY259" s="846" t="str">
        <f>+BZ18</f>
        <v>North America</v>
      </c>
      <c r="AZ259" s="842"/>
      <c r="BA259" s="665" t="s">
        <v>5392</v>
      </c>
      <c r="BB259" s="847">
        <v>5.9113863912301383</v>
      </c>
      <c r="BC259" s="665" t="s">
        <v>4598</v>
      </c>
      <c r="BD259" s="842">
        <v>0.04</v>
      </c>
      <c r="BE259" s="842">
        <v>0.1</v>
      </c>
      <c r="BF259" s="665" t="s">
        <v>4748</v>
      </c>
      <c r="BG259" s="830"/>
      <c r="BH259" s="831">
        <f t="shared" si="61"/>
        <v>23.2</v>
      </c>
      <c r="BI259" s="831">
        <f t="shared" si="62"/>
        <v>3.9</v>
      </c>
      <c r="BJ259" s="831">
        <f t="shared" si="63"/>
        <v>33.9</v>
      </c>
      <c r="BK259" s="831">
        <f t="shared" si="64"/>
        <v>6.2</v>
      </c>
      <c r="BL259" s="831">
        <f t="shared" si="65"/>
        <v>9.5</v>
      </c>
      <c r="BM259" s="831">
        <f t="shared" si="66"/>
        <v>5.6</v>
      </c>
      <c r="BN259" s="831">
        <f t="shared" si="67"/>
        <v>8.5</v>
      </c>
      <c r="BO259" s="831">
        <f t="shared" si="68"/>
        <v>9.2000000000000028</v>
      </c>
      <c r="BP259" s="831">
        <f t="shared" si="59"/>
        <v>100</v>
      </c>
      <c r="BQ259" s="665" t="s">
        <v>4575</v>
      </c>
      <c r="BR259" s="855">
        <v>6.6400000000000001E-2</v>
      </c>
      <c r="BS259" s="855">
        <v>6.6400000000000001E-2</v>
      </c>
      <c r="BT259" s="855">
        <v>5.2699999999999997E-2</v>
      </c>
      <c r="BU259" s="855">
        <v>7.3889999999999997E-2</v>
      </c>
      <c r="BV259" s="855">
        <v>4.931E-2</v>
      </c>
      <c r="BW259" s="855" t="s">
        <v>4845</v>
      </c>
      <c r="BX259" s="665" t="s">
        <v>4846</v>
      </c>
      <c r="DH259" s="834">
        <f t="shared" si="60"/>
        <v>0</v>
      </c>
      <c r="DI259" s="834" t="str">
        <f t="shared" si="60"/>
        <v>Americas</v>
      </c>
      <c r="DJ259" s="834" t="str">
        <f t="shared" si="60"/>
        <v>North America</v>
      </c>
      <c r="DK259" s="834" t="e">
        <f>VLOOKUP(DH259,#REF!,1)</f>
        <v>#REF!</v>
      </c>
      <c r="DL259" s="834" t="e">
        <f>VLOOKUP(DK259,#REF!,2,FALSE)</f>
        <v>#REF!</v>
      </c>
    </row>
    <row r="260" spans="49:116">
      <c r="AW260" s="842"/>
      <c r="AX260" s="842" t="s">
        <v>4657</v>
      </c>
      <c r="AY260" s="846" t="str">
        <f>+BZ18</f>
        <v>North America</v>
      </c>
      <c r="AZ260" s="842"/>
      <c r="BA260" s="665" t="s">
        <v>5392</v>
      </c>
      <c r="BB260" s="847">
        <v>5.9113863912301383</v>
      </c>
      <c r="BC260" s="665" t="s">
        <v>4598</v>
      </c>
      <c r="BD260" s="842">
        <v>0.04</v>
      </c>
      <c r="BE260" s="842">
        <v>0.1</v>
      </c>
      <c r="BF260" s="665" t="s">
        <v>4748</v>
      </c>
      <c r="BG260" s="830"/>
      <c r="BH260" s="831">
        <f t="shared" si="61"/>
        <v>23.2</v>
      </c>
      <c r="BI260" s="831">
        <f t="shared" si="62"/>
        <v>3.9</v>
      </c>
      <c r="BJ260" s="831">
        <f t="shared" si="63"/>
        <v>33.9</v>
      </c>
      <c r="BK260" s="831">
        <f t="shared" si="64"/>
        <v>6.2</v>
      </c>
      <c r="BL260" s="831">
        <f t="shared" si="65"/>
        <v>9.5</v>
      </c>
      <c r="BM260" s="831">
        <f t="shared" si="66"/>
        <v>5.6</v>
      </c>
      <c r="BN260" s="831">
        <f t="shared" si="67"/>
        <v>8.5</v>
      </c>
      <c r="BO260" s="831">
        <f t="shared" si="68"/>
        <v>9.2000000000000028</v>
      </c>
      <c r="BP260" s="831">
        <f t="shared" ref="BP260:BP280" si="69">+SUM(BH260:BO260)</f>
        <v>100</v>
      </c>
      <c r="BQ260" s="665" t="s">
        <v>4575</v>
      </c>
      <c r="BR260" s="855">
        <v>6.6400000000000001E-2</v>
      </c>
      <c r="BS260" s="855">
        <v>6.6400000000000001E-2</v>
      </c>
      <c r="BT260" s="855">
        <v>5.2699999999999997E-2</v>
      </c>
      <c r="BU260" s="855">
        <v>7.3889999999999997E-2</v>
      </c>
      <c r="BV260" s="855">
        <v>4.931E-2</v>
      </c>
      <c r="BW260" s="855" t="s">
        <v>4845</v>
      </c>
      <c r="BX260" s="665" t="s">
        <v>4846</v>
      </c>
      <c r="DH260" s="834">
        <f t="shared" si="60"/>
        <v>0</v>
      </c>
      <c r="DI260" s="834" t="str">
        <f t="shared" si="60"/>
        <v>Americas</v>
      </c>
      <c r="DJ260" s="834" t="str">
        <f t="shared" si="60"/>
        <v>North America</v>
      </c>
      <c r="DK260" s="834" t="e">
        <f>VLOOKUP(DH260,#REF!,1)</f>
        <v>#REF!</v>
      </c>
      <c r="DL260" s="834" t="e">
        <f>VLOOKUP(DK260,#REF!,2,FALSE)</f>
        <v>#REF!</v>
      </c>
    </row>
    <row r="261" spans="49:116">
      <c r="AW261" s="842"/>
      <c r="AX261" s="842" t="s">
        <v>4657</v>
      </c>
      <c r="AY261" s="846" t="str">
        <f>+BZ18</f>
        <v>North America</v>
      </c>
      <c r="AZ261" s="842"/>
      <c r="BA261" s="665" t="s">
        <v>5392</v>
      </c>
      <c r="BB261" s="847">
        <v>5.9113863912301383</v>
      </c>
      <c r="BC261" s="665" t="s">
        <v>4598</v>
      </c>
      <c r="BD261" s="842">
        <v>0.04</v>
      </c>
      <c r="BE261" s="842">
        <v>0.1</v>
      </c>
      <c r="BF261" s="665" t="s">
        <v>4748</v>
      </c>
      <c r="BG261" s="830"/>
      <c r="BH261" s="831">
        <f t="shared" si="61"/>
        <v>23.2</v>
      </c>
      <c r="BI261" s="831">
        <f t="shared" si="62"/>
        <v>3.9</v>
      </c>
      <c r="BJ261" s="831">
        <f t="shared" si="63"/>
        <v>33.9</v>
      </c>
      <c r="BK261" s="831">
        <f t="shared" si="64"/>
        <v>6.2</v>
      </c>
      <c r="BL261" s="831">
        <f t="shared" si="65"/>
        <v>9.5</v>
      </c>
      <c r="BM261" s="831">
        <f t="shared" si="66"/>
        <v>5.6</v>
      </c>
      <c r="BN261" s="831">
        <f t="shared" si="67"/>
        <v>8.5</v>
      </c>
      <c r="BO261" s="831">
        <f t="shared" si="68"/>
        <v>9.2000000000000028</v>
      </c>
      <c r="BP261" s="831">
        <f t="shared" si="69"/>
        <v>100</v>
      </c>
      <c r="BQ261" s="665" t="s">
        <v>4575</v>
      </c>
      <c r="BR261" s="855">
        <v>6.6400000000000001E-2</v>
      </c>
      <c r="BS261" s="855">
        <v>6.6400000000000001E-2</v>
      </c>
      <c r="BT261" s="855">
        <v>5.2699999999999997E-2</v>
      </c>
      <c r="BU261" s="855">
        <v>7.3889999999999997E-2</v>
      </c>
      <c r="BV261" s="855">
        <v>4.931E-2</v>
      </c>
      <c r="BW261" s="855" t="s">
        <v>4845</v>
      </c>
      <c r="BX261" s="665" t="s">
        <v>4846</v>
      </c>
      <c r="DH261" s="834">
        <f t="shared" si="60"/>
        <v>0</v>
      </c>
      <c r="DI261" s="834" t="str">
        <f t="shared" si="60"/>
        <v>Americas</v>
      </c>
      <c r="DJ261" s="834" t="str">
        <f t="shared" si="60"/>
        <v>North America</v>
      </c>
      <c r="DK261" s="834" t="e">
        <f>VLOOKUP(DH261,#REF!,1)</f>
        <v>#REF!</v>
      </c>
      <c r="DL261" s="834" t="e">
        <f>VLOOKUP(DK261,#REF!,2,FALSE)</f>
        <v>#REF!</v>
      </c>
    </row>
    <row r="262" spans="49:116">
      <c r="AW262" s="842"/>
      <c r="AX262" s="842" t="s">
        <v>4657</v>
      </c>
      <c r="AY262" s="846" t="str">
        <f>+BZ18</f>
        <v>North America</v>
      </c>
      <c r="AZ262" s="842"/>
      <c r="BA262" s="665" t="s">
        <v>5392</v>
      </c>
      <c r="BB262" s="847">
        <v>5.9113863912301383</v>
      </c>
      <c r="BC262" s="665" t="s">
        <v>4598</v>
      </c>
      <c r="BD262" s="842">
        <v>0.04</v>
      </c>
      <c r="BE262" s="842">
        <v>0.1</v>
      </c>
      <c r="BF262" s="665" t="s">
        <v>4748</v>
      </c>
      <c r="BG262" s="830"/>
      <c r="BH262" s="831">
        <f t="shared" si="61"/>
        <v>23.2</v>
      </c>
      <c r="BI262" s="831">
        <f t="shared" si="62"/>
        <v>3.9</v>
      </c>
      <c r="BJ262" s="831">
        <f t="shared" si="63"/>
        <v>33.9</v>
      </c>
      <c r="BK262" s="831">
        <f t="shared" si="64"/>
        <v>6.2</v>
      </c>
      <c r="BL262" s="831">
        <f t="shared" si="65"/>
        <v>9.5</v>
      </c>
      <c r="BM262" s="831">
        <f t="shared" si="66"/>
        <v>5.6</v>
      </c>
      <c r="BN262" s="831">
        <f t="shared" si="67"/>
        <v>8.5</v>
      </c>
      <c r="BO262" s="831">
        <f t="shared" si="68"/>
        <v>9.2000000000000028</v>
      </c>
      <c r="BP262" s="831">
        <f t="shared" si="69"/>
        <v>100</v>
      </c>
      <c r="BQ262" s="665" t="s">
        <v>4575</v>
      </c>
      <c r="BR262" s="855">
        <v>6.6400000000000001E-2</v>
      </c>
      <c r="BS262" s="855">
        <v>6.6400000000000001E-2</v>
      </c>
      <c r="BT262" s="855">
        <v>5.2699999999999997E-2</v>
      </c>
      <c r="BU262" s="855">
        <v>7.3889999999999997E-2</v>
      </c>
      <c r="BV262" s="855">
        <v>4.931E-2</v>
      </c>
      <c r="BW262" s="855" t="s">
        <v>4845</v>
      </c>
      <c r="BX262" s="665" t="s">
        <v>4846</v>
      </c>
      <c r="DH262" s="834">
        <f t="shared" si="60"/>
        <v>0</v>
      </c>
      <c r="DI262" s="834" t="str">
        <f t="shared" si="60"/>
        <v>Americas</v>
      </c>
      <c r="DJ262" s="834" t="str">
        <f t="shared" si="60"/>
        <v>North America</v>
      </c>
      <c r="DK262" s="834" t="e">
        <f>VLOOKUP(DH262,#REF!,1)</f>
        <v>#REF!</v>
      </c>
      <c r="DL262" s="834" t="e">
        <f>VLOOKUP(DK262,#REF!,2,FALSE)</f>
        <v>#REF!</v>
      </c>
    </row>
    <row r="263" spans="49:116">
      <c r="AW263" s="842"/>
      <c r="AX263" s="842" t="s">
        <v>4657</v>
      </c>
      <c r="AY263" s="846" t="str">
        <f>+BZ18</f>
        <v>North America</v>
      </c>
      <c r="AZ263" s="842"/>
      <c r="BA263" s="665" t="s">
        <v>5392</v>
      </c>
      <c r="BB263" s="847">
        <v>5.9113863912301383</v>
      </c>
      <c r="BC263" s="665" t="s">
        <v>4598</v>
      </c>
      <c r="BD263" s="842">
        <v>0.04</v>
      </c>
      <c r="BE263" s="842">
        <v>0.1</v>
      </c>
      <c r="BF263" s="665" t="s">
        <v>4748</v>
      </c>
      <c r="BG263" s="830"/>
      <c r="BH263" s="831">
        <f t="shared" si="61"/>
        <v>23.2</v>
      </c>
      <c r="BI263" s="831">
        <f t="shared" si="62"/>
        <v>3.9</v>
      </c>
      <c r="BJ263" s="831">
        <f t="shared" si="63"/>
        <v>33.9</v>
      </c>
      <c r="BK263" s="831">
        <f t="shared" si="64"/>
        <v>6.2</v>
      </c>
      <c r="BL263" s="831">
        <f t="shared" si="65"/>
        <v>9.5</v>
      </c>
      <c r="BM263" s="831">
        <f t="shared" si="66"/>
        <v>5.6</v>
      </c>
      <c r="BN263" s="831">
        <f t="shared" si="67"/>
        <v>8.5</v>
      </c>
      <c r="BO263" s="831">
        <f t="shared" si="68"/>
        <v>9.2000000000000028</v>
      </c>
      <c r="BP263" s="831">
        <f t="shared" si="69"/>
        <v>100</v>
      </c>
      <c r="BQ263" s="665" t="s">
        <v>4575</v>
      </c>
      <c r="BR263" s="855">
        <v>6.6400000000000001E-2</v>
      </c>
      <c r="BS263" s="855">
        <v>6.6400000000000001E-2</v>
      </c>
      <c r="BT263" s="855">
        <v>5.2699999999999997E-2</v>
      </c>
      <c r="BU263" s="855">
        <v>7.3889999999999997E-2</v>
      </c>
      <c r="BV263" s="855">
        <v>4.931E-2</v>
      </c>
      <c r="BW263" s="855" t="s">
        <v>4845</v>
      </c>
      <c r="BX263" s="665" t="s">
        <v>4846</v>
      </c>
      <c r="DH263" s="834">
        <f t="shared" si="60"/>
        <v>0</v>
      </c>
      <c r="DI263" s="834" t="str">
        <f t="shared" si="60"/>
        <v>Americas</v>
      </c>
      <c r="DJ263" s="834" t="str">
        <f t="shared" si="60"/>
        <v>North America</v>
      </c>
      <c r="DK263" s="834" t="e">
        <f>VLOOKUP(DH263,#REF!,1)</f>
        <v>#REF!</v>
      </c>
      <c r="DL263" s="834" t="e">
        <f>VLOOKUP(DK263,#REF!,2,FALSE)</f>
        <v>#REF!</v>
      </c>
    </row>
    <row r="264" spans="49:116">
      <c r="AW264" s="842"/>
      <c r="AX264" s="842" t="s">
        <v>4657</v>
      </c>
      <c r="AY264" s="846" t="str">
        <f>+BZ18</f>
        <v>North America</v>
      </c>
      <c r="AZ264" s="842"/>
      <c r="BA264" s="665" t="s">
        <v>5392</v>
      </c>
      <c r="BB264" s="847">
        <v>5.9113863912301383</v>
      </c>
      <c r="BC264" s="665" t="s">
        <v>4598</v>
      </c>
      <c r="BD264" s="842">
        <v>0.04</v>
      </c>
      <c r="BE264" s="842">
        <v>0.1</v>
      </c>
      <c r="BF264" s="665" t="s">
        <v>4748</v>
      </c>
      <c r="BG264" s="830"/>
      <c r="BH264" s="831">
        <f t="shared" si="61"/>
        <v>23.2</v>
      </c>
      <c r="BI264" s="831">
        <f t="shared" si="62"/>
        <v>3.9</v>
      </c>
      <c r="BJ264" s="831">
        <f t="shared" si="63"/>
        <v>33.9</v>
      </c>
      <c r="BK264" s="831">
        <f t="shared" si="64"/>
        <v>6.2</v>
      </c>
      <c r="BL264" s="831">
        <f t="shared" si="65"/>
        <v>9.5</v>
      </c>
      <c r="BM264" s="831">
        <f t="shared" si="66"/>
        <v>5.6</v>
      </c>
      <c r="BN264" s="831">
        <f t="shared" si="67"/>
        <v>8.5</v>
      </c>
      <c r="BO264" s="831">
        <f t="shared" si="68"/>
        <v>9.2000000000000028</v>
      </c>
      <c r="BP264" s="831">
        <f t="shared" si="69"/>
        <v>100</v>
      </c>
      <c r="BQ264" s="665" t="s">
        <v>4575</v>
      </c>
      <c r="BR264" s="855">
        <v>6.6400000000000001E-2</v>
      </c>
      <c r="BS264" s="855">
        <v>6.6400000000000001E-2</v>
      </c>
      <c r="BT264" s="855">
        <v>5.2699999999999997E-2</v>
      </c>
      <c r="BU264" s="855">
        <v>7.3889999999999997E-2</v>
      </c>
      <c r="BV264" s="855">
        <v>4.931E-2</v>
      </c>
      <c r="BW264" s="855" t="s">
        <v>4845</v>
      </c>
      <c r="BX264" s="665" t="s">
        <v>4846</v>
      </c>
      <c r="DH264" s="834">
        <f t="shared" si="60"/>
        <v>0</v>
      </c>
      <c r="DI264" s="834" t="str">
        <f t="shared" si="60"/>
        <v>Americas</v>
      </c>
      <c r="DJ264" s="834" t="str">
        <f t="shared" si="60"/>
        <v>North America</v>
      </c>
      <c r="DK264" s="834" t="e">
        <f>VLOOKUP(DH264,#REF!,1)</f>
        <v>#REF!</v>
      </c>
      <c r="DL264" s="834" t="e">
        <f>VLOOKUP(DK264,#REF!,2,FALSE)</f>
        <v>#REF!</v>
      </c>
    </row>
    <row r="265" spans="49:116">
      <c r="AW265" s="842"/>
      <c r="AX265" s="842" t="s">
        <v>4657</v>
      </c>
      <c r="AY265" s="846" t="str">
        <f>+BZ18</f>
        <v>North America</v>
      </c>
      <c r="AZ265" s="842"/>
      <c r="BA265" s="665" t="s">
        <v>5392</v>
      </c>
      <c r="BB265" s="847">
        <v>5.9113863912301383</v>
      </c>
      <c r="BC265" s="665" t="s">
        <v>4598</v>
      </c>
      <c r="BD265" s="842">
        <v>0.04</v>
      </c>
      <c r="BE265" s="842">
        <v>0.1</v>
      </c>
      <c r="BF265" s="665" t="s">
        <v>4748</v>
      </c>
      <c r="BG265" s="830"/>
      <c r="BH265" s="831">
        <f t="shared" si="61"/>
        <v>23.2</v>
      </c>
      <c r="BI265" s="831">
        <f t="shared" si="62"/>
        <v>3.9</v>
      </c>
      <c r="BJ265" s="831">
        <f t="shared" si="63"/>
        <v>33.9</v>
      </c>
      <c r="BK265" s="831">
        <f t="shared" si="64"/>
        <v>6.2</v>
      </c>
      <c r="BL265" s="831">
        <f t="shared" si="65"/>
        <v>9.5</v>
      </c>
      <c r="BM265" s="831">
        <f t="shared" si="66"/>
        <v>5.6</v>
      </c>
      <c r="BN265" s="831">
        <f t="shared" si="67"/>
        <v>8.5</v>
      </c>
      <c r="BO265" s="831">
        <f t="shared" si="68"/>
        <v>9.2000000000000028</v>
      </c>
      <c r="BP265" s="831">
        <f t="shared" si="69"/>
        <v>100</v>
      </c>
      <c r="BQ265" s="665" t="s">
        <v>4575</v>
      </c>
      <c r="BR265" s="855">
        <v>6.6400000000000001E-2</v>
      </c>
      <c r="BS265" s="855">
        <v>6.6400000000000001E-2</v>
      </c>
      <c r="BT265" s="855">
        <v>5.2699999999999997E-2</v>
      </c>
      <c r="BU265" s="855">
        <v>7.3889999999999997E-2</v>
      </c>
      <c r="BV265" s="855">
        <v>4.931E-2</v>
      </c>
      <c r="BW265" s="855" t="s">
        <v>4845</v>
      </c>
      <c r="BX265" s="665" t="s">
        <v>4846</v>
      </c>
      <c r="DH265" s="834">
        <f t="shared" si="60"/>
        <v>0</v>
      </c>
      <c r="DI265" s="834" t="str">
        <f t="shared" si="60"/>
        <v>Americas</v>
      </c>
      <c r="DJ265" s="834" t="str">
        <f t="shared" si="60"/>
        <v>North America</v>
      </c>
      <c r="DK265" s="834" t="e">
        <f>VLOOKUP(DH265,#REF!,1)</f>
        <v>#REF!</v>
      </c>
      <c r="DL265" s="834" t="e">
        <f>VLOOKUP(DK265,#REF!,2,FALSE)</f>
        <v>#REF!</v>
      </c>
    </row>
    <row r="266" spans="49:116">
      <c r="AW266" s="842"/>
      <c r="AX266" s="842" t="s">
        <v>4657</v>
      </c>
      <c r="AY266" s="846" t="str">
        <f>+BZ18</f>
        <v>North America</v>
      </c>
      <c r="AZ266" s="842"/>
      <c r="BA266" s="665" t="s">
        <v>5392</v>
      </c>
      <c r="BB266" s="847">
        <v>5.9113863912301383</v>
      </c>
      <c r="BC266" s="665" t="s">
        <v>4598</v>
      </c>
      <c r="BD266" s="842">
        <v>0.04</v>
      </c>
      <c r="BE266" s="842">
        <v>0.1</v>
      </c>
      <c r="BF266" s="665" t="s">
        <v>4748</v>
      </c>
      <c r="BG266" s="830"/>
      <c r="BH266" s="831">
        <f t="shared" si="61"/>
        <v>23.2</v>
      </c>
      <c r="BI266" s="831">
        <f t="shared" si="62"/>
        <v>3.9</v>
      </c>
      <c r="BJ266" s="831">
        <f t="shared" si="63"/>
        <v>33.9</v>
      </c>
      <c r="BK266" s="831">
        <f t="shared" si="64"/>
        <v>6.2</v>
      </c>
      <c r="BL266" s="831">
        <f t="shared" si="65"/>
        <v>9.5</v>
      </c>
      <c r="BM266" s="831">
        <f t="shared" si="66"/>
        <v>5.6</v>
      </c>
      <c r="BN266" s="831">
        <f t="shared" si="67"/>
        <v>8.5</v>
      </c>
      <c r="BO266" s="831">
        <f t="shared" si="68"/>
        <v>9.2000000000000028</v>
      </c>
      <c r="BP266" s="831">
        <f t="shared" si="69"/>
        <v>100</v>
      </c>
      <c r="BQ266" s="665" t="s">
        <v>4575</v>
      </c>
      <c r="BR266" s="855">
        <v>6.6400000000000001E-2</v>
      </c>
      <c r="BS266" s="855">
        <v>6.6400000000000001E-2</v>
      </c>
      <c r="BT266" s="855">
        <v>5.2699999999999997E-2</v>
      </c>
      <c r="BU266" s="855">
        <v>7.3889999999999997E-2</v>
      </c>
      <c r="BV266" s="855">
        <v>4.931E-2</v>
      </c>
      <c r="BW266" s="855" t="s">
        <v>4845</v>
      </c>
      <c r="BX266" s="665" t="s">
        <v>4846</v>
      </c>
      <c r="DH266" s="834">
        <f t="shared" si="60"/>
        <v>0</v>
      </c>
      <c r="DI266" s="834" t="str">
        <f t="shared" si="60"/>
        <v>Americas</v>
      </c>
      <c r="DJ266" s="834" t="str">
        <f t="shared" si="60"/>
        <v>North America</v>
      </c>
      <c r="DK266" s="834" t="e">
        <f>VLOOKUP(DH266,#REF!,1)</f>
        <v>#REF!</v>
      </c>
      <c r="DL266" s="834" t="e">
        <f>VLOOKUP(DK266,#REF!,2,FALSE)</f>
        <v>#REF!</v>
      </c>
    </row>
    <row r="267" spans="49:116">
      <c r="AW267" s="842"/>
      <c r="AX267" s="842" t="s">
        <v>4657</v>
      </c>
      <c r="AY267" s="846" t="str">
        <f>+BZ18</f>
        <v>North America</v>
      </c>
      <c r="AZ267" s="842"/>
      <c r="BA267" s="665" t="s">
        <v>5392</v>
      </c>
      <c r="BB267" s="847">
        <v>5.9113863912301383</v>
      </c>
      <c r="BC267" s="665" t="s">
        <v>4598</v>
      </c>
      <c r="BD267" s="842">
        <v>0.04</v>
      </c>
      <c r="BE267" s="842">
        <v>0.1</v>
      </c>
      <c r="BF267" s="665" t="s">
        <v>4748</v>
      </c>
      <c r="BG267" s="830"/>
      <c r="BH267" s="831">
        <f t="shared" si="61"/>
        <v>23.2</v>
      </c>
      <c r="BI267" s="831">
        <f t="shared" si="62"/>
        <v>3.9</v>
      </c>
      <c r="BJ267" s="831">
        <f t="shared" si="63"/>
        <v>33.9</v>
      </c>
      <c r="BK267" s="831">
        <f t="shared" si="64"/>
        <v>6.2</v>
      </c>
      <c r="BL267" s="831">
        <f t="shared" si="65"/>
        <v>9.5</v>
      </c>
      <c r="BM267" s="831">
        <f t="shared" si="66"/>
        <v>5.6</v>
      </c>
      <c r="BN267" s="831">
        <f t="shared" si="67"/>
        <v>8.5</v>
      </c>
      <c r="BO267" s="831">
        <f t="shared" si="68"/>
        <v>9.2000000000000028</v>
      </c>
      <c r="BP267" s="831">
        <f t="shared" si="69"/>
        <v>100</v>
      </c>
      <c r="BQ267" s="665" t="s">
        <v>4575</v>
      </c>
      <c r="BR267" s="855">
        <v>6.6400000000000001E-2</v>
      </c>
      <c r="BS267" s="855">
        <v>6.6400000000000001E-2</v>
      </c>
      <c r="BT267" s="855">
        <v>5.2699999999999997E-2</v>
      </c>
      <c r="BU267" s="855">
        <v>7.3889999999999997E-2</v>
      </c>
      <c r="BV267" s="855">
        <v>4.931E-2</v>
      </c>
      <c r="BW267" s="855" t="s">
        <v>4845</v>
      </c>
      <c r="BX267" s="665" t="s">
        <v>4846</v>
      </c>
      <c r="DH267" s="834">
        <f t="shared" ref="DH267:DJ280" si="70">AW267</f>
        <v>0</v>
      </c>
      <c r="DI267" s="834" t="str">
        <f t="shared" si="70"/>
        <v>Americas</v>
      </c>
      <c r="DJ267" s="834" t="str">
        <f t="shared" si="70"/>
        <v>North America</v>
      </c>
      <c r="DK267" s="834" t="e">
        <f>VLOOKUP(DH267,#REF!,1)</f>
        <v>#REF!</v>
      </c>
      <c r="DL267" s="834" t="e">
        <f>VLOOKUP(DK267,#REF!,2,FALSE)</f>
        <v>#REF!</v>
      </c>
    </row>
    <row r="268" spans="49:116">
      <c r="AW268" s="842"/>
      <c r="AX268" s="842" t="s">
        <v>4657</v>
      </c>
      <c r="AY268" s="846" t="str">
        <f>+BZ18</f>
        <v>North America</v>
      </c>
      <c r="AZ268" s="842"/>
      <c r="BA268" s="665" t="s">
        <v>5392</v>
      </c>
      <c r="BB268" s="847">
        <v>5.9113863912301383</v>
      </c>
      <c r="BC268" s="665" t="s">
        <v>4598</v>
      </c>
      <c r="BD268" s="842">
        <v>0.04</v>
      </c>
      <c r="BE268" s="842">
        <v>0.1</v>
      </c>
      <c r="BF268" s="665" t="s">
        <v>4748</v>
      </c>
      <c r="BG268" s="830"/>
      <c r="BH268" s="831">
        <f t="shared" si="61"/>
        <v>23.2</v>
      </c>
      <c r="BI268" s="831">
        <f t="shared" si="62"/>
        <v>3.9</v>
      </c>
      <c r="BJ268" s="831">
        <f t="shared" si="63"/>
        <v>33.9</v>
      </c>
      <c r="BK268" s="831">
        <f t="shared" si="64"/>
        <v>6.2</v>
      </c>
      <c r="BL268" s="831">
        <f t="shared" si="65"/>
        <v>9.5</v>
      </c>
      <c r="BM268" s="831">
        <f t="shared" si="66"/>
        <v>5.6</v>
      </c>
      <c r="BN268" s="831">
        <f t="shared" si="67"/>
        <v>8.5</v>
      </c>
      <c r="BO268" s="831">
        <f t="shared" si="68"/>
        <v>9.2000000000000028</v>
      </c>
      <c r="BP268" s="831">
        <f t="shared" si="69"/>
        <v>100</v>
      </c>
      <c r="BQ268" s="665" t="s">
        <v>4575</v>
      </c>
      <c r="BR268" s="855">
        <v>6.6400000000000001E-2</v>
      </c>
      <c r="BS268" s="855">
        <v>6.6400000000000001E-2</v>
      </c>
      <c r="BT268" s="855">
        <v>5.2699999999999997E-2</v>
      </c>
      <c r="BU268" s="855">
        <v>7.3889999999999997E-2</v>
      </c>
      <c r="BV268" s="855">
        <v>4.931E-2</v>
      </c>
      <c r="BW268" s="855" t="s">
        <v>4845</v>
      </c>
      <c r="BX268" s="665" t="s">
        <v>4846</v>
      </c>
      <c r="DH268" s="834">
        <f t="shared" si="70"/>
        <v>0</v>
      </c>
      <c r="DI268" s="834" t="str">
        <f t="shared" si="70"/>
        <v>Americas</v>
      </c>
      <c r="DJ268" s="834" t="str">
        <f t="shared" si="70"/>
        <v>North America</v>
      </c>
      <c r="DK268" s="834" t="e">
        <f>VLOOKUP(DH268,#REF!,1)</f>
        <v>#REF!</v>
      </c>
      <c r="DL268" s="834" t="e">
        <f>VLOOKUP(DK268,#REF!,2,FALSE)</f>
        <v>#REF!</v>
      </c>
    </row>
    <row r="269" spans="49:116">
      <c r="AW269" s="842"/>
      <c r="AX269" s="842" t="s">
        <v>4657</v>
      </c>
      <c r="AY269" s="846" t="str">
        <f>+BZ18</f>
        <v>North America</v>
      </c>
      <c r="AZ269" s="842"/>
      <c r="BA269" s="665" t="s">
        <v>5392</v>
      </c>
      <c r="BB269" s="847">
        <v>5.9113863912301383</v>
      </c>
      <c r="BC269" s="665" t="s">
        <v>4598</v>
      </c>
      <c r="BD269" s="842">
        <v>0.04</v>
      </c>
      <c r="BE269" s="842">
        <v>0.1</v>
      </c>
      <c r="BF269" s="665" t="s">
        <v>4748</v>
      </c>
      <c r="BG269" s="830"/>
      <c r="BH269" s="831">
        <f t="shared" si="61"/>
        <v>23.2</v>
      </c>
      <c r="BI269" s="831">
        <f t="shared" si="62"/>
        <v>3.9</v>
      </c>
      <c r="BJ269" s="831">
        <f t="shared" si="63"/>
        <v>33.9</v>
      </c>
      <c r="BK269" s="831">
        <f t="shared" si="64"/>
        <v>6.2</v>
      </c>
      <c r="BL269" s="831">
        <f t="shared" si="65"/>
        <v>9.5</v>
      </c>
      <c r="BM269" s="831">
        <f t="shared" si="66"/>
        <v>5.6</v>
      </c>
      <c r="BN269" s="831">
        <f t="shared" si="67"/>
        <v>8.5</v>
      </c>
      <c r="BO269" s="831">
        <f t="shared" si="68"/>
        <v>9.2000000000000028</v>
      </c>
      <c r="BP269" s="831">
        <f t="shared" si="69"/>
        <v>100</v>
      </c>
      <c r="BQ269" s="665" t="s">
        <v>4575</v>
      </c>
      <c r="BR269" s="855">
        <v>6.6400000000000001E-2</v>
      </c>
      <c r="BS269" s="855">
        <v>6.6400000000000001E-2</v>
      </c>
      <c r="BT269" s="855">
        <v>5.2699999999999997E-2</v>
      </c>
      <c r="BU269" s="855">
        <v>7.3889999999999997E-2</v>
      </c>
      <c r="BV269" s="855">
        <v>4.931E-2</v>
      </c>
      <c r="BW269" s="855" t="s">
        <v>4845</v>
      </c>
      <c r="BX269" s="665" t="s">
        <v>4846</v>
      </c>
      <c r="DH269" s="834">
        <f t="shared" si="70"/>
        <v>0</v>
      </c>
      <c r="DI269" s="834" t="str">
        <f t="shared" si="70"/>
        <v>Americas</v>
      </c>
      <c r="DJ269" s="834" t="str">
        <f t="shared" si="70"/>
        <v>North America</v>
      </c>
      <c r="DK269" s="834" t="e">
        <f>VLOOKUP(DH269,#REF!,1)</f>
        <v>#REF!</v>
      </c>
      <c r="DL269" s="834" t="e">
        <f>VLOOKUP(DK269,#REF!,2,FALSE)</f>
        <v>#REF!</v>
      </c>
    </row>
    <row r="270" spans="49:116">
      <c r="AW270" s="842"/>
      <c r="AX270" s="842" t="s">
        <v>4657</v>
      </c>
      <c r="AY270" s="846" t="str">
        <f>+BZ18</f>
        <v>North America</v>
      </c>
      <c r="AZ270" s="842"/>
      <c r="BA270" s="665" t="s">
        <v>5392</v>
      </c>
      <c r="BB270" s="847">
        <v>5.9113863912301383</v>
      </c>
      <c r="BC270" s="665" t="s">
        <v>4598</v>
      </c>
      <c r="BD270" s="842">
        <v>0.04</v>
      </c>
      <c r="BE270" s="842">
        <v>0.1</v>
      </c>
      <c r="BF270" s="665" t="s">
        <v>4748</v>
      </c>
      <c r="BG270" s="830"/>
      <c r="BH270" s="831">
        <f t="shared" si="61"/>
        <v>23.2</v>
      </c>
      <c r="BI270" s="831">
        <f t="shared" si="62"/>
        <v>3.9</v>
      </c>
      <c r="BJ270" s="831">
        <f t="shared" si="63"/>
        <v>33.9</v>
      </c>
      <c r="BK270" s="831">
        <f t="shared" si="64"/>
        <v>6.2</v>
      </c>
      <c r="BL270" s="831">
        <f t="shared" si="65"/>
        <v>9.5</v>
      </c>
      <c r="BM270" s="831">
        <f t="shared" si="66"/>
        <v>5.6</v>
      </c>
      <c r="BN270" s="831">
        <f t="shared" si="67"/>
        <v>8.5</v>
      </c>
      <c r="BO270" s="831">
        <f t="shared" si="68"/>
        <v>9.2000000000000028</v>
      </c>
      <c r="BP270" s="831">
        <f t="shared" si="69"/>
        <v>100</v>
      </c>
      <c r="BQ270" s="665" t="s">
        <v>4575</v>
      </c>
      <c r="BR270" s="855">
        <v>6.6400000000000001E-2</v>
      </c>
      <c r="BS270" s="855">
        <v>6.6400000000000001E-2</v>
      </c>
      <c r="BT270" s="855">
        <v>5.2699999999999997E-2</v>
      </c>
      <c r="BU270" s="855">
        <v>7.3889999999999997E-2</v>
      </c>
      <c r="BV270" s="855">
        <v>4.931E-2</v>
      </c>
      <c r="BW270" s="855" t="s">
        <v>4845</v>
      </c>
      <c r="BX270" s="665" t="s">
        <v>4846</v>
      </c>
      <c r="DH270" s="834">
        <f t="shared" si="70"/>
        <v>0</v>
      </c>
      <c r="DI270" s="834" t="str">
        <f t="shared" si="70"/>
        <v>Americas</v>
      </c>
      <c r="DJ270" s="834" t="str">
        <f t="shared" si="70"/>
        <v>North America</v>
      </c>
      <c r="DK270" s="834" t="e">
        <f>VLOOKUP(DH270,#REF!,1)</f>
        <v>#REF!</v>
      </c>
      <c r="DL270" s="834" t="e">
        <f>VLOOKUP(DK270,#REF!,2,FALSE)</f>
        <v>#REF!</v>
      </c>
    </row>
    <row r="271" spans="49:116">
      <c r="AW271" s="827" t="s">
        <v>5417</v>
      </c>
      <c r="AX271" s="827" t="s">
        <v>4572</v>
      </c>
      <c r="AY271" s="828" t="str">
        <f>+BZ4</f>
        <v>South-Central Asia</v>
      </c>
      <c r="AZ271" s="827">
        <v>506</v>
      </c>
      <c r="BA271" s="665" t="s">
        <v>4573</v>
      </c>
      <c r="BB271" s="829">
        <v>8.8158844765342952</v>
      </c>
      <c r="BC271" s="665" t="s">
        <v>4598</v>
      </c>
      <c r="BD271" s="830"/>
      <c r="BE271" s="830"/>
      <c r="BF271" s="665"/>
      <c r="BG271" s="830"/>
      <c r="BH271" s="831">
        <f t="shared" si="61"/>
        <v>11.3</v>
      </c>
      <c r="BI271" s="831">
        <f t="shared" si="62"/>
        <v>2.5</v>
      </c>
      <c r="BJ271" s="831">
        <f t="shared" si="63"/>
        <v>40.299999999999997</v>
      </c>
      <c r="BK271" s="831">
        <f t="shared" si="64"/>
        <v>7.9</v>
      </c>
      <c r="BL271" s="831">
        <f t="shared" si="65"/>
        <v>9.5</v>
      </c>
      <c r="BM271" s="831">
        <f t="shared" si="66"/>
        <v>5.6</v>
      </c>
      <c r="BN271" s="831">
        <f t="shared" si="67"/>
        <v>6.4</v>
      </c>
      <c r="BO271" s="831">
        <f t="shared" si="68"/>
        <v>16.5</v>
      </c>
      <c r="BP271" s="831">
        <f t="shared" si="69"/>
        <v>100</v>
      </c>
      <c r="BQ271" s="665" t="s">
        <v>4575</v>
      </c>
      <c r="BR271" s="832"/>
      <c r="BS271" s="832"/>
      <c r="BT271" s="832"/>
      <c r="BU271" s="832"/>
      <c r="BV271" s="832"/>
      <c r="BW271" s="832"/>
      <c r="BX271" s="665"/>
      <c r="DH271" s="834" t="str">
        <f t="shared" si="70"/>
        <v>Uzbekistan</v>
      </c>
      <c r="DI271" s="834" t="str">
        <f t="shared" si="70"/>
        <v>Asia</v>
      </c>
      <c r="DJ271" s="834" t="str">
        <f t="shared" si="70"/>
        <v>South-Central Asia</v>
      </c>
      <c r="DL271" s="834" t="s">
        <v>4584</v>
      </c>
    </row>
    <row r="272" spans="49:116" ht="25.5">
      <c r="AW272" s="827" t="s">
        <v>5418</v>
      </c>
      <c r="AX272" s="842" t="s">
        <v>4626</v>
      </c>
      <c r="AY272" s="828" t="str">
        <f>+BZ17</f>
        <v>Rest of Oceania</v>
      </c>
      <c r="AZ272" s="827">
        <v>371</v>
      </c>
      <c r="BA272" s="665" t="s">
        <v>4573</v>
      </c>
      <c r="BB272" s="829">
        <v>5.4123414965002699</v>
      </c>
      <c r="BC272" s="665" t="s">
        <v>4627</v>
      </c>
      <c r="BD272" s="830"/>
      <c r="BE272" s="830"/>
      <c r="BF272" s="665"/>
      <c r="BG272" s="830"/>
      <c r="BH272" s="831">
        <f t="shared" si="61"/>
        <v>6</v>
      </c>
      <c r="BI272" s="831">
        <f t="shared" si="62"/>
        <v>2.97</v>
      </c>
      <c r="BJ272" s="831">
        <f t="shared" si="63"/>
        <v>67.5</v>
      </c>
      <c r="BK272" s="831">
        <f t="shared" si="64"/>
        <v>2.5</v>
      </c>
      <c r="BL272" s="831">
        <f t="shared" si="65"/>
        <v>9.5</v>
      </c>
      <c r="BM272" s="831">
        <f t="shared" si="66"/>
        <v>5.6</v>
      </c>
      <c r="BN272" s="831">
        <f t="shared" si="67"/>
        <v>2.97</v>
      </c>
      <c r="BO272" s="831">
        <f t="shared" si="68"/>
        <v>2.9666666666666668</v>
      </c>
      <c r="BP272" s="831">
        <f t="shared" si="69"/>
        <v>100.00666666666666</v>
      </c>
      <c r="BQ272" s="665" t="s">
        <v>4575</v>
      </c>
      <c r="BR272" s="832"/>
      <c r="BS272" s="832"/>
      <c r="BT272" s="832"/>
      <c r="BU272" s="832"/>
      <c r="BV272" s="832"/>
      <c r="BW272" s="832"/>
      <c r="BX272" s="665"/>
      <c r="DH272" s="834" t="str">
        <f t="shared" si="70"/>
        <v>Vanatu</v>
      </c>
      <c r="DI272" s="834" t="str">
        <f t="shared" si="70"/>
        <v>Oceania</v>
      </c>
      <c r="DJ272" s="834" t="str">
        <f t="shared" si="70"/>
        <v>Rest of Oceania</v>
      </c>
      <c r="DL272" s="834" t="s">
        <v>4584</v>
      </c>
    </row>
    <row r="273" spans="49:116">
      <c r="AW273" s="827" t="s">
        <v>5419</v>
      </c>
      <c r="AX273" s="842" t="s">
        <v>4657</v>
      </c>
      <c r="AY273" s="828" t="str">
        <f>+BZ20</f>
        <v>South America</v>
      </c>
      <c r="AZ273" s="827">
        <v>345</v>
      </c>
      <c r="BA273" s="665" t="s">
        <v>4573</v>
      </c>
      <c r="BB273" s="829">
        <v>36.04471827953622</v>
      </c>
      <c r="BC273" s="665" t="s">
        <v>4598</v>
      </c>
      <c r="BD273" s="830"/>
      <c r="BE273" s="830"/>
      <c r="BF273" s="665"/>
      <c r="BG273" s="830"/>
      <c r="BH273" s="831">
        <f t="shared" si="61"/>
        <v>17.100000000000001</v>
      </c>
      <c r="BI273" s="831">
        <f t="shared" si="62"/>
        <v>2.6</v>
      </c>
      <c r="BJ273" s="831">
        <f t="shared" si="63"/>
        <v>44.9</v>
      </c>
      <c r="BK273" s="831">
        <f t="shared" si="64"/>
        <v>4.7</v>
      </c>
      <c r="BL273" s="831">
        <f t="shared" si="65"/>
        <v>9.5</v>
      </c>
      <c r="BM273" s="831">
        <f t="shared" si="66"/>
        <v>5.6</v>
      </c>
      <c r="BN273" s="831">
        <f t="shared" si="67"/>
        <v>10.8</v>
      </c>
      <c r="BO273" s="831">
        <f t="shared" si="68"/>
        <v>4.8000000000000114</v>
      </c>
      <c r="BP273" s="831">
        <f t="shared" si="69"/>
        <v>100</v>
      </c>
      <c r="BQ273" s="665" t="s">
        <v>4575</v>
      </c>
      <c r="BR273" s="832"/>
      <c r="BS273" s="832"/>
      <c r="BT273" s="832"/>
      <c r="BU273" s="832"/>
      <c r="BV273" s="832"/>
      <c r="BW273" s="832"/>
      <c r="BX273" s="665"/>
      <c r="DH273" s="834" t="str">
        <f t="shared" si="70"/>
        <v>Venezuela</v>
      </c>
      <c r="DI273" s="834" t="str">
        <f t="shared" si="70"/>
        <v>Americas</v>
      </c>
      <c r="DJ273" s="834" t="str">
        <f t="shared" si="70"/>
        <v>South America</v>
      </c>
      <c r="DL273" s="834" t="s">
        <v>4584</v>
      </c>
    </row>
    <row r="274" spans="49:116">
      <c r="AW274" s="827" t="s">
        <v>5420</v>
      </c>
      <c r="AX274" s="827" t="s">
        <v>4572</v>
      </c>
      <c r="AY274" s="828" t="str">
        <f>+BZ5</f>
        <v>South-Eastern Asia</v>
      </c>
      <c r="AZ274" s="827">
        <v>356</v>
      </c>
      <c r="BA274" s="665" t="s">
        <v>4573</v>
      </c>
      <c r="BB274" s="829">
        <v>9.2867122845985737</v>
      </c>
      <c r="BC274" s="665" t="s">
        <v>4598</v>
      </c>
      <c r="BD274" s="830"/>
      <c r="BE274" s="830"/>
      <c r="BF274" s="665"/>
      <c r="BG274" s="830"/>
      <c r="BH274" s="831">
        <f t="shared" si="61"/>
        <v>12.9</v>
      </c>
      <c r="BI274" s="831">
        <f t="shared" si="62"/>
        <v>2.7</v>
      </c>
      <c r="BJ274" s="831">
        <f t="shared" si="63"/>
        <v>43.5</v>
      </c>
      <c r="BK274" s="831">
        <f t="shared" si="64"/>
        <v>9.9</v>
      </c>
      <c r="BL274" s="831">
        <f t="shared" si="65"/>
        <v>9.5</v>
      </c>
      <c r="BM274" s="831">
        <f t="shared" si="66"/>
        <v>5.6</v>
      </c>
      <c r="BN274" s="831">
        <f t="shared" si="67"/>
        <v>7.2</v>
      </c>
      <c r="BO274" s="831">
        <f t="shared" si="68"/>
        <v>8.7000000000000028</v>
      </c>
      <c r="BP274" s="831">
        <f t="shared" si="69"/>
        <v>100</v>
      </c>
      <c r="BQ274" s="665" t="s">
        <v>4575</v>
      </c>
      <c r="BR274" s="832"/>
      <c r="BS274" s="832"/>
      <c r="BT274" s="832"/>
      <c r="BU274" s="832"/>
      <c r="BV274" s="832"/>
      <c r="BW274" s="832"/>
      <c r="BX274" s="665"/>
      <c r="DH274" s="834" t="str">
        <f t="shared" si="70"/>
        <v>Vietnam</v>
      </c>
      <c r="DI274" s="834" t="str">
        <f t="shared" si="70"/>
        <v>Asia</v>
      </c>
      <c r="DJ274" s="834" t="str">
        <f t="shared" si="70"/>
        <v>South-Eastern Asia</v>
      </c>
      <c r="DL274" s="834" t="s">
        <v>4584</v>
      </c>
    </row>
    <row r="275" spans="49:116" ht="25.5">
      <c r="AW275" s="827" t="s">
        <v>5421</v>
      </c>
      <c r="AX275" s="842" t="s">
        <v>4657</v>
      </c>
      <c r="AY275" s="828" t="str">
        <f>+BZ21</f>
        <v>Caribbean</v>
      </c>
      <c r="AZ275" s="827">
        <v>375</v>
      </c>
      <c r="BA275" s="665" t="s">
        <v>4573</v>
      </c>
      <c r="BB275" s="829">
        <v>9.3894684857089938</v>
      </c>
      <c r="BC275" s="665" t="s">
        <v>4658</v>
      </c>
      <c r="BD275" s="830"/>
      <c r="BE275" s="830"/>
      <c r="BF275" s="665"/>
      <c r="BG275" s="830"/>
      <c r="BH275" s="831">
        <f t="shared" si="61"/>
        <v>17</v>
      </c>
      <c r="BI275" s="831">
        <f t="shared" si="62"/>
        <v>5.0999999999999996</v>
      </c>
      <c r="BJ275" s="831">
        <f t="shared" si="63"/>
        <v>46.9</v>
      </c>
      <c r="BK275" s="831">
        <f t="shared" si="64"/>
        <v>2.4</v>
      </c>
      <c r="BL275" s="831">
        <f t="shared" si="65"/>
        <v>9.5</v>
      </c>
      <c r="BM275" s="831">
        <f t="shared" si="66"/>
        <v>5.6</v>
      </c>
      <c r="BN275" s="831">
        <f t="shared" si="67"/>
        <v>9.9</v>
      </c>
      <c r="BO275" s="831">
        <f t="shared" si="68"/>
        <v>3.5999999999999943</v>
      </c>
      <c r="BP275" s="831">
        <f t="shared" si="69"/>
        <v>100</v>
      </c>
      <c r="BQ275" s="665" t="s">
        <v>4575</v>
      </c>
      <c r="BR275" s="832"/>
      <c r="BS275" s="832"/>
      <c r="BT275" s="832"/>
      <c r="BU275" s="832"/>
      <c r="BV275" s="832"/>
      <c r="BW275" s="832"/>
      <c r="BX275" s="665"/>
      <c r="DH275" s="834" t="str">
        <f t="shared" si="70"/>
        <v>Virgin Islands (U.S.)</v>
      </c>
      <c r="DI275" s="834" t="str">
        <f t="shared" si="70"/>
        <v>Americas</v>
      </c>
      <c r="DJ275" s="834" t="str">
        <f t="shared" si="70"/>
        <v>Caribbean</v>
      </c>
      <c r="DL275" s="834" t="s">
        <v>4584</v>
      </c>
    </row>
    <row r="276" spans="49:116" ht="25.5">
      <c r="AW276" s="827" t="s">
        <v>5422</v>
      </c>
      <c r="AX276" s="827" t="s">
        <v>4572</v>
      </c>
      <c r="AY276" s="828" t="str">
        <f>+BZ6</f>
        <v>Western Asia &amp; Middle East</v>
      </c>
      <c r="AZ276" s="827">
        <v>625</v>
      </c>
      <c r="BA276" s="665" t="s">
        <v>4573</v>
      </c>
      <c r="BB276" s="829">
        <v>13.490630673342661</v>
      </c>
      <c r="BC276" s="665" t="s">
        <v>4784</v>
      </c>
      <c r="BD276" s="830"/>
      <c r="BE276" s="830"/>
      <c r="BF276" s="665"/>
      <c r="BG276" s="830"/>
      <c r="BH276" s="831">
        <f t="shared" si="61"/>
        <v>18</v>
      </c>
      <c r="BI276" s="831">
        <f t="shared" si="62"/>
        <v>2.9</v>
      </c>
      <c r="BJ276" s="831">
        <f t="shared" si="63"/>
        <v>41.1</v>
      </c>
      <c r="BK276" s="831">
        <f t="shared" si="64"/>
        <v>9.8000000000000007</v>
      </c>
      <c r="BL276" s="831">
        <f t="shared" si="65"/>
        <v>9.5</v>
      </c>
      <c r="BM276" s="831">
        <f t="shared" si="66"/>
        <v>5.6</v>
      </c>
      <c r="BN276" s="831">
        <f t="shared" si="67"/>
        <v>6.3</v>
      </c>
      <c r="BO276" s="831">
        <f t="shared" si="68"/>
        <v>6.8000000000000114</v>
      </c>
      <c r="BP276" s="831">
        <f t="shared" si="69"/>
        <v>100</v>
      </c>
      <c r="BQ276" s="665" t="s">
        <v>4575</v>
      </c>
      <c r="BR276" s="832"/>
      <c r="BS276" s="832"/>
      <c r="BT276" s="832"/>
      <c r="BU276" s="832"/>
      <c r="BV276" s="832"/>
      <c r="BW276" s="832"/>
      <c r="BX276" s="665"/>
      <c r="DH276" s="834" t="str">
        <f t="shared" si="70"/>
        <v>West Bank and Gaza</v>
      </c>
      <c r="DI276" s="834" t="str">
        <f t="shared" si="70"/>
        <v>Asia</v>
      </c>
      <c r="DJ276" s="834" t="str">
        <f t="shared" si="70"/>
        <v>Western Asia &amp; Middle East</v>
      </c>
      <c r="DL276" s="834" t="s">
        <v>4584</v>
      </c>
    </row>
    <row r="277" spans="49:116">
      <c r="AW277" s="827" t="s">
        <v>5423</v>
      </c>
      <c r="AX277" s="827" t="s">
        <v>4572</v>
      </c>
      <c r="AY277" s="828" t="str">
        <f>+BZ5</f>
        <v>South-Eastern Asia</v>
      </c>
      <c r="AZ277" s="827">
        <v>636</v>
      </c>
      <c r="BA277" s="665" t="s">
        <v>4573</v>
      </c>
      <c r="BB277" s="829">
        <v>25.765105937745226</v>
      </c>
      <c r="BC277" s="665" t="s">
        <v>4598</v>
      </c>
      <c r="BD277" s="830"/>
      <c r="BE277" s="830"/>
      <c r="BF277" s="665"/>
      <c r="BG277" s="830"/>
      <c r="BH277" s="831">
        <f t="shared" si="61"/>
        <v>12.9</v>
      </c>
      <c r="BI277" s="831">
        <f t="shared" si="62"/>
        <v>2.7</v>
      </c>
      <c r="BJ277" s="831">
        <f t="shared" si="63"/>
        <v>43.5</v>
      </c>
      <c r="BK277" s="831">
        <f t="shared" si="64"/>
        <v>9.9</v>
      </c>
      <c r="BL277" s="831">
        <f t="shared" si="65"/>
        <v>9.5</v>
      </c>
      <c r="BM277" s="831">
        <f t="shared" si="66"/>
        <v>5.6</v>
      </c>
      <c r="BN277" s="831">
        <f t="shared" si="67"/>
        <v>7.2</v>
      </c>
      <c r="BO277" s="831">
        <f t="shared" si="68"/>
        <v>8.7000000000000028</v>
      </c>
      <c r="BP277" s="831">
        <f t="shared" si="69"/>
        <v>100</v>
      </c>
      <c r="BQ277" s="665" t="s">
        <v>4575</v>
      </c>
      <c r="BR277" s="832"/>
      <c r="BS277" s="832"/>
      <c r="BT277" s="832"/>
      <c r="BU277" s="832"/>
      <c r="BV277" s="832"/>
      <c r="BW277" s="832"/>
      <c r="BX277" s="665"/>
      <c r="DH277" s="834" t="str">
        <f t="shared" si="70"/>
        <v>Yemen</v>
      </c>
      <c r="DI277" s="834" t="str">
        <f t="shared" si="70"/>
        <v>Asia</v>
      </c>
      <c r="DJ277" s="834" t="str">
        <f t="shared" si="70"/>
        <v>South-Eastern Asia</v>
      </c>
      <c r="DL277" s="834" t="s">
        <v>4584</v>
      </c>
    </row>
    <row r="278" spans="49:116">
      <c r="AW278" s="827" t="s">
        <v>5424</v>
      </c>
      <c r="AX278" s="827" t="s">
        <v>4614</v>
      </c>
      <c r="AY278" s="828" t="str">
        <f>+BZ7</f>
        <v>Eastern Africa</v>
      </c>
      <c r="AZ278" s="827">
        <v>99</v>
      </c>
      <c r="BA278" s="665" t="s">
        <v>4573</v>
      </c>
      <c r="BB278" s="829">
        <v>14.95986714641572</v>
      </c>
      <c r="BC278" s="665" t="s">
        <v>4598</v>
      </c>
      <c r="BD278" s="830"/>
      <c r="BE278" s="830"/>
      <c r="BF278" s="665"/>
      <c r="BG278" s="830"/>
      <c r="BH278" s="831">
        <f t="shared" si="61"/>
        <v>7.7</v>
      </c>
      <c r="BI278" s="831">
        <f t="shared" si="62"/>
        <v>1.7</v>
      </c>
      <c r="BJ278" s="831">
        <f t="shared" si="63"/>
        <v>53.9</v>
      </c>
      <c r="BK278" s="831">
        <f t="shared" si="64"/>
        <v>7</v>
      </c>
      <c r="BL278" s="831">
        <f t="shared" si="65"/>
        <v>9.5</v>
      </c>
      <c r="BM278" s="831">
        <f t="shared" si="66"/>
        <v>5.6</v>
      </c>
      <c r="BN278" s="831">
        <f t="shared" si="67"/>
        <v>5.5</v>
      </c>
      <c r="BO278" s="831">
        <f t="shared" si="68"/>
        <v>9.1000000000000085</v>
      </c>
      <c r="BP278" s="831">
        <f t="shared" si="69"/>
        <v>100</v>
      </c>
      <c r="BQ278" s="665" t="s">
        <v>4575</v>
      </c>
      <c r="BR278" s="832"/>
      <c r="BS278" s="832"/>
      <c r="BT278" s="832"/>
      <c r="BU278" s="832"/>
      <c r="BV278" s="832"/>
      <c r="BW278" s="832"/>
      <c r="BX278" s="665"/>
      <c r="DH278" s="834" t="str">
        <f t="shared" si="70"/>
        <v>Zambia</v>
      </c>
      <c r="DI278" s="834" t="str">
        <f t="shared" si="70"/>
        <v>Africa</v>
      </c>
      <c r="DJ278" s="834" t="str">
        <f t="shared" si="70"/>
        <v>Eastern Africa</v>
      </c>
      <c r="DL278" s="834" t="s">
        <v>4584</v>
      </c>
    </row>
    <row r="279" spans="49:116">
      <c r="AW279" s="827" t="s">
        <v>5425</v>
      </c>
      <c r="AX279" s="827" t="s">
        <v>4614</v>
      </c>
      <c r="AY279" s="828" t="str">
        <f>+BZ7</f>
        <v>Eastern Africa</v>
      </c>
      <c r="AZ279" s="827">
        <v>648</v>
      </c>
      <c r="BA279" s="665" t="s">
        <v>4573</v>
      </c>
      <c r="BB279" s="829">
        <v>17.655571635311144</v>
      </c>
      <c r="BC279" s="665" t="s">
        <v>5426</v>
      </c>
      <c r="BD279" s="830"/>
      <c r="BE279" s="830"/>
      <c r="BF279" s="665"/>
      <c r="BG279" s="830"/>
      <c r="BH279" s="831">
        <f t="shared" si="61"/>
        <v>7.7</v>
      </c>
      <c r="BI279" s="831">
        <f t="shared" si="62"/>
        <v>1.7</v>
      </c>
      <c r="BJ279" s="831">
        <f t="shared" si="63"/>
        <v>53.9</v>
      </c>
      <c r="BK279" s="831">
        <f t="shared" si="64"/>
        <v>7</v>
      </c>
      <c r="BL279" s="831">
        <f t="shared" si="65"/>
        <v>9.5</v>
      </c>
      <c r="BM279" s="831">
        <f t="shared" si="66"/>
        <v>5.6</v>
      </c>
      <c r="BN279" s="831">
        <f t="shared" si="67"/>
        <v>5.5</v>
      </c>
      <c r="BO279" s="831">
        <f t="shared" si="68"/>
        <v>9.1000000000000085</v>
      </c>
      <c r="BP279" s="831">
        <f t="shared" si="69"/>
        <v>100</v>
      </c>
      <c r="BQ279" s="665" t="s">
        <v>4575</v>
      </c>
      <c r="BR279" s="832"/>
      <c r="BS279" s="832"/>
      <c r="BT279" s="832"/>
      <c r="BU279" s="832"/>
      <c r="BV279" s="832"/>
      <c r="BW279" s="832"/>
      <c r="BX279" s="665"/>
      <c r="DH279" s="834" t="str">
        <f t="shared" si="70"/>
        <v>Zanzibar (Tanzania)</v>
      </c>
      <c r="DI279" s="834" t="str">
        <f t="shared" si="70"/>
        <v>Africa</v>
      </c>
      <c r="DJ279" s="834" t="str">
        <f t="shared" si="70"/>
        <v>Eastern Africa</v>
      </c>
      <c r="DL279" s="834" t="s">
        <v>4584</v>
      </c>
    </row>
    <row r="280" spans="49:116">
      <c r="AW280" s="827" t="s">
        <v>5427</v>
      </c>
      <c r="AX280" s="827" t="s">
        <v>4614</v>
      </c>
      <c r="AY280" s="828" t="str">
        <f>+BZ7</f>
        <v>Eastern Africa</v>
      </c>
      <c r="AZ280" s="827">
        <v>883</v>
      </c>
      <c r="BA280" s="665" t="s">
        <v>4573</v>
      </c>
      <c r="BB280" s="829">
        <v>16.437263115898666</v>
      </c>
      <c r="BC280" s="665" t="s">
        <v>4598</v>
      </c>
      <c r="BD280" s="830"/>
      <c r="BE280" s="830"/>
      <c r="BF280" s="665"/>
      <c r="BG280" s="830"/>
      <c r="BH280" s="831">
        <f t="shared" si="61"/>
        <v>7.7</v>
      </c>
      <c r="BI280" s="831">
        <f t="shared" si="62"/>
        <v>1.7</v>
      </c>
      <c r="BJ280" s="831">
        <f t="shared" si="63"/>
        <v>53.9</v>
      </c>
      <c r="BK280" s="831">
        <f t="shared" si="64"/>
        <v>7</v>
      </c>
      <c r="BL280" s="831">
        <f t="shared" si="65"/>
        <v>9.5</v>
      </c>
      <c r="BM280" s="831">
        <f t="shared" si="66"/>
        <v>5.6</v>
      </c>
      <c r="BN280" s="831">
        <f t="shared" si="67"/>
        <v>5.5</v>
      </c>
      <c r="BO280" s="831">
        <f t="shared" si="68"/>
        <v>9.1000000000000085</v>
      </c>
      <c r="BP280" s="831">
        <f t="shared" si="69"/>
        <v>100</v>
      </c>
      <c r="BQ280" s="665" t="s">
        <v>4575</v>
      </c>
      <c r="BR280" s="832"/>
      <c r="BS280" s="832"/>
      <c r="BT280" s="832"/>
      <c r="BU280" s="832"/>
      <c r="BV280" s="832"/>
      <c r="BW280" s="832"/>
      <c r="BX280" s="665"/>
      <c r="DH280" s="834" t="str">
        <f t="shared" si="70"/>
        <v>Zimbabwe</v>
      </c>
      <c r="DI280" s="834" t="str">
        <f t="shared" si="70"/>
        <v>Africa</v>
      </c>
      <c r="DJ280" s="834" t="str">
        <f t="shared" si="70"/>
        <v>Eastern Africa</v>
      </c>
      <c r="DL280" s="834" t="s">
        <v>4584</v>
      </c>
    </row>
  </sheetData>
  <sheetProtection selectLockedCells="1"/>
  <autoFilter ref="BB2:BB280" xr:uid="{00000000-0009-0000-0000-000004000000}"/>
  <mergeCells count="58">
    <mergeCell ref="DF1:DF2"/>
    <mergeCell ref="DK1:DL1"/>
    <mergeCell ref="X18:AC18"/>
    <mergeCell ref="CU1:CU2"/>
    <mergeCell ref="CV1:CV2"/>
    <mergeCell ref="CW1:CW2"/>
    <mergeCell ref="CX1:CX2"/>
    <mergeCell ref="CZ1:CZ2"/>
    <mergeCell ref="DB1:DD1"/>
    <mergeCell ref="CA1:CI1"/>
    <mergeCell ref="CK1:CK2"/>
    <mergeCell ref="CM1:CM2"/>
    <mergeCell ref="CO1:CP1"/>
    <mergeCell ref="CQ1:CR1"/>
    <mergeCell ref="CS1:CS2"/>
    <mergeCell ref="AZ1:BA1"/>
    <mergeCell ref="BB1:BC1"/>
    <mergeCell ref="BD1:BG1"/>
    <mergeCell ref="BH1:BQ1"/>
    <mergeCell ref="BR1:BX1"/>
    <mergeCell ref="BZ1:BZ2"/>
    <mergeCell ref="V1:V2"/>
    <mergeCell ref="X1:X2"/>
    <mergeCell ref="Y1:Y2"/>
    <mergeCell ref="Z1:Z2"/>
    <mergeCell ref="AU1:AU2"/>
    <mergeCell ref="AB1:AB2"/>
    <mergeCell ref="AC1:AC2"/>
    <mergeCell ref="AE1:AE2"/>
    <mergeCell ref="AF1:AF2"/>
    <mergeCell ref="AH1:AH2"/>
    <mergeCell ref="AJ1:AJ2"/>
    <mergeCell ref="AL1:AL2"/>
    <mergeCell ref="AN1:AN2"/>
    <mergeCell ref="AP1:AP2"/>
    <mergeCell ref="AR1:AR2"/>
    <mergeCell ref="AS1:AS2"/>
    <mergeCell ref="Q1:Q2"/>
    <mergeCell ref="R1:R2"/>
    <mergeCell ref="S1:S2"/>
    <mergeCell ref="T1:T2"/>
    <mergeCell ref="U1:U2"/>
    <mergeCell ref="DT1:DT2"/>
    <mergeCell ref="N1:N2"/>
    <mergeCell ref="A1:A2"/>
    <mergeCell ref="C1:C2"/>
    <mergeCell ref="D1:D2"/>
    <mergeCell ref="E1:E2"/>
    <mergeCell ref="F1:F2"/>
    <mergeCell ref="G1:G2"/>
    <mergeCell ref="H1:H2"/>
    <mergeCell ref="I1:I2"/>
    <mergeCell ref="J1:J2"/>
    <mergeCell ref="L1:L2"/>
    <mergeCell ref="M1:M2"/>
    <mergeCell ref="AA1:AA2"/>
    <mergeCell ref="O1:O2"/>
    <mergeCell ref="P1:P2"/>
  </mergeCells>
  <dataValidations disablePrompts="1" count="1">
    <dataValidation type="list" allowBlank="1" showInputMessage="1" showErrorMessage="1" sqref="AL3:AL7" xr:uid="{00000000-0002-0000-0400-000000000000}">
      <formula1>#REF!</formula1>
    </dataValidation>
  </dataValidations>
  <pageMargins left="0.7" right="0.7" top="0.79166666666666663" bottom="0.75" header="0.3" footer="0.3"/>
  <pageSetup paperSize="9" orientation="landscape" horizontalDpi="1200" verticalDpi="1200" r:id="rId1"/>
  <headerFooter>
    <oddHeader xml:space="preserve">&amp;L&amp;G&amp;R&amp;8
&amp;"-,Negrita"Herramienta para el cálculo de la huella de carbono en hospitales&amp;"-,Normal"
</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4E494"/>
  </sheetPr>
  <dimension ref="A1:DQ305"/>
  <sheetViews>
    <sheetView zoomScale="80" zoomScaleNormal="80" zoomScaleSheetLayoutView="80" zoomScalePageLayoutView="40" workbookViewId="0">
      <selection activeCell="A20" sqref="A20:XFD20"/>
    </sheetView>
  </sheetViews>
  <sheetFormatPr defaultColWidth="10.5" defaultRowHeight="14.25"/>
  <cols>
    <col min="1" max="1" width="8.125" style="666" customWidth="1"/>
    <col min="2" max="2" width="70.625" style="75" customWidth="1"/>
    <col min="3" max="3" width="2.875" style="75" customWidth="1"/>
    <col min="4" max="4" width="15.25" style="75" customWidth="1"/>
    <col min="5" max="5" width="19.5" style="75" customWidth="1"/>
    <col min="6" max="6" width="12" style="75" customWidth="1"/>
    <col min="7" max="7" width="12.125" style="668" bestFit="1" customWidth="1"/>
    <col min="8" max="8" width="10.5" style="668" customWidth="1"/>
    <col min="9" max="11" width="10.5" style="668"/>
    <col min="12" max="12" width="24.625" style="668" bestFit="1" customWidth="1"/>
    <col min="13" max="13" width="58.625" style="668" customWidth="1"/>
    <col min="14" max="15" width="10.5" style="668"/>
    <col min="16" max="16" width="37.375" style="668" bestFit="1" customWidth="1"/>
    <col min="17" max="16384" width="10.5" style="668"/>
  </cols>
  <sheetData>
    <row r="1" spans="1:121" ht="102.95" customHeight="1">
      <c r="B1" s="667"/>
      <c r="C1" s="1175"/>
      <c r="D1" s="1175"/>
      <c r="E1" s="1175"/>
      <c r="F1" s="1175"/>
    </row>
    <row r="2" spans="1:121" s="983" customFormat="1" ht="24" customHeight="1">
      <c r="A2" s="990"/>
      <c r="B2" s="982" t="str">
        <f>+Instructions!B2</f>
        <v>Health Care Emissions Impact Calculator-Facility</v>
      </c>
      <c r="C2" s="981"/>
      <c r="D2" s="982"/>
      <c r="E2" s="982"/>
      <c r="F2" s="982"/>
    </row>
    <row r="3" spans="1:121" s="671" customFormat="1" ht="24" customHeight="1">
      <c r="A3" s="669"/>
      <c r="B3" s="672" t="str">
        <f>+'Facility or System Data'!$C$3&amp;" - Year " &amp; Instructions!$C$6&amp;" - Results in MTCO2e"</f>
        <v xml:space="preserve">  - Year  - Results in MTCO2e</v>
      </c>
      <c r="C3" s="672"/>
      <c r="D3" s="670"/>
      <c r="E3" s="670"/>
      <c r="F3" s="670"/>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row>
    <row r="4" spans="1:121" s="671" customFormat="1" ht="12" customHeight="1">
      <c r="A4" s="666"/>
      <c r="B4" s="75"/>
      <c r="C4" s="75"/>
      <c r="D4" s="75"/>
      <c r="E4" s="75"/>
      <c r="F4" s="75"/>
      <c r="G4" s="668"/>
      <c r="H4" s="668"/>
      <c r="I4" s="668"/>
      <c r="J4" s="668"/>
      <c r="K4" s="668"/>
      <c r="L4" s="668"/>
      <c r="M4" s="668"/>
      <c r="N4" s="668"/>
      <c r="O4" s="668"/>
      <c r="P4" s="668"/>
      <c r="Q4" s="668"/>
      <c r="R4" s="668"/>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row>
    <row r="5" spans="1:121" s="671" customFormat="1" ht="11.25" customHeight="1">
      <c r="A5" s="666"/>
      <c r="B5" s="75"/>
      <c r="C5" s="75"/>
      <c r="D5" s="75"/>
      <c r="E5" s="75"/>
      <c r="F5" s="75"/>
      <c r="G5" s="668"/>
      <c r="H5" s="668"/>
      <c r="I5" s="668"/>
      <c r="J5" s="668"/>
      <c r="K5" s="668"/>
      <c r="L5" s="668"/>
      <c r="M5" s="668"/>
      <c r="N5" s="668"/>
      <c r="O5" s="668"/>
      <c r="P5" s="668"/>
      <c r="Q5" s="668"/>
      <c r="R5" s="668"/>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row>
    <row r="6" spans="1:121" s="677" customFormat="1" ht="18" customHeight="1">
      <c r="A6" s="673"/>
      <c r="C6" s="674"/>
      <c r="D6" s="1011" t="s">
        <v>5746</v>
      </c>
      <c r="E6" s="1010">
        <f>(+E7+E20+E23)</f>
        <v>0</v>
      </c>
      <c r="F6" s="675">
        <f>+F7+F20+F23</f>
        <v>0</v>
      </c>
      <c r="G6" s="676"/>
      <c r="H6" s="676"/>
      <c r="I6" s="676"/>
      <c r="J6" s="676"/>
      <c r="K6" s="676"/>
      <c r="L6" s="676"/>
      <c r="M6" s="676"/>
      <c r="N6" s="676"/>
      <c r="O6" s="676"/>
      <c r="P6" s="676"/>
      <c r="Q6" s="676"/>
      <c r="R6" s="676"/>
      <c r="S6" s="676"/>
      <c r="T6" s="676"/>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c r="AT6" s="676"/>
      <c r="AU6" s="676"/>
      <c r="AV6" s="676"/>
      <c r="AW6" s="676"/>
      <c r="AX6" s="676"/>
      <c r="AY6" s="676"/>
      <c r="AZ6" s="676"/>
      <c r="BA6" s="676"/>
      <c r="BB6" s="676"/>
      <c r="BC6" s="676"/>
      <c r="BD6" s="676"/>
      <c r="BE6" s="676"/>
      <c r="BF6" s="676"/>
      <c r="BG6" s="676"/>
      <c r="BH6" s="676"/>
      <c r="BI6" s="676"/>
      <c r="BJ6" s="676"/>
      <c r="BK6" s="676"/>
      <c r="BL6" s="676"/>
      <c r="BM6" s="676"/>
      <c r="BN6" s="676"/>
      <c r="BO6" s="676"/>
      <c r="BP6" s="676"/>
      <c r="BQ6" s="676"/>
      <c r="BR6" s="676"/>
      <c r="BS6" s="676"/>
      <c r="BT6" s="676"/>
      <c r="BU6" s="676"/>
      <c r="BV6" s="676"/>
      <c r="BW6" s="676"/>
      <c r="BX6" s="676"/>
      <c r="BY6" s="676"/>
      <c r="BZ6" s="676"/>
      <c r="CA6" s="676"/>
      <c r="CB6" s="676"/>
      <c r="CC6" s="676"/>
      <c r="CD6" s="676"/>
      <c r="CE6" s="676"/>
      <c r="CF6" s="676"/>
      <c r="CG6" s="676"/>
      <c r="CH6" s="676"/>
      <c r="CI6" s="676"/>
      <c r="CJ6" s="676"/>
      <c r="CK6" s="676"/>
      <c r="CL6" s="676"/>
      <c r="CM6" s="676"/>
      <c r="CN6" s="676"/>
      <c r="CO6" s="676"/>
      <c r="CP6" s="676"/>
      <c r="CQ6" s="676"/>
      <c r="CR6" s="676"/>
      <c r="CS6" s="676"/>
      <c r="CT6" s="676"/>
      <c r="CU6" s="676"/>
      <c r="CV6" s="676"/>
      <c r="CW6" s="676"/>
      <c r="CX6" s="676"/>
      <c r="CY6" s="676"/>
      <c r="CZ6" s="676"/>
      <c r="DA6" s="676"/>
      <c r="DB6" s="676"/>
      <c r="DC6" s="676"/>
      <c r="DD6" s="676"/>
      <c r="DE6" s="676"/>
      <c r="DF6" s="676"/>
      <c r="DG6" s="676"/>
      <c r="DH6" s="676"/>
      <c r="DI6" s="676"/>
      <c r="DJ6" s="676"/>
      <c r="DK6" s="676"/>
      <c r="DL6" s="676"/>
      <c r="DM6" s="676"/>
      <c r="DN6" s="676"/>
      <c r="DO6" s="676"/>
    </row>
    <row r="7" spans="1:121" s="671" customFormat="1" ht="24.95" customHeight="1">
      <c r="A7" s="678"/>
      <c r="B7" s="679" t="str">
        <f>+'Scope 1 and 2 Data'!$A$12</f>
        <v>Scope 1</v>
      </c>
      <c r="C7" s="680"/>
      <c r="D7" s="680"/>
      <c r="E7" s="681">
        <f>+(SUM(H8:H9,H11:H12,H14:H15,H17:H19))</f>
        <v>0</v>
      </c>
      <c r="F7" s="682">
        <f>+IF($E$6&lt;&gt;0,E7/$E$6,0)</f>
        <v>0</v>
      </c>
      <c r="G7" s="683" t="s">
        <v>4428</v>
      </c>
      <c r="H7" s="683" t="s">
        <v>4429</v>
      </c>
      <c r="I7" s="683"/>
      <c r="J7" s="668"/>
      <c r="K7" s="668"/>
      <c r="L7" s="668" t="s">
        <v>4430</v>
      </c>
      <c r="M7" s="668"/>
      <c r="N7" s="668"/>
      <c r="O7" s="668"/>
      <c r="P7" s="668" t="s">
        <v>4431</v>
      </c>
      <c r="Q7" s="668"/>
      <c r="R7" s="668"/>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row>
    <row r="8" spans="1:121" s="671" customFormat="1" ht="20.25" customHeight="1">
      <c r="A8" s="684" t="str">
        <f>+'Scope 1 and 2 Data'!A15</f>
        <v>1.1</v>
      </c>
      <c r="B8" s="685" t="str">
        <f>+'Scope 1 and 2 Data'!B15</f>
        <v>Stationary Combustion</v>
      </c>
      <c r="C8" s="686"/>
      <c r="D8" s="686"/>
      <c r="E8" s="687">
        <f>+IF('Scope 1 and 2 Data'!C21&lt;&gt;'Scope 1 and 2 Data'!$B$6,'Scope 1 and 2 Data'!C21,'Scope 1 and 2 Data'!G29/1000)</f>
        <v>0</v>
      </c>
      <c r="F8" s="688">
        <f>+IF($E$6&lt;&gt;0,H8/$E$6,0)</f>
        <v>0</v>
      </c>
      <c r="G8" s="683" t="b">
        <f>+ISNUMBER(E8)</f>
        <v>1</v>
      </c>
      <c r="H8" s="683">
        <f>+IF(G8=TRUE,E8,0)</f>
        <v>0</v>
      </c>
      <c r="I8" s="683"/>
      <c r="J8" s="668"/>
      <c r="K8" s="668"/>
      <c r="L8" s="668" t="s">
        <v>216</v>
      </c>
      <c r="M8" s="689" t="str">
        <f>+B8</f>
        <v>Stationary Combustion</v>
      </c>
      <c r="N8" s="668">
        <f>+H8</f>
        <v>0</v>
      </c>
      <c r="O8" s="668"/>
      <c r="P8" s="668" t="str">
        <f>+B8</f>
        <v>Stationary Combustion</v>
      </c>
      <c r="Q8" s="668">
        <f>+H8</f>
        <v>0</v>
      </c>
      <c r="R8" s="668"/>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row>
    <row r="9" spans="1:121" s="671" customFormat="1" ht="20.25" customHeight="1">
      <c r="A9" s="684" t="str">
        <f>+'Scope 1 and 2 Data'!A40</f>
        <v>1.2</v>
      </c>
      <c r="B9" s="685" t="str">
        <f>+'Scope 1 and 2 Data'!B40</f>
        <v>Mobile Combustion</v>
      </c>
      <c r="C9" s="686"/>
      <c r="D9" s="686"/>
      <c r="E9" s="687">
        <f>+IF('Scope 1 and 2 Data'!C45&lt;&gt;'Scope 1 and 2 Data'!$B$6,'Scope 1 and 2 Data'!C45,'Scope 1 and 2 Data'!H60/1000)</f>
        <v>0</v>
      </c>
      <c r="F9" s="688">
        <f>+IF($E$6&lt;&gt;0,H9/$E$6,0)</f>
        <v>0</v>
      </c>
      <c r="G9" s="683" t="b">
        <f>+ISNUMBER(E9)</f>
        <v>1</v>
      </c>
      <c r="H9" s="683">
        <f>+IF(G9=TRUE,E9,0)</f>
        <v>0</v>
      </c>
      <c r="I9" s="683"/>
      <c r="J9" s="668"/>
      <c r="K9" s="668"/>
      <c r="L9" s="668" t="s">
        <v>216</v>
      </c>
      <c r="M9" s="689" t="str">
        <f>+B9</f>
        <v>Mobile Combustion</v>
      </c>
      <c r="N9" s="668">
        <f>+H9</f>
        <v>0</v>
      </c>
      <c r="O9" s="668"/>
      <c r="P9" s="668" t="str">
        <f>+B9</f>
        <v>Mobile Combustion</v>
      </c>
      <c r="Q9" s="668">
        <f>+H9</f>
        <v>0</v>
      </c>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row>
    <row r="10" spans="1:121" s="671" customFormat="1" ht="20.25" customHeight="1">
      <c r="A10" s="690" t="str">
        <f>+'Scope 1 and 2 Data'!A67</f>
        <v>1.3</v>
      </c>
      <c r="B10" s="685" t="str">
        <f>+'Scope 1 and 2 Data'!B67</f>
        <v xml:space="preserve">Fugitive Emissions </v>
      </c>
      <c r="C10" s="686"/>
      <c r="D10" s="686"/>
      <c r="E10" s="687">
        <f>+SUM(H11:H12)</f>
        <v>0</v>
      </c>
      <c r="F10" s="688">
        <f>+IF($E$6&lt;&gt;0,E10/$E$6,0)</f>
        <v>0</v>
      </c>
      <c r="G10" s="683" t="b">
        <f>+ISNUMBER(E10)</f>
        <v>1</v>
      </c>
      <c r="H10" s="683">
        <f>+SUM(H11:H12)</f>
        <v>0</v>
      </c>
      <c r="I10" s="683"/>
      <c r="J10" s="668"/>
      <c r="K10" s="668"/>
      <c r="L10" s="668" t="s">
        <v>216</v>
      </c>
      <c r="M10" s="689" t="str">
        <f>+B11</f>
        <v>Refrigerants and Fire Suppression</v>
      </c>
      <c r="N10" s="668">
        <f>+H11</f>
        <v>0</v>
      </c>
      <c r="O10" s="668"/>
      <c r="P10" s="689" t="str">
        <f>+B11</f>
        <v>Refrigerants and Fire Suppression</v>
      </c>
      <c r="Q10" s="689">
        <f>+H11</f>
        <v>0</v>
      </c>
      <c r="R10" s="689"/>
      <c r="S10" s="689"/>
      <c r="T10" s="689"/>
      <c r="U10" s="689"/>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row>
    <row r="11" spans="1:121" s="671" customFormat="1" ht="30.75" customHeight="1">
      <c r="A11" s="691" t="str">
        <f>+'Scope 1 and 2 Data'!A68</f>
        <v>1.3.1</v>
      </c>
      <c r="B11" s="692" t="str">
        <f>+'Scope 1 and 2 Data'!B68</f>
        <v>Refrigerants and Fire Suppression</v>
      </c>
      <c r="C11" s="693"/>
      <c r="D11" s="693"/>
      <c r="E11" s="694">
        <f>+IF('Scope 1 and 2 Data'!C72&lt;&gt;'Scope 1 and 2 Data'!$B$6,'Scope 1 and 2 Data'!C72,'Scope 1 and 2 Data'!E78/1000)</f>
        <v>0</v>
      </c>
      <c r="F11" s="695">
        <f>+IF($E$6&lt;&gt;0,H11/$E$6,0)</f>
        <v>0</v>
      </c>
      <c r="G11" s="683" t="b">
        <f>+ISNUMBER(E11)</f>
        <v>1</v>
      </c>
      <c r="H11" s="683">
        <f>+IF(G11=TRUE,E11,0)</f>
        <v>0</v>
      </c>
      <c r="I11" s="683"/>
      <c r="J11" s="668"/>
      <c r="K11" s="668"/>
      <c r="L11" s="668" t="s">
        <v>216</v>
      </c>
      <c r="M11" s="689" t="str">
        <f>+B12</f>
        <v>Inhaled Anesthetic Gases</v>
      </c>
      <c r="N11" s="668">
        <f>+H12</f>
        <v>0</v>
      </c>
      <c r="O11" s="668"/>
      <c r="P11" s="689" t="str">
        <f>+B12</f>
        <v>Inhaled Anesthetic Gases</v>
      </c>
      <c r="Q11" s="689">
        <f>+H12</f>
        <v>0</v>
      </c>
      <c r="R11" s="689"/>
      <c r="S11" s="689"/>
      <c r="T11" s="689"/>
      <c r="U11" s="689"/>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row>
    <row r="12" spans="1:121" s="671" customFormat="1" ht="20.25" customHeight="1">
      <c r="A12" s="691" t="str">
        <f>+'Scope 1 and 2 Data'!A219</f>
        <v>1.3.2</v>
      </c>
      <c r="B12" s="692" t="str">
        <f>+'Scope 1 and 2 Data'!B219</f>
        <v>Inhaled Anesthetic Gases</v>
      </c>
      <c r="C12" s="693"/>
      <c r="D12" s="693"/>
      <c r="E12" s="694">
        <f>+IF('Scope 1 and 2 Data'!C223&lt;&gt;'Scope 1 and 2 Data'!$B$6,'Scope 1 and 2 Data'!C223,'Scope 1 and 2 Data'!D231/1000)</f>
        <v>0</v>
      </c>
      <c r="F12" s="695">
        <f>+IF($E$6&lt;&gt;0,H12/$E$6,0)</f>
        <v>0</v>
      </c>
      <c r="G12" s="683" t="b">
        <f>+ISNUMBER(E12)</f>
        <v>1</v>
      </c>
      <c r="H12" s="683">
        <f>+IF(G12=TRUE,E12,0)</f>
        <v>0</v>
      </c>
      <c r="I12" s="683"/>
      <c r="J12" s="668"/>
      <c r="K12" s="668"/>
      <c r="L12" s="668" t="s">
        <v>216</v>
      </c>
      <c r="M12" s="689"/>
      <c r="N12" s="668"/>
      <c r="O12" s="668"/>
      <c r="P12" s="668" t="str">
        <f>+B21</f>
        <v>Purchased Electricity</v>
      </c>
      <c r="Q12" s="668">
        <f>+H21</f>
        <v>0</v>
      </c>
      <c r="R12" s="668"/>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row>
    <row r="13" spans="1:121" s="671" customFormat="1" ht="20.25" customHeight="1">
      <c r="A13" s="691"/>
      <c r="B13" s="685"/>
      <c r="C13" s="686"/>
      <c r="D13" s="686"/>
      <c r="E13" s="687"/>
      <c r="F13" s="688"/>
      <c r="G13" s="683"/>
      <c r="H13" s="683"/>
      <c r="I13" s="683"/>
      <c r="J13" s="668"/>
      <c r="K13" s="668"/>
      <c r="L13" s="668" t="s">
        <v>216</v>
      </c>
      <c r="M13" s="689"/>
      <c r="N13" s="668"/>
      <c r="O13" s="668"/>
      <c r="P13" s="668" t="str">
        <f>+B22</f>
        <v>Purchased Steam, Hot and Chilled Water</v>
      </c>
      <c r="Q13" s="668">
        <f>+H22</f>
        <v>0</v>
      </c>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row>
    <row r="14" spans="1:121" s="671" customFormat="1" ht="20.25" customHeight="1">
      <c r="A14" s="691"/>
      <c r="B14" s="696"/>
      <c r="C14" s="686"/>
      <c r="D14" s="686"/>
      <c r="E14" s="697"/>
      <c r="F14" s="695"/>
      <c r="G14" s="683"/>
      <c r="H14" s="683"/>
      <c r="I14" s="683"/>
      <c r="J14" s="668"/>
      <c r="K14" s="668"/>
      <c r="L14" s="668" t="s">
        <v>216</v>
      </c>
      <c r="M14" s="689"/>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row>
    <row r="15" spans="1:121" s="671" customFormat="1" ht="20.25" customHeight="1">
      <c r="A15" s="691"/>
      <c r="B15" s="698"/>
      <c r="C15" s="686"/>
      <c r="D15" s="686"/>
      <c r="E15" s="694"/>
      <c r="F15" s="695"/>
      <c r="G15" s="683"/>
      <c r="H15" s="683"/>
      <c r="I15" s="683"/>
      <c r="J15" s="668"/>
      <c r="K15" s="668"/>
      <c r="L15" s="668" t="s">
        <v>217</v>
      </c>
      <c r="M15" s="689" t="str">
        <f>+B21</f>
        <v>Purchased Electricity</v>
      </c>
      <c r="N15" s="668">
        <f>+H21</f>
        <v>0</v>
      </c>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row>
    <row r="16" spans="1:121" s="671" customFormat="1" ht="20.25" customHeight="1">
      <c r="A16" s="691"/>
      <c r="B16" s="696"/>
      <c r="C16" s="686"/>
      <c r="D16" s="686"/>
      <c r="E16" s="697"/>
      <c r="F16" s="695"/>
      <c r="G16" s="683"/>
      <c r="H16" s="683"/>
      <c r="I16" s="683"/>
      <c r="J16" s="668"/>
      <c r="K16" s="668"/>
      <c r="L16" s="668" t="s">
        <v>217</v>
      </c>
      <c r="M16" s="689" t="str">
        <f>+B22</f>
        <v>Purchased Steam, Hot and Chilled Water</v>
      </c>
      <c r="N16" s="668">
        <f>+H22</f>
        <v>0</v>
      </c>
      <c r="O16" s="668"/>
      <c r="P16" s="668"/>
      <c r="Q16" s="668"/>
      <c r="R16" s="668"/>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row>
    <row r="17" spans="1:62" s="671" customFormat="1" ht="15">
      <c r="A17" s="691"/>
      <c r="B17" s="699"/>
      <c r="C17" s="686"/>
      <c r="D17" s="686"/>
      <c r="E17" s="700"/>
      <c r="F17" s="701"/>
      <c r="G17" s="683"/>
      <c r="H17" s="683"/>
      <c r="I17" s="683"/>
      <c r="J17" s="668"/>
      <c r="K17" s="668"/>
      <c r="L17" s="668"/>
      <c r="M17" s="689"/>
      <c r="N17" s="668"/>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row>
    <row r="18" spans="1:62" s="671" customFormat="1" ht="15">
      <c r="A18" s="691"/>
      <c r="B18" s="702"/>
      <c r="C18" s="703"/>
      <c r="D18" s="686"/>
      <c r="E18" s="700"/>
      <c r="F18" s="701"/>
      <c r="G18" s="683"/>
      <c r="H18" s="683"/>
      <c r="I18" s="683"/>
      <c r="J18" s="668"/>
      <c r="K18" s="668"/>
      <c r="L18" s="668"/>
      <c r="M18" s="689"/>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row>
    <row r="19" spans="1:62" s="671" customFormat="1" ht="15">
      <c r="A19" s="691"/>
      <c r="B19" s="702"/>
      <c r="C19" s="686"/>
      <c r="D19" s="703"/>
      <c r="E19" s="704"/>
      <c r="F19" s="701"/>
      <c r="G19" s="683"/>
      <c r="H19" s="683"/>
      <c r="I19" s="683"/>
      <c r="J19" s="668"/>
      <c r="K19" s="668"/>
      <c r="L19" s="668"/>
      <c r="M19" s="689"/>
      <c r="N19" s="668"/>
      <c r="O19" s="668"/>
      <c r="P19" s="668"/>
      <c r="Q19" s="668"/>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row>
    <row r="20" spans="1:62" s="671" customFormat="1" ht="24.95" customHeight="1">
      <c r="A20" s="1000"/>
      <c r="B20" s="1001" t="str">
        <f>+'Scope 1 and 2 Data'!A239</f>
        <v>Scope 2</v>
      </c>
      <c r="C20" s="1002"/>
      <c r="D20" s="1002"/>
      <c r="E20" s="1003">
        <f>+SUM(H21:H22)</f>
        <v>0</v>
      </c>
      <c r="F20" s="1004">
        <f>+IF($E$6&lt;&gt;0,E20/$E$6,0)</f>
        <v>0</v>
      </c>
      <c r="G20" s="683"/>
      <c r="H20" s="683"/>
      <c r="I20" s="683"/>
      <c r="J20" s="668"/>
      <c r="K20" s="668"/>
      <c r="L20" s="668"/>
      <c r="M20" s="689"/>
      <c r="N20" s="668"/>
      <c r="O20" s="668"/>
      <c r="P20" s="668"/>
      <c r="Q20" s="668"/>
      <c r="R20" s="668"/>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row>
    <row r="21" spans="1:62" s="671" customFormat="1" ht="20.25" customHeight="1">
      <c r="A21" s="705" t="str">
        <f>+'Scope 1 and 2 Data'!A242</f>
        <v>2.1</v>
      </c>
      <c r="B21" s="706" t="str">
        <f>+'Scope 1 and 2 Data'!B242</f>
        <v>Purchased Electricity</v>
      </c>
      <c r="C21" s="707"/>
      <c r="D21" s="707"/>
      <c r="E21" s="708">
        <f>+IF('Scope 1 and 2 Data'!C246&lt;&gt;'Scope 1 and 2 Data'!$B$6,'Scope 1 and 2 Data'!C246,'Scope 1 and 2 Data'!E252/1000)</f>
        <v>0</v>
      </c>
      <c r="F21" s="709">
        <f>+IF($E$6&lt;&gt;0,H21/$E$6,0)</f>
        <v>0</v>
      </c>
      <c r="G21" s="683" t="b">
        <f>+ISNUMBER(E21)</f>
        <v>1</v>
      </c>
      <c r="H21" s="683">
        <f>+IF(G21=TRUE,E21,0)</f>
        <v>0</v>
      </c>
      <c r="I21" s="683"/>
      <c r="J21" s="668"/>
      <c r="K21" s="668"/>
      <c r="L21" s="668"/>
      <c r="M21" s="689"/>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row>
    <row r="22" spans="1:62" s="671" customFormat="1" ht="20.25" customHeight="1">
      <c r="A22" s="705" t="str">
        <f>+'Scope 1 and 2 Data'!A255</f>
        <v>2.2</v>
      </c>
      <c r="B22" s="706" t="str">
        <f>+'Scope 1 and 2 Data'!B255</f>
        <v>Purchased Steam, Hot and Chilled Water</v>
      </c>
      <c r="C22" s="707"/>
      <c r="D22" s="707"/>
      <c r="E22" s="708">
        <f>+IF('Scope 1 and 2 Data'!C259&lt;&gt;'Scope 1 and 2 Data'!$B$6,'Scope 1 and 2 Data'!C259,Heat_total_emissions/1000)</f>
        <v>0</v>
      </c>
      <c r="F22" s="709">
        <f>+IF($E$6&lt;&gt;0,H22/$E$6,0)</f>
        <v>0</v>
      </c>
      <c r="G22" s="683" t="b">
        <f>+ISNUMBER(E22)</f>
        <v>1</v>
      </c>
      <c r="H22" s="683">
        <f>+IF(G22=TRUE,E22,0)</f>
        <v>0</v>
      </c>
      <c r="I22" s="668"/>
      <c r="J22" s="668"/>
      <c r="K22" s="668"/>
      <c r="L22" s="668"/>
      <c r="M22" s="689"/>
      <c r="N22" s="668"/>
      <c r="O22" s="668"/>
      <c r="P22" s="668"/>
      <c r="Q22" s="668"/>
      <c r="R22" s="668"/>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row>
    <row r="23" spans="1:62" s="671" customFormat="1" ht="24.95" customHeight="1">
      <c r="A23" s="710"/>
      <c r="B23" s="711" t="s">
        <v>5729</v>
      </c>
      <c r="C23" s="712"/>
      <c r="D23" s="712"/>
      <c r="E23" s="713">
        <f>SUM(E24:E38)</f>
        <v>0</v>
      </c>
      <c r="F23" s="714">
        <f>+IF($E$6&lt;&gt;0,E23/$E$6,0)</f>
        <v>0</v>
      </c>
      <c r="G23" s="683"/>
      <c r="H23" s="683"/>
      <c r="I23" s="683"/>
      <c r="J23" s="668"/>
      <c r="K23" s="668"/>
      <c r="L23" s="668"/>
      <c r="M23" s="689"/>
      <c r="N23" s="668"/>
      <c r="O23" s="668"/>
      <c r="P23" s="668"/>
      <c r="Q23" s="668"/>
      <c r="R23" s="668"/>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row>
    <row r="24" spans="1:62" s="671" customFormat="1" ht="15">
      <c r="A24" s="715"/>
      <c r="B24" s="716" t="str">
        <f>'Scope 3 Summary'!C20</f>
        <v>Purchased goods &amp; services</v>
      </c>
      <c r="C24" s="717"/>
      <c r="D24" s="717"/>
      <c r="E24" s="718">
        <f>'Scope 3 Summary'!D20</f>
        <v>0</v>
      </c>
      <c r="F24" s="719"/>
      <c r="G24" s="683"/>
      <c r="H24" s="683"/>
      <c r="I24" s="683"/>
      <c r="J24" s="668"/>
      <c r="K24" s="668"/>
      <c r="L24" s="668"/>
      <c r="M24" s="689"/>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row>
    <row r="25" spans="1:62" s="671" customFormat="1" ht="15">
      <c r="A25" s="715"/>
      <c r="B25" s="716" t="str">
        <f>'Scope 3 Summary'!C21</f>
        <v>Capital goods</v>
      </c>
      <c r="C25" s="717"/>
      <c r="D25" s="717"/>
      <c r="E25" s="718">
        <f>'Scope 3 Summary'!D21</f>
        <v>0</v>
      </c>
      <c r="F25" s="719"/>
      <c r="G25" s="683"/>
      <c r="H25" s="683"/>
      <c r="I25" s="683"/>
      <c r="J25" s="668"/>
      <c r="K25" s="668"/>
      <c r="L25" s="668"/>
      <c r="M25" s="689"/>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row>
    <row r="26" spans="1:62" s="671" customFormat="1" ht="15">
      <c r="A26" s="715"/>
      <c r="B26" s="716" t="str">
        <f>'Scope 3 Summary'!C22</f>
        <v>Fuel- &amp; energy-related emissions</v>
      </c>
      <c r="C26" s="717"/>
      <c r="D26" s="717"/>
      <c r="E26" s="718">
        <f>'Scope 3 Summary'!D22</f>
        <v>0</v>
      </c>
      <c r="F26" s="719"/>
      <c r="G26" s="683"/>
      <c r="H26" s="683"/>
      <c r="I26" s="683"/>
      <c r="J26" s="668"/>
      <c r="K26" s="668"/>
      <c r="L26" s="668"/>
      <c r="M26" s="668"/>
      <c r="N26" s="668"/>
      <c r="O26" s="668"/>
      <c r="P26" s="668"/>
      <c r="Q26" s="668"/>
      <c r="R26" s="668"/>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row>
    <row r="27" spans="1:62" s="671" customFormat="1" ht="15">
      <c r="A27" s="720"/>
      <c r="B27" s="716" t="str">
        <f>'Scope 3 Summary'!C23</f>
        <v>Upstream transportation &amp; distribution</v>
      </c>
      <c r="C27" s="721"/>
      <c r="D27" s="717"/>
      <c r="E27" s="718">
        <f>'Scope 3 Summary'!D23</f>
        <v>0</v>
      </c>
      <c r="F27" s="719"/>
      <c r="G27" s="683"/>
      <c r="H27" s="683"/>
      <c r="I27" s="683"/>
      <c r="J27" s="668"/>
      <c r="K27" s="668"/>
      <c r="L27" s="668"/>
      <c r="M27" s="668"/>
      <c r="N27" s="668"/>
      <c r="O27" s="668"/>
      <c r="P27" s="668"/>
      <c r="Q27" s="668"/>
      <c r="R27" s="668"/>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row>
    <row r="28" spans="1:62" s="671" customFormat="1" ht="15">
      <c r="A28" s="715"/>
      <c r="B28" s="716" t="str">
        <f>'Scope 3 Summary'!C24</f>
        <v>Waste generated in operations</v>
      </c>
      <c r="C28" s="717"/>
      <c r="D28" s="716"/>
      <c r="E28" s="718">
        <f>'Scope 3 Summary'!D24</f>
        <v>0</v>
      </c>
      <c r="F28" s="719"/>
      <c r="G28" s="683"/>
      <c r="H28" s="683"/>
      <c r="I28" s="683"/>
      <c r="J28" s="668"/>
      <c r="K28" s="668"/>
      <c r="L28" s="668"/>
      <c r="M28" s="668"/>
      <c r="N28" s="668"/>
      <c r="O28" s="668"/>
      <c r="P28" s="668"/>
      <c r="Q28" s="668"/>
      <c r="R28" s="668"/>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row>
    <row r="29" spans="1:62" s="671" customFormat="1" ht="15">
      <c r="A29" s="723"/>
      <c r="B29" s="716" t="str">
        <f>'Scope 3 Summary'!C25</f>
        <v>Business travel</v>
      </c>
      <c r="C29" s="721"/>
      <c r="D29" s="722"/>
      <c r="E29" s="718">
        <f>'Scope 3 Summary'!D25</f>
        <v>0</v>
      </c>
      <c r="F29" s="724"/>
      <c r="G29" s="683"/>
      <c r="H29" s="683"/>
      <c r="I29" s="683"/>
      <c r="J29" s="668"/>
      <c r="K29" s="668"/>
      <c r="L29" s="668"/>
      <c r="M29" s="668"/>
      <c r="N29" s="668"/>
      <c r="O29" s="668"/>
      <c r="P29" s="668"/>
      <c r="Q29" s="668"/>
      <c r="R29" s="668"/>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row>
    <row r="30" spans="1:62" s="671" customFormat="1" ht="15">
      <c r="A30" s="723"/>
      <c r="B30" s="716" t="str">
        <f>'Scope 3 Summary'!C26</f>
        <v>Employee commuting</v>
      </c>
      <c r="C30" s="717"/>
      <c r="D30" s="716"/>
      <c r="E30" s="718">
        <f>'Scope 3 Summary'!D26</f>
        <v>0</v>
      </c>
      <c r="F30" s="724"/>
      <c r="G30" s="683"/>
      <c r="H30" s="683"/>
      <c r="I30" s="683"/>
      <c r="J30" s="668"/>
      <c r="K30" s="668"/>
      <c r="L30" s="668"/>
      <c r="M30" s="668"/>
      <c r="N30" s="668"/>
      <c r="O30" s="668"/>
      <c r="P30" s="668"/>
      <c r="Q30" s="668"/>
      <c r="R30" s="668"/>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row>
    <row r="31" spans="1:62" s="671" customFormat="1" ht="15">
      <c r="A31" s="715"/>
      <c r="B31" s="716" t="str">
        <f>'Scope 3 Summary'!C27</f>
        <v>Upstream leased assets</v>
      </c>
      <c r="C31" s="721"/>
      <c r="D31" s="721"/>
      <c r="E31" s="718">
        <f>'Scope 3 Summary'!D27</f>
        <v>0</v>
      </c>
      <c r="F31" s="719"/>
      <c r="G31" s="683"/>
      <c r="H31" s="683"/>
      <c r="I31" s="683"/>
      <c r="J31" s="668"/>
      <c r="K31" s="668"/>
      <c r="L31" s="668"/>
      <c r="M31" s="668"/>
      <c r="N31" s="668"/>
      <c r="O31" s="668"/>
      <c r="P31" s="668"/>
      <c r="Q31" s="668"/>
      <c r="R31" s="668"/>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row>
    <row r="32" spans="1:62" s="671" customFormat="1" ht="15">
      <c r="A32" s="720"/>
      <c r="B32" s="716" t="str">
        <f>'Scope 3 Summary'!C28</f>
        <v>Downstream transportation &amp; distribution</v>
      </c>
      <c r="C32" s="717"/>
      <c r="D32" s="717"/>
      <c r="E32" s="718">
        <f>'Scope 3 Summary'!D28</f>
        <v>0</v>
      </c>
      <c r="F32" s="719"/>
      <c r="G32" s="683"/>
      <c r="H32" s="683"/>
      <c r="I32" s="683"/>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row>
    <row r="33" spans="1:62" s="671" customFormat="1" ht="15">
      <c r="A33" s="723"/>
      <c r="B33" s="716" t="str">
        <f>'Scope 3 Summary'!C29</f>
        <v>Processing of sold products</v>
      </c>
      <c r="C33" s="717"/>
      <c r="D33" s="717"/>
      <c r="E33" s="718" t="str">
        <f>'Scope 3 Summary'!D29</f>
        <v>not relevant</v>
      </c>
      <c r="F33" s="724"/>
      <c r="G33" s="683"/>
      <c r="H33" s="683"/>
      <c r="I33" s="683"/>
      <c r="J33" s="668"/>
      <c r="K33" s="668"/>
      <c r="L33" s="668" t="s">
        <v>4432</v>
      </c>
      <c r="M33" s="668"/>
      <c r="N33" s="668"/>
      <c r="O33" s="668"/>
      <c r="P33" s="668"/>
      <c r="Q33" s="668"/>
      <c r="R33" s="668"/>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row>
    <row r="34" spans="1:62" s="671" customFormat="1" ht="15">
      <c r="A34" s="723"/>
      <c r="B34" s="716" t="str">
        <f>'Scope 3 Summary'!C30</f>
        <v>Use of sold products</v>
      </c>
      <c r="C34" s="717"/>
      <c r="D34" s="717"/>
      <c r="E34" s="718">
        <f>'Scope 3 Summary'!D30</f>
        <v>0</v>
      </c>
      <c r="F34" s="724"/>
      <c r="G34" s="683"/>
      <c r="H34" s="683"/>
      <c r="I34" s="683"/>
      <c r="J34" s="668"/>
      <c r="K34" s="668"/>
      <c r="L34" s="668" t="str">
        <f>+B7</f>
        <v>Scope 1</v>
      </c>
      <c r="M34" s="725">
        <f>+E7</f>
        <v>0</v>
      </c>
      <c r="N34" s="668"/>
      <c r="O34" s="668"/>
      <c r="P34" s="668"/>
      <c r="Q34" s="668"/>
      <c r="R34" s="668"/>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row>
    <row r="35" spans="1:62" s="671" customFormat="1" ht="15">
      <c r="A35" s="723"/>
      <c r="B35" s="716" t="str">
        <f>'Scope 3 Summary'!C31</f>
        <v>End-of-life treatment of sold products</v>
      </c>
      <c r="C35" s="717"/>
      <c r="D35" s="717"/>
      <c r="E35" s="718" t="str">
        <f>'Scope 3 Summary'!D31</f>
        <v>not relevant</v>
      </c>
      <c r="F35" s="724"/>
      <c r="G35" s="683"/>
      <c r="H35" s="683"/>
      <c r="I35" s="683"/>
      <c r="J35" s="668"/>
      <c r="K35" s="668"/>
      <c r="L35" s="668" t="str">
        <f>+B20</f>
        <v>Scope 2</v>
      </c>
      <c r="M35" s="725">
        <f>+E20</f>
        <v>0</v>
      </c>
      <c r="N35" s="668"/>
      <c r="O35" s="668"/>
      <c r="P35" s="668"/>
      <c r="Q35" s="668"/>
      <c r="R35" s="668"/>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row>
    <row r="36" spans="1:62" s="671" customFormat="1" ht="15">
      <c r="A36" s="723"/>
      <c r="B36" s="716" t="str">
        <f>'Scope 3 Summary'!C32</f>
        <v>Downstream leased assets</v>
      </c>
      <c r="C36" s="717"/>
      <c r="D36" s="717"/>
      <c r="E36" s="718">
        <f>'Scope 3 Summary'!D32</f>
        <v>0</v>
      </c>
      <c r="F36" s="726"/>
      <c r="G36" s="683"/>
      <c r="H36" s="683"/>
      <c r="I36" s="683"/>
      <c r="J36" s="668"/>
      <c r="K36" s="668"/>
      <c r="L36" s="668" t="s">
        <v>4433</v>
      </c>
      <c r="M36" s="725">
        <f>+E23-H24</f>
        <v>0</v>
      </c>
      <c r="N36" s="668"/>
      <c r="O36" s="668"/>
      <c r="P36" s="668"/>
      <c r="Q36" s="668"/>
      <c r="R36" s="668"/>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row>
    <row r="37" spans="1:62" s="671" customFormat="1" ht="15">
      <c r="A37" s="723"/>
      <c r="B37" s="716" t="str">
        <f>'Scope 3 Summary'!C33</f>
        <v>Franchises</v>
      </c>
      <c r="C37" s="721"/>
      <c r="D37" s="721"/>
      <c r="E37" s="718" t="str">
        <f>'Scope 3 Summary'!D33</f>
        <v>not relevant</v>
      </c>
      <c r="F37" s="726"/>
      <c r="G37" s="683"/>
      <c r="H37" s="683"/>
      <c r="I37" s="683"/>
      <c r="J37" s="668"/>
      <c r="K37" s="668"/>
      <c r="L37" s="668" t="s">
        <v>4434</v>
      </c>
      <c r="M37" s="725">
        <f>+H24</f>
        <v>0</v>
      </c>
      <c r="N37" s="668"/>
      <c r="O37" s="668"/>
      <c r="P37" s="668"/>
      <c r="Q37" s="668"/>
      <c r="R37" s="668"/>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row>
    <row r="38" spans="1:62" ht="15">
      <c r="A38" s="723"/>
      <c r="B38" s="716" t="str">
        <f>'Scope 3 Summary'!C34</f>
        <v>Investments</v>
      </c>
      <c r="C38" s="727"/>
      <c r="D38" s="727"/>
      <c r="E38" s="718">
        <f>'Scope 3 Summary'!D34</f>
        <v>0</v>
      </c>
      <c r="F38" s="726"/>
      <c r="G38" s="683"/>
      <c r="H38" s="683"/>
      <c r="I38" s="683"/>
    </row>
    <row r="39" spans="1:62" ht="15.6" customHeight="1">
      <c r="B39" s="728"/>
      <c r="C39" s="729"/>
      <c r="D39" s="978" t="s">
        <v>5732</v>
      </c>
      <c r="E39" s="1025">
        <f>E23+E20+E7</f>
        <v>0</v>
      </c>
      <c r="F39" s="731"/>
      <c r="G39" s="683"/>
      <c r="H39" s="683"/>
    </row>
    <row r="40" spans="1:62" ht="33.950000000000003" customHeight="1">
      <c r="A40" s="1176" t="s">
        <v>5731</v>
      </c>
      <c r="B40" s="1176"/>
      <c r="C40" s="1176"/>
      <c r="D40" s="1176"/>
      <c r="E40" s="1176"/>
      <c r="F40" s="1176"/>
    </row>
    <row r="41" spans="1:62" ht="15.6" customHeight="1">
      <c r="A41" s="732"/>
      <c r="B41" s="732"/>
      <c r="C41" s="732"/>
      <c r="D41" s="732"/>
      <c r="E41" s="732"/>
      <c r="F41" s="732"/>
    </row>
    <row r="42" spans="1:62" ht="15.6" customHeight="1">
      <c r="A42" s="732"/>
      <c r="B42" s="732"/>
      <c r="C42" s="732"/>
      <c r="D42" s="732"/>
      <c r="E42" s="732"/>
      <c r="F42" s="732"/>
    </row>
    <row r="43" spans="1:62" ht="15.6" customHeight="1">
      <c r="A43" s="732"/>
      <c r="B43" s="732"/>
      <c r="C43" s="732"/>
      <c r="D43" s="732"/>
      <c r="E43" s="732"/>
      <c r="F43" s="732"/>
    </row>
    <row r="44" spans="1:62" ht="15">
      <c r="B44" s="728"/>
      <c r="C44" s="729"/>
      <c r="D44" s="729"/>
      <c r="E44" s="730"/>
      <c r="F44" s="731"/>
    </row>
    <row r="45" spans="1:62" ht="15">
      <c r="B45" s="728"/>
      <c r="C45" s="729"/>
      <c r="D45" s="729"/>
      <c r="E45" s="730"/>
      <c r="F45" s="731"/>
    </row>
    <row r="46" spans="1:62" ht="15">
      <c r="B46" s="728"/>
      <c r="C46" s="729"/>
      <c r="D46" s="729"/>
      <c r="E46" s="730"/>
      <c r="F46" s="731"/>
    </row>
    <row r="47" spans="1:62" ht="15">
      <c r="B47" s="728"/>
      <c r="C47" s="729"/>
      <c r="D47" s="729"/>
      <c r="E47" s="730"/>
      <c r="F47" s="731"/>
    </row>
    <row r="49" spans="1:10" ht="20.45" customHeight="1">
      <c r="A49" s="669"/>
      <c r="B49" s="1177" t="s">
        <v>5747</v>
      </c>
      <c r="C49" s="1177"/>
      <c r="D49" s="1177"/>
      <c r="E49" s="1177"/>
      <c r="F49" s="733"/>
    </row>
    <row r="50" spans="1:10" ht="20.45" customHeight="1">
      <c r="A50" s="669"/>
      <c r="B50" s="1178" t="str">
        <f>+'Facility or System Data'!$C$3&amp;" - Year " &amp; Instructions!$C$6</f>
        <v xml:space="preserve">  - Year </v>
      </c>
      <c r="C50" s="1178"/>
      <c r="D50" s="1178"/>
      <c r="E50" s="1178"/>
      <c r="F50" s="672"/>
    </row>
    <row r="51" spans="1:10" ht="20.45" customHeight="1">
      <c r="A51" s="669"/>
      <c r="B51" s="1178" t="s">
        <v>4435</v>
      </c>
      <c r="C51" s="1178"/>
      <c r="D51" s="1178"/>
      <c r="E51" s="1178"/>
      <c r="F51" s="733"/>
    </row>
    <row r="53" spans="1:10" ht="25.5">
      <c r="E53" s="1174" t="s">
        <v>4436</v>
      </c>
      <c r="F53" s="1174"/>
    </row>
    <row r="54" spans="1:10" ht="23.25">
      <c r="D54" s="734"/>
      <c r="E54" s="734"/>
      <c r="F54" s="734"/>
    </row>
    <row r="55" spans="1:10" ht="69.95" customHeight="1">
      <c r="E55" s="1179" t="str">
        <f>IF('Facility or System Data'!$C$11&lt;&gt;0,ROUND($E$6*1000/'Facility or System Data'!$C$11,0)&amp;" kg CO2e/FTE","Fill in the quantity of employees in the Step2. General data sheet")</f>
        <v>Fill in the quantity of employees in the Step2. General data sheet</v>
      </c>
      <c r="F55" s="1179"/>
    </row>
    <row r="56" spans="1:10" ht="17.100000000000001" customHeight="1">
      <c r="D56" s="734"/>
      <c r="E56" s="734"/>
      <c r="F56" s="734"/>
      <c r="J56" s="668" t="s">
        <v>4437</v>
      </c>
    </row>
    <row r="57" spans="1:10" ht="17.100000000000001" customHeight="1">
      <c r="E57" s="667"/>
    </row>
    <row r="58" spans="1:10" ht="72" customHeight="1">
      <c r="E58" s="1180" t="str">
        <f>IF('Facility or System Data'!$C$12&lt;&gt;0,(ROUND($E$6*1000/'Facility or System Data'!$C$12,0)&amp;" kg CO2e/patient day"),"Fill in the quantity of patients in the Step2. General data sheet")</f>
        <v>Fill in the quantity of patients in the Step2. General data sheet</v>
      </c>
      <c r="F58" s="1180"/>
    </row>
    <row r="59" spans="1:10" ht="33.75" customHeight="1">
      <c r="E59" s="968"/>
      <c r="F59" s="968"/>
    </row>
    <row r="60" spans="1:10" ht="42.75" customHeight="1">
      <c r="E60" s="1173" t="str">
        <f>IF('Facility or System Data'!$C$13&lt;&gt;0,(ROUND($E$6*1000/'Facility or System Data'!$C$13,0)&amp;" kg CO2e/adjusted patient day"),"Fill in the quantity of patients in the Step2. General data sheet")</f>
        <v>Fill in the quantity of patients in the Step2. General data sheet</v>
      </c>
      <c r="F60" s="1173"/>
    </row>
    <row r="62" spans="1:10" ht="20.25" customHeight="1"/>
    <row r="63" spans="1:10" ht="41.25" customHeight="1">
      <c r="E63" s="1172" t="str">
        <f>IF('Facility or System Data'!$C$16&lt;&gt;0,ROUND($E$6*1000/'Facility or System Data'!$C$16,0)&amp;" kg CO2e/operating room","Fill in the quantity of beds in the Step2. General data sheet")</f>
        <v>Fill in the quantity of beds in the Step2. General data sheet</v>
      </c>
      <c r="F63" s="1172"/>
    </row>
    <row r="66" spans="1:6" ht="21" customHeight="1">
      <c r="A66" s="669"/>
      <c r="B66" s="966" t="s">
        <v>5747</v>
      </c>
      <c r="C66" s="966"/>
      <c r="D66" s="966"/>
      <c r="E66" s="966"/>
      <c r="F66" s="733"/>
    </row>
    <row r="67" spans="1:6" ht="21" customHeight="1">
      <c r="A67" s="669"/>
      <c r="B67" s="967" t="str">
        <f>+'Facility or System Data'!$C$3&amp;" - Year " &amp; Instructions!$C$6</f>
        <v xml:space="preserve">  - Year </v>
      </c>
      <c r="C67" s="967"/>
      <c r="D67" s="967"/>
      <c r="E67" s="967"/>
      <c r="F67" s="672"/>
    </row>
    <row r="68" spans="1:6" ht="21" customHeight="1">
      <c r="A68" s="669"/>
      <c r="B68" s="967" t="s">
        <v>4435</v>
      </c>
      <c r="C68" s="967"/>
      <c r="D68" s="967"/>
      <c r="E68" s="967"/>
      <c r="F68" s="733"/>
    </row>
    <row r="98" spans="1:6" ht="20.45" customHeight="1">
      <c r="A98" s="669"/>
      <c r="B98" s="966" t="s">
        <v>5747</v>
      </c>
      <c r="C98" s="966"/>
      <c r="D98" s="966"/>
      <c r="E98" s="966"/>
      <c r="F98" s="733"/>
    </row>
    <row r="99" spans="1:6" ht="20.45" customHeight="1">
      <c r="A99" s="669"/>
      <c r="B99" s="967" t="str">
        <f>+'Facility or System Data'!$C$3&amp;" - Year " &amp; Instructions!$C$6</f>
        <v xml:space="preserve">  - Year </v>
      </c>
      <c r="C99" s="967"/>
      <c r="D99" s="967"/>
      <c r="E99" s="967"/>
      <c r="F99" s="672"/>
    </row>
    <row r="100" spans="1:6" ht="20.45" customHeight="1">
      <c r="A100" s="669"/>
      <c r="B100" s="967" t="s">
        <v>4435</v>
      </c>
      <c r="C100" s="967"/>
      <c r="D100" s="967"/>
      <c r="E100" s="967"/>
      <c r="F100" s="733"/>
    </row>
    <row r="129" spans="1:6" s="671" customFormat="1" ht="20.45" customHeight="1">
      <c r="A129" s="1012"/>
      <c r="B129" s="1012"/>
      <c r="C129" s="1012"/>
      <c r="D129" s="1012"/>
      <c r="E129" s="1012"/>
      <c r="F129" s="1012"/>
    </row>
    <row r="130" spans="1:6" s="671" customFormat="1" ht="20.45" customHeight="1">
      <c r="A130" s="1013"/>
      <c r="B130" s="1013"/>
      <c r="C130" s="1013"/>
      <c r="D130" s="1013"/>
      <c r="E130" s="1013"/>
      <c r="F130" s="1013"/>
    </row>
    <row r="131" spans="1:6" s="671" customFormat="1" ht="20.45" customHeight="1">
      <c r="A131" s="1014"/>
      <c r="B131" s="1014"/>
      <c r="C131" s="1014"/>
      <c r="D131" s="1014"/>
      <c r="E131" s="1014"/>
      <c r="F131" s="1014"/>
    </row>
    <row r="158" spans="1:6" ht="30" customHeight="1">
      <c r="A158" s="732"/>
      <c r="B158" s="732"/>
      <c r="C158" s="732"/>
      <c r="D158" s="732"/>
      <c r="E158" s="732"/>
      <c r="F158" s="732"/>
    </row>
    <row r="159" spans="1:6" ht="6.95" customHeight="1"/>
    <row r="160" spans="1:6" ht="6.6" customHeight="1"/>
    <row r="161" spans="1:6" s="671" customFormat="1" ht="20.45" customHeight="1">
      <c r="A161" s="1012"/>
      <c r="B161" s="1012"/>
      <c r="C161" s="1012"/>
      <c r="D161" s="1012"/>
      <c r="E161" s="1012"/>
      <c r="F161" s="1012"/>
    </row>
    <row r="162" spans="1:6" s="671" customFormat="1" ht="20.45" customHeight="1">
      <c r="A162" s="1013"/>
      <c r="B162" s="1013"/>
      <c r="C162" s="1013"/>
      <c r="D162" s="1013"/>
      <c r="E162" s="1013"/>
      <c r="F162" s="1013"/>
    </row>
    <row r="163" spans="1:6" s="671" customFormat="1" ht="20.45" customHeight="1">
      <c r="A163" s="1014"/>
      <c r="B163" s="1014"/>
      <c r="C163" s="1014"/>
      <c r="D163" s="1014"/>
      <c r="E163" s="1014"/>
      <c r="F163" s="1014"/>
    </row>
    <row r="193" spans="1:6" s="671" customFormat="1" ht="21" customHeight="1">
      <c r="A193" s="1015"/>
      <c r="B193" s="1012"/>
      <c r="C193" s="1012"/>
      <c r="D193" s="1012"/>
      <c r="E193" s="1012"/>
      <c r="F193" s="1012"/>
    </row>
    <row r="194" spans="1:6" s="671" customFormat="1" ht="21" customHeight="1">
      <c r="A194" s="1015"/>
      <c r="B194" s="1013"/>
      <c r="C194" s="1013"/>
      <c r="D194" s="1013"/>
      <c r="E194" s="1013"/>
      <c r="F194" s="1013"/>
    </row>
    <row r="195" spans="1:6" s="671" customFormat="1" ht="21" customHeight="1">
      <c r="A195" s="1015"/>
      <c r="B195" s="1014"/>
      <c r="C195" s="1014"/>
      <c r="D195" s="1014"/>
      <c r="E195" s="1014"/>
      <c r="F195" s="1014"/>
    </row>
    <row r="219" spans="1:6" ht="27" customHeight="1"/>
    <row r="224" spans="1:6" s="671" customFormat="1" ht="26.25">
      <c r="A224" s="1012"/>
      <c r="B224" s="1012"/>
      <c r="C224" s="1012"/>
      <c r="D224" s="1012"/>
      <c r="E224" s="1012"/>
      <c r="F224" s="1012"/>
    </row>
    <row r="225" spans="1:6" s="671" customFormat="1" ht="26.25">
      <c r="A225" s="1013"/>
      <c r="B225" s="1013"/>
      <c r="C225" s="1013"/>
      <c r="D225" s="1013"/>
      <c r="E225" s="1013"/>
      <c r="F225" s="1013"/>
    </row>
    <row r="226" spans="1:6" s="671" customFormat="1" ht="25.5">
      <c r="A226" s="1016"/>
      <c r="B226" s="1016"/>
      <c r="C226" s="1016"/>
      <c r="D226" s="1016"/>
      <c r="E226" s="1016"/>
      <c r="F226" s="1016"/>
    </row>
    <row r="252" spans="1:13">
      <c r="L252" s="735"/>
      <c r="M252" s="736"/>
    </row>
    <row r="253" spans="1:13">
      <c r="L253" s="735"/>
      <c r="M253" s="736"/>
    </row>
    <row r="254" spans="1:13">
      <c r="L254" s="735"/>
      <c r="M254" s="736"/>
    </row>
    <row r="255" spans="1:13" s="671" customFormat="1" ht="20.45" customHeight="1">
      <c r="A255" s="1012"/>
      <c r="B255" s="1012"/>
      <c r="C255" s="1012"/>
      <c r="D255" s="1012"/>
      <c r="E255" s="1012"/>
      <c r="F255" s="1012"/>
      <c r="L255" s="1017"/>
      <c r="M255" s="1018"/>
    </row>
    <row r="256" spans="1:13" s="671" customFormat="1" ht="20.45" customHeight="1">
      <c r="A256" s="1013"/>
      <c r="B256" s="1013"/>
      <c r="C256" s="1013"/>
      <c r="D256" s="1013"/>
      <c r="E256" s="1013"/>
      <c r="F256" s="1013"/>
      <c r="L256" s="1017"/>
      <c r="M256" s="1018"/>
    </row>
    <row r="257" spans="1:13" s="671" customFormat="1" ht="20.45" customHeight="1">
      <c r="A257" s="1014"/>
      <c r="B257" s="1014"/>
      <c r="C257" s="1014"/>
      <c r="D257" s="1014"/>
      <c r="E257" s="1014"/>
      <c r="F257" s="1014"/>
      <c r="L257" s="1017"/>
      <c r="M257" s="1018"/>
    </row>
    <row r="258" spans="1:13">
      <c r="A258" s="22"/>
      <c r="B258" s="22"/>
      <c r="C258" s="22"/>
      <c r="D258" s="22"/>
      <c r="E258" s="22"/>
      <c r="F258" s="22"/>
      <c r="L258" s="735"/>
      <c r="M258" s="736"/>
    </row>
    <row r="259" spans="1:13" ht="18">
      <c r="A259" s="737"/>
      <c r="B259" s="738"/>
      <c r="C259" s="739"/>
      <c r="D259" s="740"/>
      <c r="E259" s="741"/>
      <c r="F259" s="740"/>
      <c r="K259" s="742"/>
      <c r="L259" s="743"/>
      <c r="M259" s="743"/>
    </row>
    <row r="260" spans="1:13">
      <c r="A260" s="22"/>
      <c r="B260" s="22"/>
      <c r="C260" s="22"/>
      <c r="D260" s="744"/>
      <c r="E260" s="745"/>
      <c r="F260" s="744"/>
      <c r="L260" s="735"/>
      <c r="M260" s="736"/>
    </row>
    <row r="261" spans="1:13">
      <c r="A261" s="22"/>
      <c r="B261" s="22"/>
      <c r="C261" s="22"/>
      <c r="D261" s="744"/>
      <c r="E261" s="745"/>
      <c r="F261" s="744"/>
      <c r="L261" s="735"/>
      <c r="M261" s="736"/>
    </row>
    <row r="262" spans="1:13">
      <c r="A262" s="22"/>
      <c r="B262" s="22"/>
      <c r="C262" s="22"/>
      <c r="D262" s="744"/>
      <c r="E262" s="745"/>
      <c r="F262" s="744"/>
      <c r="L262" s="735"/>
      <c r="M262" s="736"/>
    </row>
    <row r="263" spans="1:13">
      <c r="A263" s="22"/>
      <c r="B263" s="22"/>
      <c r="C263" s="22"/>
      <c r="D263" s="744"/>
      <c r="E263" s="745"/>
      <c r="F263" s="744"/>
      <c r="L263" s="735"/>
      <c r="M263" s="736"/>
    </row>
    <row r="264" spans="1:13">
      <c r="A264" s="22"/>
      <c r="B264" s="22"/>
      <c r="C264" s="22"/>
      <c r="D264" s="744"/>
      <c r="E264" s="745"/>
      <c r="F264" s="744"/>
      <c r="L264" s="735"/>
      <c r="M264" s="736"/>
    </row>
    <row r="265" spans="1:13">
      <c r="A265" s="22"/>
      <c r="B265" s="22"/>
      <c r="C265" s="22"/>
      <c r="D265" s="744"/>
      <c r="E265" s="745"/>
      <c r="F265" s="744"/>
      <c r="L265" s="735"/>
      <c r="M265" s="736"/>
    </row>
    <row r="266" spans="1:13">
      <c r="A266" s="22"/>
      <c r="B266" s="22"/>
      <c r="C266" s="22"/>
      <c r="D266" s="744"/>
      <c r="E266" s="745"/>
      <c r="F266" s="744"/>
      <c r="L266" s="735"/>
      <c r="M266" s="736"/>
    </row>
    <row r="267" spans="1:13">
      <c r="A267" s="22"/>
      <c r="B267" s="22"/>
      <c r="C267" s="22"/>
      <c r="D267" s="744"/>
      <c r="E267" s="745"/>
      <c r="F267" s="744"/>
      <c r="L267" s="735"/>
      <c r="M267" s="736"/>
    </row>
    <row r="268" spans="1:13">
      <c r="A268" s="22"/>
      <c r="B268" s="22"/>
      <c r="C268" s="22"/>
      <c r="D268" s="744"/>
      <c r="E268" s="745"/>
      <c r="F268" s="744"/>
      <c r="L268" s="735"/>
      <c r="M268" s="736"/>
    </row>
    <row r="269" spans="1:13">
      <c r="A269" s="22"/>
      <c r="B269" s="22"/>
      <c r="C269" s="22"/>
      <c r="D269" s="744"/>
      <c r="E269" s="745"/>
      <c r="F269" s="744"/>
      <c r="L269" s="735"/>
      <c r="M269" s="736"/>
    </row>
    <row r="270" spans="1:13">
      <c r="A270" s="22"/>
      <c r="B270" s="22"/>
      <c r="C270" s="22"/>
      <c r="D270" s="744"/>
      <c r="E270" s="745"/>
      <c r="F270" s="744"/>
      <c r="L270" s="735"/>
      <c r="M270" s="736"/>
    </row>
    <row r="271" spans="1:13">
      <c r="A271" s="22"/>
      <c r="B271" s="22"/>
      <c r="C271" s="22"/>
      <c r="D271" s="744"/>
      <c r="E271" s="745"/>
      <c r="F271" s="744"/>
      <c r="L271" s="735"/>
      <c r="M271" s="736"/>
    </row>
    <row r="272" spans="1:13">
      <c r="A272" s="22"/>
      <c r="B272" s="22"/>
      <c r="C272" s="22"/>
      <c r="D272" s="744"/>
      <c r="E272" s="745"/>
      <c r="F272" s="744"/>
    </row>
    <row r="273" spans="1:6">
      <c r="A273" s="22"/>
      <c r="B273" s="22"/>
      <c r="C273" s="22"/>
      <c r="D273" s="22"/>
      <c r="E273" s="22"/>
      <c r="F273" s="22"/>
    </row>
    <row r="274" spans="1:6">
      <c r="A274" s="22"/>
      <c r="B274" s="22"/>
      <c r="C274" s="22"/>
      <c r="D274" s="22"/>
      <c r="E274" s="22"/>
      <c r="F274" s="22"/>
    </row>
    <row r="275" spans="1:6" ht="13.9" customHeight="1">
      <c r="A275" s="22"/>
      <c r="B275" s="22"/>
      <c r="C275" s="22"/>
      <c r="D275" s="22"/>
      <c r="E275" s="907"/>
      <c r="F275" s="907"/>
    </row>
    <row r="276" spans="1:6" ht="13.9" customHeight="1">
      <c r="A276" s="22"/>
      <c r="B276" s="22"/>
      <c r="C276" s="22"/>
      <c r="D276" s="22"/>
      <c r="E276" s="907"/>
      <c r="F276" s="907"/>
    </row>
    <row r="277" spans="1:6" ht="13.9" customHeight="1">
      <c r="A277" s="22"/>
      <c r="B277" s="22"/>
      <c r="C277" s="22"/>
      <c r="D277" s="22"/>
      <c r="E277" s="907"/>
      <c r="F277" s="907"/>
    </row>
    <row r="278" spans="1:6" ht="13.9" customHeight="1">
      <c r="A278" s="22"/>
      <c r="B278" s="22"/>
      <c r="C278" s="22"/>
      <c r="D278" s="22"/>
      <c r="E278" s="907"/>
      <c r="F278" s="907"/>
    </row>
    <row r="279" spans="1:6" ht="13.9" customHeight="1">
      <c r="A279" s="22"/>
      <c r="B279" s="22"/>
      <c r="C279" s="22"/>
      <c r="D279" s="22"/>
      <c r="E279" s="907"/>
      <c r="F279" s="907"/>
    </row>
    <row r="280" spans="1:6" ht="13.9" customHeight="1">
      <c r="A280" s="22"/>
      <c r="B280" s="22"/>
      <c r="C280" s="22"/>
      <c r="D280" s="22"/>
      <c r="E280" s="907"/>
      <c r="F280" s="907"/>
    </row>
    <row r="281" spans="1:6">
      <c r="A281" s="22"/>
      <c r="B281" s="22"/>
      <c r="C281" s="22"/>
      <c r="D281" s="22"/>
      <c r="E281" s="22"/>
      <c r="F281" s="22"/>
    </row>
    <row r="282" spans="1:6">
      <c r="A282" s="22"/>
      <c r="B282" s="22"/>
      <c r="C282" s="22"/>
      <c r="D282" s="22"/>
      <c r="E282" s="22"/>
      <c r="F282" s="22"/>
    </row>
    <row r="283" spans="1:6">
      <c r="A283" s="22"/>
      <c r="B283" s="22"/>
      <c r="C283" s="22"/>
      <c r="D283" s="22"/>
      <c r="E283" s="22"/>
      <c r="F283" s="22"/>
    </row>
    <row r="284" spans="1:6">
      <c r="A284" s="22"/>
      <c r="B284" s="22"/>
      <c r="C284" s="22"/>
      <c r="D284" s="22"/>
      <c r="E284" s="22"/>
      <c r="F284" s="22"/>
    </row>
    <row r="285" spans="1:6">
      <c r="A285" s="22"/>
      <c r="B285" s="22"/>
      <c r="C285" s="22"/>
      <c r="D285" s="22"/>
      <c r="E285" s="22"/>
      <c r="F285" s="22"/>
    </row>
    <row r="286" spans="1:6" s="671" customFormat="1" ht="27.75">
      <c r="A286" s="1019"/>
      <c r="B286" s="1019"/>
      <c r="C286" s="1019"/>
      <c r="D286" s="1019"/>
      <c r="E286" s="1019"/>
      <c r="F286" s="1019"/>
    </row>
    <row r="287" spans="1:6" s="671" customFormat="1" ht="20.25">
      <c r="A287" s="1020"/>
      <c r="B287" s="1020"/>
      <c r="C287" s="1020"/>
      <c r="D287" s="1020"/>
      <c r="E287" s="1020"/>
      <c r="F287" s="1020"/>
    </row>
    <row r="288" spans="1:6" s="671" customFormat="1" ht="25.5">
      <c r="A288" s="1014"/>
      <c r="B288" s="1014"/>
      <c r="C288" s="1014"/>
      <c r="D288" s="1014"/>
      <c r="E288" s="1014"/>
      <c r="F288" s="1014"/>
    </row>
    <row r="289" spans="1:6">
      <c r="A289" s="22"/>
      <c r="B289" s="22"/>
      <c r="C289" s="22"/>
      <c r="D289" s="22"/>
      <c r="E289" s="22"/>
      <c r="F289" s="22"/>
    </row>
    <row r="290" spans="1:6">
      <c r="A290" s="22"/>
      <c r="B290" s="22"/>
      <c r="C290" s="22"/>
      <c r="D290" s="22"/>
      <c r="E290" s="22"/>
      <c r="F290" s="22"/>
    </row>
    <row r="291" spans="1:6">
      <c r="A291" s="22"/>
      <c r="B291" s="22"/>
      <c r="C291" s="22"/>
      <c r="D291" s="22"/>
      <c r="E291" s="22"/>
      <c r="F291" s="22"/>
    </row>
    <row r="292" spans="1:6">
      <c r="A292" s="22"/>
      <c r="B292" s="22"/>
      <c r="C292" s="22"/>
      <c r="D292" s="22"/>
      <c r="E292" s="22"/>
      <c r="F292" s="22"/>
    </row>
    <row r="293" spans="1:6" ht="21" customHeight="1">
      <c r="A293" s="22"/>
      <c r="B293" s="22"/>
      <c r="C293" s="22"/>
      <c r="D293" s="22"/>
      <c r="E293" s="22"/>
      <c r="F293" s="22"/>
    </row>
    <row r="294" spans="1:6" ht="14.45" customHeight="1">
      <c r="A294" s="22"/>
      <c r="B294" s="22"/>
      <c r="C294" s="22"/>
      <c r="D294" s="22"/>
      <c r="E294" s="22"/>
      <c r="F294" s="22"/>
    </row>
    <row r="295" spans="1:6" ht="14.45" customHeight="1">
      <c r="A295" s="22"/>
      <c r="B295" s="22"/>
      <c r="C295" s="22"/>
      <c r="D295" s="22"/>
      <c r="E295" s="22"/>
      <c r="F295" s="22"/>
    </row>
    <row r="296" spans="1:6" ht="14.45" customHeight="1"/>
    <row r="297" spans="1:6" ht="14.45" customHeight="1"/>
    <row r="300" spans="1:6">
      <c r="E300" s="22"/>
      <c r="F300" s="22"/>
    </row>
    <row r="301" spans="1:6">
      <c r="E301" s="22"/>
      <c r="F301" s="22"/>
    </row>
    <row r="302" spans="1:6">
      <c r="E302" s="22"/>
      <c r="F302" s="22"/>
    </row>
    <row r="303" spans="1:6">
      <c r="E303" s="22"/>
      <c r="F303" s="22"/>
    </row>
    <row r="304" spans="1:6">
      <c r="E304" s="22"/>
      <c r="F304" s="22"/>
    </row>
    <row r="305" spans="5:6">
      <c r="E305" s="22"/>
      <c r="F305" s="22"/>
    </row>
  </sheetData>
  <sheetProtection algorithmName="SHA-512" hashValue="mpmq36uInndBJd+yIgeByDjg1n92xr5aiQkJb7hADLoxqL2onVmWODVNpZw6LG5qpRFYye9u0ZF3rCLvVFXdOA==" saltValue="1WArdiWQSybFib6nsEuUOw==" spinCount="100000" sheet="1" selectLockedCells="1"/>
  <mergeCells count="10">
    <mergeCell ref="E63:F63"/>
    <mergeCell ref="E60:F60"/>
    <mergeCell ref="E53:F53"/>
    <mergeCell ref="C1:F1"/>
    <mergeCell ref="A40:F40"/>
    <mergeCell ref="B49:E49"/>
    <mergeCell ref="B50:E50"/>
    <mergeCell ref="B51:E51"/>
    <mergeCell ref="E55:F55"/>
    <mergeCell ref="E58:F58"/>
  </mergeCells>
  <pageMargins left="0.25" right="0.25" top="0.75" bottom="0.75" header="0.3" footer="0.3"/>
  <pageSetup paperSize="9" scale="54" orientation="landscape" horizontalDpi="360" verticalDpi="360" r:id="rId1"/>
  <rowBreaks count="6" manualBreakCount="6">
    <brk id="48" max="16383" man="1"/>
    <brk id="65" max="16383" man="1"/>
    <brk id="97" max="16383" man="1"/>
    <brk id="128" max="16383" man="1"/>
    <brk id="160" max="16383" man="1"/>
    <brk id="254" max="16383" man="1"/>
  </rowBreaks>
  <ignoredErrors>
    <ignoredError sqref="E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4E494"/>
  </sheetPr>
  <dimension ref="A1:AA654"/>
  <sheetViews>
    <sheetView showGridLines="0" zoomScale="80" zoomScaleNormal="80" workbookViewId="0">
      <pane ySplit="9" topLeftCell="A13" activePane="bottomLeft" state="frozen"/>
      <selection activeCell="C4" sqref="C4"/>
      <selection pane="bottomLeft" activeCell="K1" sqref="K1"/>
    </sheetView>
  </sheetViews>
  <sheetFormatPr defaultColWidth="10.5" defaultRowHeight="15"/>
  <cols>
    <col min="1" max="1" width="14.625" style="746" customWidth="1"/>
    <col min="2" max="2" width="21.125" style="746" customWidth="1"/>
    <col min="3" max="3" width="18.75" style="921" customWidth="1"/>
    <col min="4" max="4" width="20" style="747" customWidth="1"/>
    <col min="5" max="6" width="14.125" style="747" customWidth="1"/>
    <col min="7" max="8" width="27.75" style="747" customWidth="1"/>
    <col min="9" max="11" width="14.5" style="747" customWidth="1"/>
    <col min="12" max="12" width="16.625" style="747" customWidth="1"/>
    <col min="13" max="13" width="24.25" style="747" customWidth="1"/>
    <col min="14" max="14" width="15.375" style="747" customWidth="1"/>
    <col min="15" max="15" width="17.875" style="747" customWidth="1"/>
    <col min="16" max="16" width="28.125" style="1045" customWidth="1"/>
    <col min="17" max="17" width="13" style="747" customWidth="1"/>
    <col min="18" max="19" width="18.75" style="747" customWidth="1"/>
    <col min="20" max="21" width="10.5" style="746"/>
    <col min="22" max="22" width="17.375" style="746" customWidth="1"/>
    <col min="23" max="16384" width="10.5" style="746"/>
  </cols>
  <sheetData>
    <row r="1" spans="1:27" ht="105" customHeight="1" thickTop="1" thickBot="1">
      <c r="F1" s="746"/>
      <c r="G1" s="991" t="str">
        <f>+Instructions!B2</f>
        <v>Health Care Emissions Impact Calculator-Facility</v>
      </c>
      <c r="H1" s="748"/>
      <c r="K1" s="749" t="s">
        <v>5652</v>
      </c>
      <c r="P1" s="1045">
        <v>2413</v>
      </c>
    </row>
    <row r="2" spans="1:27" s="752" customFormat="1" ht="18.75" thickTop="1">
      <c r="A2" s="750" t="str">
        <f>+'Scope 1 and 2 Data'!A68</f>
        <v>1.3.1</v>
      </c>
      <c r="B2" s="751" t="str">
        <f>+'Scope 1 and 2 Data'!B68</f>
        <v>Refrigerants and Fire Suppression</v>
      </c>
      <c r="C2" s="922"/>
      <c r="D2" s="751"/>
      <c r="E2" s="751"/>
      <c r="F2" s="751"/>
      <c r="G2" s="751"/>
      <c r="H2" s="751"/>
      <c r="I2" s="751"/>
      <c r="J2" s="751"/>
      <c r="K2" s="751"/>
      <c r="L2" s="751"/>
      <c r="M2" s="751"/>
      <c r="N2" s="751"/>
      <c r="O2" s="751"/>
      <c r="P2" s="1046"/>
      <c r="Q2" s="751"/>
      <c r="R2" s="751"/>
      <c r="S2" s="751"/>
      <c r="T2" s="751"/>
      <c r="U2" s="751"/>
      <c r="V2" s="751"/>
      <c r="W2" s="751"/>
      <c r="X2" s="751"/>
      <c r="Y2" s="751"/>
      <c r="Z2" s="751"/>
      <c r="AA2" s="751"/>
    </row>
    <row r="3" spans="1:27" ht="3.6" customHeight="1"/>
    <row r="4" spans="1:27" ht="15.75">
      <c r="A4" s="10" t="s">
        <v>4438</v>
      </c>
    </row>
    <row r="5" spans="1:27" ht="33" customHeight="1">
      <c r="A5" s="1181" t="s">
        <v>5700</v>
      </c>
      <c r="B5" s="1181"/>
      <c r="C5" s="1181"/>
      <c r="D5" s="1181"/>
      <c r="E5" s="1181"/>
      <c r="F5" s="1181"/>
      <c r="G5" s="1181"/>
      <c r="H5" s="599"/>
    </row>
    <row r="6" spans="1:27" ht="29.25" customHeight="1">
      <c r="A6" s="1181" t="s">
        <v>5701</v>
      </c>
      <c r="B6" s="1181"/>
      <c r="C6" s="1181"/>
      <c r="D6" s="1181"/>
      <c r="E6" s="1181"/>
      <c r="F6" s="1181"/>
      <c r="G6" s="1181"/>
      <c r="H6" s="599"/>
    </row>
    <row r="8" spans="1:27" s="754" customFormat="1" ht="67.5" customHeight="1">
      <c r="A8" s="1182" t="s">
        <v>5704</v>
      </c>
      <c r="B8" s="1182" t="s">
        <v>4439</v>
      </c>
      <c r="C8" s="1184" t="s">
        <v>5706</v>
      </c>
      <c r="D8" s="1183" t="s">
        <v>5703</v>
      </c>
      <c r="E8" s="1183"/>
      <c r="F8" s="1182" t="s">
        <v>5705</v>
      </c>
      <c r="G8" s="1186" t="s">
        <v>4440</v>
      </c>
      <c r="H8" s="1182" t="s">
        <v>5702</v>
      </c>
      <c r="I8" s="1182" t="s">
        <v>4441</v>
      </c>
      <c r="J8" s="1182" t="s">
        <v>4442</v>
      </c>
      <c r="K8" s="1182" t="s">
        <v>4443</v>
      </c>
      <c r="L8" s="1182"/>
      <c r="M8" s="1182" t="s">
        <v>4444</v>
      </c>
      <c r="N8" s="1182" t="s">
        <v>4406</v>
      </c>
      <c r="P8" s="1047"/>
      <c r="Q8" s="9"/>
      <c r="R8"/>
    </row>
    <row r="9" spans="1:27" s="754" customFormat="1" ht="39.75" customHeight="1">
      <c r="A9" s="1182"/>
      <c r="B9" s="1182"/>
      <c r="C9" s="1185"/>
      <c r="D9" s="920" t="s">
        <v>5707</v>
      </c>
      <c r="E9" s="920" t="s">
        <v>2</v>
      </c>
      <c r="F9" s="1182"/>
      <c r="G9" s="1186"/>
      <c r="H9" s="1182"/>
      <c r="I9" s="1182"/>
      <c r="J9" s="1182"/>
      <c r="K9" s="753" t="s">
        <v>4446</v>
      </c>
      <c r="L9" s="753" t="s">
        <v>4447</v>
      </c>
      <c r="M9" s="1182"/>
      <c r="N9" s="1182"/>
      <c r="P9" s="1048" t="s">
        <v>4448</v>
      </c>
      <c r="Q9" s="753" t="s">
        <v>2</v>
      </c>
    </row>
    <row r="10" spans="1:27" s="756" customFormat="1" ht="23.25" customHeight="1">
      <c r="A10" s="987"/>
      <c r="B10" s="987"/>
      <c r="C10" s="986"/>
      <c r="D10" s="987"/>
      <c r="E10" s="987"/>
      <c r="F10" s="985"/>
      <c r="G10" s="986"/>
      <c r="H10" s="987"/>
      <c r="I10" s="987"/>
      <c r="J10" s="987"/>
      <c r="K10" s="987"/>
      <c r="L10" s="988"/>
      <c r="M10" s="755" t="e">
        <f>+VLOOKUP(G10,'S1&amp;2 Lists'!$C$8:$G$134,3,FALSE)</f>
        <v>#N/A</v>
      </c>
      <c r="N10" s="755" t="e">
        <f t="shared" ref="N10:N73" si="0">+P10*M10</f>
        <v>#N/A</v>
      </c>
      <c r="P10" s="1049">
        <f>ROUND(IF(L10='S1&amp;2 Lists'!$CV$3,K10,IF(L10='S1&amp;2 Lists'!$CV$4,K10/'S1&amp;2 Lists'!$CQ$6,0)),3)</f>
        <v>0</v>
      </c>
      <c r="Q10" s="608" t="s">
        <v>264</v>
      </c>
    </row>
    <row r="11" spans="1:27" s="756" customFormat="1" ht="23.25" customHeight="1">
      <c r="A11" s="975"/>
      <c r="B11" s="975"/>
      <c r="C11" s="1027"/>
      <c r="D11" s="975"/>
      <c r="E11" s="980"/>
      <c r="F11" s="989"/>
      <c r="G11" s="979"/>
      <c r="H11" s="975"/>
      <c r="I11" s="980"/>
      <c r="J11" s="980"/>
      <c r="K11" s="980"/>
      <c r="L11" s="980"/>
      <c r="M11" s="755" t="e">
        <f>+VLOOKUP(G11,'S1&amp;2 Lists'!$C$8:$G$134,3,FALSE)</f>
        <v>#N/A</v>
      </c>
      <c r="N11" s="755" t="e">
        <f t="shared" si="0"/>
        <v>#N/A</v>
      </c>
      <c r="P11" s="1049">
        <f>ROUND(IF(L11='S1&amp;2 Lists'!$CV$3,K11,IF(L11='S1&amp;2 Lists'!$CV$4,K11/'S1&amp;2 Lists'!$CQ$6,0)),3)</f>
        <v>0</v>
      </c>
      <c r="Q11" s="326" t="s">
        <v>264</v>
      </c>
    </row>
    <row r="12" spans="1:27" s="756" customFormat="1" ht="23.25" customHeight="1">
      <c r="A12" s="975"/>
      <c r="B12" s="975"/>
      <c r="C12" s="1027"/>
      <c r="D12" s="975"/>
      <c r="E12" s="980"/>
      <c r="F12" s="989"/>
      <c r="G12" s="979"/>
      <c r="H12" s="975"/>
      <c r="I12" s="980"/>
      <c r="J12" s="980"/>
      <c r="K12" s="980"/>
      <c r="L12" s="980"/>
      <c r="M12" s="755" t="e">
        <f>+VLOOKUP(G12,'S1&amp;2 Lists'!$C$8:$G$134,3,FALSE)</f>
        <v>#N/A</v>
      </c>
      <c r="N12" s="755" t="e">
        <f t="shared" si="0"/>
        <v>#N/A</v>
      </c>
      <c r="P12" s="1049">
        <f>ROUND(IF(L12='S1&amp;2 Lists'!$CV$3,K12,IF(L12='S1&amp;2 Lists'!$CV$4,K12/'S1&amp;2 Lists'!$CQ$6,0)),3)</f>
        <v>0</v>
      </c>
      <c r="Q12" s="326" t="s">
        <v>264</v>
      </c>
    </row>
    <row r="13" spans="1:27" s="756" customFormat="1" ht="23.25" customHeight="1">
      <c r="A13" s="975"/>
      <c r="B13" s="975"/>
      <c r="C13" s="1027"/>
      <c r="D13" s="975"/>
      <c r="E13" s="980"/>
      <c r="F13" s="975"/>
      <c r="G13" s="979"/>
      <c r="H13" s="975"/>
      <c r="I13" s="980"/>
      <c r="J13" s="980"/>
      <c r="K13" s="980"/>
      <c r="L13" s="980"/>
      <c r="M13" s="755" t="e">
        <f>+VLOOKUP(G13,'S1&amp;2 Lists'!$C$8:$G$134,3,FALSE)</f>
        <v>#N/A</v>
      </c>
      <c r="N13" s="755" t="e">
        <f t="shared" si="0"/>
        <v>#N/A</v>
      </c>
      <c r="P13" s="1049">
        <f>ROUND(IF(L13='S1&amp;2 Lists'!$CV$3,K13,IF(L13='S1&amp;2 Lists'!$CV$4,K13/'S1&amp;2 Lists'!$CQ$6,0)),3)</f>
        <v>0</v>
      </c>
      <c r="Q13" s="326" t="s">
        <v>264</v>
      </c>
    </row>
    <row r="14" spans="1:27" s="756" customFormat="1" ht="23.25" customHeight="1">
      <c r="A14" s="975"/>
      <c r="B14" s="975"/>
      <c r="C14" s="1027"/>
      <c r="D14" s="975"/>
      <c r="E14" s="980"/>
      <c r="F14" s="975"/>
      <c r="G14" s="979"/>
      <c r="H14" s="975"/>
      <c r="I14" s="980"/>
      <c r="J14" s="980"/>
      <c r="K14" s="980"/>
      <c r="L14" s="980"/>
      <c r="M14" s="755" t="e">
        <f>+VLOOKUP(G14,'S1&amp;2 Lists'!$C$8:$G$134,3,FALSE)</f>
        <v>#N/A</v>
      </c>
      <c r="N14" s="755" t="e">
        <f t="shared" si="0"/>
        <v>#N/A</v>
      </c>
      <c r="P14" s="1049">
        <f>ROUND(IF(L14='S1&amp;2 Lists'!$CV$3,K14,IF(L14='S1&amp;2 Lists'!$CV$4,K14/'S1&amp;2 Lists'!$CQ$6,0)),3)</f>
        <v>0</v>
      </c>
      <c r="Q14" s="326" t="s">
        <v>264</v>
      </c>
    </row>
    <row r="15" spans="1:27" s="756" customFormat="1" ht="23.25" customHeight="1">
      <c r="A15" s="975"/>
      <c r="B15" s="975"/>
      <c r="C15" s="1027"/>
      <c r="D15" s="975"/>
      <c r="E15" s="980"/>
      <c r="F15" s="975"/>
      <c r="G15" s="979"/>
      <c r="H15" s="975"/>
      <c r="I15" s="980"/>
      <c r="J15" s="980"/>
      <c r="K15" s="980"/>
      <c r="L15" s="980"/>
      <c r="M15" s="755" t="e">
        <f>+VLOOKUP(G15,'S1&amp;2 Lists'!$C$8:$G$134,3,FALSE)</f>
        <v>#N/A</v>
      </c>
      <c r="N15" s="755" t="e">
        <f t="shared" si="0"/>
        <v>#N/A</v>
      </c>
      <c r="P15" s="1049">
        <f>ROUND(IF(L15='S1&amp;2 Lists'!$CV$3,K15,IF(L15='S1&amp;2 Lists'!$CV$4,K15/'S1&amp;2 Lists'!$CQ$6,0)),3)</f>
        <v>0</v>
      </c>
      <c r="Q15" s="326" t="s">
        <v>264</v>
      </c>
    </row>
    <row r="16" spans="1:27" s="756" customFormat="1" ht="23.25" customHeight="1">
      <c r="A16" s="975"/>
      <c r="B16" s="975"/>
      <c r="C16" s="1027"/>
      <c r="D16" s="975"/>
      <c r="E16" s="980"/>
      <c r="F16" s="975"/>
      <c r="G16" s="979"/>
      <c r="H16" s="975"/>
      <c r="I16" s="980"/>
      <c r="J16" s="980"/>
      <c r="K16" s="980"/>
      <c r="L16" s="980"/>
      <c r="M16" s="755" t="e">
        <f>+VLOOKUP(G16,'S1&amp;2 Lists'!$C$8:$G$134,3,FALSE)</f>
        <v>#N/A</v>
      </c>
      <c r="N16" s="755" t="e">
        <f t="shared" si="0"/>
        <v>#N/A</v>
      </c>
      <c r="P16" s="1049">
        <f>ROUND(IF(L16='S1&amp;2 Lists'!$CV$3,K16,IF(L16='S1&amp;2 Lists'!$CV$4,K16/'S1&amp;2 Lists'!$CQ$6,0)),3)</f>
        <v>0</v>
      </c>
      <c r="Q16" s="326" t="s">
        <v>264</v>
      </c>
    </row>
    <row r="17" spans="1:17" s="756" customFormat="1" ht="23.25" customHeight="1">
      <c r="A17" s="975"/>
      <c r="B17" s="975"/>
      <c r="C17" s="1027"/>
      <c r="D17" s="975"/>
      <c r="E17" s="980"/>
      <c r="F17" s="975"/>
      <c r="G17" s="979"/>
      <c r="H17" s="975"/>
      <c r="I17" s="980"/>
      <c r="J17" s="980"/>
      <c r="K17" s="980"/>
      <c r="L17" s="980"/>
      <c r="M17" s="755" t="e">
        <f>+VLOOKUP(G17,'S1&amp;2 Lists'!$C$8:$G$134,3,FALSE)</f>
        <v>#N/A</v>
      </c>
      <c r="N17" s="755" t="e">
        <f t="shared" si="0"/>
        <v>#N/A</v>
      </c>
      <c r="P17" s="1049">
        <f>ROUND(IF(L17='S1&amp;2 Lists'!$CV$3,K17,IF(L17='S1&amp;2 Lists'!$CV$4,K17/'S1&amp;2 Lists'!$CQ$6,0)),3)</f>
        <v>0</v>
      </c>
      <c r="Q17" s="326" t="s">
        <v>264</v>
      </c>
    </row>
    <row r="18" spans="1:17" s="756" customFormat="1" ht="23.25" customHeight="1">
      <c r="A18" s="975"/>
      <c r="B18" s="975"/>
      <c r="C18" s="1027"/>
      <c r="D18" s="975"/>
      <c r="E18" s="980"/>
      <c r="F18" s="975"/>
      <c r="G18" s="979"/>
      <c r="H18" s="975"/>
      <c r="I18" s="980"/>
      <c r="J18" s="980"/>
      <c r="K18" s="980"/>
      <c r="L18" s="980"/>
      <c r="M18" s="755" t="e">
        <f>+VLOOKUP(G18,'S1&amp;2 Lists'!$C$8:$G$134,3,FALSE)</f>
        <v>#N/A</v>
      </c>
      <c r="N18" s="755" t="e">
        <f t="shared" si="0"/>
        <v>#N/A</v>
      </c>
      <c r="P18" s="1049">
        <f>ROUND(IF(L18='S1&amp;2 Lists'!$CV$3,K18,IF(L18='S1&amp;2 Lists'!$CV$4,K18/'S1&amp;2 Lists'!$CQ$6,0)),3)</f>
        <v>0</v>
      </c>
      <c r="Q18" s="326" t="s">
        <v>264</v>
      </c>
    </row>
    <row r="19" spans="1:17" s="756" customFormat="1" ht="23.25" customHeight="1">
      <c r="A19" s="975"/>
      <c r="B19" s="975"/>
      <c r="C19" s="1027"/>
      <c r="D19" s="975"/>
      <c r="E19" s="980"/>
      <c r="F19" s="975"/>
      <c r="G19" s="979"/>
      <c r="H19" s="975"/>
      <c r="I19" s="980"/>
      <c r="J19" s="980"/>
      <c r="K19" s="975"/>
      <c r="L19" s="975"/>
      <c r="M19" s="755" t="e">
        <f>+VLOOKUP(G19,'S1&amp;2 Lists'!$C$8:$G$134,3,FALSE)</f>
        <v>#N/A</v>
      </c>
      <c r="N19" s="755" t="e">
        <f t="shared" si="0"/>
        <v>#N/A</v>
      </c>
      <c r="P19" s="1049">
        <f>ROUND(IF(L19='S1&amp;2 Lists'!$CV$3,K19,IF(L19='S1&amp;2 Lists'!$CV$4,K19/'S1&amp;2 Lists'!$CQ$6,0)),3)</f>
        <v>0</v>
      </c>
      <c r="Q19" s="326" t="s">
        <v>264</v>
      </c>
    </row>
    <row r="20" spans="1:17" s="756" customFormat="1" ht="23.25" customHeight="1">
      <c r="A20" s="975"/>
      <c r="B20" s="975"/>
      <c r="C20" s="1027"/>
      <c r="D20" s="975"/>
      <c r="E20" s="980"/>
      <c r="F20" s="975"/>
      <c r="G20" s="979"/>
      <c r="H20" s="975"/>
      <c r="I20" s="980"/>
      <c r="J20" s="980"/>
      <c r="K20" s="975"/>
      <c r="L20" s="975"/>
      <c r="M20" s="755" t="e">
        <f>+VLOOKUP(G20,'S1&amp;2 Lists'!$C$8:$G$134,3,FALSE)</f>
        <v>#N/A</v>
      </c>
      <c r="N20" s="755" t="e">
        <f t="shared" si="0"/>
        <v>#N/A</v>
      </c>
      <c r="P20" s="1049">
        <f>ROUND(IF(L20='S1&amp;2 Lists'!$CV$3,K20,IF(L20='S1&amp;2 Lists'!$CV$4,K20/'S1&amp;2 Lists'!$CQ$6,0)),3)</f>
        <v>0</v>
      </c>
      <c r="Q20" s="326" t="s">
        <v>264</v>
      </c>
    </row>
    <row r="21" spans="1:17" s="756" customFormat="1" ht="23.25" customHeight="1">
      <c r="A21" s="975"/>
      <c r="B21" s="975"/>
      <c r="C21" s="1027"/>
      <c r="D21" s="975"/>
      <c r="E21" s="980"/>
      <c r="F21" s="975"/>
      <c r="G21" s="979"/>
      <c r="H21" s="975"/>
      <c r="I21" s="980"/>
      <c r="J21" s="980"/>
      <c r="K21" s="975"/>
      <c r="L21" s="975"/>
      <c r="M21" s="755" t="e">
        <f>+VLOOKUP(G21,'S1&amp;2 Lists'!$C$8:$G$134,3,FALSE)</f>
        <v>#N/A</v>
      </c>
      <c r="N21" s="755" t="e">
        <f t="shared" si="0"/>
        <v>#N/A</v>
      </c>
      <c r="P21" s="1049">
        <f>ROUND(IF(L21='S1&amp;2 Lists'!$CV$3,K21,IF(L21='S1&amp;2 Lists'!$CV$4,K21/'S1&amp;2 Lists'!$CQ$6,0)),3)</f>
        <v>0</v>
      </c>
      <c r="Q21" s="326" t="s">
        <v>264</v>
      </c>
    </row>
    <row r="22" spans="1:17" s="756" customFormat="1" ht="23.25" customHeight="1">
      <c r="A22" s="975"/>
      <c r="B22" s="975"/>
      <c r="C22" s="1027"/>
      <c r="D22" s="975"/>
      <c r="E22" s="980"/>
      <c r="F22" s="975"/>
      <c r="G22" s="979"/>
      <c r="H22" s="975"/>
      <c r="I22" s="980"/>
      <c r="J22" s="980"/>
      <c r="K22" s="975"/>
      <c r="L22" s="975"/>
      <c r="M22" s="755" t="e">
        <f>+VLOOKUP(G22,'S1&amp;2 Lists'!$C$8:$G$134,3,FALSE)</f>
        <v>#N/A</v>
      </c>
      <c r="N22" s="755" t="e">
        <f t="shared" si="0"/>
        <v>#N/A</v>
      </c>
      <c r="P22" s="1049">
        <f>ROUND(IF(L22='S1&amp;2 Lists'!$CV$3,K22,IF(L22='S1&amp;2 Lists'!$CV$4,K22/'S1&amp;2 Lists'!$CQ$6,0)),3)</f>
        <v>0</v>
      </c>
      <c r="Q22" s="326" t="s">
        <v>264</v>
      </c>
    </row>
    <row r="23" spans="1:17" s="756" customFormat="1" ht="23.25" customHeight="1">
      <c r="A23" s="975"/>
      <c r="B23" s="975"/>
      <c r="C23" s="1027"/>
      <c r="D23" s="975"/>
      <c r="E23" s="980"/>
      <c r="F23" s="975"/>
      <c r="G23" s="979"/>
      <c r="H23" s="975"/>
      <c r="I23" s="980"/>
      <c r="J23" s="980"/>
      <c r="K23" s="975"/>
      <c r="L23" s="975"/>
      <c r="M23" s="755" t="e">
        <f>+VLOOKUP(G23,'S1&amp;2 Lists'!$C$8:$G$134,3,FALSE)</f>
        <v>#N/A</v>
      </c>
      <c r="N23" s="755" t="e">
        <f t="shared" si="0"/>
        <v>#N/A</v>
      </c>
      <c r="P23" s="1049">
        <f>ROUND(IF(L23='S1&amp;2 Lists'!$CV$3,K23,IF(L23='S1&amp;2 Lists'!$CV$4,K23/'S1&amp;2 Lists'!$CQ$6,0)),3)</f>
        <v>0</v>
      </c>
      <c r="Q23" s="326" t="s">
        <v>264</v>
      </c>
    </row>
    <row r="24" spans="1:17" s="756" customFormat="1" ht="23.25" customHeight="1">
      <c r="A24" s="975"/>
      <c r="B24" s="975"/>
      <c r="C24" s="1027"/>
      <c r="D24" s="975"/>
      <c r="E24" s="980"/>
      <c r="F24" s="975"/>
      <c r="G24" s="979"/>
      <c r="H24" s="975"/>
      <c r="I24" s="980"/>
      <c r="J24" s="980"/>
      <c r="K24" s="975"/>
      <c r="L24" s="975"/>
      <c r="M24" s="755" t="e">
        <f>+VLOOKUP(G24,'S1&amp;2 Lists'!$C$8:$G$134,3,FALSE)</f>
        <v>#N/A</v>
      </c>
      <c r="N24" s="755" t="e">
        <f t="shared" si="0"/>
        <v>#N/A</v>
      </c>
      <c r="P24" s="1049">
        <f>ROUND(IF(L24='S1&amp;2 Lists'!$CV$3,K24,IF(L24='S1&amp;2 Lists'!$CV$4,K24/'S1&amp;2 Lists'!$CQ$6,0)),3)</f>
        <v>0</v>
      </c>
      <c r="Q24" s="326" t="s">
        <v>264</v>
      </c>
    </row>
    <row r="25" spans="1:17" s="756" customFormat="1" ht="23.25" customHeight="1">
      <c r="A25" s="975"/>
      <c r="B25" s="975"/>
      <c r="C25" s="1027"/>
      <c r="D25" s="975"/>
      <c r="E25" s="980"/>
      <c r="F25" s="975"/>
      <c r="G25" s="979"/>
      <c r="H25" s="975"/>
      <c r="I25" s="980"/>
      <c r="J25" s="980"/>
      <c r="K25" s="975"/>
      <c r="L25" s="975"/>
      <c r="M25" s="755" t="e">
        <f>+VLOOKUP(G25,'S1&amp;2 Lists'!$C$8:$G$134,3,FALSE)</f>
        <v>#N/A</v>
      </c>
      <c r="N25" s="755" t="e">
        <f t="shared" si="0"/>
        <v>#N/A</v>
      </c>
      <c r="P25" s="1049">
        <f>ROUND(IF(L25='S1&amp;2 Lists'!$CV$3,K25,IF(L25='S1&amp;2 Lists'!$CV$4,K25/'S1&amp;2 Lists'!$CQ$6,0)),3)</f>
        <v>0</v>
      </c>
      <c r="Q25" s="326" t="s">
        <v>264</v>
      </c>
    </row>
    <row r="26" spans="1:17" s="756" customFormat="1" ht="23.25" customHeight="1">
      <c r="A26" s="975"/>
      <c r="B26" s="975"/>
      <c r="C26" s="1027"/>
      <c r="D26" s="975"/>
      <c r="E26" s="980"/>
      <c r="F26" s="975"/>
      <c r="G26" s="979"/>
      <c r="H26" s="975"/>
      <c r="I26" s="980"/>
      <c r="J26" s="980"/>
      <c r="K26" s="975"/>
      <c r="L26" s="975"/>
      <c r="M26" s="755" t="e">
        <f>+VLOOKUP(G26,'S1&amp;2 Lists'!$C$8:$G$134,3,FALSE)</f>
        <v>#N/A</v>
      </c>
      <c r="N26" s="755" t="e">
        <f t="shared" si="0"/>
        <v>#N/A</v>
      </c>
      <c r="P26" s="1049">
        <f>ROUND(IF(L26='S1&amp;2 Lists'!$CV$3,K26,IF(L26='S1&amp;2 Lists'!$CV$4,K26/'S1&amp;2 Lists'!$CQ$6,0)),3)</f>
        <v>0</v>
      </c>
      <c r="Q26" s="326" t="s">
        <v>264</v>
      </c>
    </row>
    <row r="27" spans="1:17" s="756" customFormat="1" ht="23.25" customHeight="1">
      <c r="A27" s="975"/>
      <c r="B27" s="975"/>
      <c r="C27" s="1027"/>
      <c r="D27" s="975"/>
      <c r="E27" s="980"/>
      <c r="F27" s="975"/>
      <c r="G27" s="979"/>
      <c r="H27" s="975"/>
      <c r="I27" s="980"/>
      <c r="J27" s="980"/>
      <c r="K27" s="975"/>
      <c r="L27" s="975"/>
      <c r="M27" s="755" t="e">
        <f>+VLOOKUP(G27,'S1&amp;2 Lists'!$C$8:$G$134,3,FALSE)</f>
        <v>#N/A</v>
      </c>
      <c r="N27" s="755" t="e">
        <f t="shared" si="0"/>
        <v>#N/A</v>
      </c>
      <c r="P27" s="1049">
        <f>ROUND(IF(L27='S1&amp;2 Lists'!$CV$3,K27,IF(L27='S1&amp;2 Lists'!$CV$4,K27/'S1&amp;2 Lists'!$CQ$6,0)),3)</f>
        <v>0</v>
      </c>
      <c r="Q27" s="326" t="s">
        <v>264</v>
      </c>
    </row>
    <row r="28" spans="1:17" s="756" customFormat="1" ht="23.25" customHeight="1">
      <c r="A28" s="975"/>
      <c r="B28" s="975"/>
      <c r="C28" s="1027"/>
      <c r="D28" s="975"/>
      <c r="E28" s="980"/>
      <c r="F28" s="975"/>
      <c r="G28" s="979"/>
      <c r="H28" s="975"/>
      <c r="I28" s="980"/>
      <c r="J28" s="980"/>
      <c r="K28" s="975"/>
      <c r="L28" s="975"/>
      <c r="M28" s="755" t="e">
        <f>+VLOOKUP(G28,'S1&amp;2 Lists'!$C$8:$G$134,3,FALSE)</f>
        <v>#N/A</v>
      </c>
      <c r="N28" s="755" t="e">
        <f t="shared" si="0"/>
        <v>#N/A</v>
      </c>
      <c r="P28" s="1049">
        <f>ROUND(IF(L28='S1&amp;2 Lists'!$CV$3,K28,IF(L28='S1&amp;2 Lists'!$CV$4,K28/'S1&amp;2 Lists'!$CQ$6,0)),3)</f>
        <v>0</v>
      </c>
      <c r="Q28" s="326" t="s">
        <v>264</v>
      </c>
    </row>
    <row r="29" spans="1:17" s="756" customFormat="1" ht="23.25" customHeight="1">
      <c r="A29" s="975"/>
      <c r="B29" s="975"/>
      <c r="C29" s="1027"/>
      <c r="D29" s="975"/>
      <c r="E29" s="980"/>
      <c r="F29" s="975"/>
      <c r="G29" s="979"/>
      <c r="H29" s="975"/>
      <c r="I29" s="980"/>
      <c r="J29" s="980"/>
      <c r="K29" s="975"/>
      <c r="L29" s="975"/>
      <c r="M29" s="755" t="e">
        <f>+VLOOKUP(G29,'S1&amp;2 Lists'!$C$8:$G$134,3,FALSE)</f>
        <v>#N/A</v>
      </c>
      <c r="N29" s="755" t="e">
        <f t="shared" si="0"/>
        <v>#N/A</v>
      </c>
      <c r="P29" s="1049">
        <f>ROUND(IF(L29='S1&amp;2 Lists'!$CV$3,K29,IF(L29='S1&amp;2 Lists'!$CV$4,K29/'S1&amp;2 Lists'!$CQ$6,0)),3)</f>
        <v>0</v>
      </c>
      <c r="Q29" s="326" t="s">
        <v>264</v>
      </c>
    </row>
    <row r="30" spans="1:17" s="756" customFormat="1" ht="23.25" customHeight="1">
      <c r="A30" s="975"/>
      <c r="B30" s="975"/>
      <c r="C30" s="1027"/>
      <c r="D30" s="975"/>
      <c r="E30" s="980"/>
      <c r="F30" s="975"/>
      <c r="G30" s="979"/>
      <c r="H30" s="975"/>
      <c r="I30" s="980"/>
      <c r="J30" s="980"/>
      <c r="K30" s="975"/>
      <c r="L30" s="975"/>
      <c r="M30" s="755" t="e">
        <f>+VLOOKUP(G30,'S1&amp;2 Lists'!$C$8:$G$134,3,FALSE)</f>
        <v>#N/A</v>
      </c>
      <c r="N30" s="755" t="e">
        <f t="shared" si="0"/>
        <v>#N/A</v>
      </c>
      <c r="P30" s="1049">
        <f>ROUND(IF(L30='S1&amp;2 Lists'!$CV$3,K30,IF(L30='S1&amp;2 Lists'!$CV$4,K30/'S1&amp;2 Lists'!$CQ$6,0)),3)</f>
        <v>0</v>
      </c>
      <c r="Q30" s="326" t="s">
        <v>264</v>
      </c>
    </row>
    <row r="31" spans="1:17" s="756" customFormat="1" ht="23.25" customHeight="1">
      <c r="A31" s="975"/>
      <c r="B31" s="975"/>
      <c r="C31" s="1027"/>
      <c r="D31" s="975"/>
      <c r="E31" s="980"/>
      <c r="F31" s="975"/>
      <c r="G31" s="979"/>
      <c r="H31" s="975"/>
      <c r="I31" s="980"/>
      <c r="J31" s="980"/>
      <c r="K31" s="975"/>
      <c r="L31" s="975"/>
      <c r="M31" s="755" t="e">
        <f>+VLOOKUP(G31,'S1&amp;2 Lists'!$C$8:$G$134,3,FALSE)</f>
        <v>#N/A</v>
      </c>
      <c r="N31" s="755" t="e">
        <f t="shared" si="0"/>
        <v>#N/A</v>
      </c>
      <c r="P31" s="1049">
        <f>ROUND(IF(L31='S1&amp;2 Lists'!$CV$3,K31,IF(L31='S1&amp;2 Lists'!$CV$4,K31/'S1&amp;2 Lists'!$CQ$6,0)),3)</f>
        <v>0</v>
      </c>
      <c r="Q31" s="326" t="s">
        <v>264</v>
      </c>
    </row>
    <row r="32" spans="1:17" s="756" customFormat="1" ht="23.25" customHeight="1">
      <c r="A32" s="975"/>
      <c r="B32" s="975"/>
      <c r="C32" s="1027"/>
      <c r="D32" s="975"/>
      <c r="E32" s="980"/>
      <c r="F32" s="975"/>
      <c r="G32" s="979"/>
      <c r="H32" s="975"/>
      <c r="I32" s="980"/>
      <c r="J32" s="980"/>
      <c r="K32" s="975"/>
      <c r="L32" s="975"/>
      <c r="M32" s="755" t="e">
        <f>+VLOOKUP(G32,'S1&amp;2 Lists'!$C$8:$G$134,3,FALSE)</f>
        <v>#N/A</v>
      </c>
      <c r="N32" s="755" t="e">
        <f t="shared" si="0"/>
        <v>#N/A</v>
      </c>
      <c r="P32" s="1049">
        <f>ROUND(IF(L32='S1&amp;2 Lists'!$CV$3,K32,IF(L32='S1&amp;2 Lists'!$CV$4,K32/'S1&amp;2 Lists'!$CQ$6,0)),3)</f>
        <v>0</v>
      </c>
      <c r="Q32" s="326" t="s">
        <v>264</v>
      </c>
    </row>
    <row r="33" spans="1:17" s="756" customFormat="1" ht="23.25" customHeight="1">
      <c r="A33" s="975"/>
      <c r="B33" s="975"/>
      <c r="C33" s="1027"/>
      <c r="D33" s="975"/>
      <c r="E33" s="980"/>
      <c r="F33" s="975"/>
      <c r="G33" s="979"/>
      <c r="H33" s="975"/>
      <c r="I33" s="980"/>
      <c r="J33" s="980"/>
      <c r="K33" s="975"/>
      <c r="L33" s="975"/>
      <c r="M33" s="755" t="e">
        <f>+VLOOKUP(G33,'S1&amp;2 Lists'!$C$8:$G$134,3,FALSE)</f>
        <v>#N/A</v>
      </c>
      <c r="N33" s="755" t="e">
        <f t="shared" si="0"/>
        <v>#N/A</v>
      </c>
      <c r="P33" s="1049">
        <f>ROUND(IF(L33='S1&amp;2 Lists'!$CV$3,K33,IF(L33='S1&amp;2 Lists'!$CV$4,K33/'S1&amp;2 Lists'!$CQ$6,0)),3)</f>
        <v>0</v>
      </c>
      <c r="Q33" s="326" t="s">
        <v>264</v>
      </c>
    </row>
    <row r="34" spans="1:17" s="756" customFormat="1" ht="23.25" customHeight="1">
      <c r="A34" s="975"/>
      <c r="B34" s="975"/>
      <c r="C34" s="1027"/>
      <c r="D34" s="975"/>
      <c r="E34" s="980"/>
      <c r="F34" s="975"/>
      <c r="G34" s="979"/>
      <c r="H34" s="975"/>
      <c r="I34" s="980"/>
      <c r="J34" s="980"/>
      <c r="K34" s="975"/>
      <c r="L34" s="975"/>
      <c r="M34" s="755" t="e">
        <f>+VLOOKUP(G34,'S1&amp;2 Lists'!$C$8:$G$134,3,FALSE)</f>
        <v>#N/A</v>
      </c>
      <c r="N34" s="755" t="e">
        <f t="shared" si="0"/>
        <v>#N/A</v>
      </c>
      <c r="P34" s="1049">
        <f>ROUND(IF(L34='S1&amp;2 Lists'!$CV$3,K34,IF(L34='S1&amp;2 Lists'!$CV$4,K34/'S1&amp;2 Lists'!$CQ$6,0)),3)</f>
        <v>0</v>
      </c>
      <c r="Q34" s="326" t="s">
        <v>264</v>
      </c>
    </row>
    <row r="35" spans="1:17" s="756" customFormat="1" ht="23.25" customHeight="1">
      <c r="A35" s="975"/>
      <c r="B35" s="975"/>
      <c r="C35" s="1027"/>
      <c r="D35" s="975"/>
      <c r="E35" s="980"/>
      <c r="F35" s="975"/>
      <c r="G35" s="979"/>
      <c r="H35" s="975"/>
      <c r="I35" s="980"/>
      <c r="J35" s="980"/>
      <c r="K35" s="975"/>
      <c r="L35" s="975"/>
      <c r="M35" s="755" t="e">
        <f>+VLOOKUP(G35,'S1&amp;2 Lists'!$C$8:$G$134,3,FALSE)</f>
        <v>#N/A</v>
      </c>
      <c r="N35" s="755" t="e">
        <f t="shared" si="0"/>
        <v>#N/A</v>
      </c>
      <c r="P35" s="1049">
        <f>ROUND(IF(L35='S1&amp;2 Lists'!$CV$3,K35,IF(L35='S1&amp;2 Lists'!$CV$4,K35/'S1&amp;2 Lists'!$CQ$6,0)),3)</f>
        <v>0</v>
      </c>
      <c r="Q35" s="326" t="s">
        <v>264</v>
      </c>
    </row>
    <row r="36" spans="1:17" s="756" customFormat="1" ht="23.25" customHeight="1">
      <c r="A36" s="975"/>
      <c r="B36" s="975"/>
      <c r="C36" s="1027"/>
      <c r="D36" s="975"/>
      <c r="E36" s="980"/>
      <c r="F36" s="975"/>
      <c r="G36" s="979"/>
      <c r="H36" s="975"/>
      <c r="I36" s="980"/>
      <c r="J36" s="980"/>
      <c r="K36" s="975"/>
      <c r="L36" s="975"/>
      <c r="M36" s="755" t="e">
        <f>+VLOOKUP(G36,'S1&amp;2 Lists'!$C$8:$G$134,3,FALSE)</f>
        <v>#N/A</v>
      </c>
      <c r="N36" s="755" t="e">
        <f t="shared" si="0"/>
        <v>#N/A</v>
      </c>
      <c r="P36" s="1049">
        <f>ROUND(IF(L36='S1&amp;2 Lists'!$CV$3,K36,IF(L36='S1&amp;2 Lists'!$CV$4,K36/'S1&amp;2 Lists'!$CQ$6,0)),3)</f>
        <v>0</v>
      </c>
      <c r="Q36" s="326" t="s">
        <v>264</v>
      </c>
    </row>
    <row r="37" spans="1:17" s="756" customFormat="1" ht="23.25" customHeight="1">
      <c r="A37" s="975"/>
      <c r="B37" s="975"/>
      <c r="C37" s="1027"/>
      <c r="D37" s="975"/>
      <c r="E37" s="980"/>
      <c r="F37" s="975"/>
      <c r="G37" s="979"/>
      <c r="H37" s="975"/>
      <c r="I37" s="980"/>
      <c r="J37" s="980"/>
      <c r="K37" s="975"/>
      <c r="L37" s="975"/>
      <c r="M37" s="755" t="e">
        <f>+VLOOKUP(G37,'S1&amp;2 Lists'!$C$8:$G$134,3,FALSE)</f>
        <v>#N/A</v>
      </c>
      <c r="N37" s="755" t="e">
        <f t="shared" si="0"/>
        <v>#N/A</v>
      </c>
      <c r="P37" s="1049">
        <f>ROUND(IF(L37='S1&amp;2 Lists'!$CV$3,K37,IF(L37='S1&amp;2 Lists'!$CV$4,K37/'S1&amp;2 Lists'!$CQ$6,0)),3)</f>
        <v>0</v>
      </c>
      <c r="Q37" s="326" t="s">
        <v>264</v>
      </c>
    </row>
    <row r="38" spans="1:17" s="756" customFormat="1" ht="23.25" customHeight="1">
      <c r="A38" s="975"/>
      <c r="B38" s="975"/>
      <c r="C38" s="1027"/>
      <c r="D38" s="975"/>
      <c r="E38" s="980"/>
      <c r="F38" s="975"/>
      <c r="G38" s="979"/>
      <c r="H38" s="975"/>
      <c r="I38" s="980"/>
      <c r="J38" s="980"/>
      <c r="K38" s="975"/>
      <c r="L38" s="975"/>
      <c r="M38" s="755" t="e">
        <f>+VLOOKUP(G38,'S1&amp;2 Lists'!$C$8:$G$134,3,FALSE)</f>
        <v>#N/A</v>
      </c>
      <c r="N38" s="755" t="e">
        <f t="shared" si="0"/>
        <v>#N/A</v>
      </c>
      <c r="P38" s="1049">
        <f>ROUND(IF(L38='S1&amp;2 Lists'!$CV$3,K38,IF(L38='S1&amp;2 Lists'!$CV$4,K38/'S1&amp;2 Lists'!$CQ$6,0)),3)</f>
        <v>0</v>
      </c>
      <c r="Q38" s="326" t="s">
        <v>264</v>
      </c>
    </row>
    <row r="39" spans="1:17" s="756" customFormat="1" ht="23.25" customHeight="1">
      <c r="A39" s="975"/>
      <c r="B39" s="975"/>
      <c r="C39" s="1027"/>
      <c r="D39" s="975"/>
      <c r="E39" s="980"/>
      <c r="F39" s="975"/>
      <c r="G39" s="979"/>
      <c r="H39" s="975"/>
      <c r="I39" s="980"/>
      <c r="J39" s="980"/>
      <c r="K39" s="975"/>
      <c r="L39" s="975"/>
      <c r="M39" s="755" t="e">
        <f>+VLOOKUP(G39,'S1&amp;2 Lists'!$C$8:$G$134,3,FALSE)</f>
        <v>#N/A</v>
      </c>
      <c r="N39" s="755" t="e">
        <f t="shared" si="0"/>
        <v>#N/A</v>
      </c>
      <c r="P39" s="1049">
        <f>ROUND(IF(L39='S1&amp;2 Lists'!$CV$3,K39,IF(L39='S1&amp;2 Lists'!$CV$4,K39/'S1&amp;2 Lists'!$CQ$6,0)),3)</f>
        <v>0</v>
      </c>
      <c r="Q39" s="326" t="s">
        <v>264</v>
      </c>
    </row>
    <row r="40" spans="1:17" s="756" customFormat="1" ht="24" customHeight="1">
      <c r="A40" s="975"/>
      <c r="B40" s="975"/>
      <c r="C40" s="1027"/>
      <c r="D40" s="975"/>
      <c r="E40" s="980"/>
      <c r="F40" s="975"/>
      <c r="G40" s="979"/>
      <c r="H40" s="975"/>
      <c r="I40" s="980"/>
      <c r="J40" s="980"/>
      <c r="K40" s="975"/>
      <c r="L40" s="975"/>
      <c r="M40" s="755" t="e">
        <f>+VLOOKUP(G40,'S1&amp;2 Lists'!$C$8:$G$134,3,FALSE)</f>
        <v>#N/A</v>
      </c>
      <c r="N40" s="755" t="e">
        <f t="shared" si="0"/>
        <v>#N/A</v>
      </c>
      <c r="P40" s="1049">
        <f>ROUND(IF(L40='S1&amp;2 Lists'!$CV$3,K40,IF(L40='S1&amp;2 Lists'!$CV$4,K40/'S1&amp;2 Lists'!$CQ$6,0)),3)</f>
        <v>0</v>
      </c>
      <c r="Q40" s="326" t="s">
        <v>264</v>
      </c>
    </row>
    <row r="41" spans="1:17" s="756" customFormat="1" ht="24" customHeight="1">
      <c r="A41" s="975"/>
      <c r="B41" s="975"/>
      <c r="C41" s="1027"/>
      <c r="D41" s="975"/>
      <c r="E41" s="980"/>
      <c r="F41" s="975"/>
      <c r="G41" s="979"/>
      <c r="H41" s="975"/>
      <c r="I41" s="980"/>
      <c r="J41" s="980"/>
      <c r="K41" s="975"/>
      <c r="L41" s="975"/>
      <c r="M41" s="755" t="e">
        <f>+VLOOKUP(G41,'S1&amp;2 Lists'!$C$8:$G$134,3,FALSE)</f>
        <v>#N/A</v>
      </c>
      <c r="N41" s="755" t="e">
        <f t="shared" si="0"/>
        <v>#N/A</v>
      </c>
      <c r="P41" s="1049">
        <f>ROUND(IF(L41='S1&amp;2 Lists'!$CV$3,K41,IF(L41='S1&amp;2 Lists'!$CV$4,K41/'S1&amp;2 Lists'!$CQ$6,0)),3)</f>
        <v>0</v>
      </c>
      <c r="Q41" s="326" t="s">
        <v>264</v>
      </c>
    </row>
    <row r="42" spans="1:17" s="756" customFormat="1" ht="24" customHeight="1">
      <c r="A42" s="975"/>
      <c r="B42" s="975"/>
      <c r="C42" s="1027"/>
      <c r="D42" s="975"/>
      <c r="E42" s="980"/>
      <c r="F42" s="975"/>
      <c r="G42" s="979"/>
      <c r="H42" s="975"/>
      <c r="I42" s="980"/>
      <c r="J42" s="980"/>
      <c r="K42" s="975"/>
      <c r="L42" s="975"/>
      <c r="M42" s="755" t="e">
        <f>+VLOOKUP(G42,'S1&amp;2 Lists'!$C$8:$G$134,3,FALSE)</f>
        <v>#N/A</v>
      </c>
      <c r="N42" s="755" t="e">
        <f t="shared" si="0"/>
        <v>#N/A</v>
      </c>
      <c r="P42" s="1049">
        <f>ROUND(IF(L42='S1&amp;2 Lists'!$CV$3,K42,IF(L42='S1&amp;2 Lists'!$CV$4,K42/'S1&amp;2 Lists'!$CQ$6,0)),3)</f>
        <v>0</v>
      </c>
      <c r="Q42" s="326" t="s">
        <v>264</v>
      </c>
    </row>
    <row r="43" spans="1:17" s="756" customFormat="1" ht="24" customHeight="1">
      <c r="A43" s="975"/>
      <c r="B43" s="975"/>
      <c r="C43" s="1027"/>
      <c r="D43" s="975"/>
      <c r="E43" s="980"/>
      <c r="F43" s="975"/>
      <c r="G43" s="979"/>
      <c r="H43" s="975"/>
      <c r="I43" s="980"/>
      <c r="J43" s="980"/>
      <c r="K43" s="975"/>
      <c r="L43" s="975"/>
      <c r="M43" s="755" t="e">
        <f>+VLOOKUP(G43,'S1&amp;2 Lists'!$C$8:$G$134,3,FALSE)</f>
        <v>#N/A</v>
      </c>
      <c r="N43" s="755" t="e">
        <f t="shared" si="0"/>
        <v>#N/A</v>
      </c>
      <c r="P43" s="1049">
        <f>ROUND(IF(L43='S1&amp;2 Lists'!$CV$3,K43,IF(L43='S1&amp;2 Lists'!$CV$4,K43/'S1&amp;2 Lists'!$CQ$6,0)),3)</f>
        <v>0</v>
      </c>
      <c r="Q43" s="326" t="s">
        <v>264</v>
      </c>
    </row>
    <row r="44" spans="1:17" s="756" customFormat="1" ht="24" customHeight="1">
      <c r="A44" s="975"/>
      <c r="B44" s="975"/>
      <c r="C44" s="1027"/>
      <c r="D44" s="975"/>
      <c r="E44" s="980"/>
      <c r="F44" s="975"/>
      <c r="G44" s="979"/>
      <c r="H44" s="975"/>
      <c r="I44" s="980"/>
      <c r="J44" s="980"/>
      <c r="K44" s="975"/>
      <c r="L44" s="975"/>
      <c r="M44" s="755" t="e">
        <f>+VLOOKUP(G44,'S1&amp;2 Lists'!$C$8:$G$134,3,FALSE)</f>
        <v>#N/A</v>
      </c>
      <c r="N44" s="755" t="e">
        <f t="shared" si="0"/>
        <v>#N/A</v>
      </c>
      <c r="P44" s="1049">
        <f>ROUND(IF(L44='S1&amp;2 Lists'!$CV$3,K44,IF(L44='S1&amp;2 Lists'!$CV$4,K44/'S1&amp;2 Lists'!$CQ$6,0)),3)</f>
        <v>0</v>
      </c>
      <c r="Q44" s="326" t="s">
        <v>264</v>
      </c>
    </row>
    <row r="45" spans="1:17" s="756" customFormat="1" ht="24" customHeight="1">
      <c r="A45" s="975"/>
      <c r="B45" s="975"/>
      <c r="C45" s="1027"/>
      <c r="D45" s="975"/>
      <c r="E45" s="980"/>
      <c r="F45" s="975"/>
      <c r="G45" s="979"/>
      <c r="H45" s="975"/>
      <c r="I45" s="980"/>
      <c r="J45" s="980"/>
      <c r="K45" s="975"/>
      <c r="L45" s="975"/>
      <c r="M45" s="755" t="e">
        <f>+VLOOKUP(G45,'S1&amp;2 Lists'!$C$8:$G$134,3,FALSE)</f>
        <v>#N/A</v>
      </c>
      <c r="N45" s="755" t="e">
        <f t="shared" si="0"/>
        <v>#N/A</v>
      </c>
      <c r="P45" s="1049">
        <f>ROUND(IF(L45='S1&amp;2 Lists'!$CV$3,K45,IF(L45='S1&amp;2 Lists'!$CV$4,K45/'S1&amp;2 Lists'!$CQ$6,0)),3)</f>
        <v>0</v>
      </c>
      <c r="Q45" s="326" t="s">
        <v>264</v>
      </c>
    </row>
    <row r="46" spans="1:17" s="756" customFormat="1" ht="24" customHeight="1">
      <c r="A46" s="975"/>
      <c r="B46" s="975"/>
      <c r="C46" s="1027"/>
      <c r="D46" s="975"/>
      <c r="E46" s="980"/>
      <c r="F46" s="975"/>
      <c r="G46" s="979"/>
      <c r="H46" s="975"/>
      <c r="I46" s="980"/>
      <c r="J46" s="980"/>
      <c r="K46" s="975"/>
      <c r="L46" s="975"/>
      <c r="M46" s="755" t="e">
        <f>+VLOOKUP(G46,'S1&amp;2 Lists'!$C$8:$G$134,3,FALSE)</f>
        <v>#N/A</v>
      </c>
      <c r="N46" s="755" t="e">
        <f t="shared" si="0"/>
        <v>#N/A</v>
      </c>
      <c r="P46" s="1049">
        <f>ROUND(IF(L46='S1&amp;2 Lists'!$CV$3,K46,IF(L46='S1&amp;2 Lists'!$CV$4,K46/'S1&amp;2 Lists'!$CQ$6,0)),3)</f>
        <v>0</v>
      </c>
      <c r="Q46" s="326" t="s">
        <v>264</v>
      </c>
    </row>
    <row r="47" spans="1:17" s="756" customFormat="1" ht="24" customHeight="1">
      <c r="A47" s="975"/>
      <c r="B47" s="975"/>
      <c r="C47" s="1027"/>
      <c r="D47" s="975"/>
      <c r="E47" s="980"/>
      <c r="F47" s="975"/>
      <c r="G47" s="979"/>
      <c r="H47" s="975"/>
      <c r="I47" s="980"/>
      <c r="J47" s="975"/>
      <c r="K47" s="975"/>
      <c r="L47" s="975"/>
      <c r="M47" s="755" t="e">
        <f>+VLOOKUP(G47,'S1&amp;2 Lists'!$C$8:$G$134,3,FALSE)</f>
        <v>#N/A</v>
      </c>
      <c r="N47" s="755" t="e">
        <f t="shared" si="0"/>
        <v>#N/A</v>
      </c>
      <c r="P47" s="1049">
        <f>ROUND(IF(L47='S1&amp;2 Lists'!$CV$3,K47,IF(L47='S1&amp;2 Lists'!$CV$4,K47/'S1&amp;2 Lists'!$CQ$6,0)),3)</f>
        <v>0</v>
      </c>
      <c r="Q47" s="326" t="s">
        <v>264</v>
      </c>
    </row>
    <row r="48" spans="1:17" s="756" customFormat="1" ht="24" customHeight="1">
      <c r="A48" s="975"/>
      <c r="B48" s="975"/>
      <c r="C48" s="1027"/>
      <c r="D48" s="975"/>
      <c r="E48" s="980"/>
      <c r="F48" s="975"/>
      <c r="G48" s="979"/>
      <c r="H48" s="975"/>
      <c r="I48" s="980"/>
      <c r="J48" s="975"/>
      <c r="K48" s="975"/>
      <c r="L48" s="975"/>
      <c r="M48" s="755" t="e">
        <f>+VLOOKUP(G48,'S1&amp;2 Lists'!$C$8:$G$134,3,FALSE)</f>
        <v>#N/A</v>
      </c>
      <c r="N48" s="755" t="e">
        <f t="shared" si="0"/>
        <v>#N/A</v>
      </c>
      <c r="P48" s="1049">
        <f>ROUND(IF(L48='S1&amp;2 Lists'!$CV$3,K48,IF(L48='S1&amp;2 Lists'!$CV$4,K48/'S1&amp;2 Lists'!$CQ$6,0)),3)</f>
        <v>0</v>
      </c>
      <c r="Q48" s="326" t="s">
        <v>264</v>
      </c>
    </row>
    <row r="49" spans="1:17" s="756" customFormat="1" ht="24" customHeight="1">
      <c r="A49" s="975"/>
      <c r="B49" s="975"/>
      <c r="C49" s="1027"/>
      <c r="D49" s="975"/>
      <c r="E49" s="980"/>
      <c r="F49" s="975"/>
      <c r="G49" s="979"/>
      <c r="H49" s="975"/>
      <c r="I49" s="980"/>
      <c r="J49" s="975"/>
      <c r="K49" s="975"/>
      <c r="L49" s="975"/>
      <c r="M49" s="755" t="e">
        <f>+VLOOKUP(G49,'S1&amp;2 Lists'!$C$8:$G$134,3,FALSE)</f>
        <v>#N/A</v>
      </c>
      <c r="N49" s="755" t="e">
        <f t="shared" si="0"/>
        <v>#N/A</v>
      </c>
      <c r="P49" s="1049">
        <f>ROUND(IF(L49='S1&amp;2 Lists'!$CV$3,K49,IF(L49='S1&amp;2 Lists'!$CV$4,K49/'S1&amp;2 Lists'!$CQ$6,0)),3)</f>
        <v>0</v>
      </c>
      <c r="Q49" s="326" t="s">
        <v>264</v>
      </c>
    </row>
    <row r="50" spans="1:17" s="756" customFormat="1" ht="24" customHeight="1">
      <c r="A50" s="975"/>
      <c r="B50" s="975"/>
      <c r="C50" s="1027"/>
      <c r="D50" s="975"/>
      <c r="E50" s="980"/>
      <c r="F50" s="975"/>
      <c r="G50" s="979"/>
      <c r="H50" s="975"/>
      <c r="I50" s="980"/>
      <c r="J50" s="975"/>
      <c r="K50" s="975"/>
      <c r="L50" s="975"/>
      <c r="M50" s="755" t="e">
        <f>+VLOOKUP(G50,'S1&amp;2 Lists'!$C$8:$G$134,3,FALSE)</f>
        <v>#N/A</v>
      </c>
      <c r="N50" s="755" t="e">
        <f t="shared" si="0"/>
        <v>#N/A</v>
      </c>
      <c r="P50" s="1049">
        <f>ROUND(IF(L50='S1&amp;2 Lists'!$CV$3,K50,IF(L50='S1&amp;2 Lists'!$CV$4,K50/'S1&amp;2 Lists'!$CQ$6,0)),3)</f>
        <v>0</v>
      </c>
      <c r="Q50" s="326" t="s">
        <v>264</v>
      </c>
    </row>
    <row r="51" spans="1:17" s="756" customFormat="1" ht="24" customHeight="1">
      <c r="A51" s="975"/>
      <c r="B51" s="975"/>
      <c r="C51" s="1027"/>
      <c r="D51" s="975"/>
      <c r="E51" s="980"/>
      <c r="F51" s="975"/>
      <c r="G51" s="979"/>
      <c r="H51" s="975"/>
      <c r="I51" s="980"/>
      <c r="J51" s="975"/>
      <c r="K51" s="975"/>
      <c r="L51" s="975"/>
      <c r="M51" s="755" t="e">
        <f>+VLOOKUP(G51,'S1&amp;2 Lists'!$C$8:$G$134,3,FALSE)</f>
        <v>#N/A</v>
      </c>
      <c r="N51" s="755" t="e">
        <f t="shared" si="0"/>
        <v>#N/A</v>
      </c>
      <c r="P51" s="1049">
        <f>ROUND(IF(L51='S1&amp;2 Lists'!$CV$3,K51,IF(L51='S1&amp;2 Lists'!$CV$4,K51/'S1&amp;2 Lists'!$CQ$6,0)),3)</f>
        <v>0</v>
      </c>
      <c r="Q51" s="326" t="s">
        <v>264</v>
      </c>
    </row>
    <row r="52" spans="1:17" s="756" customFormat="1" ht="24" customHeight="1">
      <c r="A52" s="975"/>
      <c r="B52" s="975"/>
      <c r="C52" s="1027"/>
      <c r="D52" s="975"/>
      <c r="E52" s="980"/>
      <c r="F52" s="975"/>
      <c r="G52" s="979"/>
      <c r="H52" s="975"/>
      <c r="I52" s="980"/>
      <c r="J52" s="975"/>
      <c r="K52" s="975"/>
      <c r="L52" s="975"/>
      <c r="M52" s="755" t="e">
        <f>+VLOOKUP(G52,'S1&amp;2 Lists'!$C$8:$G$134,3,FALSE)</f>
        <v>#N/A</v>
      </c>
      <c r="N52" s="755" t="e">
        <f t="shared" si="0"/>
        <v>#N/A</v>
      </c>
      <c r="P52" s="1049">
        <f>ROUND(IF(L52='S1&amp;2 Lists'!$CV$3,K52,IF(L52='S1&amp;2 Lists'!$CV$4,K52/'S1&amp;2 Lists'!$CQ$6,0)),3)</f>
        <v>0</v>
      </c>
      <c r="Q52" s="326" t="s">
        <v>264</v>
      </c>
    </row>
    <row r="53" spans="1:17" s="756" customFormat="1" ht="24" customHeight="1">
      <c r="A53" s="975"/>
      <c r="B53" s="975"/>
      <c r="C53" s="1027"/>
      <c r="D53" s="975"/>
      <c r="E53" s="980"/>
      <c r="F53" s="975"/>
      <c r="G53" s="979"/>
      <c r="H53" s="975"/>
      <c r="I53" s="980"/>
      <c r="J53" s="975"/>
      <c r="K53" s="975"/>
      <c r="L53" s="975"/>
      <c r="M53" s="755" t="e">
        <f>+VLOOKUP(G53,'S1&amp;2 Lists'!$C$8:$G$134,3,FALSE)</f>
        <v>#N/A</v>
      </c>
      <c r="N53" s="755" t="e">
        <f t="shared" si="0"/>
        <v>#N/A</v>
      </c>
      <c r="P53" s="1049">
        <f>ROUND(IF(L53='S1&amp;2 Lists'!$CV$3,K53,IF(L53='S1&amp;2 Lists'!$CV$4,K53/'S1&amp;2 Lists'!$CQ$6,0)),3)</f>
        <v>0</v>
      </c>
      <c r="Q53" s="326" t="s">
        <v>264</v>
      </c>
    </row>
    <row r="54" spans="1:17" s="756" customFormat="1" ht="24" customHeight="1">
      <c r="A54" s="975"/>
      <c r="B54" s="975"/>
      <c r="C54" s="1027"/>
      <c r="D54" s="975"/>
      <c r="E54" s="980"/>
      <c r="F54" s="975"/>
      <c r="G54" s="979"/>
      <c r="H54" s="975"/>
      <c r="I54" s="980"/>
      <c r="J54" s="975"/>
      <c r="K54" s="975"/>
      <c r="L54" s="975"/>
      <c r="M54" s="755" t="e">
        <f>+VLOOKUP(G54,'S1&amp;2 Lists'!$C$8:$G$134,3,FALSE)</f>
        <v>#N/A</v>
      </c>
      <c r="N54" s="755" t="e">
        <f t="shared" si="0"/>
        <v>#N/A</v>
      </c>
      <c r="P54" s="1049">
        <f>ROUND(IF(L54='S1&amp;2 Lists'!$CV$3,K54,IF(L54='S1&amp;2 Lists'!$CV$4,K54/'S1&amp;2 Lists'!$CQ$6,0)),3)</f>
        <v>0</v>
      </c>
      <c r="Q54" s="326" t="s">
        <v>264</v>
      </c>
    </row>
    <row r="55" spans="1:17" s="756" customFormat="1" ht="24" customHeight="1">
      <c r="A55" s="975"/>
      <c r="B55" s="975"/>
      <c r="C55" s="1027"/>
      <c r="D55" s="975"/>
      <c r="E55" s="980"/>
      <c r="F55" s="975"/>
      <c r="G55" s="979"/>
      <c r="H55" s="975"/>
      <c r="I55" s="980"/>
      <c r="J55" s="975"/>
      <c r="K55" s="975"/>
      <c r="L55" s="975"/>
      <c r="M55" s="755" t="e">
        <f>+VLOOKUP(G55,'S1&amp;2 Lists'!$C$8:$G$134,3,FALSE)</f>
        <v>#N/A</v>
      </c>
      <c r="N55" s="755" t="e">
        <f t="shared" si="0"/>
        <v>#N/A</v>
      </c>
      <c r="P55" s="1049">
        <f>ROUND(IF(L55='S1&amp;2 Lists'!$CV$3,K55,IF(L55='S1&amp;2 Lists'!$CV$4,K55/'S1&amp;2 Lists'!$CQ$6,0)),3)</f>
        <v>0</v>
      </c>
      <c r="Q55" s="326" t="s">
        <v>264</v>
      </c>
    </row>
    <row r="56" spans="1:17" s="756" customFormat="1" ht="24" customHeight="1">
      <c r="A56" s="975"/>
      <c r="B56" s="975"/>
      <c r="C56" s="1027"/>
      <c r="D56" s="975"/>
      <c r="E56" s="980"/>
      <c r="F56" s="975"/>
      <c r="G56" s="979"/>
      <c r="H56" s="975"/>
      <c r="I56" s="980"/>
      <c r="J56" s="975"/>
      <c r="K56" s="975"/>
      <c r="L56" s="975"/>
      <c r="M56" s="755" t="e">
        <f>+VLOOKUP(G56,'S1&amp;2 Lists'!$C$8:$G$134,3,FALSE)</f>
        <v>#N/A</v>
      </c>
      <c r="N56" s="755" t="e">
        <f t="shared" si="0"/>
        <v>#N/A</v>
      </c>
      <c r="P56" s="1049">
        <f>ROUND(IF(L56='S1&amp;2 Lists'!$CV$3,K56,IF(L56='S1&amp;2 Lists'!$CV$4,K56/'S1&amp;2 Lists'!$CQ$6,0)),3)</f>
        <v>0</v>
      </c>
      <c r="Q56" s="326" t="s">
        <v>264</v>
      </c>
    </row>
    <row r="57" spans="1:17" s="756" customFormat="1" ht="24" customHeight="1">
      <c r="A57" s="975"/>
      <c r="B57" s="975"/>
      <c r="C57" s="1027"/>
      <c r="D57" s="975"/>
      <c r="E57" s="980"/>
      <c r="F57" s="975"/>
      <c r="G57" s="979"/>
      <c r="H57" s="975"/>
      <c r="I57" s="980"/>
      <c r="J57" s="975"/>
      <c r="K57" s="975"/>
      <c r="L57" s="975"/>
      <c r="M57" s="755" t="e">
        <f>+VLOOKUP(G57,'S1&amp;2 Lists'!$C$8:$G$134,3,FALSE)</f>
        <v>#N/A</v>
      </c>
      <c r="N57" s="755" t="e">
        <f t="shared" si="0"/>
        <v>#N/A</v>
      </c>
      <c r="P57" s="1049">
        <f>ROUND(IF(L57='S1&amp;2 Lists'!$CV$3,K57,IF(L57='S1&amp;2 Lists'!$CV$4,K57/'S1&amp;2 Lists'!$CQ$6,0)),3)</f>
        <v>0</v>
      </c>
      <c r="Q57" s="326" t="s">
        <v>264</v>
      </c>
    </row>
    <row r="58" spans="1:17" s="756" customFormat="1" ht="24" customHeight="1">
      <c r="A58" s="975"/>
      <c r="B58" s="975"/>
      <c r="C58" s="1027"/>
      <c r="D58" s="975"/>
      <c r="E58" s="980"/>
      <c r="F58" s="975"/>
      <c r="G58" s="979"/>
      <c r="H58" s="975"/>
      <c r="I58" s="980"/>
      <c r="J58" s="975"/>
      <c r="K58" s="975"/>
      <c r="L58" s="975"/>
      <c r="M58" s="755" t="e">
        <f>+VLOOKUP(G58,'S1&amp;2 Lists'!$C$8:$G$134,3,FALSE)</f>
        <v>#N/A</v>
      </c>
      <c r="N58" s="755" t="e">
        <f t="shared" si="0"/>
        <v>#N/A</v>
      </c>
      <c r="P58" s="1049">
        <f>ROUND(IF(L58='S1&amp;2 Lists'!$CV$3,K58,IF(L58='S1&amp;2 Lists'!$CV$4,K58/'S1&amp;2 Lists'!$CQ$6,0)),3)</f>
        <v>0</v>
      </c>
      <c r="Q58" s="326" t="s">
        <v>264</v>
      </c>
    </row>
    <row r="59" spans="1:17" s="756" customFormat="1" ht="24" customHeight="1">
      <c r="A59" s="975"/>
      <c r="B59" s="975"/>
      <c r="C59" s="1027"/>
      <c r="D59" s="975"/>
      <c r="E59" s="980"/>
      <c r="F59" s="975"/>
      <c r="G59" s="979"/>
      <c r="H59" s="975"/>
      <c r="I59" s="980"/>
      <c r="J59" s="975"/>
      <c r="K59" s="975"/>
      <c r="L59" s="975"/>
      <c r="M59" s="755" t="e">
        <f>+VLOOKUP(G59,'S1&amp;2 Lists'!$C$8:$G$134,3,FALSE)</f>
        <v>#N/A</v>
      </c>
      <c r="N59" s="755" t="e">
        <f t="shared" si="0"/>
        <v>#N/A</v>
      </c>
      <c r="P59" s="1049">
        <f>ROUND(IF(L59='S1&amp;2 Lists'!$CV$3,K59,IF(L59='S1&amp;2 Lists'!$CV$4,K59/'S1&amp;2 Lists'!$CQ$6,0)),3)</f>
        <v>0</v>
      </c>
      <c r="Q59" s="326" t="s">
        <v>264</v>
      </c>
    </row>
    <row r="60" spans="1:17" s="756" customFormat="1" ht="24" customHeight="1">
      <c r="A60" s="975"/>
      <c r="B60" s="975"/>
      <c r="C60" s="1027"/>
      <c r="D60" s="975"/>
      <c r="E60" s="980"/>
      <c r="F60" s="975"/>
      <c r="G60" s="979"/>
      <c r="H60" s="975"/>
      <c r="I60" s="980"/>
      <c r="J60" s="975"/>
      <c r="K60" s="975"/>
      <c r="L60" s="975"/>
      <c r="M60" s="755" t="e">
        <f>+VLOOKUP(G60,'S1&amp;2 Lists'!$C$8:$G$134,3,FALSE)</f>
        <v>#N/A</v>
      </c>
      <c r="N60" s="755" t="e">
        <f t="shared" si="0"/>
        <v>#N/A</v>
      </c>
      <c r="P60" s="1049">
        <f>ROUND(IF(L60='S1&amp;2 Lists'!$CV$3,K60,IF(L60='S1&amp;2 Lists'!$CV$4,K60/'S1&amp;2 Lists'!$CQ$6,0)),3)</f>
        <v>0</v>
      </c>
      <c r="Q60" s="326" t="s">
        <v>264</v>
      </c>
    </row>
    <row r="61" spans="1:17" s="756" customFormat="1" ht="24" customHeight="1">
      <c r="A61" s="975"/>
      <c r="B61" s="975"/>
      <c r="C61" s="1027"/>
      <c r="D61" s="975"/>
      <c r="E61" s="980"/>
      <c r="F61" s="975"/>
      <c r="G61" s="979"/>
      <c r="H61" s="975"/>
      <c r="I61" s="980"/>
      <c r="J61" s="975"/>
      <c r="K61" s="975"/>
      <c r="L61" s="975"/>
      <c r="M61" s="755" t="e">
        <f>+VLOOKUP(G61,'S1&amp;2 Lists'!$C$8:$G$134,3,FALSE)</f>
        <v>#N/A</v>
      </c>
      <c r="N61" s="755" t="e">
        <f t="shared" si="0"/>
        <v>#N/A</v>
      </c>
      <c r="P61" s="1049">
        <f>ROUND(IF(L61='S1&amp;2 Lists'!$CV$3,K61,IF(L61='S1&amp;2 Lists'!$CV$4,K61/'S1&amp;2 Lists'!$CQ$6,0)),3)</f>
        <v>0</v>
      </c>
      <c r="Q61" s="326" t="s">
        <v>264</v>
      </c>
    </row>
    <row r="62" spans="1:17" s="756" customFormat="1" ht="24" customHeight="1">
      <c r="A62" s="975"/>
      <c r="B62" s="975"/>
      <c r="C62" s="1027"/>
      <c r="D62" s="975"/>
      <c r="E62" s="980"/>
      <c r="F62" s="975"/>
      <c r="G62" s="979"/>
      <c r="H62" s="975"/>
      <c r="I62" s="980"/>
      <c r="J62" s="975"/>
      <c r="K62" s="975"/>
      <c r="L62" s="975"/>
      <c r="M62" s="755" t="e">
        <f>+VLOOKUP(G62,'S1&amp;2 Lists'!$C$8:$G$134,3,FALSE)</f>
        <v>#N/A</v>
      </c>
      <c r="N62" s="755" t="e">
        <f t="shared" si="0"/>
        <v>#N/A</v>
      </c>
      <c r="P62" s="1049">
        <f>ROUND(IF(L62='S1&amp;2 Lists'!$CV$3,K62,IF(L62='S1&amp;2 Lists'!$CV$4,K62/'S1&amp;2 Lists'!$CQ$6,0)),3)</f>
        <v>0</v>
      </c>
      <c r="Q62" s="326" t="s">
        <v>264</v>
      </c>
    </row>
    <row r="63" spans="1:17" s="756" customFormat="1" ht="24" customHeight="1">
      <c r="A63" s="975"/>
      <c r="B63" s="975"/>
      <c r="C63" s="1027"/>
      <c r="D63" s="975"/>
      <c r="E63" s="980"/>
      <c r="F63" s="975"/>
      <c r="G63" s="979"/>
      <c r="H63" s="975"/>
      <c r="I63" s="980"/>
      <c r="J63" s="975"/>
      <c r="K63" s="975"/>
      <c r="L63" s="975"/>
      <c r="M63" s="755" t="e">
        <f>+VLOOKUP(G63,'S1&amp;2 Lists'!$C$8:$G$134,3,FALSE)</f>
        <v>#N/A</v>
      </c>
      <c r="N63" s="755" t="e">
        <f t="shared" si="0"/>
        <v>#N/A</v>
      </c>
      <c r="P63" s="1049">
        <f>ROUND(IF(L63='S1&amp;2 Lists'!$CV$3,K63,IF(L63='S1&amp;2 Lists'!$CV$4,K63/'S1&amp;2 Lists'!$CQ$6,0)),3)</f>
        <v>0</v>
      </c>
      <c r="Q63" s="326" t="s">
        <v>264</v>
      </c>
    </row>
    <row r="64" spans="1:17" s="756" customFormat="1" ht="24" customHeight="1">
      <c r="A64" s="975"/>
      <c r="B64" s="975"/>
      <c r="C64" s="1027"/>
      <c r="D64" s="975"/>
      <c r="E64" s="980"/>
      <c r="F64" s="975"/>
      <c r="G64" s="979"/>
      <c r="H64" s="975"/>
      <c r="I64" s="980"/>
      <c r="J64" s="975"/>
      <c r="K64" s="975"/>
      <c r="L64" s="975"/>
      <c r="M64" s="755" t="e">
        <f>+VLOOKUP(G64,'S1&amp;2 Lists'!$C$8:$G$134,3,FALSE)</f>
        <v>#N/A</v>
      </c>
      <c r="N64" s="755" t="e">
        <f t="shared" si="0"/>
        <v>#N/A</v>
      </c>
      <c r="P64" s="1049">
        <f>ROUND(IF(L64='S1&amp;2 Lists'!$CV$3,K64,IF(L64='S1&amp;2 Lists'!$CV$4,K64/'S1&amp;2 Lists'!$CQ$6,0)),3)</f>
        <v>0</v>
      </c>
      <c r="Q64" s="326" t="s">
        <v>264</v>
      </c>
    </row>
    <row r="65" spans="1:17" s="756" customFormat="1" ht="24" customHeight="1">
      <c r="A65" s="975"/>
      <c r="B65" s="975"/>
      <c r="C65" s="1027"/>
      <c r="D65" s="975"/>
      <c r="E65" s="980"/>
      <c r="F65" s="975"/>
      <c r="G65" s="979"/>
      <c r="H65" s="975"/>
      <c r="I65" s="980"/>
      <c r="J65" s="975"/>
      <c r="K65" s="975"/>
      <c r="L65" s="975"/>
      <c r="M65" s="755" t="e">
        <f>+VLOOKUP(G65,'S1&amp;2 Lists'!$C$8:$G$134,3,FALSE)</f>
        <v>#N/A</v>
      </c>
      <c r="N65" s="755" t="e">
        <f t="shared" si="0"/>
        <v>#N/A</v>
      </c>
      <c r="P65" s="1049">
        <f>ROUND(IF(L65='S1&amp;2 Lists'!$CV$3,K65,IF(L65='S1&amp;2 Lists'!$CV$4,K65/'S1&amp;2 Lists'!$CQ$6,0)),3)</f>
        <v>0</v>
      </c>
      <c r="Q65" s="326" t="s">
        <v>264</v>
      </c>
    </row>
    <row r="66" spans="1:17" s="756" customFormat="1" ht="24" customHeight="1">
      <c r="A66" s="975"/>
      <c r="B66" s="975"/>
      <c r="C66" s="1027"/>
      <c r="D66" s="975"/>
      <c r="E66" s="980"/>
      <c r="F66" s="975"/>
      <c r="G66" s="979"/>
      <c r="H66" s="975"/>
      <c r="I66" s="980"/>
      <c r="J66" s="975"/>
      <c r="K66" s="975"/>
      <c r="L66" s="975"/>
      <c r="M66" s="755" t="e">
        <f>+VLOOKUP(G66,'S1&amp;2 Lists'!$C$8:$G$134,3,FALSE)</f>
        <v>#N/A</v>
      </c>
      <c r="N66" s="755" t="e">
        <f t="shared" si="0"/>
        <v>#N/A</v>
      </c>
      <c r="P66" s="1049">
        <f>ROUND(IF(L66='S1&amp;2 Lists'!$CV$3,K66,IF(L66='S1&amp;2 Lists'!$CV$4,K66/'S1&amp;2 Lists'!$CQ$6,0)),3)</f>
        <v>0</v>
      </c>
      <c r="Q66" s="326" t="s">
        <v>264</v>
      </c>
    </row>
    <row r="67" spans="1:17" s="756" customFormat="1" ht="24" customHeight="1">
      <c r="A67" s="975"/>
      <c r="B67" s="975"/>
      <c r="C67" s="1027"/>
      <c r="D67" s="975"/>
      <c r="E67" s="980"/>
      <c r="F67" s="975"/>
      <c r="G67" s="979"/>
      <c r="H67" s="975"/>
      <c r="I67" s="980"/>
      <c r="J67" s="975"/>
      <c r="K67" s="975"/>
      <c r="L67" s="975"/>
      <c r="M67" s="755" t="e">
        <f>+VLOOKUP(G67,'S1&amp;2 Lists'!$C$8:$G$134,3,FALSE)</f>
        <v>#N/A</v>
      </c>
      <c r="N67" s="755" t="e">
        <f t="shared" si="0"/>
        <v>#N/A</v>
      </c>
      <c r="P67" s="1049">
        <f>ROUND(IF(L67='S1&amp;2 Lists'!$CV$3,K67,IF(L67='S1&amp;2 Lists'!$CV$4,K67/'S1&amp;2 Lists'!$CQ$6,0)),3)</f>
        <v>0</v>
      </c>
      <c r="Q67" s="326" t="s">
        <v>264</v>
      </c>
    </row>
    <row r="68" spans="1:17" s="756" customFormat="1" ht="24" customHeight="1">
      <c r="A68" s="975"/>
      <c r="B68" s="975"/>
      <c r="C68" s="1027"/>
      <c r="D68" s="975"/>
      <c r="E68" s="980"/>
      <c r="F68" s="975"/>
      <c r="G68" s="979"/>
      <c r="H68" s="975"/>
      <c r="I68" s="980"/>
      <c r="J68" s="975"/>
      <c r="K68" s="975"/>
      <c r="L68" s="975"/>
      <c r="M68" s="755" t="e">
        <f>+VLOOKUP(G68,'S1&amp;2 Lists'!$C$8:$G$134,3,FALSE)</f>
        <v>#N/A</v>
      </c>
      <c r="N68" s="755" t="e">
        <f t="shared" si="0"/>
        <v>#N/A</v>
      </c>
      <c r="P68" s="1049">
        <f>ROUND(IF(L68='S1&amp;2 Lists'!$CV$3,K68,IF(L68='S1&amp;2 Lists'!$CV$4,K68/'S1&amp;2 Lists'!$CQ$6,0)),3)</f>
        <v>0</v>
      </c>
      <c r="Q68" s="326" t="s">
        <v>264</v>
      </c>
    </row>
    <row r="69" spans="1:17" s="756" customFormat="1" ht="24" customHeight="1">
      <c r="A69" s="975"/>
      <c r="B69" s="975"/>
      <c r="C69" s="1027"/>
      <c r="D69" s="975"/>
      <c r="E69" s="980"/>
      <c r="F69" s="975"/>
      <c r="G69" s="979"/>
      <c r="H69" s="975"/>
      <c r="I69" s="980"/>
      <c r="J69" s="975"/>
      <c r="K69" s="975"/>
      <c r="L69" s="975"/>
      <c r="M69" s="755" t="e">
        <f>+VLOOKUP(G69,'S1&amp;2 Lists'!$C$8:$G$134,3,FALSE)</f>
        <v>#N/A</v>
      </c>
      <c r="N69" s="755" t="e">
        <f t="shared" si="0"/>
        <v>#N/A</v>
      </c>
      <c r="P69" s="1049">
        <f>ROUND(IF(L69='S1&amp;2 Lists'!$CV$3,K69,IF(L69='S1&amp;2 Lists'!$CV$4,K69/'S1&amp;2 Lists'!$CQ$6,0)),3)</f>
        <v>0</v>
      </c>
      <c r="Q69" s="326" t="s">
        <v>264</v>
      </c>
    </row>
    <row r="70" spans="1:17" s="756" customFormat="1" ht="24" customHeight="1">
      <c r="A70" s="975"/>
      <c r="B70" s="975"/>
      <c r="C70" s="1027"/>
      <c r="D70" s="975"/>
      <c r="E70" s="980"/>
      <c r="F70" s="975"/>
      <c r="G70" s="979"/>
      <c r="H70" s="975"/>
      <c r="I70" s="980"/>
      <c r="J70" s="975"/>
      <c r="K70" s="975"/>
      <c r="L70" s="975"/>
      <c r="M70" s="755" t="e">
        <f>+VLOOKUP(G70,'S1&amp;2 Lists'!$C$8:$G$134,3,FALSE)</f>
        <v>#N/A</v>
      </c>
      <c r="N70" s="755" t="e">
        <f t="shared" si="0"/>
        <v>#N/A</v>
      </c>
      <c r="P70" s="1049">
        <f>ROUND(IF(L70='S1&amp;2 Lists'!$CV$3,K70,IF(L70='S1&amp;2 Lists'!$CV$4,K70/'S1&amp;2 Lists'!$CQ$6,0)),3)</f>
        <v>0</v>
      </c>
      <c r="Q70" s="326" t="s">
        <v>264</v>
      </c>
    </row>
    <row r="71" spans="1:17" s="756" customFormat="1" ht="24" customHeight="1">
      <c r="A71" s="975"/>
      <c r="B71" s="975"/>
      <c r="C71" s="1027"/>
      <c r="D71" s="975"/>
      <c r="E71" s="980"/>
      <c r="F71" s="975"/>
      <c r="G71" s="979"/>
      <c r="H71" s="975"/>
      <c r="I71" s="980"/>
      <c r="J71" s="975"/>
      <c r="K71" s="975"/>
      <c r="L71" s="975"/>
      <c r="M71" s="755" t="e">
        <f>+VLOOKUP(G71,'S1&amp;2 Lists'!$C$8:$G$134,3,FALSE)</f>
        <v>#N/A</v>
      </c>
      <c r="N71" s="755" t="e">
        <f t="shared" si="0"/>
        <v>#N/A</v>
      </c>
      <c r="P71" s="1049">
        <f>ROUND(IF(L71='S1&amp;2 Lists'!$CV$3,K71,IF(L71='S1&amp;2 Lists'!$CV$4,K71/'S1&amp;2 Lists'!$CQ$6,0)),3)</f>
        <v>0</v>
      </c>
      <c r="Q71" s="326" t="s">
        <v>264</v>
      </c>
    </row>
    <row r="72" spans="1:17" s="756" customFormat="1" ht="24" customHeight="1">
      <c r="A72" s="975"/>
      <c r="B72" s="975"/>
      <c r="C72" s="1027"/>
      <c r="D72" s="975"/>
      <c r="E72" s="980"/>
      <c r="F72" s="975"/>
      <c r="G72" s="979"/>
      <c r="H72" s="975"/>
      <c r="I72" s="980"/>
      <c r="J72" s="975"/>
      <c r="K72" s="975"/>
      <c r="L72" s="975"/>
      <c r="M72" s="755" t="e">
        <f>+VLOOKUP(G72,'S1&amp;2 Lists'!$C$8:$G$134,3,FALSE)</f>
        <v>#N/A</v>
      </c>
      <c r="N72" s="755" t="e">
        <f t="shared" si="0"/>
        <v>#N/A</v>
      </c>
      <c r="P72" s="1049">
        <f>ROUND(IF(L72='S1&amp;2 Lists'!$CV$3,K72,IF(L72='S1&amp;2 Lists'!$CV$4,K72/'S1&amp;2 Lists'!$CQ$6,0)),3)</f>
        <v>0</v>
      </c>
      <c r="Q72" s="326" t="s">
        <v>264</v>
      </c>
    </row>
    <row r="73" spans="1:17" s="756" customFormat="1" ht="24" customHeight="1">
      <c r="A73" s="975"/>
      <c r="B73" s="975"/>
      <c r="C73" s="1027"/>
      <c r="D73" s="975"/>
      <c r="E73" s="980"/>
      <c r="F73" s="975"/>
      <c r="G73" s="979"/>
      <c r="H73" s="975"/>
      <c r="I73" s="980"/>
      <c r="J73" s="975"/>
      <c r="K73" s="975"/>
      <c r="L73" s="975"/>
      <c r="M73" s="755" t="e">
        <f>+VLOOKUP(G73,'S1&amp;2 Lists'!$C$8:$G$134,3,FALSE)</f>
        <v>#N/A</v>
      </c>
      <c r="N73" s="755" t="e">
        <f t="shared" si="0"/>
        <v>#N/A</v>
      </c>
      <c r="P73" s="1049">
        <f>ROUND(IF(L73='S1&amp;2 Lists'!$CV$3,K73,IF(L73='S1&amp;2 Lists'!$CV$4,K73/'S1&amp;2 Lists'!$CQ$6,0)),3)</f>
        <v>0</v>
      </c>
      <c r="Q73" s="326" t="s">
        <v>264</v>
      </c>
    </row>
    <row r="74" spans="1:17" s="756" customFormat="1" ht="24" customHeight="1">
      <c r="A74" s="975"/>
      <c r="B74" s="975"/>
      <c r="C74" s="1027"/>
      <c r="D74" s="975"/>
      <c r="E74" s="980"/>
      <c r="F74" s="975"/>
      <c r="G74" s="979"/>
      <c r="H74" s="975"/>
      <c r="I74" s="980"/>
      <c r="J74" s="975"/>
      <c r="K74" s="975"/>
      <c r="L74" s="975"/>
      <c r="M74" s="755" t="e">
        <f>+VLOOKUP(G74,'S1&amp;2 Lists'!$C$8:$G$134,3,FALSE)</f>
        <v>#N/A</v>
      </c>
      <c r="N74" s="755" t="e">
        <f t="shared" ref="N74:N137" si="1">+P74*M74</f>
        <v>#N/A</v>
      </c>
      <c r="P74" s="1049">
        <f>ROUND(IF(L74='S1&amp;2 Lists'!$CV$3,K74,IF(L74='S1&amp;2 Lists'!$CV$4,K74/'S1&amp;2 Lists'!$CQ$6,0)),3)</f>
        <v>0</v>
      </c>
      <c r="Q74" s="326" t="s">
        <v>264</v>
      </c>
    </row>
    <row r="75" spans="1:17" s="756" customFormat="1" ht="24" customHeight="1">
      <c r="A75" s="975"/>
      <c r="B75" s="975"/>
      <c r="C75" s="1027"/>
      <c r="D75" s="975"/>
      <c r="E75" s="980"/>
      <c r="F75" s="975"/>
      <c r="G75" s="979"/>
      <c r="H75" s="975"/>
      <c r="I75" s="980"/>
      <c r="J75" s="975"/>
      <c r="K75" s="975"/>
      <c r="L75" s="975"/>
      <c r="M75" s="755" t="e">
        <f>+VLOOKUP(G75,'S1&amp;2 Lists'!$C$8:$G$134,3,FALSE)</f>
        <v>#N/A</v>
      </c>
      <c r="N75" s="755" t="e">
        <f t="shared" si="1"/>
        <v>#N/A</v>
      </c>
      <c r="P75" s="1049">
        <f>ROUND(IF(L75='S1&amp;2 Lists'!$CV$3,K75,IF(L75='S1&amp;2 Lists'!$CV$4,K75/'S1&amp;2 Lists'!$CQ$6,0)),3)</f>
        <v>0</v>
      </c>
      <c r="Q75" s="326" t="s">
        <v>264</v>
      </c>
    </row>
    <row r="76" spans="1:17" s="756" customFormat="1" ht="24" customHeight="1">
      <c r="A76" s="975"/>
      <c r="B76" s="975"/>
      <c r="C76" s="1027"/>
      <c r="D76" s="975"/>
      <c r="E76" s="980"/>
      <c r="F76" s="975"/>
      <c r="G76" s="979"/>
      <c r="H76" s="975"/>
      <c r="I76" s="980"/>
      <c r="J76" s="975"/>
      <c r="K76" s="975"/>
      <c r="L76" s="975"/>
      <c r="M76" s="755" t="e">
        <f>+VLOOKUP(G76,'S1&amp;2 Lists'!$C$8:$G$134,3,FALSE)</f>
        <v>#N/A</v>
      </c>
      <c r="N76" s="755" t="e">
        <f t="shared" si="1"/>
        <v>#N/A</v>
      </c>
      <c r="P76" s="1049">
        <f>ROUND(IF(L76='S1&amp;2 Lists'!$CV$3,K76,IF(L76='S1&amp;2 Lists'!$CV$4,K76/'S1&amp;2 Lists'!$CQ$6,0)),3)</f>
        <v>0</v>
      </c>
      <c r="Q76" s="326" t="s">
        <v>264</v>
      </c>
    </row>
    <row r="77" spans="1:17" s="756" customFormat="1" ht="24" customHeight="1">
      <c r="A77" s="975"/>
      <c r="B77" s="975"/>
      <c r="C77" s="1027"/>
      <c r="D77" s="975"/>
      <c r="E77" s="980"/>
      <c r="F77" s="975"/>
      <c r="G77" s="979"/>
      <c r="H77" s="975"/>
      <c r="I77" s="980"/>
      <c r="J77" s="975"/>
      <c r="K77" s="975"/>
      <c r="L77" s="975"/>
      <c r="M77" s="755" t="e">
        <f>+VLOOKUP(G77,'S1&amp;2 Lists'!$C$8:$G$134,3,FALSE)</f>
        <v>#N/A</v>
      </c>
      <c r="N77" s="755" t="e">
        <f t="shared" si="1"/>
        <v>#N/A</v>
      </c>
      <c r="P77" s="1049">
        <f>ROUND(IF(L77='S1&amp;2 Lists'!$CV$3,K77,IF(L77='S1&amp;2 Lists'!$CV$4,K77/'S1&amp;2 Lists'!$CQ$6,0)),3)</f>
        <v>0</v>
      </c>
      <c r="Q77" s="326" t="s">
        <v>264</v>
      </c>
    </row>
    <row r="78" spans="1:17" s="756" customFormat="1" ht="24" customHeight="1">
      <c r="A78" s="975"/>
      <c r="B78" s="975"/>
      <c r="C78" s="1027"/>
      <c r="D78" s="975"/>
      <c r="E78" s="980"/>
      <c r="F78" s="975"/>
      <c r="G78" s="979"/>
      <c r="H78" s="975"/>
      <c r="I78" s="980"/>
      <c r="J78" s="975"/>
      <c r="K78" s="975"/>
      <c r="L78" s="975"/>
      <c r="M78" s="755" t="e">
        <f>+VLOOKUP(G78,'S1&amp;2 Lists'!$C$8:$G$134,3,FALSE)</f>
        <v>#N/A</v>
      </c>
      <c r="N78" s="755" t="e">
        <f t="shared" si="1"/>
        <v>#N/A</v>
      </c>
      <c r="P78" s="1049">
        <f>ROUND(IF(L78='S1&amp;2 Lists'!$CV$3,K78,IF(L78='S1&amp;2 Lists'!$CV$4,K78/'S1&amp;2 Lists'!$CQ$6,0)),3)</f>
        <v>0</v>
      </c>
      <c r="Q78" s="326" t="s">
        <v>264</v>
      </c>
    </row>
    <row r="79" spans="1:17" s="756" customFormat="1" ht="24" customHeight="1">
      <c r="A79" s="975"/>
      <c r="B79" s="975"/>
      <c r="C79" s="1027"/>
      <c r="D79" s="975"/>
      <c r="E79" s="980"/>
      <c r="F79" s="975"/>
      <c r="G79" s="979"/>
      <c r="H79" s="975"/>
      <c r="I79" s="980"/>
      <c r="J79" s="975"/>
      <c r="K79" s="975"/>
      <c r="L79" s="975"/>
      <c r="M79" s="755" t="e">
        <f>+VLOOKUP(G79,'S1&amp;2 Lists'!$C$8:$G$134,3,FALSE)</f>
        <v>#N/A</v>
      </c>
      <c r="N79" s="755" t="e">
        <f t="shared" si="1"/>
        <v>#N/A</v>
      </c>
      <c r="P79" s="1049">
        <f>ROUND(IF(L79='S1&amp;2 Lists'!$CV$3,K79,IF(L79='S1&amp;2 Lists'!$CV$4,K79/'S1&amp;2 Lists'!$CQ$6,0)),3)</f>
        <v>0</v>
      </c>
      <c r="Q79" s="326" t="s">
        <v>264</v>
      </c>
    </row>
    <row r="80" spans="1:17" s="756" customFormat="1" ht="24" customHeight="1">
      <c r="A80" s="975"/>
      <c r="B80" s="975"/>
      <c r="C80" s="1027"/>
      <c r="D80" s="975"/>
      <c r="E80" s="980"/>
      <c r="F80" s="975"/>
      <c r="G80" s="979"/>
      <c r="H80" s="975"/>
      <c r="I80" s="980"/>
      <c r="J80" s="975"/>
      <c r="K80" s="975"/>
      <c r="L80" s="975"/>
      <c r="M80" s="755" t="e">
        <f>+VLOOKUP(G80,'S1&amp;2 Lists'!$C$8:$G$134,3,FALSE)</f>
        <v>#N/A</v>
      </c>
      <c r="N80" s="755" t="e">
        <f t="shared" si="1"/>
        <v>#N/A</v>
      </c>
      <c r="P80" s="1049">
        <f>ROUND(IF(L80='S1&amp;2 Lists'!$CV$3,K80,IF(L80='S1&amp;2 Lists'!$CV$4,K80/'S1&amp;2 Lists'!$CQ$6,0)),3)</f>
        <v>0</v>
      </c>
      <c r="Q80" s="326" t="s">
        <v>264</v>
      </c>
    </row>
    <row r="81" spans="1:17" s="756" customFormat="1" ht="24" customHeight="1">
      <c r="A81" s="975"/>
      <c r="B81" s="975"/>
      <c r="C81" s="1027"/>
      <c r="D81" s="975"/>
      <c r="E81" s="980"/>
      <c r="F81" s="975"/>
      <c r="G81" s="979"/>
      <c r="H81" s="975"/>
      <c r="I81" s="980"/>
      <c r="J81" s="975"/>
      <c r="K81" s="975"/>
      <c r="L81" s="975"/>
      <c r="M81" s="755" t="e">
        <f>+VLOOKUP(G81,'S1&amp;2 Lists'!$C$8:$G$134,3,FALSE)</f>
        <v>#N/A</v>
      </c>
      <c r="N81" s="755" t="e">
        <f t="shared" si="1"/>
        <v>#N/A</v>
      </c>
      <c r="P81" s="1049">
        <f>ROUND(IF(L81='S1&amp;2 Lists'!$CV$3,K81,IF(L81='S1&amp;2 Lists'!$CV$4,K81/'S1&amp;2 Lists'!$CQ$6,0)),3)</f>
        <v>0</v>
      </c>
      <c r="Q81" s="326" t="s">
        <v>264</v>
      </c>
    </row>
    <row r="82" spans="1:17" s="756" customFormat="1" ht="24" customHeight="1">
      <c r="A82" s="975"/>
      <c r="B82" s="975"/>
      <c r="C82" s="1027"/>
      <c r="D82" s="975"/>
      <c r="E82" s="980"/>
      <c r="F82" s="975"/>
      <c r="G82" s="979"/>
      <c r="H82" s="975"/>
      <c r="I82" s="980"/>
      <c r="J82" s="975"/>
      <c r="K82" s="975"/>
      <c r="L82" s="975"/>
      <c r="M82" s="755" t="e">
        <f>+VLOOKUP(G82,'S1&amp;2 Lists'!$C$8:$G$134,3,FALSE)</f>
        <v>#N/A</v>
      </c>
      <c r="N82" s="755" t="e">
        <f t="shared" si="1"/>
        <v>#N/A</v>
      </c>
      <c r="P82" s="1049">
        <f>ROUND(IF(L82='S1&amp;2 Lists'!$CV$3,K82,IF(L82='S1&amp;2 Lists'!$CV$4,K82/'S1&amp;2 Lists'!$CQ$6,0)),3)</f>
        <v>0</v>
      </c>
      <c r="Q82" s="326" t="s">
        <v>264</v>
      </c>
    </row>
    <row r="83" spans="1:17" s="756" customFormat="1" ht="24" customHeight="1">
      <c r="A83" s="975"/>
      <c r="B83" s="975"/>
      <c r="C83" s="1027"/>
      <c r="D83" s="975"/>
      <c r="E83" s="980"/>
      <c r="F83" s="975"/>
      <c r="G83" s="979"/>
      <c r="H83" s="975"/>
      <c r="I83" s="980"/>
      <c r="J83" s="975"/>
      <c r="K83" s="975"/>
      <c r="L83" s="975"/>
      <c r="M83" s="755" t="e">
        <f>+VLOOKUP(G83,'S1&amp;2 Lists'!$C$8:$G$134,3,FALSE)</f>
        <v>#N/A</v>
      </c>
      <c r="N83" s="755" t="e">
        <f t="shared" si="1"/>
        <v>#N/A</v>
      </c>
      <c r="P83" s="1049">
        <f>ROUND(IF(L83='S1&amp;2 Lists'!$CV$3,K83,IF(L83='S1&amp;2 Lists'!$CV$4,K83/'S1&amp;2 Lists'!$CQ$6,0)),3)</f>
        <v>0</v>
      </c>
      <c r="Q83" s="326" t="s">
        <v>264</v>
      </c>
    </row>
    <row r="84" spans="1:17" s="756" customFormat="1" ht="24" customHeight="1">
      <c r="A84" s="975"/>
      <c r="B84" s="975"/>
      <c r="C84" s="1027"/>
      <c r="D84" s="975"/>
      <c r="E84" s="980"/>
      <c r="F84" s="975"/>
      <c r="G84" s="979"/>
      <c r="H84" s="975"/>
      <c r="I84" s="980"/>
      <c r="J84" s="975"/>
      <c r="K84" s="975"/>
      <c r="L84" s="975"/>
      <c r="M84" s="755" t="e">
        <f>+VLOOKUP(G84,'S1&amp;2 Lists'!$C$8:$G$134,3,FALSE)</f>
        <v>#N/A</v>
      </c>
      <c r="N84" s="755" t="e">
        <f t="shared" si="1"/>
        <v>#N/A</v>
      </c>
      <c r="P84" s="1049">
        <f>ROUND(IF(L84='S1&amp;2 Lists'!$CV$3,K84,IF(L84='S1&amp;2 Lists'!$CV$4,K84/'S1&amp;2 Lists'!$CQ$6,0)),3)</f>
        <v>0</v>
      </c>
      <c r="Q84" s="326" t="s">
        <v>264</v>
      </c>
    </row>
    <row r="85" spans="1:17" s="756" customFormat="1" ht="24" customHeight="1">
      <c r="A85" s="975"/>
      <c r="B85" s="975"/>
      <c r="C85" s="1027"/>
      <c r="D85" s="975"/>
      <c r="E85" s="980"/>
      <c r="F85" s="975"/>
      <c r="G85" s="979"/>
      <c r="H85" s="975"/>
      <c r="I85" s="980"/>
      <c r="J85" s="975"/>
      <c r="K85" s="975"/>
      <c r="L85" s="975"/>
      <c r="M85" s="755" t="e">
        <f>+VLOOKUP(G85,'S1&amp;2 Lists'!$C$8:$G$134,3,FALSE)</f>
        <v>#N/A</v>
      </c>
      <c r="N85" s="755" t="e">
        <f t="shared" si="1"/>
        <v>#N/A</v>
      </c>
      <c r="P85" s="1049">
        <f>ROUND(IF(L85='S1&amp;2 Lists'!$CV$3,K85,IF(L85='S1&amp;2 Lists'!$CV$4,K85/'S1&amp;2 Lists'!$CQ$6,0)),3)</f>
        <v>0</v>
      </c>
      <c r="Q85" s="326" t="s">
        <v>264</v>
      </c>
    </row>
    <row r="86" spans="1:17" s="756" customFormat="1" ht="24" customHeight="1">
      <c r="A86" s="975"/>
      <c r="B86" s="975"/>
      <c r="C86" s="1027"/>
      <c r="D86" s="975"/>
      <c r="E86" s="980"/>
      <c r="F86" s="975"/>
      <c r="G86" s="979"/>
      <c r="H86" s="975"/>
      <c r="I86" s="980"/>
      <c r="J86" s="975"/>
      <c r="K86" s="975"/>
      <c r="L86" s="975"/>
      <c r="M86" s="755" t="e">
        <f>+VLOOKUP(G86,'S1&amp;2 Lists'!$C$8:$G$134,3,FALSE)</f>
        <v>#N/A</v>
      </c>
      <c r="N86" s="755" t="e">
        <f t="shared" si="1"/>
        <v>#N/A</v>
      </c>
      <c r="P86" s="1049">
        <f>ROUND(IF(L86='S1&amp;2 Lists'!$CV$3,K86,IF(L86='S1&amp;2 Lists'!$CV$4,K86/'S1&amp;2 Lists'!$CQ$6,0)),3)</f>
        <v>0</v>
      </c>
      <c r="Q86" s="326" t="s">
        <v>264</v>
      </c>
    </row>
    <row r="87" spans="1:17" s="756" customFormat="1" ht="24" customHeight="1">
      <c r="A87" s="975"/>
      <c r="B87" s="975"/>
      <c r="C87" s="1027"/>
      <c r="D87" s="975"/>
      <c r="E87" s="980"/>
      <c r="F87" s="975"/>
      <c r="G87" s="979"/>
      <c r="H87" s="975"/>
      <c r="I87" s="980"/>
      <c r="J87" s="975"/>
      <c r="K87" s="975"/>
      <c r="L87" s="975"/>
      <c r="M87" s="755" t="e">
        <f>+VLOOKUP(G87,'S1&amp;2 Lists'!$C$8:$G$134,3,FALSE)</f>
        <v>#N/A</v>
      </c>
      <c r="N87" s="755" t="e">
        <f t="shared" si="1"/>
        <v>#N/A</v>
      </c>
      <c r="P87" s="1049">
        <f>ROUND(IF(L87='S1&amp;2 Lists'!$CV$3,K87,IF(L87='S1&amp;2 Lists'!$CV$4,K87/'S1&amp;2 Lists'!$CQ$6,0)),3)</f>
        <v>0</v>
      </c>
      <c r="Q87" s="326" t="s">
        <v>264</v>
      </c>
    </row>
    <row r="88" spans="1:17" s="756" customFormat="1" ht="24" customHeight="1">
      <c r="A88" s="975"/>
      <c r="B88" s="975"/>
      <c r="C88" s="1027"/>
      <c r="D88" s="975"/>
      <c r="E88" s="980"/>
      <c r="F88" s="975"/>
      <c r="G88" s="979"/>
      <c r="H88" s="975"/>
      <c r="I88" s="980"/>
      <c r="J88" s="975"/>
      <c r="K88" s="975"/>
      <c r="L88" s="975"/>
      <c r="M88" s="755" t="e">
        <f>+VLOOKUP(G88,'S1&amp;2 Lists'!$C$8:$G$134,3,FALSE)</f>
        <v>#N/A</v>
      </c>
      <c r="N88" s="755" t="e">
        <f t="shared" si="1"/>
        <v>#N/A</v>
      </c>
      <c r="P88" s="1049">
        <f>ROUND(IF(L88='S1&amp;2 Lists'!$CV$3,K88,IF(L88='S1&amp;2 Lists'!$CV$4,K88/'S1&amp;2 Lists'!$CQ$6,0)),3)</f>
        <v>0</v>
      </c>
      <c r="Q88" s="326" t="s">
        <v>264</v>
      </c>
    </row>
    <row r="89" spans="1:17" s="756" customFormat="1" ht="24" customHeight="1">
      <c r="A89" s="975"/>
      <c r="B89" s="975"/>
      <c r="C89" s="1027"/>
      <c r="D89" s="975"/>
      <c r="E89" s="980"/>
      <c r="F89" s="975"/>
      <c r="G89" s="979"/>
      <c r="H89" s="975"/>
      <c r="I89" s="980"/>
      <c r="J89" s="975"/>
      <c r="K89" s="975"/>
      <c r="L89" s="975"/>
      <c r="M89" s="755" t="e">
        <f>+VLOOKUP(G89,'S1&amp;2 Lists'!$C$8:$G$134,3,FALSE)</f>
        <v>#N/A</v>
      </c>
      <c r="N89" s="755" t="e">
        <f t="shared" si="1"/>
        <v>#N/A</v>
      </c>
      <c r="P89" s="1049">
        <f>ROUND(IF(L89='S1&amp;2 Lists'!$CV$3,K89,IF(L89='S1&amp;2 Lists'!$CV$4,K89/'S1&amp;2 Lists'!$CQ$6,0)),3)</f>
        <v>0</v>
      </c>
      <c r="Q89" s="326" t="s">
        <v>264</v>
      </c>
    </row>
    <row r="90" spans="1:17" s="756" customFormat="1" ht="24" customHeight="1">
      <c r="A90" s="975"/>
      <c r="B90" s="975"/>
      <c r="C90" s="1027"/>
      <c r="D90" s="975"/>
      <c r="E90" s="980"/>
      <c r="F90" s="975"/>
      <c r="G90" s="979"/>
      <c r="H90" s="975"/>
      <c r="I90" s="980"/>
      <c r="J90" s="975"/>
      <c r="K90" s="975"/>
      <c r="L90" s="975"/>
      <c r="M90" s="755" t="e">
        <f>+VLOOKUP(G90,'S1&amp;2 Lists'!$C$8:$G$134,3,FALSE)</f>
        <v>#N/A</v>
      </c>
      <c r="N90" s="755" t="e">
        <f t="shared" si="1"/>
        <v>#N/A</v>
      </c>
      <c r="P90" s="1049">
        <f>ROUND(IF(L90='S1&amp;2 Lists'!$CV$3,K90,IF(L90='S1&amp;2 Lists'!$CV$4,K90/'S1&amp;2 Lists'!$CQ$6,0)),3)</f>
        <v>0</v>
      </c>
      <c r="Q90" s="326" t="s">
        <v>264</v>
      </c>
    </row>
    <row r="91" spans="1:17" s="756" customFormat="1" ht="24" customHeight="1">
      <c r="A91" s="975"/>
      <c r="B91" s="975"/>
      <c r="C91" s="1027"/>
      <c r="D91" s="975"/>
      <c r="E91" s="980"/>
      <c r="F91" s="975"/>
      <c r="G91" s="979"/>
      <c r="H91" s="975"/>
      <c r="I91" s="980"/>
      <c r="J91" s="975"/>
      <c r="K91" s="975"/>
      <c r="L91" s="975"/>
      <c r="M91" s="755" t="e">
        <f>+VLOOKUP(G91,'S1&amp;2 Lists'!$C$8:$G$134,3,FALSE)</f>
        <v>#N/A</v>
      </c>
      <c r="N91" s="755" t="e">
        <f t="shared" si="1"/>
        <v>#N/A</v>
      </c>
      <c r="P91" s="1049">
        <f>ROUND(IF(L91='S1&amp;2 Lists'!$CV$3,K91,IF(L91='S1&amp;2 Lists'!$CV$4,K91/'S1&amp;2 Lists'!$CQ$6,0)),3)</f>
        <v>0</v>
      </c>
      <c r="Q91" s="326" t="s">
        <v>264</v>
      </c>
    </row>
    <row r="92" spans="1:17" s="756" customFormat="1" ht="24" customHeight="1">
      <c r="A92" s="975"/>
      <c r="B92" s="975"/>
      <c r="C92" s="1027"/>
      <c r="D92" s="975"/>
      <c r="E92" s="980"/>
      <c r="F92" s="975"/>
      <c r="G92" s="979"/>
      <c r="H92" s="975"/>
      <c r="I92" s="980"/>
      <c r="J92" s="975"/>
      <c r="K92" s="975"/>
      <c r="L92" s="975"/>
      <c r="M92" s="755" t="e">
        <f>+VLOOKUP(G92,'S1&amp;2 Lists'!$C$8:$G$134,3,FALSE)</f>
        <v>#N/A</v>
      </c>
      <c r="N92" s="755" t="e">
        <f t="shared" si="1"/>
        <v>#N/A</v>
      </c>
      <c r="P92" s="1049">
        <f>ROUND(IF(L92='S1&amp;2 Lists'!$CV$3,K92,IF(L92='S1&amp;2 Lists'!$CV$4,K92/'S1&amp;2 Lists'!$CQ$6,0)),3)</f>
        <v>0</v>
      </c>
      <c r="Q92" s="326" t="s">
        <v>264</v>
      </c>
    </row>
    <row r="93" spans="1:17" s="756" customFormat="1" ht="24" customHeight="1">
      <c r="A93" s="975"/>
      <c r="B93" s="975"/>
      <c r="C93" s="1027"/>
      <c r="D93" s="975"/>
      <c r="E93" s="980"/>
      <c r="F93" s="975"/>
      <c r="G93" s="979"/>
      <c r="H93" s="975"/>
      <c r="I93" s="980"/>
      <c r="J93" s="975"/>
      <c r="K93" s="975"/>
      <c r="L93" s="975"/>
      <c r="M93" s="755" t="e">
        <f>+VLOOKUP(G93,'S1&amp;2 Lists'!$C$8:$G$134,3,FALSE)</f>
        <v>#N/A</v>
      </c>
      <c r="N93" s="755" t="e">
        <f t="shared" si="1"/>
        <v>#N/A</v>
      </c>
      <c r="P93" s="1049">
        <f>ROUND(IF(L93='S1&amp;2 Lists'!$CV$3,K93,IF(L93='S1&amp;2 Lists'!$CV$4,K93/'S1&amp;2 Lists'!$CQ$6,0)),3)</f>
        <v>0</v>
      </c>
      <c r="Q93" s="326" t="s">
        <v>264</v>
      </c>
    </row>
    <row r="94" spans="1:17" s="756" customFormat="1" ht="24" customHeight="1">
      <c r="A94" s="975"/>
      <c r="B94" s="975"/>
      <c r="C94" s="1027"/>
      <c r="D94" s="975"/>
      <c r="E94" s="980"/>
      <c r="F94" s="975"/>
      <c r="G94" s="979"/>
      <c r="H94" s="975"/>
      <c r="I94" s="980"/>
      <c r="J94" s="975"/>
      <c r="K94" s="975"/>
      <c r="L94" s="975"/>
      <c r="M94" s="755" t="e">
        <f>+VLOOKUP(G94,'S1&amp;2 Lists'!$C$8:$G$134,3,FALSE)</f>
        <v>#N/A</v>
      </c>
      <c r="N94" s="755" t="e">
        <f t="shared" si="1"/>
        <v>#N/A</v>
      </c>
      <c r="P94" s="1049">
        <f>ROUND(IF(L94='S1&amp;2 Lists'!$CV$3,K94,IF(L94='S1&amp;2 Lists'!$CV$4,K94/'S1&amp;2 Lists'!$CQ$6,0)),3)</f>
        <v>0</v>
      </c>
      <c r="Q94" s="326" t="s">
        <v>264</v>
      </c>
    </row>
    <row r="95" spans="1:17" s="756" customFormat="1" ht="24" customHeight="1">
      <c r="A95" s="975"/>
      <c r="B95" s="975"/>
      <c r="C95" s="1027"/>
      <c r="D95" s="975"/>
      <c r="E95" s="980"/>
      <c r="F95" s="975"/>
      <c r="G95" s="979"/>
      <c r="H95" s="975"/>
      <c r="I95" s="980"/>
      <c r="J95" s="975"/>
      <c r="K95" s="975"/>
      <c r="L95" s="975"/>
      <c r="M95" s="755" t="e">
        <f>+VLOOKUP(G95,'S1&amp;2 Lists'!$C$8:$G$134,3,FALSE)</f>
        <v>#N/A</v>
      </c>
      <c r="N95" s="755" t="e">
        <f t="shared" si="1"/>
        <v>#N/A</v>
      </c>
      <c r="P95" s="1049">
        <f>ROUND(IF(L95='S1&amp;2 Lists'!$CV$3,K95,IF(L95='S1&amp;2 Lists'!$CV$4,K95/'S1&amp;2 Lists'!$CQ$6,0)),3)</f>
        <v>0</v>
      </c>
      <c r="Q95" s="326" t="s">
        <v>264</v>
      </c>
    </row>
    <row r="96" spans="1:17" s="756" customFormat="1" ht="24" customHeight="1">
      <c r="A96" s="975"/>
      <c r="B96" s="975"/>
      <c r="C96" s="1027"/>
      <c r="D96" s="975"/>
      <c r="E96" s="980"/>
      <c r="F96" s="975"/>
      <c r="G96" s="979"/>
      <c r="H96" s="975"/>
      <c r="I96" s="980"/>
      <c r="J96" s="975"/>
      <c r="K96" s="975"/>
      <c r="L96" s="975"/>
      <c r="M96" s="755" t="e">
        <f>+VLOOKUP(G96,'S1&amp;2 Lists'!$C$8:$G$134,3,FALSE)</f>
        <v>#N/A</v>
      </c>
      <c r="N96" s="755" t="e">
        <f t="shared" si="1"/>
        <v>#N/A</v>
      </c>
      <c r="P96" s="1049">
        <f>ROUND(IF(L96='S1&amp;2 Lists'!$CV$3,K96,IF(L96='S1&amp;2 Lists'!$CV$4,K96/'S1&amp;2 Lists'!$CQ$6,0)),3)</f>
        <v>0</v>
      </c>
      <c r="Q96" s="326" t="s">
        <v>264</v>
      </c>
    </row>
    <row r="97" spans="1:17" s="756" customFormat="1" ht="24" customHeight="1">
      <c r="A97" s="975"/>
      <c r="B97" s="975"/>
      <c r="C97" s="1027"/>
      <c r="D97" s="975"/>
      <c r="E97" s="980"/>
      <c r="F97" s="975"/>
      <c r="G97" s="979"/>
      <c r="H97" s="975"/>
      <c r="I97" s="980"/>
      <c r="J97" s="975"/>
      <c r="K97" s="975"/>
      <c r="L97" s="975"/>
      <c r="M97" s="755" t="e">
        <f>+VLOOKUP(G97,'S1&amp;2 Lists'!$C$8:$G$134,3,FALSE)</f>
        <v>#N/A</v>
      </c>
      <c r="N97" s="755" t="e">
        <f t="shared" si="1"/>
        <v>#N/A</v>
      </c>
      <c r="P97" s="1049">
        <f>ROUND(IF(L97='S1&amp;2 Lists'!$CV$3,K97,IF(L97='S1&amp;2 Lists'!$CV$4,K97/'S1&amp;2 Lists'!$CQ$6,0)),3)</f>
        <v>0</v>
      </c>
      <c r="Q97" s="326" t="s">
        <v>264</v>
      </c>
    </row>
    <row r="98" spans="1:17" s="756" customFormat="1" ht="24" customHeight="1">
      <c r="A98" s="975"/>
      <c r="B98" s="975"/>
      <c r="C98" s="1027"/>
      <c r="D98" s="975"/>
      <c r="E98" s="980"/>
      <c r="F98" s="975"/>
      <c r="G98" s="979"/>
      <c r="H98" s="975"/>
      <c r="I98" s="980"/>
      <c r="J98" s="975"/>
      <c r="K98" s="975"/>
      <c r="L98" s="975"/>
      <c r="M98" s="755" t="e">
        <f>+VLOOKUP(G98,'S1&amp;2 Lists'!$C$8:$G$134,3,FALSE)</f>
        <v>#N/A</v>
      </c>
      <c r="N98" s="755" t="e">
        <f t="shared" si="1"/>
        <v>#N/A</v>
      </c>
      <c r="P98" s="1049">
        <f>ROUND(IF(L98='S1&amp;2 Lists'!$CV$3,K98,IF(L98='S1&amp;2 Lists'!$CV$4,K98/'S1&amp;2 Lists'!$CQ$6,0)),3)</f>
        <v>0</v>
      </c>
      <c r="Q98" s="326" t="s">
        <v>264</v>
      </c>
    </row>
    <row r="99" spans="1:17" s="756" customFormat="1" ht="24" customHeight="1">
      <c r="A99" s="975"/>
      <c r="B99" s="975"/>
      <c r="C99" s="1027"/>
      <c r="D99" s="975"/>
      <c r="E99" s="980"/>
      <c r="F99" s="975"/>
      <c r="G99" s="979"/>
      <c r="H99" s="975"/>
      <c r="I99" s="980"/>
      <c r="J99" s="975"/>
      <c r="K99" s="975"/>
      <c r="L99" s="975"/>
      <c r="M99" s="755" t="e">
        <f>+VLOOKUP(G99,'S1&amp;2 Lists'!$C$8:$G$134,3,FALSE)</f>
        <v>#N/A</v>
      </c>
      <c r="N99" s="755" t="e">
        <f t="shared" si="1"/>
        <v>#N/A</v>
      </c>
      <c r="P99" s="1049">
        <f>ROUND(IF(L99='S1&amp;2 Lists'!$CV$3,K99,IF(L99='S1&amp;2 Lists'!$CV$4,K99/'S1&amp;2 Lists'!$CQ$6,0)),3)</f>
        <v>0</v>
      </c>
      <c r="Q99" s="326" t="s">
        <v>264</v>
      </c>
    </row>
    <row r="100" spans="1:17" s="756" customFormat="1" ht="24" customHeight="1">
      <c r="A100" s="975"/>
      <c r="B100" s="975"/>
      <c r="C100" s="1027"/>
      <c r="D100" s="975"/>
      <c r="E100" s="980"/>
      <c r="F100" s="975"/>
      <c r="G100" s="979"/>
      <c r="H100" s="975"/>
      <c r="I100" s="980"/>
      <c r="J100" s="975"/>
      <c r="K100" s="975"/>
      <c r="L100" s="975"/>
      <c r="M100" s="755" t="e">
        <f>+VLOOKUP(G100,'S1&amp;2 Lists'!$C$8:$G$134,3,FALSE)</f>
        <v>#N/A</v>
      </c>
      <c r="N100" s="755" t="e">
        <f t="shared" si="1"/>
        <v>#N/A</v>
      </c>
      <c r="P100" s="1049">
        <f>ROUND(IF(L100='S1&amp;2 Lists'!$CV$3,K100,IF(L100='S1&amp;2 Lists'!$CV$4,K100/'S1&amp;2 Lists'!$CQ$6,0)),3)</f>
        <v>0</v>
      </c>
      <c r="Q100" s="326" t="s">
        <v>264</v>
      </c>
    </row>
    <row r="101" spans="1:17" s="756" customFormat="1" ht="24" customHeight="1">
      <c r="A101" s="975"/>
      <c r="B101" s="975"/>
      <c r="C101" s="1027"/>
      <c r="D101" s="975"/>
      <c r="E101" s="980"/>
      <c r="F101" s="975"/>
      <c r="G101" s="979"/>
      <c r="H101" s="975"/>
      <c r="I101" s="980"/>
      <c r="J101" s="975"/>
      <c r="K101" s="975"/>
      <c r="L101" s="975"/>
      <c r="M101" s="755" t="e">
        <f>+VLOOKUP(G101,'S1&amp;2 Lists'!$C$8:$G$134,3,FALSE)</f>
        <v>#N/A</v>
      </c>
      <c r="N101" s="755" t="e">
        <f t="shared" si="1"/>
        <v>#N/A</v>
      </c>
      <c r="P101" s="1049">
        <f>ROUND(IF(L101='S1&amp;2 Lists'!$CV$3,K101,IF(L101='S1&amp;2 Lists'!$CV$4,K101/'S1&amp;2 Lists'!$CQ$6,0)),3)</f>
        <v>0</v>
      </c>
      <c r="Q101" s="326" t="s">
        <v>264</v>
      </c>
    </row>
    <row r="102" spans="1:17" s="756" customFormat="1" ht="24" customHeight="1">
      <c r="A102" s="975"/>
      <c r="B102" s="975"/>
      <c r="C102" s="1027"/>
      <c r="D102" s="975"/>
      <c r="E102" s="980"/>
      <c r="F102" s="975"/>
      <c r="G102" s="979"/>
      <c r="H102" s="975"/>
      <c r="I102" s="980"/>
      <c r="J102" s="975"/>
      <c r="K102" s="975"/>
      <c r="L102" s="975"/>
      <c r="M102" s="755" t="e">
        <f>+VLOOKUP(G102,'S1&amp;2 Lists'!$C$8:$G$134,3,FALSE)</f>
        <v>#N/A</v>
      </c>
      <c r="N102" s="755" t="e">
        <f t="shared" si="1"/>
        <v>#N/A</v>
      </c>
      <c r="P102" s="1049">
        <f>ROUND(IF(L102='S1&amp;2 Lists'!$CV$3,K102,IF(L102='S1&amp;2 Lists'!$CV$4,K102/'S1&amp;2 Lists'!$CQ$6,0)),3)</f>
        <v>0</v>
      </c>
      <c r="Q102" s="326" t="s">
        <v>264</v>
      </c>
    </row>
    <row r="103" spans="1:17" s="756" customFormat="1" ht="24" customHeight="1">
      <c r="A103" s="975"/>
      <c r="B103" s="975"/>
      <c r="C103" s="1027"/>
      <c r="D103" s="975"/>
      <c r="E103" s="980"/>
      <c r="F103" s="975"/>
      <c r="G103" s="979"/>
      <c r="H103" s="975"/>
      <c r="I103" s="980"/>
      <c r="J103" s="975"/>
      <c r="K103" s="975"/>
      <c r="L103" s="975"/>
      <c r="M103" s="755" t="e">
        <f>+VLOOKUP(G103,'S1&amp;2 Lists'!$C$8:$G$134,3,FALSE)</f>
        <v>#N/A</v>
      </c>
      <c r="N103" s="755" t="e">
        <f t="shared" si="1"/>
        <v>#N/A</v>
      </c>
      <c r="P103" s="1049">
        <f>ROUND(IF(L103='S1&amp;2 Lists'!$CV$3,K103,IF(L103='S1&amp;2 Lists'!$CV$4,K103/'S1&amp;2 Lists'!$CQ$6,0)),3)</f>
        <v>0</v>
      </c>
      <c r="Q103" s="326" t="s">
        <v>264</v>
      </c>
    </row>
    <row r="104" spans="1:17" s="756" customFormat="1" ht="24" customHeight="1">
      <c r="A104" s="975"/>
      <c r="B104" s="975"/>
      <c r="C104" s="1027"/>
      <c r="D104" s="975"/>
      <c r="E104" s="980"/>
      <c r="F104" s="975"/>
      <c r="G104" s="979"/>
      <c r="H104" s="975"/>
      <c r="I104" s="980"/>
      <c r="J104" s="975"/>
      <c r="K104" s="975"/>
      <c r="L104" s="975"/>
      <c r="M104" s="755" t="e">
        <f>+VLOOKUP(G104,'S1&amp;2 Lists'!$C$8:$G$134,3,FALSE)</f>
        <v>#N/A</v>
      </c>
      <c r="N104" s="755" t="e">
        <f t="shared" si="1"/>
        <v>#N/A</v>
      </c>
      <c r="P104" s="1049">
        <f>ROUND(IF(L104='S1&amp;2 Lists'!$CV$3,K104,IF(L104='S1&amp;2 Lists'!$CV$4,K104/'S1&amp;2 Lists'!$CQ$6,0)),3)</f>
        <v>0</v>
      </c>
      <c r="Q104" s="326" t="s">
        <v>264</v>
      </c>
    </row>
    <row r="105" spans="1:17" s="756" customFormat="1" ht="24" customHeight="1">
      <c r="A105" s="975"/>
      <c r="B105" s="975"/>
      <c r="C105" s="1027"/>
      <c r="D105" s="975"/>
      <c r="E105" s="980"/>
      <c r="F105" s="975"/>
      <c r="G105" s="979"/>
      <c r="H105" s="975"/>
      <c r="I105" s="980"/>
      <c r="J105" s="975"/>
      <c r="K105" s="975"/>
      <c r="L105" s="975"/>
      <c r="M105" s="755" t="e">
        <f>+VLOOKUP(G105,'S1&amp;2 Lists'!$C$8:$G$134,3,FALSE)</f>
        <v>#N/A</v>
      </c>
      <c r="N105" s="755" t="e">
        <f t="shared" si="1"/>
        <v>#N/A</v>
      </c>
      <c r="P105" s="1049">
        <f>ROUND(IF(L105='S1&amp;2 Lists'!$CV$3,K105,IF(L105='S1&amp;2 Lists'!$CV$4,K105/'S1&amp;2 Lists'!$CQ$6,0)),3)</f>
        <v>0</v>
      </c>
      <c r="Q105" s="326" t="s">
        <v>264</v>
      </c>
    </row>
    <row r="106" spans="1:17" s="756" customFormat="1" ht="24" customHeight="1">
      <c r="A106" s="975"/>
      <c r="B106" s="975"/>
      <c r="C106" s="1027"/>
      <c r="D106" s="975"/>
      <c r="E106" s="980"/>
      <c r="F106" s="975"/>
      <c r="G106" s="979"/>
      <c r="H106" s="975"/>
      <c r="I106" s="980"/>
      <c r="J106" s="975"/>
      <c r="K106" s="975"/>
      <c r="L106" s="975"/>
      <c r="M106" s="755" t="e">
        <f>+VLOOKUP(G106,'S1&amp;2 Lists'!$C$8:$G$134,3,FALSE)</f>
        <v>#N/A</v>
      </c>
      <c r="N106" s="755" t="e">
        <f t="shared" si="1"/>
        <v>#N/A</v>
      </c>
      <c r="P106" s="1049">
        <f>ROUND(IF(L106='S1&amp;2 Lists'!$CV$3,K106,IF(L106='S1&amp;2 Lists'!$CV$4,K106/'S1&amp;2 Lists'!$CQ$6,0)),3)</f>
        <v>0</v>
      </c>
      <c r="Q106" s="326" t="s">
        <v>264</v>
      </c>
    </row>
    <row r="107" spans="1:17" s="756" customFormat="1" ht="24" customHeight="1">
      <c r="A107" s="975"/>
      <c r="B107" s="975"/>
      <c r="C107" s="1027"/>
      <c r="D107" s="975"/>
      <c r="E107" s="980"/>
      <c r="F107" s="975"/>
      <c r="G107" s="979"/>
      <c r="H107" s="975"/>
      <c r="I107" s="980"/>
      <c r="J107" s="975"/>
      <c r="K107" s="975"/>
      <c r="L107" s="975"/>
      <c r="M107" s="755" t="e">
        <f>+VLOOKUP(G107,'S1&amp;2 Lists'!$C$8:$G$134,3,FALSE)</f>
        <v>#N/A</v>
      </c>
      <c r="N107" s="755" t="e">
        <f t="shared" si="1"/>
        <v>#N/A</v>
      </c>
      <c r="P107" s="1049">
        <f>ROUND(IF(L107='S1&amp;2 Lists'!$CV$3,K107,IF(L107='S1&amp;2 Lists'!$CV$4,K107/'S1&amp;2 Lists'!$CQ$6,0)),3)</f>
        <v>0</v>
      </c>
      <c r="Q107" s="326" t="s">
        <v>264</v>
      </c>
    </row>
    <row r="108" spans="1:17" s="756" customFormat="1" ht="24" customHeight="1">
      <c r="A108" s="975"/>
      <c r="B108" s="975"/>
      <c r="C108" s="1027"/>
      <c r="D108" s="975"/>
      <c r="E108" s="980"/>
      <c r="F108" s="975"/>
      <c r="G108" s="979"/>
      <c r="H108" s="975"/>
      <c r="I108" s="980"/>
      <c r="J108" s="975"/>
      <c r="K108" s="975"/>
      <c r="L108" s="975"/>
      <c r="M108" s="755" t="e">
        <f>+VLOOKUP(G108,'S1&amp;2 Lists'!$C$8:$G$134,3,FALSE)</f>
        <v>#N/A</v>
      </c>
      <c r="N108" s="755" t="e">
        <f t="shared" si="1"/>
        <v>#N/A</v>
      </c>
      <c r="P108" s="1049">
        <f>ROUND(IF(L108='S1&amp;2 Lists'!$CV$3,K108,IF(L108='S1&amp;2 Lists'!$CV$4,K108/'S1&amp;2 Lists'!$CQ$6,0)),3)</f>
        <v>0</v>
      </c>
      <c r="Q108" s="326" t="s">
        <v>264</v>
      </c>
    </row>
    <row r="109" spans="1:17" s="756" customFormat="1" ht="24" customHeight="1">
      <c r="A109" s="975"/>
      <c r="B109" s="975"/>
      <c r="C109" s="1027"/>
      <c r="D109" s="975"/>
      <c r="E109" s="980"/>
      <c r="F109" s="975"/>
      <c r="G109" s="979"/>
      <c r="H109" s="975"/>
      <c r="I109" s="980"/>
      <c r="J109" s="975"/>
      <c r="K109" s="975"/>
      <c r="L109" s="975"/>
      <c r="M109" s="755" t="e">
        <f>+VLOOKUP(G109,'S1&amp;2 Lists'!$C$8:$G$134,3,FALSE)</f>
        <v>#N/A</v>
      </c>
      <c r="N109" s="755" t="e">
        <f t="shared" si="1"/>
        <v>#N/A</v>
      </c>
      <c r="P109" s="1049">
        <f>ROUND(IF(L109='S1&amp;2 Lists'!$CV$3,K109,IF(L109='S1&amp;2 Lists'!$CV$4,K109/'S1&amp;2 Lists'!$CQ$6,0)),3)</f>
        <v>0</v>
      </c>
      <c r="Q109" s="326" t="s">
        <v>264</v>
      </c>
    </row>
    <row r="110" spans="1:17" s="756" customFormat="1" ht="24" customHeight="1">
      <c r="A110" s="975"/>
      <c r="B110" s="975"/>
      <c r="C110" s="1027"/>
      <c r="D110" s="975"/>
      <c r="E110" s="980"/>
      <c r="F110" s="975"/>
      <c r="G110" s="979"/>
      <c r="H110" s="975"/>
      <c r="I110" s="980"/>
      <c r="J110" s="975"/>
      <c r="K110" s="975"/>
      <c r="L110" s="975"/>
      <c r="M110" s="755" t="e">
        <f>+VLOOKUP(G110,'S1&amp;2 Lists'!$C$8:$G$134,3,FALSE)</f>
        <v>#N/A</v>
      </c>
      <c r="N110" s="755" t="e">
        <f t="shared" si="1"/>
        <v>#N/A</v>
      </c>
      <c r="P110" s="1049">
        <f>ROUND(IF(L110='S1&amp;2 Lists'!$CV$3,K110,IF(L110='S1&amp;2 Lists'!$CV$4,K110/'S1&amp;2 Lists'!$CQ$6,0)),3)</f>
        <v>0</v>
      </c>
      <c r="Q110" s="326" t="s">
        <v>264</v>
      </c>
    </row>
    <row r="111" spans="1:17" s="756" customFormat="1" ht="24" customHeight="1">
      <c r="A111" s="975"/>
      <c r="B111" s="975"/>
      <c r="C111" s="1027"/>
      <c r="D111" s="975"/>
      <c r="E111" s="980"/>
      <c r="F111" s="975"/>
      <c r="G111" s="979"/>
      <c r="H111" s="975"/>
      <c r="I111" s="980"/>
      <c r="J111" s="975"/>
      <c r="K111" s="975"/>
      <c r="L111" s="975"/>
      <c r="M111" s="755" t="e">
        <f>+VLOOKUP(G111,'S1&amp;2 Lists'!$C$8:$G$134,3,FALSE)</f>
        <v>#N/A</v>
      </c>
      <c r="N111" s="755" t="e">
        <f t="shared" si="1"/>
        <v>#N/A</v>
      </c>
      <c r="P111" s="1049">
        <f>ROUND(IF(L111='S1&amp;2 Lists'!$CV$3,K111,IF(L111='S1&amp;2 Lists'!$CV$4,K111/'S1&amp;2 Lists'!$CQ$6,0)),3)</f>
        <v>0</v>
      </c>
      <c r="Q111" s="326" t="s">
        <v>264</v>
      </c>
    </row>
    <row r="112" spans="1:17" s="756" customFormat="1" ht="24" customHeight="1">
      <c r="A112" s="975"/>
      <c r="B112" s="975"/>
      <c r="C112" s="1027"/>
      <c r="D112" s="975"/>
      <c r="E112" s="980"/>
      <c r="F112" s="975"/>
      <c r="G112" s="979"/>
      <c r="H112" s="975"/>
      <c r="I112" s="980"/>
      <c r="J112" s="975"/>
      <c r="K112" s="975"/>
      <c r="L112" s="975"/>
      <c r="M112" s="755" t="e">
        <f>+VLOOKUP(G112,'S1&amp;2 Lists'!$C$8:$G$134,3,FALSE)</f>
        <v>#N/A</v>
      </c>
      <c r="N112" s="755" t="e">
        <f t="shared" si="1"/>
        <v>#N/A</v>
      </c>
      <c r="P112" s="1049">
        <f>ROUND(IF(L112='S1&amp;2 Lists'!$CV$3,K112,IF(L112='S1&amp;2 Lists'!$CV$4,K112/'S1&amp;2 Lists'!$CQ$6,0)),3)</f>
        <v>0</v>
      </c>
      <c r="Q112" s="326" t="s">
        <v>264</v>
      </c>
    </row>
    <row r="113" spans="1:17" s="756" customFormat="1" ht="24" customHeight="1">
      <c r="A113" s="975"/>
      <c r="B113" s="975"/>
      <c r="C113" s="1027"/>
      <c r="D113" s="975"/>
      <c r="E113" s="980"/>
      <c r="F113" s="975"/>
      <c r="G113" s="979"/>
      <c r="H113" s="975"/>
      <c r="I113" s="980"/>
      <c r="J113" s="975"/>
      <c r="K113" s="975"/>
      <c r="L113" s="975"/>
      <c r="M113" s="755" t="e">
        <f>+VLOOKUP(G113,'S1&amp;2 Lists'!$C$8:$G$134,3,FALSE)</f>
        <v>#N/A</v>
      </c>
      <c r="N113" s="755" t="e">
        <f t="shared" si="1"/>
        <v>#N/A</v>
      </c>
      <c r="P113" s="1049">
        <f>ROUND(IF(L113='S1&amp;2 Lists'!$CV$3,K113,IF(L113='S1&amp;2 Lists'!$CV$4,K113/'S1&amp;2 Lists'!$CQ$6,0)),3)</f>
        <v>0</v>
      </c>
      <c r="Q113" s="326" t="s">
        <v>264</v>
      </c>
    </row>
    <row r="114" spans="1:17" s="756" customFormat="1" ht="24" customHeight="1">
      <c r="A114" s="975"/>
      <c r="B114" s="975"/>
      <c r="C114" s="1027"/>
      <c r="D114" s="975"/>
      <c r="E114" s="980"/>
      <c r="F114" s="975"/>
      <c r="G114" s="979"/>
      <c r="H114" s="975"/>
      <c r="I114" s="980"/>
      <c r="J114" s="975"/>
      <c r="K114" s="975"/>
      <c r="L114" s="975"/>
      <c r="M114" s="755" t="e">
        <f>+VLOOKUP(G114,'S1&amp;2 Lists'!$C$8:$G$134,3,FALSE)</f>
        <v>#N/A</v>
      </c>
      <c r="N114" s="755" t="e">
        <f t="shared" si="1"/>
        <v>#N/A</v>
      </c>
      <c r="P114" s="1049">
        <f>ROUND(IF(L114='S1&amp;2 Lists'!$CV$3,K114,IF(L114='S1&amp;2 Lists'!$CV$4,K114/'S1&amp;2 Lists'!$CQ$6,0)),3)</f>
        <v>0</v>
      </c>
      <c r="Q114" s="326" t="s">
        <v>264</v>
      </c>
    </row>
    <row r="115" spans="1:17" s="756" customFormat="1" ht="24" customHeight="1">
      <c r="A115" s="975"/>
      <c r="B115" s="975"/>
      <c r="C115" s="1027"/>
      <c r="D115" s="975"/>
      <c r="E115" s="980"/>
      <c r="F115" s="975"/>
      <c r="G115" s="979"/>
      <c r="H115" s="975"/>
      <c r="I115" s="980"/>
      <c r="J115" s="975"/>
      <c r="K115" s="975"/>
      <c r="L115" s="975"/>
      <c r="M115" s="755" t="e">
        <f>+VLOOKUP(G115,'S1&amp;2 Lists'!$C$8:$G$134,3,FALSE)</f>
        <v>#N/A</v>
      </c>
      <c r="N115" s="755" t="e">
        <f t="shared" si="1"/>
        <v>#N/A</v>
      </c>
      <c r="P115" s="1049">
        <f>ROUND(IF(L115='S1&amp;2 Lists'!$CV$3,K115,IF(L115='S1&amp;2 Lists'!$CV$4,K115/'S1&amp;2 Lists'!$CQ$6,0)),3)</f>
        <v>0</v>
      </c>
      <c r="Q115" s="326" t="s">
        <v>264</v>
      </c>
    </row>
    <row r="116" spans="1:17" s="756" customFormat="1" ht="24" customHeight="1">
      <c r="A116" s="975"/>
      <c r="B116" s="975"/>
      <c r="C116" s="1027"/>
      <c r="D116" s="975"/>
      <c r="E116" s="980"/>
      <c r="F116" s="975"/>
      <c r="G116" s="979"/>
      <c r="H116" s="975"/>
      <c r="I116" s="980"/>
      <c r="J116" s="975"/>
      <c r="K116" s="975"/>
      <c r="L116" s="975"/>
      <c r="M116" s="755" t="e">
        <f>+VLOOKUP(G116,'S1&amp;2 Lists'!$C$8:$G$134,3,FALSE)</f>
        <v>#N/A</v>
      </c>
      <c r="N116" s="755" t="e">
        <f t="shared" si="1"/>
        <v>#N/A</v>
      </c>
      <c r="P116" s="1049">
        <f>ROUND(IF(L116='S1&amp;2 Lists'!$CV$3,K116,IF(L116='S1&amp;2 Lists'!$CV$4,K116/'S1&amp;2 Lists'!$CQ$6,0)),3)</f>
        <v>0</v>
      </c>
      <c r="Q116" s="326" t="s">
        <v>264</v>
      </c>
    </row>
    <row r="117" spans="1:17" s="756" customFormat="1" ht="24" customHeight="1">
      <c r="A117" s="975"/>
      <c r="B117" s="975"/>
      <c r="C117" s="1027"/>
      <c r="D117" s="975"/>
      <c r="E117" s="980"/>
      <c r="F117" s="975"/>
      <c r="G117" s="979"/>
      <c r="H117" s="975"/>
      <c r="I117" s="980"/>
      <c r="J117" s="975"/>
      <c r="K117" s="975"/>
      <c r="L117" s="975"/>
      <c r="M117" s="755" t="e">
        <f>+VLOOKUP(G117,'S1&amp;2 Lists'!$C$8:$G$134,3,FALSE)</f>
        <v>#N/A</v>
      </c>
      <c r="N117" s="755" t="e">
        <f t="shared" si="1"/>
        <v>#N/A</v>
      </c>
      <c r="P117" s="1049">
        <f>ROUND(IF(L117='S1&amp;2 Lists'!$CV$3,K117,IF(L117='S1&amp;2 Lists'!$CV$4,K117/'S1&amp;2 Lists'!$CQ$6,0)),3)</f>
        <v>0</v>
      </c>
      <c r="Q117" s="326" t="s">
        <v>264</v>
      </c>
    </row>
    <row r="118" spans="1:17" s="756" customFormat="1" ht="24" customHeight="1">
      <c r="A118" s="975"/>
      <c r="B118" s="975"/>
      <c r="C118" s="1027"/>
      <c r="D118" s="975"/>
      <c r="E118" s="980"/>
      <c r="F118" s="975"/>
      <c r="G118" s="979"/>
      <c r="H118" s="975"/>
      <c r="I118" s="980"/>
      <c r="J118" s="975"/>
      <c r="K118" s="975"/>
      <c r="L118" s="975"/>
      <c r="M118" s="755" t="e">
        <f>+VLOOKUP(G118,'S1&amp;2 Lists'!$C$8:$G$134,3,FALSE)</f>
        <v>#N/A</v>
      </c>
      <c r="N118" s="755" t="e">
        <f t="shared" si="1"/>
        <v>#N/A</v>
      </c>
      <c r="P118" s="1049">
        <f>ROUND(IF(L118='S1&amp;2 Lists'!$CV$3,K118,IF(L118='S1&amp;2 Lists'!$CV$4,K118/'S1&amp;2 Lists'!$CQ$6,0)),3)</f>
        <v>0</v>
      </c>
      <c r="Q118" s="326" t="s">
        <v>264</v>
      </c>
    </row>
    <row r="119" spans="1:17" s="756" customFormat="1" ht="24" customHeight="1">
      <c r="A119" s="975"/>
      <c r="B119" s="975"/>
      <c r="C119" s="1027"/>
      <c r="D119" s="975"/>
      <c r="E119" s="980"/>
      <c r="F119" s="975"/>
      <c r="G119" s="979"/>
      <c r="H119" s="975"/>
      <c r="I119" s="980"/>
      <c r="J119" s="975"/>
      <c r="K119" s="975"/>
      <c r="L119" s="975"/>
      <c r="M119" s="755" t="e">
        <f>+VLOOKUP(G119,'S1&amp;2 Lists'!$C$8:$G$134,3,FALSE)</f>
        <v>#N/A</v>
      </c>
      <c r="N119" s="755" t="e">
        <f t="shared" si="1"/>
        <v>#N/A</v>
      </c>
      <c r="P119" s="1049">
        <f>ROUND(IF(L119='S1&amp;2 Lists'!$CV$3,K119,IF(L119='S1&amp;2 Lists'!$CV$4,K119/'S1&amp;2 Lists'!$CQ$6,0)),3)</f>
        <v>0</v>
      </c>
      <c r="Q119" s="326" t="s">
        <v>264</v>
      </c>
    </row>
    <row r="120" spans="1:17" s="756" customFormat="1" ht="24" customHeight="1">
      <c r="A120" s="975"/>
      <c r="B120" s="975"/>
      <c r="C120" s="1027"/>
      <c r="D120" s="975"/>
      <c r="E120" s="980"/>
      <c r="F120" s="975"/>
      <c r="G120" s="979"/>
      <c r="H120" s="975"/>
      <c r="I120" s="980"/>
      <c r="J120" s="975"/>
      <c r="K120" s="975"/>
      <c r="L120" s="975"/>
      <c r="M120" s="755" t="e">
        <f>+VLOOKUP(G120,'S1&amp;2 Lists'!$C$8:$G$134,3,FALSE)</f>
        <v>#N/A</v>
      </c>
      <c r="N120" s="755" t="e">
        <f t="shared" si="1"/>
        <v>#N/A</v>
      </c>
      <c r="P120" s="1049">
        <f>ROUND(IF(L120='S1&amp;2 Lists'!$CV$3,K120,IF(L120='S1&amp;2 Lists'!$CV$4,K120/'S1&amp;2 Lists'!$CQ$6,0)),3)</f>
        <v>0</v>
      </c>
      <c r="Q120" s="326" t="s">
        <v>264</v>
      </c>
    </row>
    <row r="121" spans="1:17" s="756" customFormat="1" ht="24" customHeight="1">
      <c r="A121" s="975"/>
      <c r="B121" s="975"/>
      <c r="C121" s="1027"/>
      <c r="D121" s="975"/>
      <c r="E121" s="980"/>
      <c r="F121" s="975"/>
      <c r="G121" s="979"/>
      <c r="H121" s="975"/>
      <c r="I121" s="980"/>
      <c r="J121" s="975"/>
      <c r="K121" s="975"/>
      <c r="L121" s="975"/>
      <c r="M121" s="755" t="e">
        <f>+VLOOKUP(G121,'S1&amp;2 Lists'!$C$8:$G$134,3,FALSE)</f>
        <v>#N/A</v>
      </c>
      <c r="N121" s="755" t="e">
        <f t="shared" si="1"/>
        <v>#N/A</v>
      </c>
      <c r="P121" s="1049">
        <f>ROUND(IF(L121='S1&amp;2 Lists'!$CV$3,K121,IF(L121='S1&amp;2 Lists'!$CV$4,K121/'S1&amp;2 Lists'!$CQ$6,0)),3)</f>
        <v>0</v>
      </c>
      <c r="Q121" s="326" t="s">
        <v>264</v>
      </c>
    </row>
    <row r="122" spans="1:17" s="756" customFormat="1" ht="24" customHeight="1">
      <c r="A122" s="975"/>
      <c r="B122" s="975"/>
      <c r="C122" s="1027"/>
      <c r="D122" s="975"/>
      <c r="E122" s="980"/>
      <c r="F122" s="975"/>
      <c r="G122" s="979"/>
      <c r="H122" s="975"/>
      <c r="I122" s="980"/>
      <c r="J122" s="975"/>
      <c r="K122" s="975"/>
      <c r="L122" s="975"/>
      <c r="M122" s="755" t="e">
        <f>+VLOOKUP(G122,'S1&amp;2 Lists'!$C$8:$G$134,3,FALSE)</f>
        <v>#N/A</v>
      </c>
      <c r="N122" s="755" t="e">
        <f t="shared" si="1"/>
        <v>#N/A</v>
      </c>
      <c r="P122" s="1049">
        <f>ROUND(IF(L122='S1&amp;2 Lists'!$CV$3,K122,IF(L122='S1&amp;2 Lists'!$CV$4,K122/'S1&amp;2 Lists'!$CQ$6,0)),3)</f>
        <v>0</v>
      </c>
      <c r="Q122" s="326" t="s">
        <v>264</v>
      </c>
    </row>
    <row r="123" spans="1:17" s="756" customFormat="1" ht="24" customHeight="1">
      <c r="A123" s="975"/>
      <c r="B123" s="975"/>
      <c r="C123" s="1027"/>
      <c r="D123" s="975"/>
      <c r="E123" s="980"/>
      <c r="F123" s="975"/>
      <c r="G123" s="979"/>
      <c r="H123" s="975"/>
      <c r="I123" s="980"/>
      <c r="J123" s="975"/>
      <c r="K123" s="975"/>
      <c r="L123" s="975"/>
      <c r="M123" s="755" t="e">
        <f>+VLOOKUP(G123,'S1&amp;2 Lists'!$C$8:$G$134,3,FALSE)</f>
        <v>#N/A</v>
      </c>
      <c r="N123" s="755" t="e">
        <f t="shared" si="1"/>
        <v>#N/A</v>
      </c>
      <c r="P123" s="1049">
        <f>ROUND(IF(L123='S1&amp;2 Lists'!$CV$3,K123,IF(L123='S1&amp;2 Lists'!$CV$4,K123/'S1&amp;2 Lists'!$CQ$6,0)),3)</f>
        <v>0</v>
      </c>
      <c r="Q123" s="326" t="s">
        <v>264</v>
      </c>
    </row>
    <row r="124" spans="1:17" s="756" customFormat="1" ht="24" customHeight="1">
      <c r="A124" s="975"/>
      <c r="B124" s="975"/>
      <c r="C124" s="1027"/>
      <c r="D124" s="975"/>
      <c r="E124" s="980"/>
      <c r="F124" s="975"/>
      <c r="G124" s="979"/>
      <c r="H124" s="975"/>
      <c r="I124" s="980"/>
      <c r="J124" s="975"/>
      <c r="K124" s="975"/>
      <c r="L124" s="975"/>
      <c r="M124" s="755" t="e">
        <f>+VLOOKUP(G124,'S1&amp;2 Lists'!$C$8:$G$134,3,FALSE)</f>
        <v>#N/A</v>
      </c>
      <c r="N124" s="755" t="e">
        <f t="shared" si="1"/>
        <v>#N/A</v>
      </c>
      <c r="P124" s="1049">
        <f>ROUND(IF(L124='S1&amp;2 Lists'!$CV$3,K124,IF(L124='S1&amp;2 Lists'!$CV$4,K124/'S1&amp;2 Lists'!$CQ$6,0)),3)</f>
        <v>0</v>
      </c>
      <c r="Q124" s="326" t="s">
        <v>264</v>
      </c>
    </row>
    <row r="125" spans="1:17" s="756" customFormat="1" ht="24" customHeight="1">
      <c r="A125" s="975"/>
      <c r="B125" s="975"/>
      <c r="C125" s="1027"/>
      <c r="D125" s="975"/>
      <c r="E125" s="980"/>
      <c r="F125" s="975"/>
      <c r="G125" s="979"/>
      <c r="H125" s="975"/>
      <c r="I125" s="980"/>
      <c r="J125" s="975"/>
      <c r="K125" s="975"/>
      <c r="L125" s="975"/>
      <c r="M125" s="755" t="e">
        <f>+VLOOKUP(G125,'S1&amp;2 Lists'!$C$8:$G$134,3,FALSE)</f>
        <v>#N/A</v>
      </c>
      <c r="N125" s="755" t="e">
        <f t="shared" si="1"/>
        <v>#N/A</v>
      </c>
      <c r="P125" s="1049">
        <f>ROUND(IF(L125='S1&amp;2 Lists'!$CV$3,K125,IF(L125='S1&amp;2 Lists'!$CV$4,K125/'S1&amp;2 Lists'!$CQ$6,0)),3)</f>
        <v>0</v>
      </c>
      <c r="Q125" s="326" t="s">
        <v>264</v>
      </c>
    </row>
    <row r="126" spans="1:17" s="756" customFormat="1" ht="24" customHeight="1">
      <c r="A126" s="975"/>
      <c r="B126" s="975"/>
      <c r="C126" s="1027"/>
      <c r="D126" s="975"/>
      <c r="E126" s="980"/>
      <c r="F126" s="975"/>
      <c r="G126" s="979"/>
      <c r="H126" s="975"/>
      <c r="I126" s="980"/>
      <c r="J126" s="975"/>
      <c r="K126" s="975"/>
      <c r="L126" s="975"/>
      <c r="M126" s="755" t="e">
        <f>+VLOOKUP(G126,'S1&amp;2 Lists'!$C$8:$G$134,3,FALSE)</f>
        <v>#N/A</v>
      </c>
      <c r="N126" s="755" t="e">
        <f t="shared" si="1"/>
        <v>#N/A</v>
      </c>
      <c r="P126" s="1049">
        <f>ROUND(IF(L126='S1&amp;2 Lists'!$CV$3,K126,IF(L126='S1&amp;2 Lists'!$CV$4,K126/'S1&amp;2 Lists'!$CQ$6,0)),3)</f>
        <v>0</v>
      </c>
      <c r="Q126" s="326" t="s">
        <v>264</v>
      </c>
    </row>
    <row r="127" spans="1:17" s="756" customFormat="1" ht="24" customHeight="1">
      <c r="A127" s="975"/>
      <c r="B127" s="975"/>
      <c r="C127" s="1027"/>
      <c r="D127" s="975"/>
      <c r="E127" s="980"/>
      <c r="F127" s="975"/>
      <c r="G127" s="979"/>
      <c r="H127" s="975"/>
      <c r="I127" s="980"/>
      <c r="J127" s="975"/>
      <c r="K127" s="975"/>
      <c r="L127" s="975"/>
      <c r="M127" s="755" t="e">
        <f>+VLOOKUP(G127,'S1&amp;2 Lists'!$C$8:$G$134,3,FALSE)</f>
        <v>#N/A</v>
      </c>
      <c r="N127" s="755" t="e">
        <f t="shared" si="1"/>
        <v>#N/A</v>
      </c>
      <c r="P127" s="1049">
        <f>ROUND(IF(L127='S1&amp;2 Lists'!$CV$3,K127,IF(L127='S1&amp;2 Lists'!$CV$4,K127/'S1&amp;2 Lists'!$CQ$6,0)),3)</f>
        <v>0</v>
      </c>
      <c r="Q127" s="326" t="s">
        <v>264</v>
      </c>
    </row>
    <row r="128" spans="1:17" s="756" customFormat="1" ht="24" customHeight="1">
      <c r="A128" s="975"/>
      <c r="B128" s="975"/>
      <c r="C128" s="1027"/>
      <c r="D128" s="975"/>
      <c r="E128" s="980"/>
      <c r="F128" s="975"/>
      <c r="G128" s="979"/>
      <c r="H128" s="975"/>
      <c r="I128" s="980"/>
      <c r="J128" s="975"/>
      <c r="K128" s="975"/>
      <c r="L128" s="975"/>
      <c r="M128" s="755" t="e">
        <f>+VLOOKUP(G128,'S1&amp;2 Lists'!$C$8:$G$134,3,FALSE)</f>
        <v>#N/A</v>
      </c>
      <c r="N128" s="755" t="e">
        <f t="shared" si="1"/>
        <v>#N/A</v>
      </c>
      <c r="P128" s="1049">
        <f>ROUND(IF(L128='S1&amp;2 Lists'!$CV$3,K128,IF(L128='S1&amp;2 Lists'!$CV$4,K128/'S1&amp;2 Lists'!$CQ$6,0)),3)</f>
        <v>0</v>
      </c>
      <c r="Q128" s="326" t="s">
        <v>264</v>
      </c>
    </row>
    <row r="129" spans="1:17" s="756" customFormat="1" ht="24" customHeight="1">
      <c r="A129" s="975"/>
      <c r="B129" s="975"/>
      <c r="C129" s="1027"/>
      <c r="D129" s="975"/>
      <c r="E129" s="980"/>
      <c r="F129" s="975"/>
      <c r="G129" s="979"/>
      <c r="H129" s="975"/>
      <c r="I129" s="980"/>
      <c r="J129" s="975"/>
      <c r="K129" s="975"/>
      <c r="L129" s="975"/>
      <c r="M129" s="755" t="e">
        <f>+VLOOKUP(G129,'S1&amp;2 Lists'!$C$8:$G$134,3,FALSE)</f>
        <v>#N/A</v>
      </c>
      <c r="N129" s="755" t="e">
        <f t="shared" si="1"/>
        <v>#N/A</v>
      </c>
      <c r="P129" s="1049">
        <f>ROUND(IF(L129='S1&amp;2 Lists'!$CV$3,K129,IF(L129='S1&amp;2 Lists'!$CV$4,K129/'S1&amp;2 Lists'!$CQ$6,0)),3)</f>
        <v>0</v>
      </c>
      <c r="Q129" s="326" t="s">
        <v>264</v>
      </c>
    </row>
    <row r="130" spans="1:17" s="756" customFormat="1" ht="24" customHeight="1">
      <c r="A130" s="975"/>
      <c r="B130" s="975"/>
      <c r="C130" s="1027"/>
      <c r="D130" s="975"/>
      <c r="E130" s="980"/>
      <c r="F130" s="975"/>
      <c r="G130" s="979"/>
      <c r="H130" s="975"/>
      <c r="I130" s="980"/>
      <c r="J130" s="975"/>
      <c r="K130" s="975"/>
      <c r="L130" s="975"/>
      <c r="M130" s="755" t="e">
        <f>+VLOOKUP(G130,'S1&amp;2 Lists'!$C$8:$G$134,3,FALSE)</f>
        <v>#N/A</v>
      </c>
      <c r="N130" s="755" t="e">
        <f t="shared" si="1"/>
        <v>#N/A</v>
      </c>
      <c r="P130" s="1049">
        <f>ROUND(IF(L130='S1&amp;2 Lists'!$CV$3,K130,IF(L130='S1&amp;2 Lists'!$CV$4,K130/'S1&amp;2 Lists'!$CQ$6,0)),3)</f>
        <v>0</v>
      </c>
      <c r="Q130" s="326" t="s">
        <v>264</v>
      </c>
    </row>
    <row r="131" spans="1:17" s="756" customFormat="1" ht="24" customHeight="1">
      <c r="A131" s="975"/>
      <c r="B131" s="975"/>
      <c r="C131" s="1027"/>
      <c r="D131" s="975"/>
      <c r="E131" s="980"/>
      <c r="F131" s="975"/>
      <c r="G131" s="979"/>
      <c r="H131" s="975"/>
      <c r="I131" s="980"/>
      <c r="J131" s="975"/>
      <c r="K131" s="975"/>
      <c r="L131" s="975"/>
      <c r="M131" s="755" t="e">
        <f>+VLOOKUP(G131,'S1&amp;2 Lists'!$C$8:$G$134,3,FALSE)</f>
        <v>#N/A</v>
      </c>
      <c r="N131" s="755" t="e">
        <f t="shared" si="1"/>
        <v>#N/A</v>
      </c>
      <c r="P131" s="1049">
        <f>ROUND(IF(L131='S1&amp;2 Lists'!$CV$3,K131,IF(L131='S1&amp;2 Lists'!$CV$4,K131/'S1&amp;2 Lists'!$CQ$6,0)),3)</f>
        <v>0</v>
      </c>
      <c r="Q131" s="326" t="s">
        <v>264</v>
      </c>
    </row>
    <row r="132" spans="1:17" s="756" customFormat="1" ht="24" customHeight="1">
      <c r="A132" s="975"/>
      <c r="B132" s="975"/>
      <c r="C132" s="1027"/>
      <c r="D132" s="975"/>
      <c r="E132" s="980"/>
      <c r="F132" s="975"/>
      <c r="G132" s="979"/>
      <c r="H132" s="975"/>
      <c r="I132" s="980"/>
      <c r="J132" s="975"/>
      <c r="K132" s="975"/>
      <c r="L132" s="975"/>
      <c r="M132" s="755" t="e">
        <f>+VLOOKUP(G132,'S1&amp;2 Lists'!$C$8:$G$134,3,FALSE)</f>
        <v>#N/A</v>
      </c>
      <c r="N132" s="755" t="e">
        <f t="shared" si="1"/>
        <v>#N/A</v>
      </c>
      <c r="P132" s="1049">
        <f>ROUND(IF(L132='S1&amp;2 Lists'!$CV$3,K132,IF(L132='S1&amp;2 Lists'!$CV$4,K132/'S1&amp;2 Lists'!$CQ$6,0)),3)</f>
        <v>0</v>
      </c>
      <c r="Q132" s="326" t="s">
        <v>264</v>
      </c>
    </row>
    <row r="133" spans="1:17" s="756" customFormat="1" ht="24" customHeight="1">
      <c r="A133" s="975"/>
      <c r="B133" s="975"/>
      <c r="C133" s="1027"/>
      <c r="D133" s="975"/>
      <c r="E133" s="980"/>
      <c r="F133" s="975"/>
      <c r="G133" s="979"/>
      <c r="H133" s="975"/>
      <c r="I133" s="980"/>
      <c r="J133" s="975"/>
      <c r="K133" s="975"/>
      <c r="L133" s="975"/>
      <c r="M133" s="755" t="e">
        <f>+VLOOKUP(G133,'S1&amp;2 Lists'!$C$8:$G$134,3,FALSE)</f>
        <v>#N/A</v>
      </c>
      <c r="N133" s="755" t="e">
        <f t="shared" si="1"/>
        <v>#N/A</v>
      </c>
      <c r="P133" s="1049">
        <f>ROUND(IF(L133='S1&amp;2 Lists'!$CV$3,K133,IF(L133='S1&amp;2 Lists'!$CV$4,K133/'S1&amp;2 Lists'!$CQ$6,0)),3)</f>
        <v>0</v>
      </c>
      <c r="Q133" s="326" t="s">
        <v>264</v>
      </c>
    </row>
    <row r="134" spans="1:17" s="756" customFormat="1" ht="24" customHeight="1">
      <c r="A134" s="975"/>
      <c r="B134" s="975"/>
      <c r="C134" s="1027"/>
      <c r="D134" s="975"/>
      <c r="E134" s="980"/>
      <c r="F134" s="975"/>
      <c r="G134" s="979"/>
      <c r="H134" s="975"/>
      <c r="I134" s="980"/>
      <c r="J134" s="975"/>
      <c r="K134" s="975"/>
      <c r="L134" s="975"/>
      <c r="M134" s="755" t="e">
        <f>+VLOOKUP(G134,'S1&amp;2 Lists'!$C$8:$G$134,3,FALSE)</f>
        <v>#N/A</v>
      </c>
      <c r="N134" s="755" t="e">
        <f t="shared" si="1"/>
        <v>#N/A</v>
      </c>
      <c r="P134" s="1049">
        <f>ROUND(IF(L134='S1&amp;2 Lists'!$CV$3,K134,IF(L134='S1&amp;2 Lists'!$CV$4,K134/'S1&amp;2 Lists'!$CQ$6,0)),3)</f>
        <v>0</v>
      </c>
      <c r="Q134" s="326" t="s">
        <v>264</v>
      </c>
    </row>
    <row r="135" spans="1:17" s="756" customFormat="1" ht="24" customHeight="1">
      <c r="A135" s="975"/>
      <c r="B135" s="975"/>
      <c r="C135" s="1027"/>
      <c r="D135" s="975"/>
      <c r="E135" s="980"/>
      <c r="F135" s="975"/>
      <c r="G135" s="979"/>
      <c r="H135" s="975"/>
      <c r="I135" s="980"/>
      <c r="J135" s="975"/>
      <c r="K135" s="975"/>
      <c r="L135" s="975"/>
      <c r="M135" s="755" t="e">
        <f>+VLOOKUP(G135,'S1&amp;2 Lists'!$C$8:$G$134,3,FALSE)</f>
        <v>#N/A</v>
      </c>
      <c r="N135" s="755" t="e">
        <f t="shared" si="1"/>
        <v>#N/A</v>
      </c>
      <c r="P135" s="1049">
        <f>ROUND(IF(L135='S1&amp;2 Lists'!$CV$3,K135,IF(L135='S1&amp;2 Lists'!$CV$4,K135/'S1&amp;2 Lists'!$CQ$6,0)),3)</f>
        <v>0</v>
      </c>
      <c r="Q135" s="326" t="s">
        <v>264</v>
      </c>
    </row>
    <row r="136" spans="1:17" s="756" customFormat="1" ht="24" customHeight="1">
      <c r="A136" s="975"/>
      <c r="B136" s="975"/>
      <c r="C136" s="1027"/>
      <c r="D136" s="975"/>
      <c r="E136" s="980"/>
      <c r="F136" s="975"/>
      <c r="G136" s="979"/>
      <c r="H136" s="975"/>
      <c r="I136" s="980"/>
      <c r="J136" s="975"/>
      <c r="K136" s="975"/>
      <c r="L136" s="975"/>
      <c r="M136" s="755" t="e">
        <f>+VLOOKUP(G136,'S1&amp;2 Lists'!$C$8:$G$134,3,FALSE)</f>
        <v>#N/A</v>
      </c>
      <c r="N136" s="755" t="e">
        <f t="shared" si="1"/>
        <v>#N/A</v>
      </c>
      <c r="P136" s="1049">
        <f>ROUND(IF(L136='S1&amp;2 Lists'!$CV$3,K136,IF(L136='S1&amp;2 Lists'!$CV$4,K136/'S1&amp;2 Lists'!$CQ$6,0)),3)</f>
        <v>0</v>
      </c>
      <c r="Q136" s="326" t="s">
        <v>264</v>
      </c>
    </row>
    <row r="137" spans="1:17" s="756" customFormat="1" ht="24" customHeight="1">
      <c r="A137" s="975"/>
      <c r="B137" s="975"/>
      <c r="C137" s="1027"/>
      <c r="D137" s="975"/>
      <c r="E137" s="980"/>
      <c r="F137" s="975"/>
      <c r="G137" s="979"/>
      <c r="H137" s="975"/>
      <c r="I137" s="980"/>
      <c r="J137" s="975"/>
      <c r="K137" s="975"/>
      <c r="L137" s="975"/>
      <c r="M137" s="755" t="e">
        <f>+VLOOKUP(G137,'S1&amp;2 Lists'!$C$8:$G$134,3,FALSE)</f>
        <v>#N/A</v>
      </c>
      <c r="N137" s="755" t="e">
        <f t="shared" si="1"/>
        <v>#N/A</v>
      </c>
      <c r="P137" s="1049">
        <f>ROUND(IF(L137='S1&amp;2 Lists'!$CV$3,K137,IF(L137='S1&amp;2 Lists'!$CV$4,K137/'S1&amp;2 Lists'!$CQ$6,0)),3)</f>
        <v>0</v>
      </c>
      <c r="Q137" s="326" t="s">
        <v>264</v>
      </c>
    </row>
    <row r="138" spans="1:17" s="756" customFormat="1" ht="24" customHeight="1">
      <c r="A138" s="975"/>
      <c r="B138" s="975"/>
      <c r="C138" s="1027"/>
      <c r="D138" s="975"/>
      <c r="E138" s="980"/>
      <c r="F138" s="975"/>
      <c r="G138" s="979"/>
      <c r="H138" s="975"/>
      <c r="I138" s="980"/>
      <c r="J138" s="975"/>
      <c r="K138" s="975"/>
      <c r="L138" s="975"/>
      <c r="M138" s="755" t="e">
        <f>+VLOOKUP(G138,'S1&amp;2 Lists'!$C$8:$G$134,3,FALSE)</f>
        <v>#N/A</v>
      </c>
      <c r="N138" s="755" t="e">
        <f t="shared" ref="N138:N201" si="2">+P138*M138</f>
        <v>#N/A</v>
      </c>
      <c r="P138" s="1049">
        <f>ROUND(IF(L138='S1&amp;2 Lists'!$CV$3,K138,IF(L138='S1&amp;2 Lists'!$CV$4,K138/'S1&amp;2 Lists'!$CQ$6,0)),3)</f>
        <v>0</v>
      </c>
      <c r="Q138" s="326" t="s">
        <v>264</v>
      </c>
    </row>
    <row r="139" spans="1:17" s="756" customFormat="1" ht="24" customHeight="1">
      <c r="A139" s="975"/>
      <c r="B139" s="975"/>
      <c r="C139" s="1027"/>
      <c r="D139" s="975"/>
      <c r="E139" s="980"/>
      <c r="F139" s="975"/>
      <c r="G139" s="979"/>
      <c r="H139" s="975"/>
      <c r="I139" s="980"/>
      <c r="J139" s="975"/>
      <c r="K139" s="975"/>
      <c r="L139" s="975"/>
      <c r="M139" s="755" t="e">
        <f>+VLOOKUP(G139,'S1&amp;2 Lists'!$C$8:$G$134,3,FALSE)</f>
        <v>#N/A</v>
      </c>
      <c r="N139" s="755" t="e">
        <f t="shared" si="2"/>
        <v>#N/A</v>
      </c>
      <c r="P139" s="1049">
        <f>ROUND(IF(L139='S1&amp;2 Lists'!$CV$3,K139,IF(L139='S1&amp;2 Lists'!$CV$4,K139/'S1&amp;2 Lists'!$CQ$6,0)),3)</f>
        <v>0</v>
      </c>
      <c r="Q139" s="326" t="s">
        <v>264</v>
      </c>
    </row>
    <row r="140" spans="1:17" s="756" customFormat="1" ht="24" customHeight="1">
      <c r="A140" s="975"/>
      <c r="B140" s="975"/>
      <c r="C140" s="1027"/>
      <c r="D140" s="975"/>
      <c r="E140" s="980"/>
      <c r="F140" s="975"/>
      <c r="G140" s="979"/>
      <c r="H140" s="975"/>
      <c r="I140" s="980"/>
      <c r="J140" s="975"/>
      <c r="K140" s="975"/>
      <c r="L140" s="975"/>
      <c r="M140" s="755" t="e">
        <f>+VLOOKUP(G140,'S1&amp;2 Lists'!$C$8:$G$134,3,FALSE)</f>
        <v>#N/A</v>
      </c>
      <c r="N140" s="755" t="e">
        <f t="shared" si="2"/>
        <v>#N/A</v>
      </c>
      <c r="P140" s="1049">
        <f>ROUND(IF(L140='S1&amp;2 Lists'!$CV$3,K140,IF(L140='S1&amp;2 Lists'!$CV$4,K140/'S1&amp;2 Lists'!$CQ$6,0)),3)</f>
        <v>0</v>
      </c>
      <c r="Q140" s="326" t="s">
        <v>264</v>
      </c>
    </row>
    <row r="141" spans="1:17" s="756" customFormat="1" ht="24" customHeight="1">
      <c r="A141" s="975"/>
      <c r="B141" s="975"/>
      <c r="C141" s="1027"/>
      <c r="D141" s="975"/>
      <c r="E141" s="980"/>
      <c r="F141" s="975"/>
      <c r="G141" s="979"/>
      <c r="H141" s="975"/>
      <c r="I141" s="980"/>
      <c r="J141" s="975"/>
      <c r="K141" s="975"/>
      <c r="L141" s="975"/>
      <c r="M141" s="755" t="e">
        <f>+VLOOKUP(G141,'S1&amp;2 Lists'!$C$8:$G$134,3,FALSE)</f>
        <v>#N/A</v>
      </c>
      <c r="N141" s="755" t="e">
        <f t="shared" si="2"/>
        <v>#N/A</v>
      </c>
      <c r="P141" s="1049">
        <f>ROUND(IF(L141='S1&amp;2 Lists'!$CV$3,K141,IF(L141='S1&amp;2 Lists'!$CV$4,K141/'S1&amp;2 Lists'!$CQ$6,0)),3)</f>
        <v>0</v>
      </c>
      <c r="Q141" s="326" t="s">
        <v>264</v>
      </c>
    </row>
    <row r="142" spans="1:17" s="756" customFormat="1" ht="24" customHeight="1">
      <c r="A142" s="975"/>
      <c r="B142" s="975"/>
      <c r="C142" s="1027"/>
      <c r="D142" s="975"/>
      <c r="E142" s="980"/>
      <c r="F142" s="975"/>
      <c r="G142" s="979"/>
      <c r="H142" s="975"/>
      <c r="I142" s="980"/>
      <c r="J142" s="975"/>
      <c r="K142" s="975"/>
      <c r="L142" s="975"/>
      <c r="M142" s="755" t="e">
        <f>+VLOOKUP(G142,'S1&amp;2 Lists'!$C$8:$G$134,3,FALSE)</f>
        <v>#N/A</v>
      </c>
      <c r="N142" s="755" t="e">
        <f t="shared" si="2"/>
        <v>#N/A</v>
      </c>
      <c r="P142" s="1049">
        <f>ROUND(IF(L142='S1&amp;2 Lists'!$CV$3,K142,IF(L142='S1&amp;2 Lists'!$CV$4,K142/'S1&amp;2 Lists'!$CQ$6,0)),3)</f>
        <v>0</v>
      </c>
      <c r="Q142" s="326" t="s">
        <v>264</v>
      </c>
    </row>
    <row r="143" spans="1:17" s="756" customFormat="1" ht="24" customHeight="1">
      <c r="A143" s="975"/>
      <c r="B143" s="975"/>
      <c r="C143" s="1027"/>
      <c r="D143" s="975"/>
      <c r="E143" s="980"/>
      <c r="F143" s="975"/>
      <c r="G143" s="979"/>
      <c r="H143" s="975"/>
      <c r="I143" s="980"/>
      <c r="J143" s="975"/>
      <c r="K143" s="975"/>
      <c r="L143" s="975"/>
      <c r="M143" s="755" t="e">
        <f>+VLOOKUP(G143,'S1&amp;2 Lists'!$C$8:$G$134,3,FALSE)</f>
        <v>#N/A</v>
      </c>
      <c r="N143" s="755" t="e">
        <f t="shared" si="2"/>
        <v>#N/A</v>
      </c>
      <c r="P143" s="1049">
        <f>ROUND(IF(L143='S1&amp;2 Lists'!$CV$3,K143,IF(L143='S1&amp;2 Lists'!$CV$4,K143/'S1&amp;2 Lists'!$CQ$6,0)),3)</f>
        <v>0</v>
      </c>
      <c r="Q143" s="326" t="s">
        <v>264</v>
      </c>
    </row>
    <row r="144" spans="1:17" s="756" customFormat="1" ht="24" customHeight="1">
      <c r="A144" s="975"/>
      <c r="B144" s="975"/>
      <c r="C144" s="1027"/>
      <c r="D144" s="975"/>
      <c r="E144" s="980"/>
      <c r="F144" s="975"/>
      <c r="G144" s="979"/>
      <c r="H144" s="975"/>
      <c r="I144" s="980"/>
      <c r="J144" s="975"/>
      <c r="K144" s="975"/>
      <c r="L144" s="975"/>
      <c r="M144" s="755" t="e">
        <f>+VLOOKUP(G144,'S1&amp;2 Lists'!$C$8:$G$134,3,FALSE)</f>
        <v>#N/A</v>
      </c>
      <c r="N144" s="755" t="e">
        <f t="shared" si="2"/>
        <v>#N/A</v>
      </c>
      <c r="P144" s="1049">
        <f>ROUND(IF(L144='S1&amp;2 Lists'!$CV$3,K144,IF(L144='S1&amp;2 Lists'!$CV$4,K144/'S1&amp;2 Lists'!$CQ$6,0)),3)</f>
        <v>0</v>
      </c>
      <c r="Q144" s="326" t="s">
        <v>264</v>
      </c>
    </row>
    <row r="145" spans="1:17" s="756" customFormat="1" ht="24" customHeight="1">
      <c r="A145" s="975"/>
      <c r="B145" s="975"/>
      <c r="C145" s="1027"/>
      <c r="D145" s="975"/>
      <c r="E145" s="980"/>
      <c r="F145" s="975"/>
      <c r="G145" s="979"/>
      <c r="H145" s="975"/>
      <c r="I145" s="980"/>
      <c r="J145" s="975"/>
      <c r="K145" s="975"/>
      <c r="L145" s="975"/>
      <c r="M145" s="755" t="e">
        <f>+VLOOKUP(G145,'S1&amp;2 Lists'!$C$8:$G$134,3,FALSE)</f>
        <v>#N/A</v>
      </c>
      <c r="N145" s="755" t="e">
        <f t="shared" si="2"/>
        <v>#N/A</v>
      </c>
      <c r="P145" s="1049">
        <f>ROUND(IF(L145='S1&amp;2 Lists'!$CV$3,K145,IF(L145='S1&amp;2 Lists'!$CV$4,K145/'S1&amp;2 Lists'!$CQ$6,0)),3)</f>
        <v>0</v>
      </c>
      <c r="Q145" s="326" t="s">
        <v>264</v>
      </c>
    </row>
    <row r="146" spans="1:17" s="756" customFormat="1" ht="24" customHeight="1">
      <c r="A146" s="975"/>
      <c r="B146" s="975"/>
      <c r="C146" s="1027"/>
      <c r="D146" s="975"/>
      <c r="E146" s="980"/>
      <c r="F146" s="975"/>
      <c r="G146" s="979"/>
      <c r="H146" s="975"/>
      <c r="I146" s="980"/>
      <c r="J146" s="975"/>
      <c r="K146" s="975"/>
      <c r="L146" s="975"/>
      <c r="M146" s="755" t="e">
        <f>+VLOOKUP(G146,'S1&amp;2 Lists'!$C$8:$G$134,3,FALSE)</f>
        <v>#N/A</v>
      </c>
      <c r="N146" s="755" t="e">
        <f t="shared" si="2"/>
        <v>#N/A</v>
      </c>
      <c r="P146" s="1049">
        <f>ROUND(IF(L146='S1&amp;2 Lists'!$CV$3,K146,IF(L146='S1&amp;2 Lists'!$CV$4,K146/'S1&amp;2 Lists'!$CQ$6,0)),3)</f>
        <v>0</v>
      </c>
      <c r="Q146" s="326" t="s">
        <v>264</v>
      </c>
    </row>
    <row r="147" spans="1:17" s="756" customFormat="1" ht="24" customHeight="1">
      <c r="A147" s="975"/>
      <c r="B147" s="975"/>
      <c r="C147" s="1027"/>
      <c r="D147" s="975"/>
      <c r="E147" s="980"/>
      <c r="F147" s="975"/>
      <c r="G147" s="979"/>
      <c r="H147" s="975"/>
      <c r="I147" s="980"/>
      <c r="J147" s="975"/>
      <c r="K147" s="975"/>
      <c r="L147" s="975"/>
      <c r="M147" s="755" t="e">
        <f>+VLOOKUP(G147,'S1&amp;2 Lists'!$C$8:$G$134,3,FALSE)</f>
        <v>#N/A</v>
      </c>
      <c r="N147" s="755" t="e">
        <f t="shared" si="2"/>
        <v>#N/A</v>
      </c>
      <c r="P147" s="1049">
        <f>ROUND(IF(L147='S1&amp;2 Lists'!$CV$3,K147,IF(L147='S1&amp;2 Lists'!$CV$4,K147/'S1&amp;2 Lists'!$CQ$6,0)),3)</f>
        <v>0</v>
      </c>
      <c r="Q147" s="326" t="s">
        <v>264</v>
      </c>
    </row>
    <row r="148" spans="1:17" s="756" customFormat="1" ht="24" customHeight="1">
      <c r="A148" s="975"/>
      <c r="B148" s="975"/>
      <c r="C148" s="1027"/>
      <c r="D148" s="975"/>
      <c r="E148" s="980"/>
      <c r="F148" s="975"/>
      <c r="G148" s="979"/>
      <c r="H148" s="975"/>
      <c r="I148" s="980"/>
      <c r="J148" s="975"/>
      <c r="K148" s="975"/>
      <c r="L148" s="975"/>
      <c r="M148" s="755" t="e">
        <f>+VLOOKUP(G148,'S1&amp;2 Lists'!$C$8:$G$134,3,FALSE)</f>
        <v>#N/A</v>
      </c>
      <c r="N148" s="755" t="e">
        <f t="shared" si="2"/>
        <v>#N/A</v>
      </c>
      <c r="P148" s="1049">
        <f>ROUND(IF(L148='S1&amp;2 Lists'!$CV$3,K148,IF(L148='S1&amp;2 Lists'!$CV$4,K148/'S1&amp;2 Lists'!$CQ$6,0)),3)</f>
        <v>0</v>
      </c>
      <c r="Q148" s="326" t="s">
        <v>264</v>
      </c>
    </row>
    <row r="149" spans="1:17" s="756" customFormat="1" ht="24" customHeight="1">
      <c r="A149" s="975"/>
      <c r="B149" s="975"/>
      <c r="C149" s="1027"/>
      <c r="D149" s="975"/>
      <c r="E149" s="980"/>
      <c r="F149" s="975"/>
      <c r="G149" s="979"/>
      <c r="H149" s="975"/>
      <c r="I149" s="980"/>
      <c r="J149" s="975"/>
      <c r="K149" s="975"/>
      <c r="L149" s="975"/>
      <c r="M149" s="755" t="e">
        <f>+VLOOKUP(G149,'S1&amp;2 Lists'!$C$8:$G$134,3,FALSE)</f>
        <v>#N/A</v>
      </c>
      <c r="N149" s="755" t="e">
        <f t="shared" si="2"/>
        <v>#N/A</v>
      </c>
      <c r="P149" s="1049">
        <f>ROUND(IF(L149='S1&amp;2 Lists'!$CV$3,K149,IF(L149='S1&amp;2 Lists'!$CV$4,K149/'S1&amp;2 Lists'!$CQ$6,0)),3)</f>
        <v>0</v>
      </c>
      <c r="Q149" s="326" t="s">
        <v>264</v>
      </c>
    </row>
    <row r="150" spans="1:17" s="756" customFormat="1" ht="24" customHeight="1">
      <c r="A150" s="975"/>
      <c r="B150" s="975"/>
      <c r="C150" s="1027"/>
      <c r="D150" s="975"/>
      <c r="E150" s="980"/>
      <c r="F150" s="975"/>
      <c r="G150" s="979"/>
      <c r="H150" s="975"/>
      <c r="I150" s="980"/>
      <c r="J150" s="975"/>
      <c r="K150" s="975"/>
      <c r="L150" s="975"/>
      <c r="M150" s="755" t="e">
        <f>+VLOOKUP(G150,'S1&amp;2 Lists'!$C$8:$G$134,3,FALSE)</f>
        <v>#N/A</v>
      </c>
      <c r="N150" s="755" t="e">
        <f t="shared" si="2"/>
        <v>#N/A</v>
      </c>
      <c r="P150" s="1049">
        <f>ROUND(IF(L150='S1&amp;2 Lists'!$CV$3,K150,IF(L150='S1&amp;2 Lists'!$CV$4,K150/'S1&amp;2 Lists'!$CQ$6,0)),3)</f>
        <v>0</v>
      </c>
      <c r="Q150" s="326" t="s">
        <v>264</v>
      </c>
    </row>
    <row r="151" spans="1:17" s="756" customFormat="1" ht="24" customHeight="1">
      <c r="A151" s="975"/>
      <c r="B151" s="975"/>
      <c r="C151" s="1027"/>
      <c r="D151" s="975"/>
      <c r="E151" s="980"/>
      <c r="F151" s="975"/>
      <c r="G151" s="979"/>
      <c r="H151" s="975"/>
      <c r="I151" s="980"/>
      <c r="J151" s="975"/>
      <c r="K151" s="975"/>
      <c r="L151" s="975"/>
      <c r="M151" s="755" t="e">
        <f>+VLOOKUP(G151,'S1&amp;2 Lists'!$C$8:$G$134,3,FALSE)</f>
        <v>#N/A</v>
      </c>
      <c r="N151" s="755" t="e">
        <f t="shared" si="2"/>
        <v>#N/A</v>
      </c>
      <c r="P151" s="1049">
        <f>ROUND(IF(L151='S1&amp;2 Lists'!$CV$3,K151,IF(L151='S1&amp;2 Lists'!$CV$4,K151/'S1&amp;2 Lists'!$CQ$6,0)),3)</f>
        <v>0</v>
      </c>
      <c r="Q151" s="326" t="s">
        <v>264</v>
      </c>
    </row>
    <row r="152" spans="1:17" s="756" customFormat="1" ht="24" customHeight="1">
      <c r="A152" s="975"/>
      <c r="B152" s="975"/>
      <c r="C152" s="1027"/>
      <c r="D152" s="975"/>
      <c r="E152" s="980"/>
      <c r="F152" s="975"/>
      <c r="G152" s="979"/>
      <c r="H152" s="975"/>
      <c r="I152" s="980"/>
      <c r="J152" s="975"/>
      <c r="K152" s="975"/>
      <c r="L152" s="975"/>
      <c r="M152" s="755" t="e">
        <f>+VLOOKUP(G152,'S1&amp;2 Lists'!$C$8:$G$134,3,FALSE)</f>
        <v>#N/A</v>
      </c>
      <c r="N152" s="755" t="e">
        <f t="shared" si="2"/>
        <v>#N/A</v>
      </c>
      <c r="P152" s="1049">
        <f>ROUND(IF(L152='S1&amp;2 Lists'!$CV$3,K152,IF(L152='S1&amp;2 Lists'!$CV$4,K152/'S1&amp;2 Lists'!$CQ$6,0)),3)</f>
        <v>0</v>
      </c>
      <c r="Q152" s="326" t="s">
        <v>264</v>
      </c>
    </row>
    <row r="153" spans="1:17" s="756" customFormat="1" ht="24" customHeight="1">
      <c r="A153" s="975"/>
      <c r="B153" s="975"/>
      <c r="C153" s="1027"/>
      <c r="D153" s="975"/>
      <c r="E153" s="980"/>
      <c r="F153" s="975"/>
      <c r="G153" s="979"/>
      <c r="H153" s="975"/>
      <c r="I153" s="980"/>
      <c r="J153" s="975"/>
      <c r="K153" s="975"/>
      <c r="L153" s="975"/>
      <c r="M153" s="755" t="e">
        <f>+VLOOKUP(G153,'S1&amp;2 Lists'!$C$8:$G$134,3,FALSE)</f>
        <v>#N/A</v>
      </c>
      <c r="N153" s="755" t="e">
        <f t="shared" si="2"/>
        <v>#N/A</v>
      </c>
      <c r="P153" s="1049">
        <f>ROUND(IF(L153='S1&amp;2 Lists'!$CV$3,K153,IF(L153='S1&amp;2 Lists'!$CV$4,K153/'S1&amp;2 Lists'!$CQ$6,0)),3)</f>
        <v>0</v>
      </c>
      <c r="Q153" s="326" t="s">
        <v>264</v>
      </c>
    </row>
    <row r="154" spans="1:17" s="756" customFormat="1" ht="24" customHeight="1">
      <c r="A154" s="975"/>
      <c r="B154" s="975"/>
      <c r="C154" s="1027"/>
      <c r="D154" s="975"/>
      <c r="E154" s="980"/>
      <c r="F154" s="975"/>
      <c r="G154" s="979"/>
      <c r="H154" s="975"/>
      <c r="I154" s="980"/>
      <c r="J154" s="975"/>
      <c r="K154" s="975"/>
      <c r="L154" s="975"/>
      <c r="M154" s="755" t="e">
        <f>+VLOOKUP(G154,'S1&amp;2 Lists'!$C$8:$G$134,3,FALSE)</f>
        <v>#N/A</v>
      </c>
      <c r="N154" s="755" t="e">
        <f t="shared" si="2"/>
        <v>#N/A</v>
      </c>
      <c r="P154" s="1049">
        <f>ROUND(IF(L154='S1&amp;2 Lists'!$CV$3,K154,IF(L154='S1&amp;2 Lists'!$CV$4,K154/'S1&amp;2 Lists'!$CQ$6,0)),3)</f>
        <v>0</v>
      </c>
      <c r="Q154" s="326" t="s">
        <v>264</v>
      </c>
    </row>
    <row r="155" spans="1:17" s="756" customFormat="1" ht="24" customHeight="1">
      <c r="A155" s="975"/>
      <c r="B155" s="975"/>
      <c r="C155" s="1027"/>
      <c r="D155" s="975"/>
      <c r="E155" s="980"/>
      <c r="F155" s="975"/>
      <c r="G155" s="979"/>
      <c r="H155" s="975"/>
      <c r="I155" s="980"/>
      <c r="J155" s="975"/>
      <c r="K155" s="975"/>
      <c r="L155" s="975"/>
      <c r="M155" s="755" t="e">
        <f>+VLOOKUP(G155,'S1&amp;2 Lists'!$C$8:$G$134,3,FALSE)</f>
        <v>#N/A</v>
      </c>
      <c r="N155" s="755" t="e">
        <f t="shared" si="2"/>
        <v>#N/A</v>
      </c>
      <c r="P155" s="1049">
        <f>ROUND(IF(L155='S1&amp;2 Lists'!$CV$3,K155,IF(L155='S1&amp;2 Lists'!$CV$4,K155/'S1&amp;2 Lists'!$CQ$6,0)),3)</f>
        <v>0</v>
      </c>
      <c r="Q155" s="326" t="s">
        <v>264</v>
      </c>
    </row>
    <row r="156" spans="1:17" s="756" customFormat="1" ht="24" customHeight="1">
      <c r="A156" s="975"/>
      <c r="B156" s="975"/>
      <c r="C156" s="1027"/>
      <c r="D156" s="975"/>
      <c r="E156" s="980"/>
      <c r="F156" s="975"/>
      <c r="G156" s="979"/>
      <c r="H156" s="975"/>
      <c r="I156" s="980"/>
      <c r="J156" s="975"/>
      <c r="K156" s="975"/>
      <c r="L156" s="975"/>
      <c r="M156" s="755" t="e">
        <f>+VLOOKUP(G156,'S1&amp;2 Lists'!$C$8:$G$134,3,FALSE)</f>
        <v>#N/A</v>
      </c>
      <c r="N156" s="755" t="e">
        <f t="shared" si="2"/>
        <v>#N/A</v>
      </c>
      <c r="P156" s="1049">
        <f>ROUND(IF(L156='S1&amp;2 Lists'!$CV$3,K156,IF(L156='S1&amp;2 Lists'!$CV$4,K156/'S1&amp;2 Lists'!$CQ$6,0)),3)</f>
        <v>0</v>
      </c>
      <c r="Q156" s="326" t="s">
        <v>264</v>
      </c>
    </row>
    <row r="157" spans="1:17" s="756" customFormat="1" ht="24" customHeight="1">
      <c r="A157" s="975"/>
      <c r="B157" s="975"/>
      <c r="C157" s="1027"/>
      <c r="D157" s="975"/>
      <c r="E157" s="980"/>
      <c r="F157" s="975"/>
      <c r="G157" s="979"/>
      <c r="H157" s="975"/>
      <c r="I157" s="980"/>
      <c r="J157" s="975"/>
      <c r="K157" s="975"/>
      <c r="L157" s="975"/>
      <c r="M157" s="755" t="e">
        <f>+VLOOKUP(G157,'S1&amp;2 Lists'!$C$8:$G$134,3,FALSE)</f>
        <v>#N/A</v>
      </c>
      <c r="N157" s="755" t="e">
        <f t="shared" si="2"/>
        <v>#N/A</v>
      </c>
      <c r="P157" s="1049">
        <f>ROUND(IF(L157='S1&amp;2 Lists'!$CV$3,K157,IF(L157='S1&amp;2 Lists'!$CV$4,K157/'S1&amp;2 Lists'!$CQ$6,0)),3)</f>
        <v>0</v>
      </c>
      <c r="Q157" s="326" t="s">
        <v>264</v>
      </c>
    </row>
    <row r="158" spans="1:17" s="756" customFormat="1" ht="24" customHeight="1">
      <c r="A158" s="975"/>
      <c r="B158" s="975"/>
      <c r="C158" s="1027"/>
      <c r="D158" s="975"/>
      <c r="E158" s="980"/>
      <c r="F158" s="975"/>
      <c r="G158" s="979"/>
      <c r="H158" s="975"/>
      <c r="I158" s="980"/>
      <c r="J158" s="975"/>
      <c r="K158" s="975"/>
      <c r="L158" s="975"/>
      <c r="M158" s="755" t="e">
        <f>+VLOOKUP(G158,'S1&amp;2 Lists'!$C$8:$G$134,3,FALSE)</f>
        <v>#N/A</v>
      </c>
      <c r="N158" s="755" t="e">
        <f t="shared" si="2"/>
        <v>#N/A</v>
      </c>
      <c r="P158" s="1049">
        <f>ROUND(IF(L158='S1&amp;2 Lists'!$CV$3,K158,IF(L158='S1&amp;2 Lists'!$CV$4,K158/'S1&amp;2 Lists'!$CQ$6,0)),3)</f>
        <v>0</v>
      </c>
      <c r="Q158" s="326" t="s">
        <v>264</v>
      </c>
    </row>
    <row r="159" spans="1:17" s="756" customFormat="1" ht="24" customHeight="1">
      <c r="A159" s="975"/>
      <c r="B159" s="975"/>
      <c r="C159" s="1027"/>
      <c r="D159" s="975"/>
      <c r="E159" s="980"/>
      <c r="F159" s="975"/>
      <c r="G159" s="979"/>
      <c r="H159" s="975"/>
      <c r="I159" s="980"/>
      <c r="J159" s="975"/>
      <c r="K159" s="975"/>
      <c r="L159" s="975"/>
      <c r="M159" s="755" t="e">
        <f>+VLOOKUP(G159,'S1&amp;2 Lists'!$C$8:$G$134,3,FALSE)</f>
        <v>#N/A</v>
      </c>
      <c r="N159" s="755" t="e">
        <f t="shared" si="2"/>
        <v>#N/A</v>
      </c>
      <c r="P159" s="1049">
        <f>ROUND(IF(L159='S1&amp;2 Lists'!$CV$3,K159,IF(L159='S1&amp;2 Lists'!$CV$4,K159/'S1&amp;2 Lists'!$CQ$6,0)),3)</f>
        <v>0</v>
      </c>
      <c r="Q159" s="326" t="s">
        <v>264</v>
      </c>
    </row>
    <row r="160" spans="1:17" s="756" customFormat="1" ht="24" customHeight="1">
      <c r="A160" s="975"/>
      <c r="B160" s="975"/>
      <c r="C160" s="1027"/>
      <c r="D160" s="975"/>
      <c r="E160" s="980"/>
      <c r="F160" s="975"/>
      <c r="G160" s="979"/>
      <c r="H160" s="975"/>
      <c r="I160" s="980"/>
      <c r="J160" s="975"/>
      <c r="K160" s="975"/>
      <c r="L160" s="975"/>
      <c r="M160" s="755" t="e">
        <f>+VLOOKUP(G160,'S1&amp;2 Lists'!$C$8:$G$134,3,FALSE)</f>
        <v>#N/A</v>
      </c>
      <c r="N160" s="755" t="e">
        <f t="shared" si="2"/>
        <v>#N/A</v>
      </c>
      <c r="P160" s="1049">
        <f>ROUND(IF(L160='S1&amp;2 Lists'!$CV$3,K160,IF(L160='S1&amp;2 Lists'!$CV$4,K160/'S1&amp;2 Lists'!$CQ$6,0)),3)</f>
        <v>0</v>
      </c>
      <c r="Q160" s="326" t="s">
        <v>264</v>
      </c>
    </row>
    <row r="161" spans="1:17" s="756" customFormat="1" ht="24" customHeight="1">
      <c r="A161" s="975"/>
      <c r="B161" s="975"/>
      <c r="C161" s="1027"/>
      <c r="D161" s="975"/>
      <c r="E161" s="980"/>
      <c r="F161" s="975"/>
      <c r="G161" s="979"/>
      <c r="H161" s="975"/>
      <c r="I161" s="980"/>
      <c r="J161" s="975"/>
      <c r="K161" s="975"/>
      <c r="L161" s="975"/>
      <c r="M161" s="755" t="e">
        <f>+VLOOKUP(G161,'S1&amp;2 Lists'!$C$8:$G$134,3,FALSE)</f>
        <v>#N/A</v>
      </c>
      <c r="N161" s="755" t="e">
        <f t="shared" si="2"/>
        <v>#N/A</v>
      </c>
      <c r="P161" s="1049">
        <f>ROUND(IF(L161='S1&amp;2 Lists'!$CV$3,K161,IF(L161='S1&amp;2 Lists'!$CV$4,K161/'S1&amp;2 Lists'!$CQ$6,0)),3)</f>
        <v>0</v>
      </c>
      <c r="Q161" s="326" t="s">
        <v>264</v>
      </c>
    </row>
    <row r="162" spans="1:17" s="756" customFormat="1" ht="24" customHeight="1">
      <c r="A162" s="975"/>
      <c r="B162" s="975"/>
      <c r="C162" s="1027"/>
      <c r="D162" s="975"/>
      <c r="E162" s="980"/>
      <c r="F162" s="975"/>
      <c r="G162" s="979"/>
      <c r="H162" s="975"/>
      <c r="I162" s="980"/>
      <c r="J162" s="975"/>
      <c r="K162" s="975"/>
      <c r="L162" s="975"/>
      <c r="M162" s="755" t="e">
        <f>+VLOOKUP(G162,'S1&amp;2 Lists'!$C$8:$G$134,3,FALSE)</f>
        <v>#N/A</v>
      </c>
      <c r="N162" s="755" t="e">
        <f t="shared" si="2"/>
        <v>#N/A</v>
      </c>
      <c r="P162" s="1049">
        <f>ROUND(IF(L162='S1&amp;2 Lists'!$CV$3,K162,IF(L162='S1&amp;2 Lists'!$CV$4,K162/'S1&amp;2 Lists'!$CQ$6,0)),3)</f>
        <v>0</v>
      </c>
      <c r="Q162" s="326" t="s">
        <v>264</v>
      </c>
    </row>
    <row r="163" spans="1:17" s="756" customFormat="1" ht="24" customHeight="1">
      <c r="A163" s="975"/>
      <c r="B163" s="975"/>
      <c r="C163" s="1027"/>
      <c r="D163" s="975"/>
      <c r="E163" s="980"/>
      <c r="F163" s="975"/>
      <c r="G163" s="979"/>
      <c r="H163" s="975"/>
      <c r="I163" s="980"/>
      <c r="J163" s="975"/>
      <c r="K163" s="975"/>
      <c r="L163" s="975"/>
      <c r="M163" s="755" t="e">
        <f>+VLOOKUP(G163,'S1&amp;2 Lists'!$C$8:$G$134,3,FALSE)</f>
        <v>#N/A</v>
      </c>
      <c r="N163" s="755" t="e">
        <f t="shared" si="2"/>
        <v>#N/A</v>
      </c>
      <c r="P163" s="1049">
        <f>ROUND(IF(L163='S1&amp;2 Lists'!$CV$3,K163,IF(L163='S1&amp;2 Lists'!$CV$4,K163/'S1&amp;2 Lists'!$CQ$6,0)),3)</f>
        <v>0</v>
      </c>
      <c r="Q163" s="326" t="s">
        <v>264</v>
      </c>
    </row>
    <row r="164" spans="1:17" s="756" customFormat="1" ht="24" customHeight="1">
      <c r="A164" s="975"/>
      <c r="B164" s="975"/>
      <c r="C164" s="1027"/>
      <c r="D164" s="975"/>
      <c r="E164" s="980"/>
      <c r="F164" s="975"/>
      <c r="G164" s="979"/>
      <c r="H164" s="975"/>
      <c r="I164" s="980"/>
      <c r="J164" s="975"/>
      <c r="K164" s="975"/>
      <c r="L164" s="975"/>
      <c r="M164" s="755" t="e">
        <f>+VLOOKUP(G164,'S1&amp;2 Lists'!$C$8:$G$134,3,FALSE)</f>
        <v>#N/A</v>
      </c>
      <c r="N164" s="755" t="e">
        <f t="shared" si="2"/>
        <v>#N/A</v>
      </c>
      <c r="P164" s="1049">
        <f>ROUND(IF(L164='S1&amp;2 Lists'!$CV$3,K164,IF(L164='S1&amp;2 Lists'!$CV$4,K164/'S1&amp;2 Lists'!$CQ$6,0)),3)</f>
        <v>0</v>
      </c>
      <c r="Q164" s="326" t="s">
        <v>264</v>
      </c>
    </row>
    <row r="165" spans="1:17" s="756" customFormat="1" ht="24" customHeight="1">
      <c r="A165" s="975"/>
      <c r="B165" s="975"/>
      <c r="C165" s="1027"/>
      <c r="D165" s="975"/>
      <c r="E165" s="980"/>
      <c r="F165" s="975"/>
      <c r="G165" s="979"/>
      <c r="H165" s="975"/>
      <c r="I165" s="980"/>
      <c r="J165" s="975"/>
      <c r="K165" s="975"/>
      <c r="L165" s="975"/>
      <c r="M165" s="755" t="e">
        <f>+VLOOKUP(G165,'S1&amp;2 Lists'!$C$8:$G$134,3,FALSE)</f>
        <v>#N/A</v>
      </c>
      <c r="N165" s="755" t="e">
        <f t="shared" si="2"/>
        <v>#N/A</v>
      </c>
      <c r="P165" s="1049">
        <f>ROUND(IF(L165='S1&amp;2 Lists'!$CV$3,K165,IF(L165='S1&amp;2 Lists'!$CV$4,K165/'S1&amp;2 Lists'!$CQ$6,0)),3)</f>
        <v>0</v>
      </c>
      <c r="Q165" s="326" t="s">
        <v>264</v>
      </c>
    </row>
    <row r="166" spans="1:17" s="756" customFormat="1" ht="24" customHeight="1">
      <c r="A166" s="975"/>
      <c r="B166" s="975"/>
      <c r="C166" s="1027"/>
      <c r="D166" s="975"/>
      <c r="E166" s="980"/>
      <c r="F166" s="975"/>
      <c r="G166" s="979"/>
      <c r="H166" s="975"/>
      <c r="I166" s="980"/>
      <c r="J166" s="975"/>
      <c r="K166" s="975"/>
      <c r="L166" s="975"/>
      <c r="M166" s="755" t="e">
        <f>+VLOOKUP(G166,'S1&amp;2 Lists'!$C$8:$G$134,3,FALSE)</f>
        <v>#N/A</v>
      </c>
      <c r="N166" s="755" t="e">
        <f t="shared" si="2"/>
        <v>#N/A</v>
      </c>
      <c r="P166" s="1049">
        <f>ROUND(IF(L166='S1&amp;2 Lists'!$CV$3,K166,IF(L166='S1&amp;2 Lists'!$CV$4,K166/'S1&amp;2 Lists'!$CQ$6,0)),3)</f>
        <v>0</v>
      </c>
      <c r="Q166" s="326" t="s">
        <v>264</v>
      </c>
    </row>
    <row r="167" spans="1:17" s="756" customFormat="1" ht="24" customHeight="1">
      <c r="A167" s="975"/>
      <c r="B167" s="975"/>
      <c r="C167" s="1027"/>
      <c r="D167" s="975"/>
      <c r="E167" s="980"/>
      <c r="F167" s="975"/>
      <c r="G167" s="979"/>
      <c r="H167" s="975"/>
      <c r="I167" s="980"/>
      <c r="J167" s="975"/>
      <c r="K167" s="975"/>
      <c r="L167" s="975"/>
      <c r="M167" s="755" t="e">
        <f>+VLOOKUP(G167,'S1&amp;2 Lists'!$C$8:$G$134,3,FALSE)</f>
        <v>#N/A</v>
      </c>
      <c r="N167" s="755" t="e">
        <f t="shared" si="2"/>
        <v>#N/A</v>
      </c>
      <c r="P167" s="1049">
        <f>ROUND(IF(L167='S1&amp;2 Lists'!$CV$3,K167,IF(L167='S1&amp;2 Lists'!$CV$4,K167/'S1&amp;2 Lists'!$CQ$6,0)),3)</f>
        <v>0</v>
      </c>
      <c r="Q167" s="326" t="s">
        <v>264</v>
      </c>
    </row>
    <row r="168" spans="1:17" s="756" customFormat="1" ht="24" customHeight="1">
      <c r="A168" s="975"/>
      <c r="B168" s="975"/>
      <c r="C168" s="1027"/>
      <c r="D168" s="975"/>
      <c r="E168" s="980"/>
      <c r="F168" s="975"/>
      <c r="G168" s="979"/>
      <c r="H168" s="975"/>
      <c r="I168" s="980"/>
      <c r="J168" s="975"/>
      <c r="K168" s="975"/>
      <c r="L168" s="975"/>
      <c r="M168" s="755" t="e">
        <f>+VLOOKUP(G168,'S1&amp;2 Lists'!$C$8:$G$134,3,FALSE)</f>
        <v>#N/A</v>
      </c>
      <c r="N168" s="755" t="e">
        <f t="shared" si="2"/>
        <v>#N/A</v>
      </c>
      <c r="P168" s="1049">
        <f>ROUND(IF(L168='S1&amp;2 Lists'!$CV$3,K168,IF(L168='S1&amp;2 Lists'!$CV$4,K168/'S1&amp;2 Lists'!$CQ$6,0)),3)</f>
        <v>0</v>
      </c>
      <c r="Q168" s="326" t="s">
        <v>264</v>
      </c>
    </row>
    <row r="169" spans="1:17" s="756" customFormat="1" ht="24" customHeight="1">
      <c r="A169" s="975"/>
      <c r="B169" s="975"/>
      <c r="C169" s="1027"/>
      <c r="D169" s="975"/>
      <c r="E169" s="980"/>
      <c r="F169" s="975"/>
      <c r="G169" s="979"/>
      <c r="H169" s="975"/>
      <c r="I169" s="980"/>
      <c r="J169" s="975"/>
      <c r="K169" s="975"/>
      <c r="L169" s="975"/>
      <c r="M169" s="755" t="e">
        <f>+VLOOKUP(G169,'S1&amp;2 Lists'!$C$8:$G$134,3,FALSE)</f>
        <v>#N/A</v>
      </c>
      <c r="N169" s="755" t="e">
        <f t="shared" si="2"/>
        <v>#N/A</v>
      </c>
      <c r="P169" s="1049">
        <f>ROUND(IF(L169='S1&amp;2 Lists'!$CV$3,K169,IF(L169='S1&amp;2 Lists'!$CV$4,K169/'S1&amp;2 Lists'!$CQ$6,0)),3)</f>
        <v>0</v>
      </c>
      <c r="Q169" s="326" t="s">
        <v>264</v>
      </c>
    </row>
    <row r="170" spans="1:17" s="756" customFormat="1" ht="24" customHeight="1">
      <c r="A170" s="975"/>
      <c r="B170" s="975"/>
      <c r="C170" s="1027"/>
      <c r="D170" s="975"/>
      <c r="E170" s="980"/>
      <c r="F170" s="975"/>
      <c r="G170" s="979"/>
      <c r="H170" s="975"/>
      <c r="I170" s="980"/>
      <c r="J170" s="975"/>
      <c r="K170" s="975"/>
      <c r="L170" s="975"/>
      <c r="M170" s="755" t="e">
        <f>+VLOOKUP(G170,'S1&amp;2 Lists'!$C$8:$G$134,3,FALSE)</f>
        <v>#N/A</v>
      </c>
      <c r="N170" s="755" t="e">
        <f t="shared" si="2"/>
        <v>#N/A</v>
      </c>
      <c r="P170" s="1049">
        <f>ROUND(IF(L170='S1&amp;2 Lists'!$CV$3,K170,IF(L170='S1&amp;2 Lists'!$CV$4,K170/'S1&amp;2 Lists'!$CQ$6,0)),3)</f>
        <v>0</v>
      </c>
      <c r="Q170" s="326" t="s">
        <v>264</v>
      </c>
    </row>
    <row r="171" spans="1:17" s="756" customFormat="1" ht="24" customHeight="1">
      <c r="A171" s="975"/>
      <c r="B171" s="975"/>
      <c r="C171" s="1027"/>
      <c r="D171" s="975"/>
      <c r="E171" s="980"/>
      <c r="F171" s="975"/>
      <c r="G171" s="979"/>
      <c r="H171" s="975"/>
      <c r="I171" s="980"/>
      <c r="J171" s="975"/>
      <c r="K171" s="975"/>
      <c r="L171" s="975"/>
      <c r="M171" s="755" t="e">
        <f>+VLOOKUP(G171,'S1&amp;2 Lists'!$C$8:$G$134,3,FALSE)</f>
        <v>#N/A</v>
      </c>
      <c r="N171" s="755" t="e">
        <f t="shared" si="2"/>
        <v>#N/A</v>
      </c>
      <c r="P171" s="1049">
        <f>ROUND(IF(L171='S1&amp;2 Lists'!$CV$3,K171,IF(L171='S1&amp;2 Lists'!$CV$4,K171/'S1&amp;2 Lists'!$CQ$6,0)),3)</f>
        <v>0</v>
      </c>
      <c r="Q171" s="326" t="s">
        <v>264</v>
      </c>
    </row>
    <row r="172" spans="1:17" s="756" customFormat="1" ht="24" customHeight="1">
      <c r="A172" s="975"/>
      <c r="B172" s="975"/>
      <c r="C172" s="1027"/>
      <c r="D172" s="975"/>
      <c r="E172" s="980"/>
      <c r="F172" s="975"/>
      <c r="G172" s="979"/>
      <c r="H172" s="975"/>
      <c r="I172" s="980"/>
      <c r="J172" s="975"/>
      <c r="K172" s="975"/>
      <c r="L172" s="975"/>
      <c r="M172" s="755" t="e">
        <f>+VLOOKUP(G172,'S1&amp;2 Lists'!$C$8:$G$134,3,FALSE)</f>
        <v>#N/A</v>
      </c>
      <c r="N172" s="755" t="e">
        <f t="shared" si="2"/>
        <v>#N/A</v>
      </c>
      <c r="P172" s="1049">
        <f>ROUND(IF(L172='S1&amp;2 Lists'!$CV$3,K172,IF(L172='S1&amp;2 Lists'!$CV$4,K172/'S1&amp;2 Lists'!$CQ$6,0)),3)</f>
        <v>0</v>
      </c>
      <c r="Q172" s="326" t="s">
        <v>264</v>
      </c>
    </row>
    <row r="173" spans="1:17" s="756" customFormat="1" ht="24" customHeight="1">
      <c r="A173" s="975"/>
      <c r="B173" s="975"/>
      <c r="C173" s="1027"/>
      <c r="D173" s="975"/>
      <c r="E173" s="980"/>
      <c r="F173" s="975"/>
      <c r="G173" s="979"/>
      <c r="H173" s="975"/>
      <c r="I173" s="980"/>
      <c r="J173" s="975"/>
      <c r="K173" s="975"/>
      <c r="L173" s="975"/>
      <c r="M173" s="755" t="e">
        <f>+VLOOKUP(G173,'S1&amp;2 Lists'!$C$8:$G$134,3,FALSE)</f>
        <v>#N/A</v>
      </c>
      <c r="N173" s="755" t="e">
        <f t="shared" si="2"/>
        <v>#N/A</v>
      </c>
      <c r="P173" s="1049">
        <f>ROUND(IF(L173='S1&amp;2 Lists'!$CV$3,K173,IF(L173='S1&amp;2 Lists'!$CV$4,K173/'S1&amp;2 Lists'!$CQ$6,0)),3)</f>
        <v>0</v>
      </c>
      <c r="Q173" s="326" t="s">
        <v>264</v>
      </c>
    </row>
    <row r="174" spans="1:17" s="756" customFormat="1" ht="24" customHeight="1">
      <c r="A174" s="975"/>
      <c r="B174" s="975"/>
      <c r="C174" s="1027"/>
      <c r="D174" s="975"/>
      <c r="E174" s="980"/>
      <c r="F174" s="975"/>
      <c r="G174" s="979"/>
      <c r="H174" s="975"/>
      <c r="I174" s="980"/>
      <c r="J174" s="975"/>
      <c r="K174" s="975"/>
      <c r="L174" s="975"/>
      <c r="M174" s="755" t="e">
        <f>+VLOOKUP(G174,'S1&amp;2 Lists'!$C$8:$G$134,3,FALSE)</f>
        <v>#N/A</v>
      </c>
      <c r="N174" s="755" t="e">
        <f t="shared" si="2"/>
        <v>#N/A</v>
      </c>
      <c r="P174" s="1049">
        <f>ROUND(IF(L174='S1&amp;2 Lists'!$CV$3,K174,IF(L174='S1&amp;2 Lists'!$CV$4,K174/'S1&amp;2 Lists'!$CQ$6,0)),3)</f>
        <v>0</v>
      </c>
      <c r="Q174" s="326" t="s">
        <v>264</v>
      </c>
    </row>
    <row r="175" spans="1:17" s="756" customFormat="1" ht="24" customHeight="1">
      <c r="A175" s="975"/>
      <c r="B175" s="975"/>
      <c r="C175" s="1027"/>
      <c r="D175" s="975"/>
      <c r="E175" s="980"/>
      <c r="F175" s="975"/>
      <c r="G175" s="979"/>
      <c r="H175" s="975"/>
      <c r="I175" s="980"/>
      <c r="J175" s="975"/>
      <c r="K175" s="975"/>
      <c r="L175" s="975"/>
      <c r="M175" s="755" t="e">
        <f>+VLOOKUP(G175,'S1&amp;2 Lists'!$C$8:$G$134,3,FALSE)</f>
        <v>#N/A</v>
      </c>
      <c r="N175" s="755" t="e">
        <f t="shared" si="2"/>
        <v>#N/A</v>
      </c>
      <c r="P175" s="1049">
        <f>ROUND(IF(L175='S1&amp;2 Lists'!$CV$3,K175,IF(L175='S1&amp;2 Lists'!$CV$4,K175/'S1&amp;2 Lists'!$CQ$6,0)),3)</f>
        <v>0</v>
      </c>
      <c r="Q175" s="326" t="s">
        <v>264</v>
      </c>
    </row>
    <row r="176" spans="1:17" s="756" customFormat="1" ht="24" customHeight="1">
      <c r="A176" s="975"/>
      <c r="B176" s="975"/>
      <c r="C176" s="1027"/>
      <c r="D176" s="975"/>
      <c r="E176" s="980"/>
      <c r="F176" s="975"/>
      <c r="G176" s="979"/>
      <c r="H176" s="975"/>
      <c r="I176" s="980"/>
      <c r="J176" s="975"/>
      <c r="K176" s="975"/>
      <c r="L176" s="975"/>
      <c r="M176" s="755" t="e">
        <f>+VLOOKUP(G176,'S1&amp;2 Lists'!$C$8:$G$134,3,FALSE)</f>
        <v>#N/A</v>
      </c>
      <c r="N176" s="755" t="e">
        <f t="shared" si="2"/>
        <v>#N/A</v>
      </c>
      <c r="P176" s="1049">
        <f>ROUND(IF(L176='S1&amp;2 Lists'!$CV$3,K176,IF(L176='S1&amp;2 Lists'!$CV$4,K176/'S1&amp;2 Lists'!$CQ$6,0)),3)</f>
        <v>0</v>
      </c>
      <c r="Q176" s="326" t="s">
        <v>264</v>
      </c>
    </row>
    <row r="177" spans="1:17" s="756" customFormat="1" ht="24" customHeight="1">
      <c r="A177" s="975"/>
      <c r="B177" s="975"/>
      <c r="C177" s="1027"/>
      <c r="D177" s="975"/>
      <c r="E177" s="980"/>
      <c r="F177" s="975"/>
      <c r="G177" s="979"/>
      <c r="H177" s="975"/>
      <c r="I177" s="980"/>
      <c r="J177" s="975"/>
      <c r="K177" s="975"/>
      <c r="L177" s="975"/>
      <c r="M177" s="755" t="e">
        <f>+VLOOKUP(G177,'S1&amp;2 Lists'!$C$8:$G$134,3,FALSE)</f>
        <v>#N/A</v>
      </c>
      <c r="N177" s="755" t="e">
        <f t="shared" si="2"/>
        <v>#N/A</v>
      </c>
      <c r="P177" s="1049">
        <f>ROUND(IF(L177='S1&amp;2 Lists'!$CV$3,K177,IF(L177='S1&amp;2 Lists'!$CV$4,K177/'S1&amp;2 Lists'!$CQ$6,0)),3)</f>
        <v>0</v>
      </c>
      <c r="Q177" s="326" t="s">
        <v>264</v>
      </c>
    </row>
    <row r="178" spans="1:17" s="756" customFormat="1" ht="24" customHeight="1">
      <c r="A178" s="975"/>
      <c r="B178" s="975"/>
      <c r="C178" s="1027"/>
      <c r="D178" s="975"/>
      <c r="E178" s="980"/>
      <c r="F178" s="975"/>
      <c r="G178" s="979"/>
      <c r="H178" s="975"/>
      <c r="I178" s="980"/>
      <c r="J178" s="975"/>
      <c r="K178" s="975"/>
      <c r="L178" s="975"/>
      <c r="M178" s="755" t="e">
        <f>+VLOOKUP(G178,'S1&amp;2 Lists'!$C$8:$G$134,3,FALSE)</f>
        <v>#N/A</v>
      </c>
      <c r="N178" s="755" t="e">
        <f t="shared" si="2"/>
        <v>#N/A</v>
      </c>
      <c r="P178" s="1049">
        <f>ROUND(IF(L178='S1&amp;2 Lists'!$CV$3,K178,IF(L178='S1&amp;2 Lists'!$CV$4,K178/'S1&amp;2 Lists'!$CQ$6,0)),3)</f>
        <v>0</v>
      </c>
      <c r="Q178" s="326" t="s">
        <v>264</v>
      </c>
    </row>
    <row r="179" spans="1:17" s="756" customFormat="1" ht="24" customHeight="1">
      <c r="A179" s="975"/>
      <c r="B179" s="975"/>
      <c r="C179" s="1027"/>
      <c r="D179" s="975"/>
      <c r="E179" s="980"/>
      <c r="F179" s="975"/>
      <c r="G179" s="979"/>
      <c r="H179" s="975"/>
      <c r="I179" s="980"/>
      <c r="J179" s="975"/>
      <c r="K179" s="975"/>
      <c r="L179" s="975"/>
      <c r="M179" s="755" t="e">
        <f>+VLOOKUP(G179,'S1&amp;2 Lists'!$C$8:$G$134,3,FALSE)</f>
        <v>#N/A</v>
      </c>
      <c r="N179" s="755" t="e">
        <f t="shared" si="2"/>
        <v>#N/A</v>
      </c>
      <c r="P179" s="1049">
        <f>ROUND(IF(L179='S1&amp;2 Lists'!$CV$3,K179,IF(L179='S1&amp;2 Lists'!$CV$4,K179/'S1&amp;2 Lists'!$CQ$6,0)),3)</f>
        <v>0</v>
      </c>
      <c r="Q179" s="326" t="s">
        <v>264</v>
      </c>
    </row>
    <row r="180" spans="1:17" s="756" customFormat="1" ht="24" customHeight="1">
      <c r="A180" s="975"/>
      <c r="B180" s="975"/>
      <c r="C180" s="1027"/>
      <c r="D180" s="975"/>
      <c r="E180" s="980"/>
      <c r="F180" s="975"/>
      <c r="G180" s="979"/>
      <c r="H180" s="975"/>
      <c r="I180" s="980"/>
      <c r="J180" s="975"/>
      <c r="K180" s="975"/>
      <c r="L180" s="975"/>
      <c r="M180" s="755" t="e">
        <f>+VLOOKUP(G180,'S1&amp;2 Lists'!$C$8:$G$134,3,FALSE)</f>
        <v>#N/A</v>
      </c>
      <c r="N180" s="755" t="e">
        <f t="shared" si="2"/>
        <v>#N/A</v>
      </c>
      <c r="P180" s="1049">
        <f>ROUND(IF(L180='S1&amp;2 Lists'!$CV$3,K180,IF(L180='S1&amp;2 Lists'!$CV$4,K180/'S1&amp;2 Lists'!$CQ$6,0)),3)</f>
        <v>0</v>
      </c>
      <c r="Q180" s="326" t="s">
        <v>264</v>
      </c>
    </row>
    <row r="181" spans="1:17" s="756" customFormat="1" ht="24" customHeight="1">
      <c r="A181" s="975"/>
      <c r="B181" s="975"/>
      <c r="C181" s="1027"/>
      <c r="D181" s="975"/>
      <c r="E181" s="980"/>
      <c r="F181" s="975"/>
      <c r="G181" s="979"/>
      <c r="H181" s="975"/>
      <c r="I181" s="980"/>
      <c r="J181" s="975"/>
      <c r="K181" s="975"/>
      <c r="L181" s="975"/>
      <c r="M181" s="755" t="e">
        <f>+VLOOKUP(G181,'S1&amp;2 Lists'!$C$8:$G$134,3,FALSE)</f>
        <v>#N/A</v>
      </c>
      <c r="N181" s="755" t="e">
        <f t="shared" si="2"/>
        <v>#N/A</v>
      </c>
      <c r="P181" s="1049">
        <f>ROUND(IF(L181='S1&amp;2 Lists'!$CV$3,K181,IF(L181='S1&amp;2 Lists'!$CV$4,K181/'S1&amp;2 Lists'!$CQ$6,0)),3)</f>
        <v>0</v>
      </c>
      <c r="Q181" s="326" t="s">
        <v>264</v>
      </c>
    </row>
    <row r="182" spans="1:17" s="756" customFormat="1" ht="24" customHeight="1">
      <c r="A182" s="975"/>
      <c r="B182" s="975"/>
      <c r="C182" s="1027"/>
      <c r="D182" s="975"/>
      <c r="E182" s="980"/>
      <c r="F182" s="975"/>
      <c r="G182" s="979"/>
      <c r="H182" s="975"/>
      <c r="I182" s="980"/>
      <c r="J182" s="975"/>
      <c r="K182" s="975"/>
      <c r="L182" s="975"/>
      <c r="M182" s="755" t="e">
        <f>+VLOOKUP(G182,'S1&amp;2 Lists'!$C$8:$G$134,3,FALSE)</f>
        <v>#N/A</v>
      </c>
      <c r="N182" s="755" t="e">
        <f t="shared" si="2"/>
        <v>#N/A</v>
      </c>
      <c r="P182" s="1049">
        <f>ROUND(IF(L182='S1&amp;2 Lists'!$CV$3,K182,IF(L182='S1&amp;2 Lists'!$CV$4,K182/'S1&amp;2 Lists'!$CQ$6,0)),3)</f>
        <v>0</v>
      </c>
      <c r="Q182" s="326" t="s">
        <v>264</v>
      </c>
    </row>
    <row r="183" spans="1:17" s="756" customFormat="1" ht="24" customHeight="1">
      <c r="A183" s="975"/>
      <c r="B183" s="975"/>
      <c r="C183" s="1027"/>
      <c r="D183" s="975"/>
      <c r="E183" s="980"/>
      <c r="F183" s="975"/>
      <c r="G183" s="979"/>
      <c r="H183" s="975"/>
      <c r="I183" s="980"/>
      <c r="J183" s="975"/>
      <c r="K183" s="975"/>
      <c r="L183" s="975"/>
      <c r="M183" s="755" t="e">
        <f>+VLOOKUP(G183,'S1&amp;2 Lists'!$C$8:$G$134,3,FALSE)</f>
        <v>#N/A</v>
      </c>
      <c r="N183" s="755" t="e">
        <f t="shared" si="2"/>
        <v>#N/A</v>
      </c>
      <c r="P183" s="1049">
        <f>ROUND(IF(L183='S1&amp;2 Lists'!$CV$3,K183,IF(L183='S1&amp;2 Lists'!$CV$4,K183/'S1&amp;2 Lists'!$CQ$6,0)),3)</f>
        <v>0</v>
      </c>
      <c r="Q183" s="326" t="s">
        <v>264</v>
      </c>
    </row>
    <row r="184" spans="1:17" s="756" customFormat="1" ht="24" customHeight="1">
      <c r="A184" s="975"/>
      <c r="B184" s="975"/>
      <c r="C184" s="1027"/>
      <c r="D184" s="975"/>
      <c r="E184" s="980"/>
      <c r="F184" s="975"/>
      <c r="G184" s="979"/>
      <c r="H184" s="975"/>
      <c r="I184" s="980"/>
      <c r="J184" s="975"/>
      <c r="K184" s="975"/>
      <c r="L184" s="975"/>
      <c r="M184" s="755" t="e">
        <f>+VLOOKUP(G184,'S1&amp;2 Lists'!$C$8:$G$134,3,FALSE)</f>
        <v>#N/A</v>
      </c>
      <c r="N184" s="755" t="e">
        <f t="shared" si="2"/>
        <v>#N/A</v>
      </c>
      <c r="P184" s="1049">
        <f>ROUND(IF(L184='S1&amp;2 Lists'!$CV$3,K184,IF(L184='S1&amp;2 Lists'!$CV$4,K184/'S1&amp;2 Lists'!$CQ$6,0)),3)</f>
        <v>0</v>
      </c>
      <c r="Q184" s="326" t="s">
        <v>264</v>
      </c>
    </row>
    <row r="185" spans="1:17" s="756" customFormat="1" ht="24" customHeight="1">
      <c r="A185" s="975"/>
      <c r="B185" s="975"/>
      <c r="C185" s="1027"/>
      <c r="D185" s="975"/>
      <c r="E185" s="980"/>
      <c r="F185" s="975"/>
      <c r="G185" s="979"/>
      <c r="H185" s="975"/>
      <c r="I185" s="980"/>
      <c r="J185" s="975"/>
      <c r="K185" s="975"/>
      <c r="L185" s="975"/>
      <c r="M185" s="755" t="e">
        <f>+VLOOKUP(G185,'S1&amp;2 Lists'!$C$8:$G$134,3,FALSE)</f>
        <v>#N/A</v>
      </c>
      <c r="N185" s="755" t="e">
        <f t="shared" si="2"/>
        <v>#N/A</v>
      </c>
      <c r="P185" s="1049">
        <f>ROUND(IF(L185='S1&amp;2 Lists'!$CV$3,K185,IF(L185='S1&amp;2 Lists'!$CV$4,K185/'S1&amp;2 Lists'!$CQ$6,0)),3)</f>
        <v>0</v>
      </c>
      <c r="Q185" s="326" t="s">
        <v>264</v>
      </c>
    </row>
    <row r="186" spans="1:17" s="756" customFormat="1" ht="24" customHeight="1">
      <c r="A186" s="975"/>
      <c r="B186" s="975"/>
      <c r="C186" s="1027"/>
      <c r="D186" s="975"/>
      <c r="E186" s="980"/>
      <c r="F186" s="975"/>
      <c r="G186" s="979"/>
      <c r="H186" s="975"/>
      <c r="I186" s="980"/>
      <c r="J186" s="975"/>
      <c r="K186" s="975"/>
      <c r="L186" s="975"/>
      <c r="M186" s="755" t="e">
        <f>+VLOOKUP(G186,'S1&amp;2 Lists'!$C$8:$G$134,3,FALSE)</f>
        <v>#N/A</v>
      </c>
      <c r="N186" s="755" t="e">
        <f t="shared" si="2"/>
        <v>#N/A</v>
      </c>
      <c r="P186" s="1049">
        <f>ROUND(IF(L186='S1&amp;2 Lists'!$CV$3,K186,IF(L186='S1&amp;2 Lists'!$CV$4,K186/'S1&amp;2 Lists'!$CQ$6,0)),3)</f>
        <v>0</v>
      </c>
      <c r="Q186" s="326" t="s">
        <v>264</v>
      </c>
    </row>
    <row r="187" spans="1:17" s="756" customFormat="1" ht="24" customHeight="1">
      <c r="A187" s="975"/>
      <c r="B187" s="975"/>
      <c r="C187" s="1027"/>
      <c r="D187" s="975"/>
      <c r="E187" s="980"/>
      <c r="F187" s="975"/>
      <c r="G187" s="979"/>
      <c r="H187" s="975"/>
      <c r="I187" s="980"/>
      <c r="J187" s="975"/>
      <c r="K187" s="975"/>
      <c r="L187" s="975"/>
      <c r="M187" s="755" t="e">
        <f>+VLOOKUP(G187,'S1&amp;2 Lists'!$C$8:$G$134,3,FALSE)</f>
        <v>#N/A</v>
      </c>
      <c r="N187" s="755" t="e">
        <f t="shared" si="2"/>
        <v>#N/A</v>
      </c>
      <c r="P187" s="1049">
        <f>ROUND(IF(L187='S1&amp;2 Lists'!$CV$3,K187,IF(L187='S1&amp;2 Lists'!$CV$4,K187/'S1&amp;2 Lists'!$CQ$6,0)),3)</f>
        <v>0</v>
      </c>
      <c r="Q187" s="326" t="s">
        <v>264</v>
      </c>
    </row>
    <row r="188" spans="1:17" s="756" customFormat="1" ht="24" customHeight="1">
      <c r="A188" s="975"/>
      <c r="B188" s="975"/>
      <c r="C188" s="1027"/>
      <c r="D188" s="975"/>
      <c r="E188" s="980"/>
      <c r="F188" s="975"/>
      <c r="G188" s="979"/>
      <c r="H188" s="975"/>
      <c r="I188" s="980"/>
      <c r="J188" s="975"/>
      <c r="K188" s="975"/>
      <c r="L188" s="975"/>
      <c r="M188" s="755" t="e">
        <f>+VLOOKUP(G188,'S1&amp;2 Lists'!$C$8:$G$134,3,FALSE)</f>
        <v>#N/A</v>
      </c>
      <c r="N188" s="755" t="e">
        <f t="shared" si="2"/>
        <v>#N/A</v>
      </c>
      <c r="P188" s="1049">
        <f>ROUND(IF(L188='S1&amp;2 Lists'!$CV$3,K188,IF(L188='S1&amp;2 Lists'!$CV$4,K188/'S1&amp;2 Lists'!$CQ$6,0)),3)</f>
        <v>0</v>
      </c>
      <c r="Q188" s="326" t="s">
        <v>264</v>
      </c>
    </row>
    <row r="189" spans="1:17" s="756" customFormat="1" ht="24" customHeight="1">
      <c r="A189" s="975"/>
      <c r="B189" s="975"/>
      <c r="C189" s="1027"/>
      <c r="D189" s="975"/>
      <c r="E189" s="980"/>
      <c r="F189" s="975"/>
      <c r="G189" s="979"/>
      <c r="H189" s="975"/>
      <c r="I189" s="980"/>
      <c r="J189" s="975"/>
      <c r="K189" s="975"/>
      <c r="L189" s="975"/>
      <c r="M189" s="755" t="e">
        <f>+VLOOKUP(G189,'S1&amp;2 Lists'!$C$8:$G$134,3,FALSE)</f>
        <v>#N/A</v>
      </c>
      <c r="N189" s="755" t="e">
        <f t="shared" si="2"/>
        <v>#N/A</v>
      </c>
      <c r="P189" s="1049">
        <f>ROUND(IF(L189='S1&amp;2 Lists'!$CV$3,K189,IF(L189='S1&amp;2 Lists'!$CV$4,K189/'S1&amp;2 Lists'!$CQ$6,0)),3)</f>
        <v>0</v>
      </c>
      <c r="Q189" s="326" t="s">
        <v>264</v>
      </c>
    </row>
    <row r="190" spans="1:17" s="756" customFormat="1" ht="24" customHeight="1">
      <c r="A190" s="975"/>
      <c r="B190" s="975"/>
      <c r="C190" s="1027"/>
      <c r="D190" s="975"/>
      <c r="E190" s="980"/>
      <c r="F190" s="975"/>
      <c r="G190" s="979"/>
      <c r="H190" s="975"/>
      <c r="I190" s="980"/>
      <c r="J190" s="975"/>
      <c r="K190" s="975"/>
      <c r="L190" s="975"/>
      <c r="M190" s="755" t="e">
        <f>+VLOOKUP(G190,'S1&amp;2 Lists'!$C$8:$G$134,3,FALSE)</f>
        <v>#N/A</v>
      </c>
      <c r="N190" s="755" t="e">
        <f t="shared" si="2"/>
        <v>#N/A</v>
      </c>
      <c r="P190" s="1049">
        <f>ROUND(IF(L190='S1&amp;2 Lists'!$CV$3,K190,IF(L190='S1&amp;2 Lists'!$CV$4,K190/'S1&amp;2 Lists'!$CQ$6,0)),3)</f>
        <v>0</v>
      </c>
      <c r="Q190" s="326" t="s">
        <v>264</v>
      </c>
    </row>
    <row r="191" spans="1:17" s="756" customFormat="1" ht="24" customHeight="1">
      <c r="A191" s="975"/>
      <c r="B191" s="975"/>
      <c r="C191" s="1027"/>
      <c r="D191" s="975"/>
      <c r="E191" s="980"/>
      <c r="F191" s="975"/>
      <c r="G191" s="979"/>
      <c r="H191" s="975"/>
      <c r="I191" s="980"/>
      <c r="J191" s="975"/>
      <c r="K191" s="975"/>
      <c r="L191" s="975"/>
      <c r="M191" s="755" t="e">
        <f>+VLOOKUP(G191,'S1&amp;2 Lists'!$C$8:$G$134,3,FALSE)</f>
        <v>#N/A</v>
      </c>
      <c r="N191" s="755" t="e">
        <f t="shared" si="2"/>
        <v>#N/A</v>
      </c>
      <c r="P191" s="1049">
        <f>ROUND(IF(L191='S1&amp;2 Lists'!$CV$3,K191,IF(L191='S1&amp;2 Lists'!$CV$4,K191/'S1&amp;2 Lists'!$CQ$6,0)),3)</f>
        <v>0</v>
      </c>
      <c r="Q191" s="326" t="s">
        <v>264</v>
      </c>
    </row>
    <row r="192" spans="1:17" s="756" customFormat="1" ht="24" customHeight="1">
      <c r="A192" s="975"/>
      <c r="B192" s="975"/>
      <c r="C192" s="1027"/>
      <c r="D192" s="975"/>
      <c r="E192" s="980"/>
      <c r="F192" s="975"/>
      <c r="G192" s="979"/>
      <c r="H192" s="975"/>
      <c r="I192" s="980"/>
      <c r="J192" s="975"/>
      <c r="K192" s="975"/>
      <c r="L192" s="975"/>
      <c r="M192" s="755" t="e">
        <f>+VLOOKUP(G192,'S1&amp;2 Lists'!$C$8:$G$134,3,FALSE)</f>
        <v>#N/A</v>
      </c>
      <c r="N192" s="755" t="e">
        <f t="shared" si="2"/>
        <v>#N/A</v>
      </c>
      <c r="P192" s="1049">
        <f>ROUND(IF(L192='S1&amp;2 Lists'!$CV$3,K192,IF(L192='S1&amp;2 Lists'!$CV$4,K192/'S1&amp;2 Lists'!$CQ$6,0)),3)</f>
        <v>0</v>
      </c>
      <c r="Q192" s="326" t="s">
        <v>264</v>
      </c>
    </row>
    <row r="193" spans="1:17" s="756" customFormat="1" ht="24" customHeight="1">
      <c r="A193" s="975"/>
      <c r="B193" s="975"/>
      <c r="C193" s="1027"/>
      <c r="D193" s="975"/>
      <c r="E193" s="980"/>
      <c r="F193" s="975"/>
      <c r="G193" s="979"/>
      <c r="H193" s="975"/>
      <c r="I193" s="980"/>
      <c r="J193" s="975"/>
      <c r="K193" s="975"/>
      <c r="L193" s="975"/>
      <c r="M193" s="755" t="e">
        <f>+VLOOKUP(G193,'S1&amp;2 Lists'!$C$8:$G$134,3,FALSE)</f>
        <v>#N/A</v>
      </c>
      <c r="N193" s="755" t="e">
        <f t="shared" si="2"/>
        <v>#N/A</v>
      </c>
      <c r="P193" s="1049">
        <f>ROUND(IF(L193='S1&amp;2 Lists'!$CV$3,K193,IF(L193='S1&amp;2 Lists'!$CV$4,K193/'S1&amp;2 Lists'!$CQ$6,0)),3)</f>
        <v>0</v>
      </c>
      <c r="Q193" s="326" t="s">
        <v>264</v>
      </c>
    </row>
    <row r="194" spans="1:17" s="756" customFormat="1" ht="24" customHeight="1">
      <c r="A194" s="975"/>
      <c r="B194" s="975"/>
      <c r="C194" s="1027"/>
      <c r="D194" s="975"/>
      <c r="E194" s="980"/>
      <c r="F194" s="975"/>
      <c r="G194" s="979"/>
      <c r="H194" s="975"/>
      <c r="I194" s="980"/>
      <c r="J194" s="975"/>
      <c r="K194" s="975"/>
      <c r="L194" s="975"/>
      <c r="M194" s="755" t="e">
        <f>+VLOOKUP(G194,'S1&amp;2 Lists'!$C$8:$G$134,3,FALSE)</f>
        <v>#N/A</v>
      </c>
      <c r="N194" s="755" t="e">
        <f t="shared" si="2"/>
        <v>#N/A</v>
      </c>
      <c r="P194" s="1049">
        <f>ROUND(IF(L194='S1&amp;2 Lists'!$CV$3,K194,IF(L194='S1&amp;2 Lists'!$CV$4,K194/'S1&amp;2 Lists'!$CQ$6,0)),3)</f>
        <v>0</v>
      </c>
      <c r="Q194" s="326" t="s">
        <v>264</v>
      </c>
    </row>
    <row r="195" spans="1:17" s="756" customFormat="1" ht="24" customHeight="1">
      <c r="A195" s="975"/>
      <c r="B195" s="975"/>
      <c r="C195" s="1027"/>
      <c r="D195" s="975"/>
      <c r="E195" s="980"/>
      <c r="F195" s="975"/>
      <c r="G195" s="979"/>
      <c r="H195" s="975"/>
      <c r="I195" s="980"/>
      <c r="J195" s="975"/>
      <c r="K195" s="975"/>
      <c r="L195" s="975"/>
      <c r="M195" s="755" t="e">
        <f>+VLOOKUP(G195,'S1&amp;2 Lists'!$C$8:$G$134,3,FALSE)</f>
        <v>#N/A</v>
      </c>
      <c r="N195" s="755" t="e">
        <f t="shared" si="2"/>
        <v>#N/A</v>
      </c>
      <c r="P195" s="1049">
        <f>ROUND(IF(L195='S1&amp;2 Lists'!$CV$3,K195,IF(L195='S1&amp;2 Lists'!$CV$4,K195/'S1&amp;2 Lists'!$CQ$6,0)),3)</f>
        <v>0</v>
      </c>
      <c r="Q195" s="326" t="s">
        <v>264</v>
      </c>
    </row>
    <row r="196" spans="1:17" s="756" customFormat="1" ht="24" customHeight="1">
      <c r="A196" s="975"/>
      <c r="B196" s="975"/>
      <c r="C196" s="1027"/>
      <c r="D196" s="975"/>
      <c r="E196" s="980"/>
      <c r="F196" s="975"/>
      <c r="G196" s="979"/>
      <c r="H196" s="975"/>
      <c r="I196" s="980"/>
      <c r="J196" s="975"/>
      <c r="K196" s="975"/>
      <c r="L196" s="975"/>
      <c r="M196" s="755" t="e">
        <f>+VLOOKUP(G196,'S1&amp;2 Lists'!$C$8:$G$134,3,FALSE)</f>
        <v>#N/A</v>
      </c>
      <c r="N196" s="755" t="e">
        <f t="shared" si="2"/>
        <v>#N/A</v>
      </c>
      <c r="P196" s="1049">
        <f>ROUND(IF(L196='S1&amp;2 Lists'!$CV$3,K196,IF(L196='S1&amp;2 Lists'!$CV$4,K196/'S1&amp;2 Lists'!$CQ$6,0)),3)</f>
        <v>0</v>
      </c>
      <c r="Q196" s="326" t="s">
        <v>264</v>
      </c>
    </row>
    <row r="197" spans="1:17" s="756" customFormat="1" ht="24" customHeight="1">
      <c r="A197" s="975"/>
      <c r="B197" s="975"/>
      <c r="C197" s="1027"/>
      <c r="D197" s="975"/>
      <c r="E197" s="980"/>
      <c r="F197" s="975"/>
      <c r="G197" s="979"/>
      <c r="H197" s="975"/>
      <c r="I197" s="980"/>
      <c r="J197" s="975"/>
      <c r="K197" s="975"/>
      <c r="L197" s="975"/>
      <c r="M197" s="755" t="e">
        <f>+VLOOKUP(G197,'S1&amp;2 Lists'!$C$8:$G$134,3,FALSE)</f>
        <v>#N/A</v>
      </c>
      <c r="N197" s="755" t="e">
        <f t="shared" si="2"/>
        <v>#N/A</v>
      </c>
      <c r="P197" s="1049">
        <f>ROUND(IF(L197='S1&amp;2 Lists'!$CV$3,K197,IF(L197='S1&amp;2 Lists'!$CV$4,K197/'S1&amp;2 Lists'!$CQ$6,0)),3)</f>
        <v>0</v>
      </c>
      <c r="Q197" s="326" t="s">
        <v>264</v>
      </c>
    </row>
    <row r="198" spans="1:17" s="756" customFormat="1" ht="24" customHeight="1">
      <c r="A198" s="975"/>
      <c r="B198" s="975"/>
      <c r="C198" s="1027"/>
      <c r="D198" s="975"/>
      <c r="E198" s="980"/>
      <c r="F198" s="975"/>
      <c r="G198" s="979"/>
      <c r="H198" s="975"/>
      <c r="I198" s="980"/>
      <c r="J198" s="975"/>
      <c r="K198" s="975"/>
      <c r="L198" s="975"/>
      <c r="M198" s="755" t="e">
        <f>+VLOOKUP(G198,'S1&amp;2 Lists'!$C$8:$G$134,3,FALSE)</f>
        <v>#N/A</v>
      </c>
      <c r="N198" s="755" t="e">
        <f t="shared" si="2"/>
        <v>#N/A</v>
      </c>
      <c r="P198" s="1049">
        <f>ROUND(IF(L198='S1&amp;2 Lists'!$CV$3,K198,IF(L198='S1&amp;2 Lists'!$CV$4,K198/'S1&amp;2 Lists'!$CQ$6,0)),3)</f>
        <v>0</v>
      </c>
      <c r="Q198" s="326" t="s">
        <v>264</v>
      </c>
    </row>
    <row r="199" spans="1:17" s="756" customFormat="1" ht="24" customHeight="1">
      <c r="A199" s="975"/>
      <c r="B199" s="975"/>
      <c r="C199" s="1027"/>
      <c r="D199" s="975"/>
      <c r="E199" s="980"/>
      <c r="F199" s="975"/>
      <c r="G199" s="979"/>
      <c r="H199" s="975"/>
      <c r="I199" s="980"/>
      <c r="J199" s="975"/>
      <c r="K199" s="975"/>
      <c r="L199" s="975"/>
      <c r="M199" s="755" t="e">
        <f>+VLOOKUP(G199,'S1&amp;2 Lists'!$C$8:$G$134,3,FALSE)</f>
        <v>#N/A</v>
      </c>
      <c r="N199" s="755" t="e">
        <f t="shared" si="2"/>
        <v>#N/A</v>
      </c>
      <c r="P199" s="1049">
        <f>ROUND(IF(L199='S1&amp;2 Lists'!$CV$3,K199,IF(L199='S1&amp;2 Lists'!$CV$4,K199/'S1&amp;2 Lists'!$CQ$6,0)),3)</f>
        <v>0</v>
      </c>
      <c r="Q199" s="326" t="s">
        <v>264</v>
      </c>
    </row>
    <row r="200" spans="1:17" s="756" customFormat="1" ht="24" customHeight="1">
      <c r="A200" s="975"/>
      <c r="B200" s="975"/>
      <c r="C200" s="1027"/>
      <c r="D200" s="975"/>
      <c r="E200" s="980"/>
      <c r="F200" s="975"/>
      <c r="G200" s="979"/>
      <c r="H200" s="975"/>
      <c r="I200" s="980"/>
      <c r="J200" s="975"/>
      <c r="K200" s="975"/>
      <c r="L200" s="975"/>
      <c r="M200" s="755" t="e">
        <f>+VLOOKUP(G200,'S1&amp;2 Lists'!$C$8:$G$134,3,FALSE)</f>
        <v>#N/A</v>
      </c>
      <c r="N200" s="755" t="e">
        <f t="shared" si="2"/>
        <v>#N/A</v>
      </c>
      <c r="P200" s="1049">
        <f>ROUND(IF(L200='S1&amp;2 Lists'!$CV$3,K200,IF(L200='S1&amp;2 Lists'!$CV$4,K200/'S1&amp;2 Lists'!$CQ$6,0)),3)</f>
        <v>0</v>
      </c>
      <c r="Q200" s="326" t="s">
        <v>264</v>
      </c>
    </row>
    <row r="201" spans="1:17" s="756" customFormat="1" ht="24" customHeight="1">
      <c r="A201" s="975"/>
      <c r="B201" s="975"/>
      <c r="C201" s="1027"/>
      <c r="D201" s="975"/>
      <c r="E201" s="980"/>
      <c r="F201" s="975"/>
      <c r="G201" s="979"/>
      <c r="H201" s="975"/>
      <c r="I201" s="980"/>
      <c r="J201" s="975"/>
      <c r="K201" s="975"/>
      <c r="L201" s="975"/>
      <c r="M201" s="755" t="e">
        <f>+VLOOKUP(G201,'S1&amp;2 Lists'!$C$8:$G$134,3,FALSE)</f>
        <v>#N/A</v>
      </c>
      <c r="N201" s="755" t="e">
        <f t="shared" si="2"/>
        <v>#N/A</v>
      </c>
      <c r="P201" s="1049">
        <f>ROUND(IF(L201='S1&amp;2 Lists'!$CV$3,K201,IF(L201='S1&amp;2 Lists'!$CV$4,K201/'S1&amp;2 Lists'!$CQ$6,0)),3)</f>
        <v>0</v>
      </c>
      <c r="Q201" s="326" t="s">
        <v>264</v>
      </c>
    </row>
    <row r="202" spans="1:17" s="756" customFormat="1" ht="24" customHeight="1">
      <c r="A202" s="975"/>
      <c r="B202" s="975"/>
      <c r="C202" s="1027"/>
      <c r="D202" s="975"/>
      <c r="E202" s="980"/>
      <c r="F202" s="975"/>
      <c r="G202" s="979"/>
      <c r="H202" s="975"/>
      <c r="I202" s="980"/>
      <c r="J202" s="975"/>
      <c r="K202" s="975"/>
      <c r="L202" s="975"/>
      <c r="M202" s="755" t="e">
        <f>+VLOOKUP(G202,'S1&amp;2 Lists'!$C$8:$G$134,3,FALSE)</f>
        <v>#N/A</v>
      </c>
      <c r="N202" s="755" t="e">
        <f t="shared" ref="N202:N265" si="3">+P202*M202</f>
        <v>#N/A</v>
      </c>
      <c r="P202" s="1049">
        <f>ROUND(IF(L202='S1&amp;2 Lists'!$CV$3,K202,IF(L202='S1&amp;2 Lists'!$CV$4,K202/'S1&amp;2 Lists'!$CQ$6,0)),3)</f>
        <v>0</v>
      </c>
      <c r="Q202" s="326" t="s">
        <v>264</v>
      </c>
    </row>
    <row r="203" spans="1:17" s="756" customFormat="1" ht="24" customHeight="1">
      <c r="A203" s="975"/>
      <c r="B203" s="975"/>
      <c r="C203" s="1027"/>
      <c r="D203" s="975"/>
      <c r="E203" s="980"/>
      <c r="F203" s="975"/>
      <c r="G203" s="979"/>
      <c r="H203" s="975"/>
      <c r="I203" s="980"/>
      <c r="J203" s="975"/>
      <c r="K203" s="975"/>
      <c r="L203" s="975"/>
      <c r="M203" s="755" t="e">
        <f>+VLOOKUP(G203,'S1&amp;2 Lists'!$C$8:$G$134,3,FALSE)</f>
        <v>#N/A</v>
      </c>
      <c r="N203" s="755" t="e">
        <f t="shared" si="3"/>
        <v>#N/A</v>
      </c>
      <c r="P203" s="1049">
        <f>ROUND(IF(L203='S1&amp;2 Lists'!$CV$3,K203,IF(L203='S1&amp;2 Lists'!$CV$4,K203/'S1&amp;2 Lists'!$CQ$6,0)),3)</f>
        <v>0</v>
      </c>
      <c r="Q203" s="326" t="s">
        <v>264</v>
      </c>
    </row>
    <row r="204" spans="1:17" s="756" customFormat="1" ht="24" customHeight="1">
      <c r="A204" s="975"/>
      <c r="B204" s="975"/>
      <c r="C204" s="1027"/>
      <c r="D204" s="975"/>
      <c r="E204" s="980"/>
      <c r="F204" s="975"/>
      <c r="G204" s="979"/>
      <c r="H204" s="975"/>
      <c r="I204" s="980"/>
      <c r="J204" s="975"/>
      <c r="K204" s="975"/>
      <c r="L204" s="975"/>
      <c r="M204" s="755" t="e">
        <f>+VLOOKUP(G204,'S1&amp;2 Lists'!$C$8:$G$134,3,FALSE)</f>
        <v>#N/A</v>
      </c>
      <c r="N204" s="755" t="e">
        <f t="shared" si="3"/>
        <v>#N/A</v>
      </c>
      <c r="P204" s="1049">
        <f>ROUND(IF(L204='S1&amp;2 Lists'!$CV$3,K204,IF(L204='S1&amp;2 Lists'!$CV$4,K204/'S1&amp;2 Lists'!$CQ$6,0)),3)</f>
        <v>0</v>
      </c>
      <c r="Q204" s="326" t="s">
        <v>264</v>
      </c>
    </row>
    <row r="205" spans="1:17" s="756" customFormat="1" ht="24" customHeight="1">
      <c r="A205" s="975"/>
      <c r="B205" s="975"/>
      <c r="C205" s="1027"/>
      <c r="D205" s="975"/>
      <c r="E205" s="980"/>
      <c r="F205" s="975"/>
      <c r="G205" s="979"/>
      <c r="H205" s="975"/>
      <c r="I205" s="980"/>
      <c r="J205" s="975"/>
      <c r="K205" s="975"/>
      <c r="L205" s="975"/>
      <c r="M205" s="755" t="e">
        <f>+VLOOKUP(G205,'S1&amp;2 Lists'!$C$8:$G$134,3,FALSE)</f>
        <v>#N/A</v>
      </c>
      <c r="N205" s="755" t="e">
        <f t="shared" si="3"/>
        <v>#N/A</v>
      </c>
      <c r="P205" s="1049">
        <f>ROUND(IF(L205='S1&amp;2 Lists'!$CV$3,K205,IF(L205='S1&amp;2 Lists'!$CV$4,K205/'S1&amp;2 Lists'!$CQ$6,0)),3)</f>
        <v>0</v>
      </c>
      <c r="Q205" s="326" t="s">
        <v>264</v>
      </c>
    </row>
    <row r="206" spans="1:17" s="756" customFormat="1" ht="24" customHeight="1">
      <c r="A206" s="975"/>
      <c r="B206" s="975"/>
      <c r="C206" s="1027"/>
      <c r="D206" s="975"/>
      <c r="E206" s="980"/>
      <c r="F206" s="975"/>
      <c r="G206" s="979"/>
      <c r="H206" s="975"/>
      <c r="I206" s="980"/>
      <c r="J206" s="975"/>
      <c r="K206" s="975"/>
      <c r="L206" s="975"/>
      <c r="M206" s="755" t="e">
        <f>+VLOOKUP(G206,'S1&amp;2 Lists'!$C$8:$G$134,3,FALSE)</f>
        <v>#N/A</v>
      </c>
      <c r="N206" s="755" t="e">
        <f t="shared" si="3"/>
        <v>#N/A</v>
      </c>
      <c r="P206" s="1049">
        <f>ROUND(IF(L206='S1&amp;2 Lists'!$CV$3,K206,IF(L206='S1&amp;2 Lists'!$CV$4,K206/'S1&amp;2 Lists'!$CQ$6,0)),3)</f>
        <v>0</v>
      </c>
      <c r="Q206" s="326" t="s">
        <v>264</v>
      </c>
    </row>
    <row r="207" spans="1:17" s="756" customFormat="1" ht="24" customHeight="1">
      <c r="A207" s="975"/>
      <c r="B207" s="975"/>
      <c r="C207" s="1027"/>
      <c r="D207" s="975"/>
      <c r="E207" s="980"/>
      <c r="F207" s="975"/>
      <c r="G207" s="979"/>
      <c r="H207" s="975"/>
      <c r="I207" s="980"/>
      <c r="J207" s="975"/>
      <c r="K207" s="975"/>
      <c r="L207" s="975"/>
      <c r="M207" s="755" t="e">
        <f>+VLOOKUP(G207,'S1&amp;2 Lists'!$C$8:$G$134,3,FALSE)</f>
        <v>#N/A</v>
      </c>
      <c r="N207" s="755" t="e">
        <f t="shared" si="3"/>
        <v>#N/A</v>
      </c>
      <c r="P207" s="1049">
        <f>ROUND(IF(L207='S1&amp;2 Lists'!$CV$3,K207,IF(L207='S1&amp;2 Lists'!$CV$4,K207/'S1&amp;2 Lists'!$CQ$6,0)),3)</f>
        <v>0</v>
      </c>
      <c r="Q207" s="326" t="s">
        <v>264</v>
      </c>
    </row>
    <row r="208" spans="1:17" s="756" customFormat="1" ht="24" customHeight="1">
      <c r="A208" s="975"/>
      <c r="B208" s="975"/>
      <c r="C208" s="1027"/>
      <c r="D208" s="975"/>
      <c r="E208" s="980"/>
      <c r="F208" s="975"/>
      <c r="G208" s="979"/>
      <c r="H208" s="975"/>
      <c r="I208" s="980"/>
      <c r="J208" s="975"/>
      <c r="K208" s="975"/>
      <c r="L208" s="975"/>
      <c r="M208" s="755" t="e">
        <f>+VLOOKUP(G208,'S1&amp;2 Lists'!$C$8:$G$134,3,FALSE)</f>
        <v>#N/A</v>
      </c>
      <c r="N208" s="755" t="e">
        <f t="shared" si="3"/>
        <v>#N/A</v>
      </c>
      <c r="P208" s="1049">
        <f>ROUND(IF(L208='S1&amp;2 Lists'!$CV$3,K208,IF(L208='S1&amp;2 Lists'!$CV$4,K208/'S1&amp;2 Lists'!$CQ$6,0)),3)</f>
        <v>0</v>
      </c>
      <c r="Q208" s="326" t="s">
        <v>264</v>
      </c>
    </row>
    <row r="209" spans="1:17" s="756" customFormat="1" ht="24" customHeight="1">
      <c r="A209" s="975"/>
      <c r="B209" s="975"/>
      <c r="C209" s="1027"/>
      <c r="D209" s="975"/>
      <c r="E209" s="980"/>
      <c r="F209" s="975"/>
      <c r="G209" s="979"/>
      <c r="H209" s="975"/>
      <c r="I209" s="980"/>
      <c r="J209" s="975"/>
      <c r="K209" s="975"/>
      <c r="L209" s="975"/>
      <c r="M209" s="755" t="e">
        <f>+VLOOKUP(G209,'S1&amp;2 Lists'!$C$8:$G$134,3,FALSE)</f>
        <v>#N/A</v>
      </c>
      <c r="N209" s="755" t="e">
        <f t="shared" si="3"/>
        <v>#N/A</v>
      </c>
      <c r="P209" s="1049">
        <f>ROUND(IF(L209='S1&amp;2 Lists'!$CV$3,K209,IF(L209='S1&amp;2 Lists'!$CV$4,K209/'S1&amp;2 Lists'!$CQ$6,0)),3)</f>
        <v>0</v>
      </c>
      <c r="Q209" s="326" t="s">
        <v>264</v>
      </c>
    </row>
    <row r="210" spans="1:17" s="756" customFormat="1" ht="24" customHeight="1">
      <c r="A210" s="975"/>
      <c r="B210" s="975"/>
      <c r="C210" s="1027"/>
      <c r="D210" s="975"/>
      <c r="E210" s="980"/>
      <c r="F210" s="975"/>
      <c r="G210" s="979"/>
      <c r="H210" s="975"/>
      <c r="I210" s="980"/>
      <c r="J210" s="975"/>
      <c r="K210" s="975"/>
      <c r="L210" s="975"/>
      <c r="M210" s="755" t="e">
        <f>+VLOOKUP(G210,'S1&amp;2 Lists'!$C$8:$G$134,3,FALSE)</f>
        <v>#N/A</v>
      </c>
      <c r="N210" s="755" t="e">
        <f t="shared" si="3"/>
        <v>#N/A</v>
      </c>
      <c r="P210" s="1049">
        <f>ROUND(IF(L210='S1&amp;2 Lists'!$CV$3,K210,IF(L210='S1&amp;2 Lists'!$CV$4,K210/'S1&amp;2 Lists'!$CQ$6,0)),3)</f>
        <v>0</v>
      </c>
      <c r="Q210" s="326" t="s">
        <v>264</v>
      </c>
    </row>
    <row r="211" spans="1:17" s="756" customFormat="1" ht="24" customHeight="1">
      <c r="A211" s="975"/>
      <c r="B211" s="975"/>
      <c r="C211" s="1027"/>
      <c r="D211" s="975"/>
      <c r="E211" s="980"/>
      <c r="F211" s="975"/>
      <c r="G211" s="979"/>
      <c r="H211" s="975"/>
      <c r="I211" s="980"/>
      <c r="J211" s="975"/>
      <c r="K211" s="975"/>
      <c r="L211" s="975"/>
      <c r="M211" s="755" t="e">
        <f>+VLOOKUP(G211,'S1&amp;2 Lists'!$C$8:$G$134,3,FALSE)</f>
        <v>#N/A</v>
      </c>
      <c r="N211" s="755" t="e">
        <f t="shared" si="3"/>
        <v>#N/A</v>
      </c>
      <c r="P211" s="1049">
        <f>ROUND(IF(L211='S1&amp;2 Lists'!$CV$3,K211,IF(L211='S1&amp;2 Lists'!$CV$4,K211/'S1&amp;2 Lists'!$CQ$6,0)),3)</f>
        <v>0</v>
      </c>
      <c r="Q211" s="326" t="s">
        <v>264</v>
      </c>
    </row>
    <row r="212" spans="1:17" s="756" customFormat="1" ht="24" customHeight="1">
      <c r="A212" s="975"/>
      <c r="B212" s="975"/>
      <c r="C212" s="1027"/>
      <c r="D212" s="975"/>
      <c r="E212" s="980"/>
      <c r="F212" s="975"/>
      <c r="G212" s="979"/>
      <c r="H212" s="975"/>
      <c r="I212" s="980"/>
      <c r="J212" s="975"/>
      <c r="K212" s="975"/>
      <c r="L212" s="975"/>
      <c r="M212" s="755" t="e">
        <f>+VLOOKUP(G212,'S1&amp;2 Lists'!$C$8:$G$134,3,FALSE)</f>
        <v>#N/A</v>
      </c>
      <c r="N212" s="755" t="e">
        <f t="shared" si="3"/>
        <v>#N/A</v>
      </c>
      <c r="P212" s="1049">
        <f>ROUND(IF(L212='S1&amp;2 Lists'!$CV$3,K212,IF(L212='S1&amp;2 Lists'!$CV$4,K212/'S1&amp;2 Lists'!$CQ$6,0)),3)</f>
        <v>0</v>
      </c>
      <c r="Q212" s="326" t="s">
        <v>264</v>
      </c>
    </row>
    <row r="213" spans="1:17" s="756" customFormat="1" ht="24" customHeight="1">
      <c r="A213" s="975"/>
      <c r="B213" s="975"/>
      <c r="C213" s="1027"/>
      <c r="D213" s="975"/>
      <c r="E213" s="980"/>
      <c r="F213" s="975"/>
      <c r="G213" s="979"/>
      <c r="H213" s="975"/>
      <c r="I213" s="980"/>
      <c r="J213" s="975"/>
      <c r="K213" s="975"/>
      <c r="L213" s="975"/>
      <c r="M213" s="755" t="e">
        <f>+VLOOKUP(G213,'S1&amp;2 Lists'!$C$8:$G$134,3,FALSE)</f>
        <v>#N/A</v>
      </c>
      <c r="N213" s="755" t="e">
        <f t="shared" si="3"/>
        <v>#N/A</v>
      </c>
      <c r="P213" s="1049">
        <f>ROUND(IF(L213='S1&amp;2 Lists'!$CV$3,K213,IF(L213='S1&amp;2 Lists'!$CV$4,K213/'S1&amp;2 Lists'!$CQ$6,0)),3)</f>
        <v>0</v>
      </c>
      <c r="Q213" s="326" t="s">
        <v>264</v>
      </c>
    </row>
    <row r="214" spans="1:17" s="756" customFormat="1" ht="24" customHeight="1">
      <c r="A214" s="975"/>
      <c r="B214" s="975"/>
      <c r="C214" s="1027"/>
      <c r="D214" s="975"/>
      <c r="E214" s="980"/>
      <c r="F214" s="975"/>
      <c r="G214" s="979"/>
      <c r="H214" s="975"/>
      <c r="I214" s="980"/>
      <c r="J214" s="975"/>
      <c r="K214" s="975"/>
      <c r="L214" s="975"/>
      <c r="M214" s="755" t="e">
        <f>+VLOOKUP(G214,'S1&amp;2 Lists'!$C$8:$G$134,3,FALSE)</f>
        <v>#N/A</v>
      </c>
      <c r="N214" s="755" t="e">
        <f t="shared" si="3"/>
        <v>#N/A</v>
      </c>
      <c r="P214" s="1049">
        <f>ROUND(IF(L214='S1&amp;2 Lists'!$CV$3,K214,IF(L214='S1&amp;2 Lists'!$CV$4,K214/'S1&amp;2 Lists'!$CQ$6,0)),3)</f>
        <v>0</v>
      </c>
      <c r="Q214" s="326" t="s">
        <v>264</v>
      </c>
    </row>
    <row r="215" spans="1:17" s="756" customFormat="1" ht="24" customHeight="1">
      <c r="A215" s="975"/>
      <c r="B215" s="975"/>
      <c r="C215" s="1027"/>
      <c r="D215" s="975"/>
      <c r="E215" s="980"/>
      <c r="F215" s="975"/>
      <c r="G215" s="979"/>
      <c r="H215" s="975"/>
      <c r="I215" s="980"/>
      <c r="J215" s="975"/>
      <c r="K215" s="975"/>
      <c r="L215" s="975"/>
      <c r="M215" s="755" t="e">
        <f>+VLOOKUP(G215,'S1&amp;2 Lists'!$C$8:$G$134,3,FALSE)</f>
        <v>#N/A</v>
      </c>
      <c r="N215" s="755" t="e">
        <f t="shared" si="3"/>
        <v>#N/A</v>
      </c>
      <c r="P215" s="1049">
        <f>ROUND(IF(L215='S1&amp;2 Lists'!$CV$3,K215,IF(L215='S1&amp;2 Lists'!$CV$4,K215/'S1&amp;2 Lists'!$CQ$6,0)),3)</f>
        <v>0</v>
      </c>
      <c r="Q215" s="326" t="s">
        <v>264</v>
      </c>
    </row>
    <row r="216" spans="1:17" s="756" customFormat="1" ht="24" customHeight="1">
      <c r="A216" s="975"/>
      <c r="B216" s="975"/>
      <c r="C216" s="1027"/>
      <c r="D216" s="975"/>
      <c r="E216" s="980"/>
      <c r="F216" s="975"/>
      <c r="G216" s="979"/>
      <c r="H216" s="975"/>
      <c r="I216" s="980"/>
      <c r="J216" s="975"/>
      <c r="K216" s="975"/>
      <c r="L216" s="975"/>
      <c r="M216" s="755" t="e">
        <f>+VLOOKUP(G216,'S1&amp;2 Lists'!$C$8:$G$134,3,FALSE)</f>
        <v>#N/A</v>
      </c>
      <c r="N216" s="755" t="e">
        <f t="shared" si="3"/>
        <v>#N/A</v>
      </c>
      <c r="P216" s="1049">
        <f>ROUND(IF(L216='S1&amp;2 Lists'!$CV$3,K216,IF(L216='S1&amp;2 Lists'!$CV$4,K216/'S1&amp;2 Lists'!$CQ$6,0)),3)</f>
        <v>0</v>
      </c>
      <c r="Q216" s="326" t="s">
        <v>264</v>
      </c>
    </row>
    <row r="217" spans="1:17" s="756" customFormat="1" ht="24" customHeight="1">
      <c r="A217" s="975"/>
      <c r="B217" s="975"/>
      <c r="C217" s="1027"/>
      <c r="D217" s="975"/>
      <c r="E217" s="980"/>
      <c r="F217" s="975"/>
      <c r="G217" s="979"/>
      <c r="H217" s="975"/>
      <c r="I217" s="980"/>
      <c r="J217" s="975"/>
      <c r="K217" s="975"/>
      <c r="L217" s="975"/>
      <c r="M217" s="755" t="e">
        <f>+VLOOKUP(G217,'S1&amp;2 Lists'!$C$8:$G$134,3,FALSE)</f>
        <v>#N/A</v>
      </c>
      <c r="N217" s="755" t="e">
        <f t="shared" si="3"/>
        <v>#N/A</v>
      </c>
      <c r="P217" s="1049">
        <f>ROUND(IF(L217='S1&amp;2 Lists'!$CV$3,K217,IF(L217='S1&amp;2 Lists'!$CV$4,K217/'S1&amp;2 Lists'!$CQ$6,0)),3)</f>
        <v>0</v>
      </c>
      <c r="Q217" s="326" t="s">
        <v>264</v>
      </c>
    </row>
    <row r="218" spans="1:17" s="756" customFormat="1" ht="24" customHeight="1">
      <c r="A218" s="975"/>
      <c r="B218" s="975"/>
      <c r="C218" s="1027"/>
      <c r="D218" s="975"/>
      <c r="E218" s="980"/>
      <c r="F218" s="975"/>
      <c r="G218" s="979"/>
      <c r="H218" s="975"/>
      <c r="I218" s="980"/>
      <c r="J218" s="975"/>
      <c r="K218" s="975"/>
      <c r="L218" s="975"/>
      <c r="M218" s="755" t="e">
        <f>+VLOOKUP(G218,'S1&amp;2 Lists'!$C$8:$G$134,3,FALSE)</f>
        <v>#N/A</v>
      </c>
      <c r="N218" s="755" t="e">
        <f t="shared" si="3"/>
        <v>#N/A</v>
      </c>
      <c r="P218" s="1049">
        <f>ROUND(IF(L218='S1&amp;2 Lists'!$CV$3,K218,IF(L218='S1&amp;2 Lists'!$CV$4,K218/'S1&amp;2 Lists'!$CQ$6,0)),3)</f>
        <v>0</v>
      </c>
      <c r="Q218" s="326" t="s">
        <v>264</v>
      </c>
    </row>
    <row r="219" spans="1:17" s="756" customFormat="1" ht="24" customHeight="1">
      <c r="A219" s="975"/>
      <c r="B219" s="975"/>
      <c r="C219" s="1027"/>
      <c r="D219" s="975"/>
      <c r="E219" s="980"/>
      <c r="F219" s="975"/>
      <c r="G219" s="979"/>
      <c r="H219" s="975"/>
      <c r="I219" s="980"/>
      <c r="J219" s="975"/>
      <c r="K219" s="975"/>
      <c r="L219" s="975"/>
      <c r="M219" s="755" t="e">
        <f>+VLOOKUP(G219,'S1&amp;2 Lists'!$C$8:$G$134,3,FALSE)</f>
        <v>#N/A</v>
      </c>
      <c r="N219" s="755" t="e">
        <f t="shared" si="3"/>
        <v>#N/A</v>
      </c>
      <c r="P219" s="1049">
        <f>ROUND(IF(L219='S1&amp;2 Lists'!$CV$3,K219,IF(L219='S1&amp;2 Lists'!$CV$4,K219/'S1&amp;2 Lists'!$CQ$6,0)),3)</f>
        <v>0</v>
      </c>
      <c r="Q219" s="326" t="s">
        <v>264</v>
      </c>
    </row>
    <row r="220" spans="1:17" s="756" customFormat="1" ht="24" customHeight="1">
      <c r="A220" s="975"/>
      <c r="B220" s="975"/>
      <c r="C220" s="1027"/>
      <c r="D220" s="975"/>
      <c r="E220" s="980"/>
      <c r="F220" s="975"/>
      <c r="G220" s="979"/>
      <c r="H220" s="975"/>
      <c r="I220" s="980"/>
      <c r="J220" s="975"/>
      <c r="K220" s="975"/>
      <c r="L220" s="975"/>
      <c r="M220" s="755" t="e">
        <f>+VLOOKUP(G220,'S1&amp;2 Lists'!$C$8:$G$134,3,FALSE)</f>
        <v>#N/A</v>
      </c>
      <c r="N220" s="755" t="e">
        <f t="shared" si="3"/>
        <v>#N/A</v>
      </c>
      <c r="P220" s="1049">
        <f>ROUND(IF(L220='S1&amp;2 Lists'!$CV$3,K220,IF(L220='S1&amp;2 Lists'!$CV$4,K220/'S1&amp;2 Lists'!$CQ$6,0)),3)</f>
        <v>0</v>
      </c>
      <c r="Q220" s="326" t="s">
        <v>264</v>
      </c>
    </row>
    <row r="221" spans="1:17" s="756" customFormat="1" ht="24" customHeight="1">
      <c r="A221" s="975"/>
      <c r="B221" s="975"/>
      <c r="C221" s="1027"/>
      <c r="D221" s="975"/>
      <c r="E221" s="980"/>
      <c r="F221" s="975"/>
      <c r="G221" s="979"/>
      <c r="H221" s="975"/>
      <c r="I221" s="980"/>
      <c r="J221" s="975"/>
      <c r="K221" s="975"/>
      <c r="L221" s="975"/>
      <c r="M221" s="755" t="e">
        <f>+VLOOKUP(G221,'S1&amp;2 Lists'!$C$8:$G$134,3,FALSE)</f>
        <v>#N/A</v>
      </c>
      <c r="N221" s="755" t="e">
        <f t="shared" si="3"/>
        <v>#N/A</v>
      </c>
      <c r="P221" s="1049">
        <f>ROUND(IF(L221='S1&amp;2 Lists'!$CV$3,K221,IF(L221='S1&amp;2 Lists'!$CV$4,K221/'S1&amp;2 Lists'!$CQ$6,0)),3)</f>
        <v>0</v>
      </c>
      <c r="Q221" s="326" t="s">
        <v>264</v>
      </c>
    </row>
    <row r="222" spans="1:17" s="756" customFormat="1" ht="24" customHeight="1">
      <c r="A222" s="975"/>
      <c r="B222" s="975"/>
      <c r="C222" s="1027"/>
      <c r="D222" s="975"/>
      <c r="E222" s="980"/>
      <c r="F222" s="975"/>
      <c r="G222" s="979"/>
      <c r="H222" s="975"/>
      <c r="I222" s="980"/>
      <c r="J222" s="975"/>
      <c r="K222" s="975"/>
      <c r="L222" s="975"/>
      <c r="M222" s="755" t="e">
        <f>+VLOOKUP(G222,'S1&amp;2 Lists'!$C$8:$G$134,3,FALSE)</f>
        <v>#N/A</v>
      </c>
      <c r="N222" s="755" t="e">
        <f t="shared" si="3"/>
        <v>#N/A</v>
      </c>
      <c r="P222" s="1049">
        <f>ROUND(IF(L222='S1&amp;2 Lists'!$CV$3,K222,IF(L222='S1&amp;2 Lists'!$CV$4,K222/'S1&amp;2 Lists'!$CQ$6,0)),3)</f>
        <v>0</v>
      </c>
      <c r="Q222" s="326" t="s">
        <v>264</v>
      </c>
    </row>
    <row r="223" spans="1:17" s="756" customFormat="1" ht="24" customHeight="1">
      <c r="A223" s="975"/>
      <c r="B223" s="975"/>
      <c r="C223" s="1027"/>
      <c r="D223" s="975"/>
      <c r="E223" s="980"/>
      <c r="F223" s="975"/>
      <c r="G223" s="979"/>
      <c r="H223" s="975"/>
      <c r="I223" s="980"/>
      <c r="J223" s="975"/>
      <c r="K223" s="975"/>
      <c r="L223" s="975"/>
      <c r="M223" s="755" t="e">
        <f>+VLOOKUP(G223,'S1&amp;2 Lists'!$C$8:$G$134,3,FALSE)</f>
        <v>#N/A</v>
      </c>
      <c r="N223" s="755" t="e">
        <f t="shared" si="3"/>
        <v>#N/A</v>
      </c>
      <c r="P223" s="1049">
        <f>ROUND(IF(L223='S1&amp;2 Lists'!$CV$3,K223,IF(L223='S1&amp;2 Lists'!$CV$4,K223/'S1&amp;2 Lists'!$CQ$6,0)),3)</f>
        <v>0</v>
      </c>
      <c r="Q223" s="326" t="s">
        <v>264</v>
      </c>
    </row>
    <row r="224" spans="1:17" s="756" customFormat="1" ht="24" customHeight="1">
      <c r="A224" s="975"/>
      <c r="B224" s="975"/>
      <c r="C224" s="1027"/>
      <c r="D224" s="975"/>
      <c r="E224" s="980"/>
      <c r="F224" s="975"/>
      <c r="G224" s="979"/>
      <c r="H224" s="975"/>
      <c r="I224" s="980"/>
      <c r="J224" s="975"/>
      <c r="K224" s="975"/>
      <c r="L224" s="975"/>
      <c r="M224" s="755" t="e">
        <f>+VLOOKUP(G224,'S1&amp;2 Lists'!$C$8:$G$134,3,FALSE)</f>
        <v>#N/A</v>
      </c>
      <c r="N224" s="755" t="e">
        <f t="shared" si="3"/>
        <v>#N/A</v>
      </c>
      <c r="P224" s="1049">
        <f>ROUND(IF(L224='S1&amp;2 Lists'!$CV$3,K224,IF(L224='S1&amp;2 Lists'!$CV$4,K224/'S1&amp;2 Lists'!$CQ$6,0)),3)</f>
        <v>0</v>
      </c>
      <c r="Q224" s="326" t="s">
        <v>264</v>
      </c>
    </row>
    <row r="225" spans="1:17" s="756" customFormat="1" ht="24" customHeight="1">
      <c r="A225" s="975"/>
      <c r="B225" s="975"/>
      <c r="C225" s="1027"/>
      <c r="D225" s="975"/>
      <c r="E225" s="980"/>
      <c r="F225" s="975"/>
      <c r="G225" s="979"/>
      <c r="H225" s="975"/>
      <c r="I225" s="980"/>
      <c r="J225" s="975"/>
      <c r="K225" s="975"/>
      <c r="L225" s="975"/>
      <c r="M225" s="755" t="e">
        <f>+VLOOKUP(G225,'S1&amp;2 Lists'!$C$8:$G$134,3,FALSE)</f>
        <v>#N/A</v>
      </c>
      <c r="N225" s="755" t="e">
        <f t="shared" si="3"/>
        <v>#N/A</v>
      </c>
      <c r="P225" s="1049">
        <f>ROUND(IF(L225='S1&amp;2 Lists'!$CV$3,K225,IF(L225='S1&amp;2 Lists'!$CV$4,K225/'S1&amp;2 Lists'!$CQ$6,0)),3)</f>
        <v>0</v>
      </c>
      <c r="Q225" s="326" t="s">
        <v>264</v>
      </c>
    </row>
    <row r="226" spans="1:17" s="756" customFormat="1" ht="24" customHeight="1">
      <c r="A226" s="975"/>
      <c r="B226" s="975"/>
      <c r="C226" s="1027"/>
      <c r="D226" s="975"/>
      <c r="E226" s="980"/>
      <c r="F226" s="975"/>
      <c r="G226" s="979"/>
      <c r="H226" s="975"/>
      <c r="I226" s="980"/>
      <c r="J226" s="975"/>
      <c r="K226" s="975"/>
      <c r="L226" s="975"/>
      <c r="M226" s="755" t="e">
        <f>+VLOOKUP(G226,'S1&amp;2 Lists'!$C$8:$G$134,3,FALSE)</f>
        <v>#N/A</v>
      </c>
      <c r="N226" s="755" t="e">
        <f t="shared" si="3"/>
        <v>#N/A</v>
      </c>
      <c r="P226" s="1049">
        <f>ROUND(IF(L226='S1&amp;2 Lists'!$CV$3,K226,IF(L226='S1&amp;2 Lists'!$CV$4,K226/'S1&amp;2 Lists'!$CQ$6,0)),3)</f>
        <v>0</v>
      </c>
      <c r="Q226" s="326" t="s">
        <v>264</v>
      </c>
    </row>
    <row r="227" spans="1:17" s="756" customFormat="1" ht="24" customHeight="1">
      <c r="A227" s="975"/>
      <c r="B227" s="975"/>
      <c r="C227" s="1027"/>
      <c r="D227" s="975"/>
      <c r="E227" s="980"/>
      <c r="F227" s="975"/>
      <c r="G227" s="979"/>
      <c r="H227" s="975"/>
      <c r="I227" s="980"/>
      <c r="J227" s="975"/>
      <c r="K227" s="975"/>
      <c r="L227" s="975"/>
      <c r="M227" s="755" t="e">
        <f>+VLOOKUP(G227,'S1&amp;2 Lists'!$C$8:$G$134,3,FALSE)</f>
        <v>#N/A</v>
      </c>
      <c r="N227" s="755" t="e">
        <f t="shared" si="3"/>
        <v>#N/A</v>
      </c>
      <c r="P227" s="1049">
        <f>ROUND(IF(L227='S1&amp;2 Lists'!$CV$3,K227,IF(L227='S1&amp;2 Lists'!$CV$4,K227/'S1&amp;2 Lists'!$CQ$6,0)),3)</f>
        <v>0</v>
      </c>
      <c r="Q227" s="326" t="s">
        <v>264</v>
      </c>
    </row>
    <row r="228" spans="1:17" s="756" customFormat="1" ht="24" customHeight="1">
      <c r="A228" s="975"/>
      <c r="B228" s="975"/>
      <c r="C228" s="1027"/>
      <c r="D228" s="975"/>
      <c r="E228" s="980"/>
      <c r="F228" s="975"/>
      <c r="G228" s="979"/>
      <c r="H228" s="975"/>
      <c r="I228" s="980"/>
      <c r="J228" s="975"/>
      <c r="K228" s="975"/>
      <c r="L228" s="975"/>
      <c r="M228" s="755" t="e">
        <f>+VLOOKUP(G228,'S1&amp;2 Lists'!$C$8:$G$134,3,FALSE)</f>
        <v>#N/A</v>
      </c>
      <c r="N228" s="755" t="e">
        <f t="shared" si="3"/>
        <v>#N/A</v>
      </c>
      <c r="P228" s="1049">
        <f>ROUND(IF(L228='S1&amp;2 Lists'!$CV$3,K228,IF(L228='S1&amp;2 Lists'!$CV$4,K228/'S1&amp;2 Lists'!$CQ$6,0)),3)</f>
        <v>0</v>
      </c>
      <c r="Q228" s="326" t="s">
        <v>264</v>
      </c>
    </row>
    <row r="229" spans="1:17" s="756" customFormat="1" ht="24" customHeight="1">
      <c r="A229" s="975"/>
      <c r="B229" s="975"/>
      <c r="C229" s="1027"/>
      <c r="D229" s="975"/>
      <c r="E229" s="980"/>
      <c r="F229" s="975"/>
      <c r="G229" s="979"/>
      <c r="H229" s="975"/>
      <c r="I229" s="980"/>
      <c r="J229" s="975"/>
      <c r="K229" s="975"/>
      <c r="L229" s="975"/>
      <c r="M229" s="755" t="e">
        <f>+VLOOKUP(G229,'S1&amp;2 Lists'!$C$8:$G$134,3,FALSE)</f>
        <v>#N/A</v>
      </c>
      <c r="N229" s="755" t="e">
        <f t="shared" si="3"/>
        <v>#N/A</v>
      </c>
      <c r="P229" s="1049">
        <f>ROUND(IF(L229='S1&amp;2 Lists'!$CV$3,K229,IF(L229='S1&amp;2 Lists'!$CV$4,K229/'S1&amp;2 Lists'!$CQ$6,0)),3)</f>
        <v>0</v>
      </c>
      <c r="Q229" s="326" t="s">
        <v>264</v>
      </c>
    </row>
    <row r="230" spans="1:17" s="756" customFormat="1" ht="24" customHeight="1">
      <c r="A230" s="975"/>
      <c r="B230" s="975"/>
      <c r="C230" s="1027"/>
      <c r="D230" s="975"/>
      <c r="E230" s="980"/>
      <c r="F230" s="975"/>
      <c r="G230" s="979"/>
      <c r="H230" s="975"/>
      <c r="I230" s="980"/>
      <c r="J230" s="975"/>
      <c r="K230" s="975"/>
      <c r="L230" s="975"/>
      <c r="M230" s="755" t="e">
        <f>+VLOOKUP(G230,'S1&amp;2 Lists'!$C$8:$G$134,3,FALSE)</f>
        <v>#N/A</v>
      </c>
      <c r="N230" s="755" t="e">
        <f t="shared" si="3"/>
        <v>#N/A</v>
      </c>
      <c r="P230" s="1049">
        <f>ROUND(IF(L230='S1&amp;2 Lists'!$CV$3,K230,IF(L230='S1&amp;2 Lists'!$CV$4,K230/'S1&amp;2 Lists'!$CQ$6,0)),3)</f>
        <v>0</v>
      </c>
      <c r="Q230" s="326" t="s">
        <v>264</v>
      </c>
    </row>
    <row r="231" spans="1:17" s="756" customFormat="1" ht="24" customHeight="1">
      <c r="A231" s="975"/>
      <c r="B231" s="975"/>
      <c r="C231" s="1027"/>
      <c r="D231" s="975"/>
      <c r="E231" s="980"/>
      <c r="F231" s="975"/>
      <c r="G231" s="979"/>
      <c r="H231" s="975"/>
      <c r="I231" s="980"/>
      <c r="J231" s="975"/>
      <c r="K231" s="975"/>
      <c r="L231" s="975"/>
      <c r="M231" s="755" t="e">
        <f>+VLOOKUP(G231,'S1&amp;2 Lists'!$C$8:$G$134,3,FALSE)</f>
        <v>#N/A</v>
      </c>
      <c r="N231" s="755" t="e">
        <f t="shared" si="3"/>
        <v>#N/A</v>
      </c>
      <c r="P231" s="1049">
        <f>ROUND(IF(L231='S1&amp;2 Lists'!$CV$3,K231,IF(L231='S1&amp;2 Lists'!$CV$4,K231/'S1&amp;2 Lists'!$CQ$6,0)),3)</f>
        <v>0</v>
      </c>
      <c r="Q231" s="326" t="s">
        <v>264</v>
      </c>
    </row>
    <row r="232" spans="1:17" s="756" customFormat="1" ht="24" customHeight="1">
      <c r="A232" s="975"/>
      <c r="B232" s="975"/>
      <c r="C232" s="1027"/>
      <c r="D232" s="975"/>
      <c r="E232" s="980"/>
      <c r="F232" s="975"/>
      <c r="G232" s="979"/>
      <c r="H232" s="975"/>
      <c r="I232" s="980"/>
      <c r="J232" s="975"/>
      <c r="K232" s="975"/>
      <c r="L232" s="975"/>
      <c r="M232" s="755" t="e">
        <f>+VLOOKUP(G232,'S1&amp;2 Lists'!$C$8:$G$134,3,FALSE)</f>
        <v>#N/A</v>
      </c>
      <c r="N232" s="755" t="e">
        <f t="shared" si="3"/>
        <v>#N/A</v>
      </c>
      <c r="P232" s="1049">
        <f>ROUND(IF(L232='S1&amp;2 Lists'!$CV$3,K232,IF(L232='S1&amp;2 Lists'!$CV$4,K232/'S1&amp;2 Lists'!$CQ$6,0)),3)</f>
        <v>0</v>
      </c>
      <c r="Q232" s="326" t="s">
        <v>264</v>
      </c>
    </row>
    <row r="233" spans="1:17" s="756" customFormat="1" ht="24" customHeight="1">
      <c r="A233" s="975"/>
      <c r="B233" s="975"/>
      <c r="C233" s="1027"/>
      <c r="D233" s="975"/>
      <c r="E233" s="980"/>
      <c r="F233" s="975"/>
      <c r="G233" s="979"/>
      <c r="H233" s="975"/>
      <c r="I233" s="980"/>
      <c r="J233" s="975"/>
      <c r="K233" s="975"/>
      <c r="L233" s="975"/>
      <c r="M233" s="755" t="e">
        <f>+VLOOKUP(G233,'S1&amp;2 Lists'!$C$8:$G$134,3,FALSE)</f>
        <v>#N/A</v>
      </c>
      <c r="N233" s="755" t="e">
        <f t="shared" si="3"/>
        <v>#N/A</v>
      </c>
      <c r="P233" s="1049">
        <f>ROUND(IF(L233='S1&amp;2 Lists'!$CV$3,K233,IF(L233='S1&amp;2 Lists'!$CV$4,K233/'S1&amp;2 Lists'!$CQ$6,0)),3)</f>
        <v>0</v>
      </c>
      <c r="Q233" s="326" t="s">
        <v>264</v>
      </c>
    </row>
    <row r="234" spans="1:17" s="756" customFormat="1" ht="24" customHeight="1">
      <c r="A234" s="975"/>
      <c r="B234" s="975"/>
      <c r="C234" s="1027"/>
      <c r="D234" s="975"/>
      <c r="E234" s="980"/>
      <c r="F234" s="975"/>
      <c r="G234" s="979"/>
      <c r="H234" s="975"/>
      <c r="I234" s="980"/>
      <c r="J234" s="975"/>
      <c r="K234" s="975"/>
      <c r="L234" s="975"/>
      <c r="M234" s="755" t="e">
        <f>+VLOOKUP(G234,'S1&amp;2 Lists'!$C$8:$G$134,3,FALSE)</f>
        <v>#N/A</v>
      </c>
      <c r="N234" s="755" t="e">
        <f t="shared" si="3"/>
        <v>#N/A</v>
      </c>
      <c r="P234" s="1049">
        <f>ROUND(IF(L234='S1&amp;2 Lists'!$CV$3,K234,IF(L234='S1&amp;2 Lists'!$CV$4,K234/'S1&amp;2 Lists'!$CQ$6,0)),3)</f>
        <v>0</v>
      </c>
      <c r="Q234" s="326" t="s">
        <v>264</v>
      </c>
    </row>
    <row r="235" spans="1:17" s="756" customFormat="1" ht="24" customHeight="1">
      <c r="A235" s="975"/>
      <c r="B235" s="975"/>
      <c r="C235" s="1027"/>
      <c r="D235" s="975"/>
      <c r="E235" s="980"/>
      <c r="F235" s="975"/>
      <c r="G235" s="979"/>
      <c r="H235" s="975"/>
      <c r="I235" s="980"/>
      <c r="J235" s="975"/>
      <c r="K235" s="975"/>
      <c r="L235" s="975"/>
      <c r="M235" s="755" t="e">
        <f>+VLOOKUP(G235,'S1&amp;2 Lists'!$C$8:$G$134,3,FALSE)</f>
        <v>#N/A</v>
      </c>
      <c r="N235" s="755" t="e">
        <f t="shared" si="3"/>
        <v>#N/A</v>
      </c>
      <c r="P235" s="1049">
        <f>ROUND(IF(L235='S1&amp;2 Lists'!$CV$3,K235,IF(L235='S1&amp;2 Lists'!$CV$4,K235/'S1&amp;2 Lists'!$CQ$6,0)),3)</f>
        <v>0</v>
      </c>
      <c r="Q235" s="326" t="s">
        <v>264</v>
      </c>
    </row>
    <row r="236" spans="1:17" s="756" customFormat="1" ht="24" customHeight="1">
      <c r="A236" s="975"/>
      <c r="B236" s="975"/>
      <c r="C236" s="1027"/>
      <c r="D236" s="975"/>
      <c r="E236" s="980"/>
      <c r="F236" s="975"/>
      <c r="G236" s="979"/>
      <c r="H236" s="975"/>
      <c r="I236" s="980"/>
      <c r="J236" s="975"/>
      <c r="K236" s="975"/>
      <c r="L236" s="975"/>
      <c r="M236" s="755" t="e">
        <f>+VLOOKUP(G236,'S1&amp;2 Lists'!$C$8:$G$134,3,FALSE)</f>
        <v>#N/A</v>
      </c>
      <c r="N236" s="755" t="e">
        <f t="shared" si="3"/>
        <v>#N/A</v>
      </c>
      <c r="P236" s="1049">
        <f>ROUND(IF(L236='S1&amp;2 Lists'!$CV$3,K236,IF(L236='S1&amp;2 Lists'!$CV$4,K236/'S1&amp;2 Lists'!$CQ$6,0)),3)</f>
        <v>0</v>
      </c>
      <c r="Q236" s="326" t="s">
        <v>264</v>
      </c>
    </row>
    <row r="237" spans="1:17" s="756" customFormat="1" ht="24" customHeight="1">
      <c r="A237" s="975"/>
      <c r="B237" s="975"/>
      <c r="C237" s="1027"/>
      <c r="D237" s="975"/>
      <c r="E237" s="980"/>
      <c r="F237" s="975"/>
      <c r="G237" s="979"/>
      <c r="H237" s="975"/>
      <c r="I237" s="980"/>
      <c r="J237" s="975"/>
      <c r="K237" s="975"/>
      <c r="L237" s="975"/>
      <c r="M237" s="755" t="e">
        <f>+VLOOKUP(G237,'S1&amp;2 Lists'!$C$8:$G$134,3,FALSE)</f>
        <v>#N/A</v>
      </c>
      <c r="N237" s="755" t="e">
        <f t="shared" si="3"/>
        <v>#N/A</v>
      </c>
      <c r="P237" s="1049">
        <f>ROUND(IF(L237='S1&amp;2 Lists'!$CV$3,K237,IF(L237='S1&amp;2 Lists'!$CV$4,K237/'S1&amp;2 Lists'!$CQ$6,0)),3)</f>
        <v>0</v>
      </c>
      <c r="Q237" s="326" t="s">
        <v>264</v>
      </c>
    </row>
    <row r="238" spans="1:17" s="756" customFormat="1" ht="24" customHeight="1">
      <c r="A238" s="975"/>
      <c r="B238" s="975"/>
      <c r="C238" s="1027"/>
      <c r="D238" s="975"/>
      <c r="E238" s="980"/>
      <c r="F238" s="975"/>
      <c r="G238" s="979"/>
      <c r="H238" s="975"/>
      <c r="I238" s="980"/>
      <c r="J238" s="975"/>
      <c r="K238" s="975"/>
      <c r="L238" s="975"/>
      <c r="M238" s="755" t="e">
        <f>+VLOOKUP(G238,'S1&amp;2 Lists'!$C$8:$G$134,3,FALSE)</f>
        <v>#N/A</v>
      </c>
      <c r="N238" s="755" t="e">
        <f t="shared" si="3"/>
        <v>#N/A</v>
      </c>
      <c r="P238" s="1049">
        <f>ROUND(IF(L238='S1&amp;2 Lists'!$CV$3,K238,IF(L238='S1&amp;2 Lists'!$CV$4,K238/'S1&amp;2 Lists'!$CQ$6,0)),3)</f>
        <v>0</v>
      </c>
      <c r="Q238" s="326" t="s">
        <v>264</v>
      </c>
    </row>
    <row r="239" spans="1:17" s="756" customFormat="1" ht="24" customHeight="1">
      <c r="A239" s="975"/>
      <c r="B239" s="975"/>
      <c r="C239" s="1027"/>
      <c r="D239" s="975"/>
      <c r="E239" s="980"/>
      <c r="F239" s="975"/>
      <c r="G239" s="979"/>
      <c r="H239" s="975"/>
      <c r="I239" s="980"/>
      <c r="J239" s="975"/>
      <c r="K239" s="975"/>
      <c r="L239" s="975"/>
      <c r="M239" s="755" t="e">
        <f>+VLOOKUP(G239,'S1&amp;2 Lists'!$C$8:$G$134,3,FALSE)</f>
        <v>#N/A</v>
      </c>
      <c r="N239" s="755" t="e">
        <f t="shared" si="3"/>
        <v>#N/A</v>
      </c>
      <c r="P239" s="1049">
        <f>ROUND(IF(L239='S1&amp;2 Lists'!$CV$3,K239,IF(L239='S1&amp;2 Lists'!$CV$4,K239/'S1&amp;2 Lists'!$CQ$6,0)),3)</f>
        <v>0</v>
      </c>
      <c r="Q239" s="326" t="s">
        <v>264</v>
      </c>
    </row>
    <row r="240" spans="1:17" s="756" customFormat="1" ht="24" customHeight="1">
      <c r="A240" s="975"/>
      <c r="B240" s="975"/>
      <c r="C240" s="1027"/>
      <c r="D240" s="975"/>
      <c r="E240" s="980"/>
      <c r="F240" s="975"/>
      <c r="G240" s="979"/>
      <c r="H240" s="975"/>
      <c r="I240" s="980"/>
      <c r="J240" s="975"/>
      <c r="K240" s="975"/>
      <c r="L240" s="975"/>
      <c r="M240" s="755" t="e">
        <f>+VLOOKUP(G240,'S1&amp;2 Lists'!$C$8:$G$134,3,FALSE)</f>
        <v>#N/A</v>
      </c>
      <c r="N240" s="755" t="e">
        <f t="shared" si="3"/>
        <v>#N/A</v>
      </c>
      <c r="P240" s="1049">
        <f>ROUND(IF(L240='S1&amp;2 Lists'!$CV$3,K240,IF(L240='S1&amp;2 Lists'!$CV$4,K240/'S1&amp;2 Lists'!$CQ$6,0)),3)</f>
        <v>0</v>
      </c>
      <c r="Q240" s="326" t="s">
        <v>264</v>
      </c>
    </row>
    <row r="241" spans="1:17" s="756" customFormat="1" ht="24" customHeight="1">
      <c r="A241" s="975"/>
      <c r="B241" s="975"/>
      <c r="C241" s="1027"/>
      <c r="D241" s="975"/>
      <c r="E241" s="980"/>
      <c r="F241" s="975"/>
      <c r="G241" s="979"/>
      <c r="H241" s="975"/>
      <c r="I241" s="980"/>
      <c r="J241" s="975"/>
      <c r="K241" s="975"/>
      <c r="L241" s="975"/>
      <c r="M241" s="755" t="e">
        <f>+VLOOKUP(G241,'S1&amp;2 Lists'!$C$8:$G$134,3,FALSE)</f>
        <v>#N/A</v>
      </c>
      <c r="N241" s="755" t="e">
        <f t="shared" si="3"/>
        <v>#N/A</v>
      </c>
      <c r="P241" s="1049">
        <f>ROUND(IF(L241='S1&amp;2 Lists'!$CV$3,K241,IF(L241='S1&amp;2 Lists'!$CV$4,K241/'S1&amp;2 Lists'!$CQ$6,0)),3)</f>
        <v>0</v>
      </c>
      <c r="Q241" s="326" t="s">
        <v>264</v>
      </c>
    </row>
    <row r="242" spans="1:17" s="756" customFormat="1" ht="24" customHeight="1">
      <c r="A242" s="975"/>
      <c r="B242" s="975"/>
      <c r="C242" s="1027"/>
      <c r="D242" s="975"/>
      <c r="E242" s="980"/>
      <c r="F242" s="975"/>
      <c r="G242" s="979"/>
      <c r="H242" s="975"/>
      <c r="I242" s="980"/>
      <c r="J242" s="975"/>
      <c r="K242" s="975"/>
      <c r="L242" s="975"/>
      <c r="M242" s="755" t="e">
        <f>+VLOOKUP(G242,'S1&amp;2 Lists'!$C$8:$G$134,3,FALSE)</f>
        <v>#N/A</v>
      </c>
      <c r="N242" s="755" t="e">
        <f t="shared" si="3"/>
        <v>#N/A</v>
      </c>
      <c r="P242" s="1049">
        <f>ROUND(IF(L242='S1&amp;2 Lists'!$CV$3,K242,IF(L242='S1&amp;2 Lists'!$CV$4,K242/'S1&amp;2 Lists'!$CQ$6,0)),3)</f>
        <v>0</v>
      </c>
      <c r="Q242" s="326" t="s">
        <v>264</v>
      </c>
    </row>
    <row r="243" spans="1:17" s="756" customFormat="1" ht="24" customHeight="1">
      <c r="A243" s="975"/>
      <c r="B243" s="975"/>
      <c r="C243" s="1027"/>
      <c r="D243" s="975"/>
      <c r="E243" s="980"/>
      <c r="F243" s="975"/>
      <c r="G243" s="979"/>
      <c r="H243" s="975"/>
      <c r="I243" s="980"/>
      <c r="J243" s="975"/>
      <c r="K243" s="975"/>
      <c r="L243" s="975"/>
      <c r="M243" s="755" t="e">
        <f>+VLOOKUP(G243,'S1&amp;2 Lists'!$C$8:$G$134,3,FALSE)</f>
        <v>#N/A</v>
      </c>
      <c r="N243" s="755" t="e">
        <f t="shared" si="3"/>
        <v>#N/A</v>
      </c>
      <c r="P243" s="1049">
        <f>ROUND(IF(L243='S1&amp;2 Lists'!$CV$3,K243,IF(L243='S1&amp;2 Lists'!$CV$4,K243/'S1&amp;2 Lists'!$CQ$6,0)),3)</f>
        <v>0</v>
      </c>
      <c r="Q243" s="326" t="s">
        <v>264</v>
      </c>
    </row>
    <row r="244" spans="1:17" s="756" customFormat="1" ht="24" customHeight="1">
      <c r="A244" s="975"/>
      <c r="B244" s="975"/>
      <c r="C244" s="1027"/>
      <c r="D244" s="975"/>
      <c r="E244" s="980"/>
      <c r="F244" s="975"/>
      <c r="G244" s="979"/>
      <c r="H244" s="975"/>
      <c r="I244" s="980"/>
      <c r="J244" s="975"/>
      <c r="K244" s="975"/>
      <c r="L244" s="975"/>
      <c r="M244" s="755" t="e">
        <f>+VLOOKUP(G244,'S1&amp;2 Lists'!$C$8:$G$134,3,FALSE)</f>
        <v>#N/A</v>
      </c>
      <c r="N244" s="755" t="e">
        <f t="shared" si="3"/>
        <v>#N/A</v>
      </c>
      <c r="P244" s="1049">
        <f>ROUND(IF(L244='S1&amp;2 Lists'!$CV$3,K244,IF(L244='S1&amp;2 Lists'!$CV$4,K244/'S1&amp;2 Lists'!$CQ$6,0)),3)</f>
        <v>0</v>
      </c>
      <c r="Q244" s="326" t="s">
        <v>264</v>
      </c>
    </row>
    <row r="245" spans="1:17" s="756" customFormat="1" ht="24" customHeight="1">
      <c r="A245" s="975"/>
      <c r="B245" s="975"/>
      <c r="C245" s="1027"/>
      <c r="D245" s="975"/>
      <c r="E245" s="980"/>
      <c r="F245" s="975"/>
      <c r="G245" s="979"/>
      <c r="H245" s="975"/>
      <c r="I245" s="980"/>
      <c r="J245" s="975"/>
      <c r="K245" s="975"/>
      <c r="L245" s="975"/>
      <c r="M245" s="755" t="e">
        <f>+VLOOKUP(G245,'S1&amp;2 Lists'!$C$8:$G$134,3,FALSE)</f>
        <v>#N/A</v>
      </c>
      <c r="N245" s="755" t="e">
        <f t="shared" si="3"/>
        <v>#N/A</v>
      </c>
      <c r="P245" s="1049">
        <f>ROUND(IF(L245='S1&amp;2 Lists'!$CV$3,K245,IF(L245='S1&amp;2 Lists'!$CV$4,K245/'S1&amp;2 Lists'!$CQ$6,0)),3)</f>
        <v>0</v>
      </c>
      <c r="Q245" s="326" t="s">
        <v>264</v>
      </c>
    </row>
    <row r="246" spans="1:17" s="756" customFormat="1" ht="24" customHeight="1">
      <c r="A246" s="975"/>
      <c r="B246" s="975"/>
      <c r="C246" s="1027"/>
      <c r="D246" s="975"/>
      <c r="E246" s="980"/>
      <c r="F246" s="975"/>
      <c r="G246" s="979"/>
      <c r="H246" s="975"/>
      <c r="I246" s="980"/>
      <c r="J246" s="975"/>
      <c r="K246" s="975"/>
      <c r="L246" s="975"/>
      <c r="M246" s="755" t="e">
        <f>+VLOOKUP(G246,'S1&amp;2 Lists'!$C$8:$G$134,3,FALSE)</f>
        <v>#N/A</v>
      </c>
      <c r="N246" s="755" t="e">
        <f t="shared" si="3"/>
        <v>#N/A</v>
      </c>
      <c r="P246" s="1049">
        <f>ROUND(IF(L246='S1&amp;2 Lists'!$CV$3,K246,IF(L246='S1&amp;2 Lists'!$CV$4,K246/'S1&amp;2 Lists'!$CQ$6,0)),3)</f>
        <v>0</v>
      </c>
      <c r="Q246" s="326" t="s">
        <v>264</v>
      </c>
    </row>
    <row r="247" spans="1:17" s="756" customFormat="1" ht="24" customHeight="1">
      <c r="A247" s="975"/>
      <c r="B247" s="975"/>
      <c r="C247" s="1027"/>
      <c r="D247" s="975"/>
      <c r="E247" s="980"/>
      <c r="F247" s="975"/>
      <c r="G247" s="979"/>
      <c r="H247" s="975"/>
      <c r="I247" s="980"/>
      <c r="J247" s="975"/>
      <c r="K247" s="975"/>
      <c r="L247" s="975"/>
      <c r="M247" s="755" t="e">
        <f>+VLOOKUP(G247,'S1&amp;2 Lists'!$C$8:$G$134,3,FALSE)</f>
        <v>#N/A</v>
      </c>
      <c r="N247" s="755" t="e">
        <f t="shared" si="3"/>
        <v>#N/A</v>
      </c>
      <c r="P247" s="1049">
        <f>ROUND(IF(L247='S1&amp;2 Lists'!$CV$3,K247,IF(L247='S1&amp;2 Lists'!$CV$4,K247/'S1&amp;2 Lists'!$CQ$6,0)),3)</f>
        <v>0</v>
      </c>
      <c r="Q247" s="326" t="s">
        <v>264</v>
      </c>
    </row>
    <row r="248" spans="1:17" s="756" customFormat="1" ht="24" customHeight="1">
      <c r="A248" s="975"/>
      <c r="B248" s="975"/>
      <c r="C248" s="1027"/>
      <c r="D248" s="975"/>
      <c r="E248" s="980"/>
      <c r="F248" s="975"/>
      <c r="G248" s="979"/>
      <c r="H248" s="975"/>
      <c r="I248" s="980"/>
      <c r="J248" s="975"/>
      <c r="K248" s="975"/>
      <c r="L248" s="975"/>
      <c r="M248" s="755" t="e">
        <f>+VLOOKUP(G248,'S1&amp;2 Lists'!$C$8:$G$134,3,FALSE)</f>
        <v>#N/A</v>
      </c>
      <c r="N248" s="755" t="e">
        <f t="shared" si="3"/>
        <v>#N/A</v>
      </c>
      <c r="P248" s="1049">
        <f>ROUND(IF(L248='S1&amp;2 Lists'!$CV$3,K248,IF(L248='S1&amp;2 Lists'!$CV$4,K248/'S1&amp;2 Lists'!$CQ$6,0)),3)</f>
        <v>0</v>
      </c>
      <c r="Q248" s="326" t="s">
        <v>264</v>
      </c>
    </row>
    <row r="249" spans="1:17" s="756" customFormat="1" ht="24" customHeight="1">
      <c r="A249" s="975"/>
      <c r="B249" s="975"/>
      <c r="C249" s="1027"/>
      <c r="D249" s="975"/>
      <c r="E249" s="980"/>
      <c r="F249" s="975"/>
      <c r="G249" s="979"/>
      <c r="H249" s="975"/>
      <c r="I249" s="980"/>
      <c r="J249" s="975"/>
      <c r="K249" s="975"/>
      <c r="L249" s="975"/>
      <c r="M249" s="755" t="e">
        <f>+VLOOKUP(G249,'S1&amp;2 Lists'!$C$8:$G$134,3,FALSE)</f>
        <v>#N/A</v>
      </c>
      <c r="N249" s="755" t="e">
        <f t="shared" si="3"/>
        <v>#N/A</v>
      </c>
      <c r="P249" s="1049">
        <f>ROUND(IF(L249='S1&amp;2 Lists'!$CV$3,K249,IF(L249='S1&amp;2 Lists'!$CV$4,K249/'S1&amp;2 Lists'!$CQ$6,0)),3)</f>
        <v>0</v>
      </c>
      <c r="Q249" s="326" t="s">
        <v>264</v>
      </c>
    </row>
    <row r="250" spans="1:17" s="756" customFormat="1" ht="24" customHeight="1">
      <c r="A250" s="975"/>
      <c r="B250" s="975"/>
      <c r="C250" s="1027"/>
      <c r="D250" s="975"/>
      <c r="E250" s="980"/>
      <c r="F250" s="975"/>
      <c r="G250" s="979"/>
      <c r="H250" s="975"/>
      <c r="I250" s="980"/>
      <c r="J250" s="975"/>
      <c r="K250" s="975"/>
      <c r="L250" s="975"/>
      <c r="M250" s="755" t="e">
        <f>+VLOOKUP(G250,'S1&amp;2 Lists'!$C$8:$G$134,3,FALSE)</f>
        <v>#N/A</v>
      </c>
      <c r="N250" s="755" t="e">
        <f t="shared" si="3"/>
        <v>#N/A</v>
      </c>
      <c r="P250" s="1049">
        <f>ROUND(IF(L250='S1&amp;2 Lists'!$CV$3,K250,IF(L250='S1&amp;2 Lists'!$CV$4,K250/'S1&amp;2 Lists'!$CQ$6,0)),3)</f>
        <v>0</v>
      </c>
      <c r="Q250" s="326" t="s">
        <v>264</v>
      </c>
    </row>
    <row r="251" spans="1:17" s="756" customFormat="1" ht="24" customHeight="1">
      <c r="A251" s="975"/>
      <c r="B251" s="975"/>
      <c r="C251" s="1027"/>
      <c r="D251" s="975"/>
      <c r="E251" s="980"/>
      <c r="F251" s="975"/>
      <c r="G251" s="979"/>
      <c r="H251" s="975"/>
      <c r="I251" s="980"/>
      <c r="J251" s="975"/>
      <c r="K251" s="975"/>
      <c r="L251" s="975"/>
      <c r="M251" s="755" t="e">
        <f>+VLOOKUP(G251,'S1&amp;2 Lists'!$C$8:$G$134,3,FALSE)</f>
        <v>#N/A</v>
      </c>
      <c r="N251" s="755" t="e">
        <f t="shared" si="3"/>
        <v>#N/A</v>
      </c>
      <c r="P251" s="1049">
        <f>ROUND(IF(L251='S1&amp;2 Lists'!$CV$3,K251,IF(L251='S1&amp;2 Lists'!$CV$4,K251/'S1&amp;2 Lists'!$CQ$6,0)),3)</f>
        <v>0</v>
      </c>
      <c r="Q251" s="326" t="s">
        <v>264</v>
      </c>
    </row>
    <row r="252" spans="1:17" s="756" customFormat="1" ht="24" customHeight="1">
      <c r="A252" s="975"/>
      <c r="B252" s="975"/>
      <c r="C252" s="1027"/>
      <c r="D252" s="975"/>
      <c r="E252" s="980"/>
      <c r="F252" s="975"/>
      <c r="G252" s="979"/>
      <c r="H252" s="975"/>
      <c r="I252" s="980"/>
      <c r="J252" s="975"/>
      <c r="K252" s="975"/>
      <c r="L252" s="975"/>
      <c r="M252" s="755" t="e">
        <f>+VLOOKUP(G252,'S1&amp;2 Lists'!$C$8:$G$134,3,FALSE)</f>
        <v>#N/A</v>
      </c>
      <c r="N252" s="755" t="e">
        <f t="shared" si="3"/>
        <v>#N/A</v>
      </c>
      <c r="P252" s="1049">
        <f>ROUND(IF(L252='S1&amp;2 Lists'!$CV$3,K252,IF(L252='S1&amp;2 Lists'!$CV$4,K252/'S1&amp;2 Lists'!$CQ$6,0)),3)</f>
        <v>0</v>
      </c>
      <c r="Q252" s="326" t="s">
        <v>264</v>
      </c>
    </row>
    <row r="253" spans="1:17" s="756" customFormat="1" ht="24" customHeight="1">
      <c r="A253" s="975"/>
      <c r="B253" s="975"/>
      <c r="C253" s="1027"/>
      <c r="D253" s="975"/>
      <c r="E253" s="980"/>
      <c r="F253" s="975"/>
      <c r="G253" s="979"/>
      <c r="H253" s="975"/>
      <c r="I253" s="980"/>
      <c r="J253" s="975"/>
      <c r="K253" s="975"/>
      <c r="L253" s="975"/>
      <c r="M253" s="755" t="e">
        <f>+VLOOKUP(G253,'S1&amp;2 Lists'!$C$8:$G$134,3,FALSE)</f>
        <v>#N/A</v>
      </c>
      <c r="N253" s="755" t="e">
        <f t="shared" si="3"/>
        <v>#N/A</v>
      </c>
      <c r="P253" s="1049">
        <f>ROUND(IF(L253='S1&amp;2 Lists'!$CV$3,K253,IF(L253='S1&amp;2 Lists'!$CV$4,K253/'S1&amp;2 Lists'!$CQ$6,0)),3)</f>
        <v>0</v>
      </c>
      <c r="Q253" s="326" t="s">
        <v>264</v>
      </c>
    </row>
    <row r="254" spans="1:17" s="756" customFormat="1" ht="24" customHeight="1">
      <c r="A254" s="975"/>
      <c r="B254" s="975"/>
      <c r="C254" s="1027"/>
      <c r="D254" s="975"/>
      <c r="E254" s="980"/>
      <c r="F254" s="975"/>
      <c r="G254" s="979"/>
      <c r="H254" s="975"/>
      <c r="I254" s="980"/>
      <c r="J254" s="975"/>
      <c r="K254" s="975"/>
      <c r="L254" s="975"/>
      <c r="M254" s="755" t="e">
        <f>+VLOOKUP(G254,'S1&amp;2 Lists'!$C$8:$G$134,3,FALSE)</f>
        <v>#N/A</v>
      </c>
      <c r="N254" s="755" t="e">
        <f t="shared" si="3"/>
        <v>#N/A</v>
      </c>
      <c r="P254" s="1049">
        <f>ROUND(IF(L254='S1&amp;2 Lists'!$CV$3,K254,IF(L254='S1&amp;2 Lists'!$CV$4,K254/'S1&amp;2 Lists'!$CQ$6,0)),3)</f>
        <v>0</v>
      </c>
      <c r="Q254" s="326" t="s">
        <v>264</v>
      </c>
    </row>
    <row r="255" spans="1:17" s="756" customFormat="1" ht="24" customHeight="1">
      <c r="A255" s="975"/>
      <c r="B255" s="975"/>
      <c r="C255" s="1027"/>
      <c r="D255" s="975"/>
      <c r="E255" s="980"/>
      <c r="F255" s="975"/>
      <c r="G255" s="979"/>
      <c r="H255" s="975"/>
      <c r="I255" s="980"/>
      <c r="J255" s="975"/>
      <c r="K255" s="975"/>
      <c r="L255" s="975"/>
      <c r="M255" s="755" t="e">
        <f>+VLOOKUP(G255,'S1&amp;2 Lists'!$C$8:$G$134,3,FALSE)</f>
        <v>#N/A</v>
      </c>
      <c r="N255" s="755" t="e">
        <f t="shared" si="3"/>
        <v>#N/A</v>
      </c>
      <c r="P255" s="1049">
        <f>ROUND(IF(L255='S1&amp;2 Lists'!$CV$3,K255,IF(L255='S1&amp;2 Lists'!$CV$4,K255/'S1&amp;2 Lists'!$CQ$6,0)),3)</f>
        <v>0</v>
      </c>
      <c r="Q255" s="326" t="s">
        <v>264</v>
      </c>
    </row>
    <row r="256" spans="1:17" s="756" customFormat="1" ht="24" customHeight="1">
      <c r="A256" s="975"/>
      <c r="B256" s="975"/>
      <c r="C256" s="1027"/>
      <c r="D256" s="975"/>
      <c r="E256" s="980"/>
      <c r="F256" s="975"/>
      <c r="G256" s="979"/>
      <c r="H256" s="975"/>
      <c r="I256" s="980"/>
      <c r="J256" s="975"/>
      <c r="K256" s="975"/>
      <c r="L256" s="975"/>
      <c r="M256" s="755" t="e">
        <f>+VLOOKUP(G256,'S1&amp;2 Lists'!$C$8:$G$134,3,FALSE)</f>
        <v>#N/A</v>
      </c>
      <c r="N256" s="755" t="e">
        <f t="shared" si="3"/>
        <v>#N/A</v>
      </c>
      <c r="P256" s="1049">
        <f>ROUND(IF(L256='S1&amp;2 Lists'!$CV$3,K256,IF(L256='S1&amp;2 Lists'!$CV$4,K256/'S1&amp;2 Lists'!$CQ$6,0)),3)</f>
        <v>0</v>
      </c>
      <c r="Q256" s="326" t="s">
        <v>264</v>
      </c>
    </row>
    <row r="257" spans="1:17" s="756" customFormat="1" ht="24" customHeight="1">
      <c r="A257" s="975"/>
      <c r="B257" s="975"/>
      <c r="C257" s="1027"/>
      <c r="D257" s="975"/>
      <c r="E257" s="980"/>
      <c r="F257" s="975"/>
      <c r="G257" s="979"/>
      <c r="H257" s="975"/>
      <c r="I257" s="980"/>
      <c r="J257" s="975"/>
      <c r="K257" s="975"/>
      <c r="L257" s="975"/>
      <c r="M257" s="755" t="e">
        <f>+VLOOKUP(G257,'S1&amp;2 Lists'!$C$8:$G$134,3,FALSE)</f>
        <v>#N/A</v>
      </c>
      <c r="N257" s="755" t="e">
        <f t="shared" si="3"/>
        <v>#N/A</v>
      </c>
      <c r="P257" s="1049">
        <f>ROUND(IF(L257='S1&amp;2 Lists'!$CV$3,K257,IF(L257='S1&amp;2 Lists'!$CV$4,K257/'S1&amp;2 Lists'!$CQ$6,0)),3)</f>
        <v>0</v>
      </c>
      <c r="Q257" s="326" t="s">
        <v>264</v>
      </c>
    </row>
    <row r="258" spans="1:17" s="756" customFormat="1" ht="24" customHeight="1">
      <c r="A258" s="975"/>
      <c r="B258" s="975"/>
      <c r="C258" s="1027"/>
      <c r="D258" s="975"/>
      <c r="E258" s="980"/>
      <c r="F258" s="975"/>
      <c r="G258" s="979"/>
      <c r="H258" s="975"/>
      <c r="I258" s="980"/>
      <c r="J258" s="975"/>
      <c r="K258" s="975"/>
      <c r="L258" s="975"/>
      <c r="M258" s="755" t="e">
        <f>+VLOOKUP(G258,'S1&amp;2 Lists'!$C$8:$G$134,3,FALSE)</f>
        <v>#N/A</v>
      </c>
      <c r="N258" s="755" t="e">
        <f t="shared" si="3"/>
        <v>#N/A</v>
      </c>
      <c r="P258" s="1049">
        <f>ROUND(IF(L258='S1&amp;2 Lists'!$CV$3,K258,IF(L258='S1&amp;2 Lists'!$CV$4,K258/'S1&amp;2 Lists'!$CQ$6,0)),3)</f>
        <v>0</v>
      </c>
      <c r="Q258" s="326" t="s">
        <v>264</v>
      </c>
    </row>
    <row r="259" spans="1:17" s="756" customFormat="1" ht="24" customHeight="1">
      <c r="A259" s="975"/>
      <c r="B259" s="975"/>
      <c r="C259" s="1027"/>
      <c r="D259" s="975"/>
      <c r="E259" s="980"/>
      <c r="F259" s="975"/>
      <c r="G259" s="979"/>
      <c r="H259" s="975"/>
      <c r="I259" s="980"/>
      <c r="J259" s="975"/>
      <c r="K259" s="975"/>
      <c r="L259" s="975"/>
      <c r="M259" s="755" t="e">
        <f>+VLOOKUP(G259,'S1&amp;2 Lists'!$C$8:$G$134,3,FALSE)</f>
        <v>#N/A</v>
      </c>
      <c r="N259" s="755" t="e">
        <f t="shared" si="3"/>
        <v>#N/A</v>
      </c>
      <c r="P259" s="1049">
        <f>ROUND(IF(L259='S1&amp;2 Lists'!$CV$3,K259,IF(L259='S1&amp;2 Lists'!$CV$4,K259/'S1&amp;2 Lists'!$CQ$6,0)),3)</f>
        <v>0</v>
      </c>
      <c r="Q259" s="326" t="s">
        <v>264</v>
      </c>
    </row>
    <row r="260" spans="1:17" s="756" customFormat="1" ht="24" customHeight="1">
      <c r="A260" s="975"/>
      <c r="B260" s="975"/>
      <c r="C260" s="1027"/>
      <c r="D260" s="975"/>
      <c r="E260" s="980"/>
      <c r="F260" s="975"/>
      <c r="G260" s="979"/>
      <c r="H260" s="975"/>
      <c r="I260" s="980"/>
      <c r="J260" s="975"/>
      <c r="K260" s="975"/>
      <c r="L260" s="975"/>
      <c r="M260" s="755" t="e">
        <f>+VLOOKUP(G260,'S1&amp;2 Lists'!$C$8:$G$134,3,FALSE)</f>
        <v>#N/A</v>
      </c>
      <c r="N260" s="755" t="e">
        <f t="shared" si="3"/>
        <v>#N/A</v>
      </c>
      <c r="P260" s="1049">
        <f>ROUND(IF(L260='S1&amp;2 Lists'!$CV$3,K260,IF(L260='S1&amp;2 Lists'!$CV$4,K260/'S1&amp;2 Lists'!$CQ$6,0)),3)</f>
        <v>0</v>
      </c>
      <c r="Q260" s="326" t="s">
        <v>264</v>
      </c>
    </row>
    <row r="261" spans="1:17" s="756" customFormat="1" ht="24" customHeight="1">
      <c r="A261" s="975"/>
      <c r="B261" s="975"/>
      <c r="C261" s="1027"/>
      <c r="D261" s="975"/>
      <c r="E261" s="980"/>
      <c r="F261" s="975"/>
      <c r="G261" s="979"/>
      <c r="H261" s="975"/>
      <c r="I261" s="980"/>
      <c r="J261" s="975"/>
      <c r="K261" s="975"/>
      <c r="L261" s="975"/>
      <c r="M261" s="755" t="e">
        <f>+VLOOKUP(G261,'S1&amp;2 Lists'!$C$8:$G$134,3,FALSE)</f>
        <v>#N/A</v>
      </c>
      <c r="N261" s="755" t="e">
        <f t="shared" si="3"/>
        <v>#N/A</v>
      </c>
      <c r="P261" s="1049">
        <f>ROUND(IF(L261='S1&amp;2 Lists'!$CV$3,K261,IF(L261='S1&amp;2 Lists'!$CV$4,K261/'S1&amp;2 Lists'!$CQ$6,0)),3)</f>
        <v>0</v>
      </c>
      <c r="Q261" s="326" t="s">
        <v>264</v>
      </c>
    </row>
    <row r="262" spans="1:17" s="756" customFormat="1" ht="24" customHeight="1">
      <c r="A262" s="975"/>
      <c r="B262" s="975"/>
      <c r="C262" s="1027"/>
      <c r="D262" s="975"/>
      <c r="E262" s="980"/>
      <c r="F262" s="975"/>
      <c r="G262" s="979"/>
      <c r="H262" s="975"/>
      <c r="I262" s="980"/>
      <c r="J262" s="975"/>
      <c r="K262" s="975"/>
      <c r="L262" s="975"/>
      <c r="M262" s="755" t="e">
        <f>+VLOOKUP(G262,'S1&amp;2 Lists'!$C$8:$G$134,3,FALSE)</f>
        <v>#N/A</v>
      </c>
      <c r="N262" s="755" t="e">
        <f t="shared" si="3"/>
        <v>#N/A</v>
      </c>
      <c r="P262" s="1049">
        <f>ROUND(IF(L262='S1&amp;2 Lists'!$CV$3,K262,IF(L262='S1&amp;2 Lists'!$CV$4,K262/'S1&amp;2 Lists'!$CQ$6,0)),3)</f>
        <v>0</v>
      </c>
      <c r="Q262" s="326" t="s">
        <v>264</v>
      </c>
    </row>
    <row r="263" spans="1:17" s="756" customFormat="1" ht="24" customHeight="1">
      <c r="A263" s="975"/>
      <c r="B263" s="975"/>
      <c r="C263" s="1027"/>
      <c r="D263" s="975"/>
      <c r="E263" s="980"/>
      <c r="F263" s="975"/>
      <c r="G263" s="979"/>
      <c r="H263" s="975"/>
      <c r="I263" s="980"/>
      <c r="J263" s="975"/>
      <c r="K263" s="975"/>
      <c r="L263" s="975"/>
      <c r="M263" s="755" t="e">
        <f>+VLOOKUP(G263,'S1&amp;2 Lists'!$C$8:$G$134,3,FALSE)</f>
        <v>#N/A</v>
      </c>
      <c r="N263" s="755" t="e">
        <f t="shared" si="3"/>
        <v>#N/A</v>
      </c>
      <c r="P263" s="1049">
        <f>ROUND(IF(L263='S1&amp;2 Lists'!$CV$3,K263,IF(L263='S1&amp;2 Lists'!$CV$4,K263/'S1&amp;2 Lists'!$CQ$6,0)),3)</f>
        <v>0</v>
      </c>
      <c r="Q263" s="326" t="s">
        <v>264</v>
      </c>
    </row>
    <row r="264" spans="1:17" s="756" customFormat="1" ht="24" customHeight="1">
      <c r="A264" s="975"/>
      <c r="B264" s="975"/>
      <c r="C264" s="1027"/>
      <c r="D264" s="975"/>
      <c r="E264" s="980"/>
      <c r="F264" s="975"/>
      <c r="G264" s="979"/>
      <c r="H264" s="975"/>
      <c r="I264" s="980"/>
      <c r="J264" s="975"/>
      <c r="K264" s="975"/>
      <c r="L264" s="975"/>
      <c r="M264" s="755" t="e">
        <f>+VLOOKUP(G264,'S1&amp;2 Lists'!$C$8:$G$134,3,FALSE)</f>
        <v>#N/A</v>
      </c>
      <c r="N264" s="755" t="e">
        <f t="shared" si="3"/>
        <v>#N/A</v>
      </c>
      <c r="P264" s="1049">
        <f>ROUND(IF(L264='S1&amp;2 Lists'!$CV$3,K264,IF(L264='S1&amp;2 Lists'!$CV$4,K264/'S1&amp;2 Lists'!$CQ$6,0)),3)</f>
        <v>0</v>
      </c>
      <c r="Q264" s="326" t="s">
        <v>264</v>
      </c>
    </row>
    <row r="265" spans="1:17" s="756" customFormat="1" ht="24" customHeight="1">
      <c r="A265" s="975"/>
      <c r="B265" s="975"/>
      <c r="C265" s="1027"/>
      <c r="D265" s="975"/>
      <c r="E265" s="980"/>
      <c r="F265" s="975"/>
      <c r="G265" s="979"/>
      <c r="H265" s="975"/>
      <c r="I265" s="980"/>
      <c r="J265" s="975"/>
      <c r="K265" s="975"/>
      <c r="L265" s="975"/>
      <c r="M265" s="755" t="e">
        <f>+VLOOKUP(G265,'S1&amp;2 Lists'!$C$8:$G$134,3,FALSE)</f>
        <v>#N/A</v>
      </c>
      <c r="N265" s="755" t="e">
        <f t="shared" si="3"/>
        <v>#N/A</v>
      </c>
      <c r="P265" s="1049">
        <f>ROUND(IF(L265='S1&amp;2 Lists'!$CV$3,K265,IF(L265='S1&amp;2 Lists'!$CV$4,K265/'S1&amp;2 Lists'!$CQ$6,0)),3)</f>
        <v>0</v>
      </c>
      <c r="Q265" s="326" t="s">
        <v>264</v>
      </c>
    </row>
    <row r="266" spans="1:17" s="756" customFormat="1" ht="24" customHeight="1">
      <c r="A266" s="975"/>
      <c r="B266" s="975"/>
      <c r="C266" s="1027"/>
      <c r="D266" s="975"/>
      <c r="E266" s="980"/>
      <c r="F266" s="975"/>
      <c r="G266" s="979"/>
      <c r="H266" s="975"/>
      <c r="I266" s="980"/>
      <c r="J266" s="975"/>
      <c r="K266" s="975"/>
      <c r="L266" s="975"/>
      <c r="M266" s="755" t="e">
        <f>+VLOOKUP(G266,'S1&amp;2 Lists'!$C$8:$G$134,3,FALSE)</f>
        <v>#N/A</v>
      </c>
      <c r="N266" s="755" t="e">
        <f t="shared" ref="N266:N329" si="4">+P266*M266</f>
        <v>#N/A</v>
      </c>
      <c r="P266" s="1049">
        <f>ROUND(IF(L266='S1&amp;2 Lists'!$CV$3,K266,IF(L266='S1&amp;2 Lists'!$CV$4,K266/'S1&amp;2 Lists'!$CQ$6,0)),3)</f>
        <v>0</v>
      </c>
      <c r="Q266" s="326" t="s">
        <v>264</v>
      </c>
    </row>
    <row r="267" spans="1:17" s="756" customFormat="1" ht="24" customHeight="1">
      <c r="A267" s="975"/>
      <c r="B267" s="975"/>
      <c r="C267" s="1027"/>
      <c r="D267" s="975"/>
      <c r="E267" s="980"/>
      <c r="F267" s="975"/>
      <c r="G267" s="979"/>
      <c r="H267" s="975"/>
      <c r="I267" s="980"/>
      <c r="J267" s="975"/>
      <c r="K267" s="975"/>
      <c r="L267" s="975"/>
      <c r="M267" s="755" t="e">
        <f>+VLOOKUP(G267,'S1&amp;2 Lists'!$C$8:$G$134,3,FALSE)</f>
        <v>#N/A</v>
      </c>
      <c r="N267" s="755" t="e">
        <f t="shared" si="4"/>
        <v>#N/A</v>
      </c>
      <c r="P267" s="1049">
        <f>ROUND(IF(L267='S1&amp;2 Lists'!$CV$3,K267,IF(L267='S1&amp;2 Lists'!$CV$4,K267/'S1&amp;2 Lists'!$CQ$6,0)),3)</f>
        <v>0</v>
      </c>
      <c r="Q267" s="326" t="s">
        <v>264</v>
      </c>
    </row>
    <row r="268" spans="1:17" s="756" customFormat="1" ht="24" customHeight="1">
      <c r="A268" s="975"/>
      <c r="B268" s="975"/>
      <c r="C268" s="1027"/>
      <c r="D268" s="975"/>
      <c r="E268" s="980"/>
      <c r="F268" s="975"/>
      <c r="G268" s="979"/>
      <c r="H268" s="975"/>
      <c r="I268" s="980"/>
      <c r="J268" s="975"/>
      <c r="K268" s="975"/>
      <c r="L268" s="975"/>
      <c r="M268" s="755" t="e">
        <f>+VLOOKUP(G268,'S1&amp;2 Lists'!$C$8:$G$134,3,FALSE)</f>
        <v>#N/A</v>
      </c>
      <c r="N268" s="755" t="e">
        <f t="shared" si="4"/>
        <v>#N/A</v>
      </c>
      <c r="P268" s="1049">
        <f>ROUND(IF(L268='S1&amp;2 Lists'!$CV$3,K268,IF(L268='S1&amp;2 Lists'!$CV$4,K268/'S1&amp;2 Lists'!$CQ$6,0)),3)</f>
        <v>0</v>
      </c>
      <c r="Q268" s="326" t="s">
        <v>264</v>
      </c>
    </row>
    <row r="269" spans="1:17" s="756" customFormat="1" ht="24" customHeight="1">
      <c r="A269" s="975"/>
      <c r="B269" s="975"/>
      <c r="C269" s="1027"/>
      <c r="D269" s="975"/>
      <c r="E269" s="980"/>
      <c r="F269" s="975"/>
      <c r="G269" s="979"/>
      <c r="H269" s="975"/>
      <c r="I269" s="980"/>
      <c r="J269" s="975"/>
      <c r="K269" s="975"/>
      <c r="L269" s="975"/>
      <c r="M269" s="755" t="e">
        <f>+VLOOKUP(G269,'S1&amp;2 Lists'!$C$8:$G$134,3,FALSE)</f>
        <v>#N/A</v>
      </c>
      <c r="N269" s="755" t="e">
        <f t="shared" si="4"/>
        <v>#N/A</v>
      </c>
      <c r="P269" s="1049">
        <f>ROUND(IF(L269='S1&amp;2 Lists'!$CV$3,K269,IF(L269='S1&amp;2 Lists'!$CV$4,K269/'S1&amp;2 Lists'!$CQ$6,0)),3)</f>
        <v>0</v>
      </c>
      <c r="Q269" s="326" t="s">
        <v>264</v>
      </c>
    </row>
    <row r="270" spans="1:17" s="756" customFormat="1" ht="24" customHeight="1">
      <c r="A270" s="975"/>
      <c r="B270" s="975"/>
      <c r="C270" s="1027"/>
      <c r="D270" s="975"/>
      <c r="E270" s="980"/>
      <c r="F270" s="975"/>
      <c r="G270" s="979"/>
      <c r="H270" s="975"/>
      <c r="I270" s="980"/>
      <c r="J270" s="975"/>
      <c r="K270" s="975"/>
      <c r="L270" s="975"/>
      <c r="M270" s="755" t="e">
        <f>+VLOOKUP(G270,'S1&amp;2 Lists'!$C$8:$G$134,3,FALSE)</f>
        <v>#N/A</v>
      </c>
      <c r="N270" s="755" t="e">
        <f t="shared" si="4"/>
        <v>#N/A</v>
      </c>
      <c r="P270" s="1049">
        <f>ROUND(IF(L270='S1&amp;2 Lists'!$CV$3,K270,IF(L270='S1&amp;2 Lists'!$CV$4,K270/'S1&amp;2 Lists'!$CQ$6,0)),3)</f>
        <v>0</v>
      </c>
      <c r="Q270" s="326" t="s">
        <v>264</v>
      </c>
    </row>
    <row r="271" spans="1:17" s="756" customFormat="1" ht="24" customHeight="1">
      <c r="A271" s="975"/>
      <c r="B271" s="975"/>
      <c r="C271" s="1027"/>
      <c r="D271" s="975"/>
      <c r="E271" s="980"/>
      <c r="F271" s="975"/>
      <c r="G271" s="979"/>
      <c r="H271" s="975"/>
      <c r="I271" s="980"/>
      <c r="J271" s="975"/>
      <c r="K271" s="975"/>
      <c r="L271" s="975"/>
      <c r="M271" s="755" t="e">
        <f>+VLOOKUP(G271,'S1&amp;2 Lists'!$C$8:$G$134,3,FALSE)</f>
        <v>#N/A</v>
      </c>
      <c r="N271" s="755" t="e">
        <f t="shared" si="4"/>
        <v>#N/A</v>
      </c>
      <c r="P271" s="1049">
        <f>ROUND(IF(L271='S1&amp;2 Lists'!$CV$3,K271,IF(L271='S1&amp;2 Lists'!$CV$4,K271/'S1&amp;2 Lists'!$CQ$6,0)),3)</f>
        <v>0</v>
      </c>
      <c r="Q271" s="326" t="s">
        <v>264</v>
      </c>
    </row>
    <row r="272" spans="1:17" s="756" customFormat="1" ht="24" customHeight="1">
      <c r="A272" s="975"/>
      <c r="B272" s="975"/>
      <c r="C272" s="1027"/>
      <c r="D272" s="975"/>
      <c r="E272" s="980"/>
      <c r="F272" s="975"/>
      <c r="G272" s="979"/>
      <c r="H272" s="975"/>
      <c r="I272" s="980"/>
      <c r="J272" s="975"/>
      <c r="K272" s="975"/>
      <c r="L272" s="975"/>
      <c r="M272" s="755" t="e">
        <f>+VLOOKUP(G272,'S1&amp;2 Lists'!$C$8:$G$134,3,FALSE)</f>
        <v>#N/A</v>
      </c>
      <c r="N272" s="755" t="e">
        <f t="shared" si="4"/>
        <v>#N/A</v>
      </c>
      <c r="P272" s="1049">
        <f>ROUND(IF(L272='S1&amp;2 Lists'!$CV$3,K272,IF(L272='S1&amp;2 Lists'!$CV$4,K272/'S1&amp;2 Lists'!$CQ$6,0)),3)</f>
        <v>0</v>
      </c>
      <c r="Q272" s="326" t="s">
        <v>264</v>
      </c>
    </row>
    <row r="273" spans="1:17" s="756" customFormat="1" ht="24" customHeight="1">
      <c r="A273" s="975"/>
      <c r="B273" s="975"/>
      <c r="C273" s="1027"/>
      <c r="D273" s="975"/>
      <c r="E273" s="980"/>
      <c r="F273" s="975"/>
      <c r="G273" s="979"/>
      <c r="H273" s="975"/>
      <c r="I273" s="980"/>
      <c r="J273" s="975"/>
      <c r="K273" s="975"/>
      <c r="L273" s="975"/>
      <c r="M273" s="755" t="e">
        <f>+VLOOKUP(G273,'S1&amp;2 Lists'!$C$8:$G$134,3,FALSE)</f>
        <v>#N/A</v>
      </c>
      <c r="N273" s="755" t="e">
        <f t="shared" si="4"/>
        <v>#N/A</v>
      </c>
      <c r="P273" s="1049">
        <f>ROUND(IF(L273='S1&amp;2 Lists'!$CV$3,K273,IF(L273='S1&amp;2 Lists'!$CV$4,K273/'S1&amp;2 Lists'!$CQ$6,0)),3)</f>
        <v>0</v>
      </c>
      <c r="Q273" s="326" t="s">
        <v>264</v>
      </c>
    </row>
    <row r="274" spans="1:17" s="756" customFormat="1" ht="24" customHeight="1">
      <c r="A274" s="975"/>
      <c r="B274" s="975"/>
      <c r="C274" s="1027"/>
      <c r="D274" s="975"/>
      <c r="E274" s="980"/>
      <c r="F274" s="975"/>
      <c r="G274" s="979"/>
      <c r="H274" s="975"/>
      <c r="I274" s="980"/>
      <c r="J274" s="975"/>
      <c r="K274" s="975"/>
      <c r="L274" s="975"/>
      <c r="M274" s="755" t="e">
        <f>+VLOOKUP(G274,'S1&amp;2 Lists'!$C$8:$G$134,3,FALSE)</f>
        <v>#N/A</v>
      </c>
      <c r="N274" s="755" t="e">
        <f t="shared" si="4"/>
        <v>#N/A</v>
      </c>
      <c r="P274" s="1049">
        <f>ROUND(IF(L274='S1&amp;2 Lists'!$CV$3,K274,IF(L274='S1&amp;2 Lists'!$CV$4,K274/'S1&amp;2 Lists'!$CQ$6,0)),3)</f>
        <v>0</v>
      </c>
      <c r="Q274" s="326" t="s">
        <v>264</v>
      </c>
    </row>
    <row r="275" spans="1:17" s="756" customFormat="1" ht="24" customHeight="1">
      <c r="A275" s="975"/>
      <c r="B275" s="975"/>
      <c r="C275" s="1027"/>
      <c r="D275" s="975"/>
      <c r="E275" s="980"/>
      <c r="F275" s="975"/>
      <c r="G275" s="979"/>
      <c r="H275" s="975"/>
      <c r="I275" s="980"/>
      <c r="J275" s="975"/>
      <c r="K275" s="975"/>
      <c r="L275" s="975"/>
      <c r="M275" s="755" t="e">
        <f>+VLOOKUP(G275,'S1&amp;2 Lists'!$C$8:$G$134,3,FALSE)</f>
        <v>#N/A</v>
      </c>
      <c r="N275" s="755" t="e">
        <f t="shared" si="4"/>
        <v>#N/A</v>
      </c>
      <c r="P275" s="1049">
        <f>ROUND(IF(L275='S1&amp;2 Lists'!$CV$3,K275,IF(L275='S1&amp;2 Lists'!$CV$4,K275/'S1&amp;2 Lists'!$CQ$6,0)),3)</f>
        <v>0</v>
      </c>
      <c r="Q275" s="326" t="s">
        <v>264</v>
      </c>
    </row>
    <row r="276" spans="1:17" s="756" customFormat="1" ht="24" customHeight="1">
      <c r="A276" s="975"/>
      <c r="B276" s="975"/>
      <c r="C276" s="1027"/>
      <c r="D276" s="975"/>
      <c r="E276" s="980"/>
      <c r="F276" s="975"/>
      <c r="G276" s="979"/>
      <c r="H276" s="975"/>
      <c r="I276" s="980"/>
      <c r="J276" s="975"/>
      <c r="K276" s="975"/>
      <c r="L276" s="975"/>
      <c r="M276" s="755" t="e">
        <f>+VLOOKUP(G276,'S1&amp;2 Lists'!$C$8:$G$134,3,FALSE)</f>
        <v>#N/A</v>
      </c>
      <c r="N276" s="755" t="e">
        <f t="shared" si="4"/>
        <v>#N/A</v>
      </c>
      <c r="P276" s="1049">
        <f>ROUND(IF(L276='S1&amp;2 Lists'!$CV$3,K276,IF(L276='S1&amp;2 Lists'!$CV$4,K276/'S1&amp;2 Lists'!$CQ$6,0)),3)</f>
        <v>0</v>
      </c>
      <c r="Q276" s="326" t="s">
        <v>264</v>
      </c>
    </row>
    <row r="277" spans="1:17" s="756" customFormat="1" ht="24" customHeight="1">
      <c r="A277" s="975"/>
      <c r="B277" s="975"/>
      <c r="C277" s="1027"/>
      <c r="D277" s="975"/>
      <c r="E277" s="980"/>
      <c r="F277" s="975"/>
      <c r="G277" s="979"/>
      <c r="H277" s="975"/>
      <c r="I277" s="980"/>
      <c r="J277" s="975"/>
      <c r="K277" s="975"/>
      <c r="L277" s="975"/>
      <c r="M277" s="755" t="e">
        <f>+VLOOKUP(G277,'S1&amp;2 Lists'!$C$8:$G$134,3,FALSE)</f>
        <v>#N/A</v>
      </c>
      <c r="N277" s="755" t="e">
        <f t="shared" si="4"/>
        <v>#N/A</v>
      </c>
      <c r="P277" s="1049">
        <f>ROUND(IF(L277='S1&amp;2 Lists'!$CV$3,K277,IF(L277='S1&amp;2 Lists'!$CV$4,K277/'S1&amp;2 Lists'!$CQ$6,0)),3)</f>
        <v>0</v>
      </c>
      <c r="Q277" s="326" t="s">
        <v>264</v>
      </c>
    </row>
    <row r="278" spans="1:17" s="756" customFormat="1" ht="24" customHeight="1">
      <c r="A278" s="975"/>
      <c r="B278" s="975"/>
      <c r="C278" s="1027"/>
      <c r="D278" s="975"/>
      <c r="E278" s="980"/>
      <c r="F278" s="975"/>
      <c r="G278" s="979"/>
      <c r="H278" s="975"/>
      <c r="I278" s="980"/>
      <c r="J278" s="975"/>
      <c r="K278" s="975"/>
      <c r="L278" s="975"/>
      <c r="M278" s="755" t="e">
        <f>+VLOOKUP(G278,'S1&amp;2 Lists'!$C$8:$G$134,3,FALSE)</f>
        <v>#N/A</v>
      </c>
      <c r="N278" s="755" t="e">
        <f t="shared" si="4"/>
        <v>#N/A</v>
      </c>
      <c r="P278" s="1049">
        <f>ROUND(IF(L278='S1&amp;2 Lists'!$CV$3,K278,IF(L278='S1&amp;2 Lists'!$CV$4,K278/'S1&amp;2 Lists'!$CQ$6,0)),3)</f>
        <v>0</v>
      </c>
      <c r="Q278" s="326" t="s">
        <v>264</v>
      </c>
    </row>
    <row r="279" spans="1:17" s="756" customFormat="1" ht="24" customHeight="1">
      <c r="A279" s="975"/>
      <c r="B279" s="975"/>
      <c r="C279" s="1027"/>
      <c r="D279" s="975"/>
      <c r="E279" s="980"/>
      <c r="F279" s="975"/>
      <c r="G279" s="979"/>
      <c r="H279" s="975"/>
      <c r="I279" s="980"/>
      <c r="J279" s="975"/>
      <c r="K279" s="975"/>
      <c r="L279" s="975"/>
      <c r="M279" s="755" t="e">
        <f>+VLOOKUP(G279,'S1&amp;2 Lists'!$C$8:$G$134,3,FALSE)</f>
        <v>#N/A</v>
      </c>
      <c r="N279" s="755" t="e">
        <f t="shared" si="4"/>
        <v>#N/A</v>
      </c>
      <c r="P279" s="1049">
        <f>ROUND(IF(L279='S1&amp;2 Lists'!$CV$3,K279,IF(L279='S1&amp;2 Lists'!$CV$4,K279/'S1&amp;2 Lists'!$CQ$6,0)),3)</f>
        <v>0</v>
      </c>
      <c r="Q279" s="326" t="s">
        <v>264</v>
      </c>
    </row>
    <row r="280" spans="1:17" s="756" customFormat="1" ht="24" customHeight="1">
      <c r="A280" s="975"/>
      <c r="B280" s="975"/>
      <c r="C280" s="1027"/>
      <c r="D280" s="975"/>
      <c r="E280" s="980"/>
      <c r="F280" s="975"/>
      <c r="G280" s="979"/>
      <c r="H280" s="975"/>
      <c r="I280" s="980"/>
      <c r="J280" s="975"/>
      <c r="K280" s="975"/>
      <c r="L280" s="975"/>
      <c r="M280" s="755" t="e">
        <f>+VLOOKUP(G280,'S1&amp;2 Lists'!$C$8:$G$134,3,FALSE)</f>
        <v>#N/A</v>
      </c>
      <c r="N280" s="755" t="e">
        <f t="shared" si="4"/>
        <v>#N/A</v>
      </c>
      <c r="P280" s="1049">
        <f>ROUND(IF(L280='S1&amp;2 Lists'!$CV$3,K280,IF(L280='S1&amp;2 Lists'!$CV$4,K280/'S1&amp;2 Lists'!$CQ$6,0)),3)</f>
        <v>0</v>
      </c>
      <c r="Q280" s="326" t="s">
        <v>264</v>
      </c>
    </row>
    <row r="281" spans="1:17" s="756" customFormat="1" ht="24" customHeight="1">
      <c r="A281" s="975"/>
      <c r="B281" s="975"/>
      <c r="C281" s="1027"/>
      <c r="D281" s="975"/>
      <c r="E281" s="980"/>
      <c r="F281" s="975"/>
      <c r="G281" s="979"/>
      <c r="H281" s="975"/>
      <c r="I281" s="980"/>
      <c r="J281" s="975"/>
      <c r="K281" s="975"/>
      <c r="L281" s="975"/>
      <c r="M281" s="755" t="e">
        <f>+VLOOKUP(G281,'S1&amp;2 Lists'!$C$8:$G$134,3,FALSE)</f>
        <v>#N/A</v>
      </c>
      <c r="N281" s="755" t="e">
        <f t="shared" si="4"/>
        <v>#N/A</v>
      </c>
      <c r="P281" s="1049">
        <f>ROUND(IF(L281='S1&amp;2 Lists'!$CV$3,K281,IF(L281='S1&amp;2 Lists'!$CV$4,K281/'S1&amp;2 Lists'!$CQ$6,0)),3)</f>
        <v>0</v>
      </c>
      <c r="Q281" s="326" t="s">
        <v>264</v>
      </c>
    </row>
    <row r="282" spans="1:17" s="756" customFormat="1" ht="24" customHeight="1">
      <c r="A282" s="975"/>
      <c r="B282" s="975"/>
      <c r="C282" s="1027"/>
      <c r="D282" s="975"/>
      <c r="E282" s="980"/>
      <c r="F282" s="975"/>
      <c r="G282" s="979"/>
      <c r="H282" s="975"/>
      <c r="I282" s="980"/>
      <c r="J282" s="975"/>
      <c r="K282" s="975"/>
      <c r="L282" s="975"/>
      <c r="M282" s="755" t="e">
        <f>+VLOOKUP(G282,'S1&amp;2 Lists'!$C$8:$G$134,3,FALSE)</f>
        <v>#N/A</v>
      </c>
      <c r="N282" s="755" t="e">
        <f t="shared" si="4"/>
        <v>#N/A</v>
      </c>
      <c r="P282" s="1049">
        <f>ROUND(IF(L282='S1&amp;2 Lists'!$CV$3,K282,IF(L282='S1&amp;2 Lists'!$CV$4,K282/'S1&amp;2 Lists'!$CQ$6,0)),3)</f>
        <v>0</v>
      </c>
      <c r="Q282" s="326" t="s">
        <v>264</v>
      </c>
    </row>
    <row r="283" spans="1:17" s="756" customFormat="1" ht="24" customHeight="1">
      <c r="A283" s="975"/>
      <c r="B283" s="975"/>
      <c r="C283" s="1027"/>
      <c r="D283" s="975"/>
      <c r="E283" s="980"/>
      <c r="F283" s="975"/>
      <c r="G283" s="979"/>
      <c r="H283" s="975"/>
      <c r="I283" s="980"/>
      <c r="J283" s="975"/>
      <c r="K283" s="975"/>
      <c r="L283" s="975"/>
      <c r="M283" s="755" t="e">
        <f>+VLOOKUP(G283,'S1&amp;2 Lists'!$C$8:$G$134,3,FALSE)</f>
        <v>#N/A</v>
      </c>
      <c r="N283" s="755" t="e">
        <f t="shared" si="4"/>
        <v>#N/A</v>
      </c>
      <c r="P283" s="1049">
        <f>ROUND(IF(L283='S1&amp;2 Lists'!$CV$3,K283,IF(L283='S1&amp;2 Lists'!$CV$4,K283/'S1&amp;2 Lists'!$CQ$6,0)),3)</f>
        <v>0</v>
      </c>
      <c r="Q283" s="326" t="s">
        <v>264</v>
      </c>
    </row>
    <row r="284" spans="1:17" s="756" customFormat="1" ht="24" customHeight="1">
      <c r="A284" s="975"/>
      <c r="B284" s="975"/>
      <c r="C284" s="1027"/>
      <c r="D284" s="975"/>
      <c r="E284" s="980"/>
      <c r="F284" s="975"/>
      <c r="G284" s="979"/>
      <c r="H284" s="975"/>
      <c r="I284" s="980"/>
      <c r="J284" s="975"/>
      <c r="K284" s="975"/>
      <c r="L284" s="975"/>
      <c r="M284" s="755" t="e">
        <f>+VLOOKUP(G284,'S1&amp;2 Lists'!$C$8:$G$134,3,FALSE)</f>
        <v>#N/A</v>
      </c>
      <c r="N284" s="755" t="e">
        <f t="shared" si="4"/>
        <v>#N/A</v>
      </c>
      <c r="P284" s="1049">
        <f>ROUND(IF(L284='S1&amp;2 Lists'!$CV$3,K284,IF(L284='S1&amp;2 Lists'!$CV$4,K284/'S1&amp;2 Lists'!$CQ$6,0)),3)</f>
        <v>0</v>
      </c>
      <c r="Q284" s="326" t="s">
        <v>264</v>
      </c>
    </row>
    <row r="285" spans="1:17" s="756" customFormat="1" ht="24" customHeight="1">
      <c r="A285" s="975"/>
      <c r="B285" s="975"/>
      <c r="C285" s="1027"/>
      <c r="D285" s="975"/>
      <c r="E285" s="980"/>
      <c r="F285" s="975"/>
      <c r="G285" s="979"/>
      <c r="H285" s="975"/>
      <c r="I285" s="980"/>
      <c r="J285" s="975"/>
      <c r="K285" s="975"/>
      <c r="L285" s="975"/>
      <c r="M285" s="755" t="e">
        <f>+VLOOKUP(G285,'S1&amp;2 Lists'!$C$8:$G$134,3,FALSE)</f>
        <v>#N/A</v>
      </c>
      <c r="N285" s="755" t="e">
        <f t="shared" si="4"/>
        <v>#N/A</v>
      </c>
      <c r="P285" s="1049">
        <f>ROUND(IF(L285='S1&amp;2 Lists'!$CV$3,K285,IF(L285='S1&amp;2 Lists'!$CV$4,K285/'S1&amp;2 Lists'!$CQ$6,0)),3)</f>
        <v>0</v>
      </c>
      <c r="Q285" s="326" t="s">
        <v>264</v>
      </c>
    </row>
    <row r="286" spans="1:17" s="756" customFormat="1" ht="24" customHeight="1">
      <c r="A286" s="975"/>
      <c r="B286" s="975"/>
      <c r="C286" s="1027"/>
      <c r="D286" s="975"/>
      <c r="E286" s="980"/>
      <c r="F286" s="975"/>
      <c r="G286" s="979"/>
      <c r="H286" s="975"/>
      <c r="I286" s="980"/>
      <c r="J286" s="975"/>
      <c r="K286" s="975"/>
      <c r="L286" s="975"/>
      <c r="M286" s="755" t="e">
        <f>+VLOOKUP(G286,'S1&amp;2 Lists'!$C$8:$G$134,3,FALSE)</f>
        <v>#N/A</v>
      </c>
      <c r="N286" s="755" t="e">
        <f t="shared" si="4"/>
        <v>#N/A</v>
      </c>
      <c r="P286" s="1049">
        <f>ROUND(IF(L286='S1&amp;2 Lists'!$CV$3,K286,IF(L286='S1&amp;2 Lists'!$CV$4,K286/'S1&amp;2 Lists'!$CQ$6,0)),3)</f>
        <v>0</v>
      </c>
      <c r="Q286" s="326" t="s">
        <v>264</v>
      </c>
    </row>
    <row r="287" spans="1:17" s="756" customFormat="1" ht="24" customHeight="1">
      <c r="A287" s="975"/>
      <c r="B287" s="975"/>
      <c r="C287" s="1027"/>
      <c r="D287" s="975"/>
      <c r="E287" s="980"/>
      <c r="F287" s="975"/>
      <c r="G287" s="979"/>
      <c r="H287" s="975"/>
      <c r="I287" s="980"/>
      <c r="J287" s="975"/>
      <c r="K287" s="975"/>
      <c r="L287" s="975"/>
      <c r="M287" s="755" t="e">
        <f>+VLOOKUP(G287,'S1&amp;2 Lists'!$C$8:$G$134,3,FALSE)</f>
        <v>#N/A</v>
      </c>
      <c r="N287" s="755" t="e">
        <f t="shared" si="4"/>
        <v>#N/A</v>
      </c>
      <c r="P287" s="1049">
        <f>ROUND(IF(L287='S1&amp;2 Lists'!$CV$3,K287,IF(L287='S1&amp;2 Lists'!$CV$4,K287/'S1&amp;2 Lists'!$CQ$6,0)),3)</f>
        <v>0</v>
      </c>
      <c r="Q287" s="326" t="s">
        <v>264</v>
      </c>
    </row>
    <row r="288" spans="1:17" s="756" customFormat="1" ht="24" customHeight="1">
      <c r="A288" s="975"/>
      <c r="B288" s="975"/>
      <c r="C288" s="1027"/>
      <c r="D288" s="975"/>
      <c r="E288" s="980"/>
      <c r="F288" s="975"/>
      <c r="G288" s="979"/>
      <c r="H288" s="975"/>
      <c r="I288" s="980"/>
      <c r="J288" s="975"/>
      <c r="K288" s="975"/>
      <c r="L288" s="975"/>
      <c r="M288" s="755" t="e">
        <f>+VLOOKUP(G288,'S1&amp;2 Lists'!$C$8:$G$134,3,FALSE)</f>
        <v>#N/A</v>
      </c>
      <c r="N288" s="755" t="e">
        <f t="shared" si="4"/>
        <v>#N/A</v>
      </c>
      <c r="P288" s="1049">
        <f>ROUND(IF(L288='S1&amp;2 Lists'!$CV$3,K288,IF(L288='S1&amp;2 Lists'!$CV$4,K288/'S1&amp;2 Lists'!$CQ$6,0)),3)</f>
        <v>0</v>
      </c>
      <c r="Q288" s="326" t="s">
        <v>264</v>
      </c>
    </row>
    <row r="289" spans="1:17" s="756" customFormat="1" ht="24" customHeight="1">
      <c r="A289" s="975"/>
      <c r="B289" s="975"/>
      <c r="C289" s="1027"/>
      <c r="D289" s="975"/>
      <c r="E289" s="980"/>
      <c r="F289" s="975"/>
      <c r="G289" s="979"/>
      <c r="H289" s="975"/>
      <c r="I289" s="980"/>
      <c r="J289" s="975"/>
      <c r="K289" s="975"/>
      <c r="L289" s="975"/>
      <c r="M289" s="755" t="e">
        <f>+VLOOKUP(G289,'S1&amp;2 Lists'!$C$8:$G$134,3,FALSE)</f>
        <v>#N/A</v>
      </c>
      <c r="N289" s="755" t="e">
        <f t="shared" si="4"/>
        <v>#N/A</v>
      </c>
      <c r="P289" s="1049">
        <f>ROUND(IF(L289='S1&amp;2 Lists'!$CV$3,K289,IF(L289='S1&amp;2 Lists'!$CV$4,K289/'S1&amp;2 Lists'!$CQ$6,0)),3)</f>
        <v>0</v>
      </c>
      <c r="Q289" s="326" t="s">
        <v>264</v>
      </c>
    </row>
    <row r="290" spans="1:17" s="756" customFormat="1" ht="24" customHeight="1">
      <c r="A290" s="975"/>
      <c r="B290" s="975"/>
      <c r="C290" s="1027"/>
      <c r="D290" s="975"/>
      <c r="E290" s="980"/>
      <c r="F290" s="975"/>
      <c r="G290" s="979"/>
      <c r="H290" s="975"/>
      <c r="I290" s="980"/>
      <c r="J290" s="975"/>
      <c r="K290" s="975"/>
      <c r="L290" s="975"/>
      <c r="M290" s="755" t="e">
        <f>+VLOOKUP(G290,'S1&amp;2 Lists'!$C$8:$G$134,3,FALSE)</f>
        <v>#N/A</v>
      </c>
      <c r="N290" s="755" t="e">
        <f t="shared" si="4"/>
        <v>#N/A</v>
      </c>
      <c r="P290" s="1049">
        <f>ROUND(IF(L290='S1&amp;2 Lists'!$CV$3,K290,IF(L290='S1&amp;2 Lists'!$CV$4,K290/'S1&amp;2 Lists'!$CQ$6,0)),3)</f>
        <v>0</v>
      </c>
      <c r="Q290" s="326" t="s">
        <v>264</v>
      </c>
    </row>
    <row r="291" spans="1:17" s="756" customFormat="1" ht="24" customHeight="1">
      <c r="A291" s="975"/>
      <c r="B291" s="975"/>
      <c r="C291" s="1027"/>
      <c r="D291" s="975"/>
      <c r="E291" s="980"/>
      <c r="F291" s="975"/>
      <c r="G291" s="979"/>
      <c r="H291" s="975"/>
      <c r="I291" s="980"/>
      <c r="J291" s="975"/>
      <c r="K291" s="975"/>
      <c r="L291" s="975"/>
      <c r="M291" s="755" t="e">
        <f>+VLOOKUP(G291,'S1&amp;2 Lists'!$C$8:$G$134,3,FALSE)</f>
        <v>#N/A</v>
      </c>
      <c r="N291" s="755" t="e">
        <f t="shared" si="4"/>
        <v>#N/A</v>
      </c>
      <c r="P291" s="1049">
        <f>ROUND(IF(L291='S1&amp;2 Lists'!$CV$3,K291,IF(L291='S1&amp;2 Lists'!$CV$4,K291/'S1&amp;2 Lists'!$CQ$6,0)),3)</f>
        <v>0</v>
      </c>
      <c r="Q291" s="326" t="s">
        <v>264</v>
      </c>
    </row>
    <row r="292" spans="1:17" s="756" customFormat="1" ht="24" customHeight="1">
      <c r="A292" s="975"/>
      <c r="B292" s="975"/>
      <c r="C292" s="1027"/>
      <c r="D292" s="975"/>
      <c r="E292" s="980"/>
      <c r="F292" s="975"/>
      <c r="G292" s="979"/>
      <c r="H292" s="975"/>
      <c r="I292" s="980"/>
      <c r="J292" s="975"/>
      <c r="K292" s="975"/>
      <c r="L292" s="975"/>
      <c r="M292" s="755" t="e">
        <f>+VLOOKUP(G292,'S1&amp;2 Lists'!$C$8:$G$134,3,FALSE)</f>
        <v>#N/A</v>
      </c>
      <c r="N292" s="755" t="e">
        <f t="shared" si="4"/>
        <v>#N/A</v>
      </c>
      <c r="P292" s="1049">
        <f>ROUND(IF(L292='S1&amp;2 Lists'!$CV$3,K292,IF(L292='S1&amp;2 Lists'!$CV$4,K292/'S1&amp;2 Lists'!$CQ$6,0)),3)</f>
        <v>0</v>
      </c>
      <c r="Q292" s="326" t="s">
        <v>264</v>
      </c>
    </row>
    <row r="293" spans="1:17" s="756" customFormat="1" ht="24" customHeight="1">
      <c r="A293" s="975"/>
      <c r="B293" s="975"/>
      <c r="C293" s="1027"/>
      <c r="D293" s="975"/>
      <c r="E293" s="980"/>
      <c r="F293" s="975"/>
      <c r="G293" s="979"/>
      <c r="H293" s="975"/>
      <c r="I293" s="980"/>
      <c r="J293" s="975"/>
      <c r="K293" s="975"/>
      <c r="L293" s="975"/>
      <c r="M293" s="755" t="e">
        <f>+VLOOKUP(G293,'S1&amp;2 Lists'!$C$8:$G$134,3,FALSE)</f>
        <v>#N/A</v>
      </c>
      <c r="N293" s="755" t="e">
        <f t="shared" si="4"/>
        <v>#N/A</v>
      </c>
      <c r="P293" s="1049">
        <f>ROUND(IF(L293='S1&amp;2 Lists'!$CV$3,K293,IF(L293='S1&amp;2 Lists'!$CV$4,K293/'S1&amp;2 Lists'!$CQ$6,0)),3)</f>
        <v>0</v>
      </c>
      <c r="Q293" s="326" t="s">
        <v>264</v>
      </c>
    </row>
    <row r="294" spans="1:17" s="756" customFormat="1" ht="24" customHeight="1">
      <c r="A294" s="975"/>
      <c r="B294" s="975"/>
      <c r="C294" s="1027"/>
      <c r="D294" s="975"/>
      <c r="E294" s="980"/>
      <c r="F294" s="975"/>
      <c r="G294" s="979"/>
      <c r="H294" s="975"/>
      <c r="I294" s="980"/>
      <c r="J294" s="975"/>
      <c r="K294" s="975"/>
      <c r="L294" s="975"/>
      <c r="M294" s="755" t="e">
        <f>+VLOOKUP(G294,'S1&amp;2 Lists'!$C$8:$G$134,3,FALSE)</f>
        <v>#N/A</v>
      </c>
      <c r="N294" s="755" t="e">
        <f t="shared" si="4"/>
        <v>#N/A</v>
      </c>
      <c r="P294" s="1049">
        <f>ROUND(IF(L294='S1&amp;2 Lists'!$CV$3,K294,IF(L294='S1&amp;2 Lists'!$CV$4,K294/'S1&amp;2 Lists'!$CQ$6,0)),3)</f>
        <v>0</v>
      </c>
      <c r="Q294" s="326" t="s">
        <v>264</v>
      </c>
    </row>
    <row r="295" spans="1:17" s="756" customFormat="1" ht="24" customHeight="1">
      <c r="A295" s="975"/>
      <c r="B295" s="975"/>
      <c r="C295" s="1027"/>
      <c r="D295" s="975"/>
      <c r="E295" s="980"/>
      <c r="F295" s="975"/>
      <c r="G295" s="979"/>
      <c r="H295" s="975"/>
      <c r="I295" s="980"/>
      <c r="J295" s="975"/>
      <c r="K295" s="975"/>
      <c r="L295" s="975"/>
      <c r="M295" s="755" t="e">
        <f>+VLOOKUP(G295,'S1&amp;2 Lists'!$C$8:$G$134,3,FALSE)</f>
        <v>#N/A</v>
      </c>
      <c r="N295" s="755" t="e">
        <f t="shared" si="4"/>
        <v>#N/A</v>
      </c>
      <c r="P295" s="1049">
        <f>ROUND(IF(L295='S1&amp;2 Lists'!$CV$3,K295,IF(L295='S1&amp;2 Lists'!$CV$4,K295/'S1&amp;2 Lists'!$CQ$6,0)),3)</f>
        <v>0</v>
      </c>
      <c r="Q295" s="326" t="s">
        <v>264</v>
      </c>
    </row>
    <row r="296" spans="1:17" s="756" customFormat="1" ht="24" customHeight="1">
      <c r="A296" s="975"/>
      <c r="B296" s="975"/>
      <c r="C296" s="1027"/>
      <c r="D296" s="975"/>
      <c r="E296" s="980"/>
      <c r="F296" s="975"/>
      <c r="G296" s="979"/>
      <c r="H296" s="975"/>
      <c r="I296" s="980"/>
      <c r="J296" s="975"/>
      <c r="K296" s="975"/>
      <c r="L296" s="975"/>
      <c r="M296" s="755" t="e">
        <f>+VLOOKUP(G296,'S1&amp;2 Lists'!$C$8:$G$134,3,FALSE)</f>
        <v>#N/A</v>
      </c>
      <c r="N296" s="755" t="e">
        <f t="shared" si="4"/>
        <v>#N/A</v>
      </c>
      <c r="P296" s="1049">
        <f>ROUND(IF(L296='S1&amp;2 Lists'!$CV$3,K296,IF(L296='S1&amp;2 Lists'!$CV$4,K296/'S1&amp;2 Lists'!$CQ$6,0)),3)</f>
        <v>0</v>
      </c>
      <c r="Q296" s="326" t="s">
        <v>264</v>
      </c>
    </row>
    <row r="297" spans="1:17" s="756" customFormat="1" ht="24" customHeight="1">
      <c r="A297" s="975"/>
      <c r="B297" s="975"/>
      <c r="C297" s="1027"/>
      <c r="D297" s="975"/>
      <c r="E297" s="980"/>
      <c r="F297" s="975"/>
      <c r="G297" s="979"/>
      <c r="H297" s="975"/>
      <c r="I297" s="980"/>
      <c r="J297" s="975"/>
      <c r="K297" s="975"/>
      <c r="L297" s="975"/>
      <c r="M297" s="755" t="e">
        <f>+VLOOKUP(G297,'S1&amp;2 Lists'!$C$8:$G$134,3,FALSE)</f>
        <v>#N/A</v>
      </c>
      <c r="N297" s="755" t="e">
        <f t="shared" si="4"/>
        <v>#N/A</v>
      </c>
      <c r="P297" s="1049">
        <f>ROUND(IF(L297='S1&amp;2 Lists'!$CV$3,K297,IF(L297='S1&amp;2 Lists'!$CV$4,K297/'S1&amp;2 Lists'!$CQ$6,0)),3)</f>
        <v>0</v>
      </c>
      <c r="Q297" s="326" t="s">
        <v>264</v>
      </c>
    </row>
    <row r="298" spans="1:17" s="756" customFormat="1" ht="24" customHeight="1">
      <c r="A298" s="975"/>
      <c r="B298" s="975"/>
      <c r="C298" s="1027"/>
      <c r="D298" s="975"/>
      <c r="E298" s="980"/>
      <c r="F298" s="975"/>
      <c r="G298" s="979"/>
      <c r="H298" s="975"/>
      <c r="I298" s="980"/>
      <c r="J298" s="975"/>
      <c r="K298" s="975"/>
      <c r="L298" s="975"/>
      <c r="M298" s="755" t="e">
        <f>+VLOOKUP(G298,'S1&amp;2 Lists'!$C$8:$G$134,3,FALSE)</f>
        <v>#N/A</v>
      </c>
      <c r="N298" s="755" t="e">
        <f t="shared" si="4"/>
        <v>#N/A</v>
      </c>
      <c r="P298" s="1049">
        <f>ROUND(IF(L298='S1&amp;2 Lists'!$CV$3,K298,IF(L298='S1&amp;2 Lists'!$CV$4,K298/'S1&amp;2 Lists'!$CQ$6,0)),3)</f>
        <v>0</v>
      </c>
      <c r="Q298" s="326" t="s">
        <v>264</v>
      </c>
    </row>
    <row r="299" spans="1:17" s="756" customFormat="1" ht="24" customHeight="1">
      <c r="A299" s="975"/>
      <c r="B299" s="975"/>
      <c r="C299" s="1027"/>
      <c r="D299" s="975"/>
      <c r="E299" s="980"/>
      <c r="F299" s="975"/>
      <c r="G299" s="979"/>
      <c r="H299" s="975"/>
      <c r="I299" s="980"/>
      <c r="J299" s="975"/>
      <c r="K299" s="975"/>
      <c r="L299" s="975"/>
      <c r="M299" s="755" t="e">
        <f>+VLOOKUP(G299,'S1&amp;2 Lists'!$C$8:$G$134,3,FALSE)</f>
        <v>#N/A</v>
      </c>
      <c r="N299" s="755" t="e">
        <f t="shared" si="4"/>
        <v>#N/A</v>
      </c>
      <c r="P299" s="1049">
        <f>ROUND(IF(L299='S1&amp;2 Lists'!$CV$3,K299,IF(L299='S1&amp;2 Lists'!$CV$4,K299/'S1&amp;2 Lists'!$CQ$6,0)),3)</f>
        <v>0</v>
      </c>
      <c r="Q299" s="326" t="s">
        <v>264</v>
      </c>
    </row>
    <row r="300" spans="1:17" s="756" customFormat="1" ht="24" customHeight="1">
      <c r="A300" s="975"/>
      <c r="B300" s="975"/>
      <c r="C300" s="1027"/>
      <c r="D300" s="975"/>
      <c r="E300" s="980"/>
      <c r="F300" s="975"/>
      <c r="G300" s="979"/>
      <c r="H300" s="975"/>
      <c r="I300" s="980"/>
      <c r="J300" s="975"/>
      <c r="K300" s="975"/>
      <c r="L300" s="975"/>
      <c r="M300" s="755" t="e">
        <f>+VLOOKUP(G300,'S1&amp;2 Lists'!$C$8:$G$134,3,FALSE)</f>
        <v>#N/A</v>
      </c>
      <c r="N300" s="755" t="e">
        <f t="shared" si="4"/>
        <v>#N/A</v>
      </c>
      <c r="P300" s="1049">
        <f>ROUND(IF(L300='S1&amp;2 Lists'!$CV$3,K300,IF(L300='S1&amp;2 Lists'!$CV$4,K300/'S1&amp;2 Lists'!$CQ$6,0)),3)</f>
        <v>0</v>
      </c>
      <c r="Q300" s="326" t="s">
        <v>264</v>
      </c>
    </row>
    <row r="301" spans="1:17" s="756" customFormat="1" ht="24" customHeight="1">
      <c r="A301" s="975"/>
      <c r="B301" s="975"/>
      <c r="C301" s="1027"/>
      <c r="D301" s="975"/>
      <c r="E301" s="980"/>
      <c r="F301" s="975"/>
      <c r="G301" s="979"/>
      <c r="H301" s="975"/>
      <c r="I301" s="980"/>
      <c r="J301" s="975"/>
      <c r="K301" s="975"/>
      <c r="L301" s="975"/>
      <c r="M301" s="755" t="e">
        <f>+VLOOKUP(G301,'S1&amp;2 Lists'!$C$8:$G$134,3,FALSE)</f>
        <v>#N/A</v>
      </c>
      <c r="N301" s="755" t="e">
        <f t="shared" si="4"/>
        <v>#N/A</v>
      </c>
      <c r="P301" s="1049">
        <f>ROUND(IF(L301='S1&amp;2 Lists'!$CV$3,K301,IF(L301='S1&amp;2 Lists'!$CV$4,K301/'S1&amp;2 Lists'!$CQ$6,0)),3)</f>
        <v>0</v>
      </c>
      <c r="Q301" s="326" t="s">
        <v>264</v>
      </c>
    </row>
    <row r="302" spans="1:17" s="756" customFormat="1" ht="24" customHeight="1">
      <c r="A302" s="975"/>
      <c r="B302" s="975"/>
      <c r="C302" s="1027"/>
      <c r="D302" s="975"/>
      <c r="E302" s="980"/>
      <c r="F302" s="975"/>
      <c r="G302" s="979"/>
      <c r="H302" s="975"/>
      <c r="I302" s="980"/>
      <c r="J302" s="975"/>
      <c r="K302" s="975"/>
      <c r="L302" s="975"/>
      <c r="M302" s="755" t="e">
        <f>+VLOOKUP(G302,'S1&amp;2 Lists'!$C$8:$G$134,3,FALSE)</f>
        <v>#N/A</v>
      </c>
      <c r="N302" s="755" t="e">
        <f t="shared" si="4"/>
        <v>#N/A</v>
      </c>
      <c r="P302" s="1049">
        <f>ROUND(IF(L302='S1&amp;2 Lists'!$CV$3,K302,IF(L302='S1&amp;2 Lists'!$CV$4,K302/'S1&amp;2 Lists'!$CQ$6,0)),3)</f>
        <v>0</v>
      </c>
      <c r="Q302" s="326" t="s">
        <v>264</v>
      </c>
    </row>
    <row r="303" spans="1:17" s="756" customFormat="1" ht="24" customHeight="1">
      <c r="A303" s="975"/>
      <c r="B303" s="975"/>
      <c r="C303" s="1027"/>
      <c r="D303" s="975"/>
      <c r="E303" s="980"/>
      <c r="F303" s="975"/>
      <c r="G303" s="979"/>
      <c r="H303" s="975"/>
      <c r="I303" s="980"/>
      <c r="J303" s="975"/>
      <c r="K303" s="975"/>
      <c r="L303" s="975"/>
      <c r="M303" s="755" t="e">
        <f>+VLOOKUP(G303,'S1&amp;2 Lists'!$C$8:$G$134,3,FALSE)</f>
        <v>#N/A</v>
      </c>
      <c r="N303" s="755" t="e">
        <f t="shared" si="4"/>
        <v>#N/A</v>
      </c>
      <c r="P303" s="1049">
        <f>ROUND(IF(L303='S1&amp;2 Lists'!$CV$3,K303,IF(L303='S1&amp;2 Lists'!$CV$4,K303/'S1&amp;2 Lists'!$CQ$6,0)),3)</f>
        <v>0</v>
      </c>
      <c r="Q303" s="326" t="s">
        <v>264</v>
      </c>
    </row>
    <row r="304" spans="1:17" s="756" customFormat="1" ht="24" customHeight="1">
      <c r="A304" s="975"/>
      <c r="B304" s="975"/>
      <c r="C304" s="1027"/>
      <c r="D304" s="975"/>
      <c r="E304" s="980"/>
      <c r="F304" s="975"/>
      <c r="G304" s="979"/>
      <c r="H304" s="975"/>
      <c r="I304" s="980"/>
      <c r="J304" s="975"/>
      <c r="K304" s="975"/>
      <c r="L304" s="975"/>
      <c r="M304" s="755" t="e">
        <f>+VLOOKUP(G304,'S1&amp;2 Lists'!$C$8:$G$134,3,FALSE)</f>
        <v>#N/A</v>
      </c>
      <c r="N304" s="755" t="e">
        <f t="shared" si="4"/>
        <v>#N/A</v>
      </c>
      <c r="P304" s="1049">
        <f>ROUND(IF(L304='S1&amp;2 Lists'!$CV$3,K304,IF(L304='S1&amp;2 Lists'!$CV$4,K304/'S1&amp;2 Lists'!$CQ$6,0)),3)</f>
        <v>0</v>
      </c>
      <c r="Q304" s="326" t="s">
        <v>264</v>
      </c>
    </row>
    <row r="305" spans="1:17" s="756" customFormat="1" ht="24" customHeight="1">
      <c r="A305" s="975"/>
      <c r="B305" s="975"/>
      <c r="C305" s="1027"/>
      <c r="D305" s="975"/>
      <c r="E305" s="980"/>
      <c r="F305" s="975"/>
      <c r="G305" s="979"/>
      <c r="H305" s="975"/>
      <c r="I305" s="980"/>
      <c r="J305" s="975"/>
      <c r="K305" s="975"/>
      <c r="L305" s="975"/>
      <c r="M305" s="755" t="e">
        <f>+VLOOKUP(G305,'S1&amp;2 Lists'!$C$8:$G$134,3,FALSE)</f>
        <v>#N/A</v>
      </c>
      <c r="N305" s="755" t="e">
        <f t="shared" si="4"/>
        <v>#N/A</v>
      </c>
      <c r="P305" s="1049">
        <f>ROUND(IF(L305='S1&amp;2 Lists'!$CV$3,K305,IF(L305='S1&amp;2 Lists'!$CV$4,K305/'S1&amp;2 Lists'!$CQ$6,0)),3)</f>
        <v>0</v>
      </c>
      <c r="Q305" s="326" t="s">
        <v>264</v>
      </c>
    </row>
    <row r="306" spans="1:17" s="756" customFormat="1" ht="24" customHeight="1">
      <c r="A306" s="975"/>
      <c r="B306" s="975"/>
      <c r="C306" s="1027"/>
      <c r="D306" s="975"/>
      <c r="E306" s="980"/>
      <c r="F306" s="975"/>
      <c r="G306" s="979"/>
      <c r="H306" s="975"/>
      <c r="I306" s="980"/>
      <c r="J306" s="975"/>
      <c r="K306" s="975"/>
      <c r="L306" s="975"/>
      <c r="M306" s="755" t="e">
        <f>+VLOOKUP(G306,'S1&amp;2 Lists'!$C$8:$G$134,3,FALSE)</f>
        <v>#N/A</v>
      </c>
      <c r="N306" s="755" t="e">
        <f t="shared" si="4"/>
        <v>#N/A</v>
      </c>
      <c r="P306" s="1049">
        <f>ROUND(IF(L306='S1&amp;2 Lists'!$CV$3,K306,IF(L306='S1&amp;2 Lists'!$CV$4,K306/'S1&amp;2 Lists'!$CQ$6,0)),3)</f>
        <v>0</v>
      </c>
      <c r="Q306" s="326" t="s">
        <v>264</v>
      </c>
    </row>
    <row r="307" spans="1:17" s="756" customFormat="1" ht="24" customHeight="1">
      <c r="A307" s="975"/>
      <c r="B307" s="975"/>
      <c r="C307" s="1027"/>
      <c r="D307" s="975"/>
      <c r="E307" s="980"/>
      <c r="F307" s="975"/>
      <c r="G307" s="979"/>
      <c r="H307" s="975"/>
      <c r="I307" s="980"/>
      <c r="J307" s="975"/>
      <c r="K307" s="975"/>
      <c r="L307" s="975"/>
      <c r="M307" s="755" t="e">
        <f>+VLOOKUP(G307,'S1&amp;2 Lists'!$C$8:$G$134,3,FALSE)</f>
        <v>#N/A</v>
      </c>
      <c r="N307" s="755" t="e">
        <f t="shared" si="4"/>
        <v>#N/A</v>
      </c>
      <c r="P307" s="1049">
        <f>ROUND(IF(L307='S1&amp;2 Lists'!$CV$3,K307,IF(L307='S1&amp;2 Lists'!$CV$4,K307/'S1&amp;2 Lists'!$CQ$6,0)),3)</f>
        <v>0</v>
      </c>
      <c r="Q307" s="326" t="s">
        <v>264</v>
      </c>
    </row>
    <row r="308" spans="1:17" s="756" customFormat="1" ht="24" customHeight="1">
      <c r="A308" s="975"/>
      <c r="B308" s="975"/>
      <c r="C308" s="1027"/>
      <c r="D308" s="975"/>
      <c r="E308" s="980"/>
      <c r="F308" s="975"/>
      <c r="G308" s="979"/>
      <c r="H308" s="975"/>
      <c r="I308" s="980"/>
      <c r="J308" s="975"/>
      <c r="K308" s="975"/>
      <c r="L308" s="975"/>
      <c r="M308" s="755" t="e">
        <f>+VLOOKUP(G308,'S1&amp;2 Lists'!$C$8:$G$134,3,FALSE)</f>
        <v>#N/A</v>
      </c>
      <c r="N308" s="755" t="e">
        <f t="shared" si="4"/>
        <v>#N/A</v>
      </c>
      <c r="P308" s="1049">
        <f>ROUND(IF(L308='S1&amp;2 Lists'!$CV$3,K308,IF(L308='S1&amp;2 Lists'!$CV$4,K308/'S1&amp;2 Lists'!$CQ$6,0)),3)</f>
        <v>0</v>
      </c>
      <c r="Q308" s="326" t="s">
        <v>264</v>
      </c>
    </row>
    <row r="309" spans="1:17" s="756" customFormat="1" ht="24" customHeight="1">
      <c r="A309" s="975"/>
      <c r="B309" s="975"/>
      <c r="C309" s="1027"/>
      <c r="D309" s="975"/>
      <c r="E309" s="980"/>
      <c r="F309" s="975"/>
      <c r="G309" s="979"/>
      <c r="H309" s="975"/>
      <c r="I309" s="980"/>
      <c r="J309" s="975"/>
      <c r="K309" s="975"/>
      <c r="L309" s="975"/>
      <c r="M309" s="755" t="e">
        <f>+VLOOKUP(G309,'S1&amp;2 Lists'!$C$8:$G$134,3,FALSE)</f>
        <v>#N/A</v>
      </c>
      <c r="N309" s="755" t="e">
        <f t="shared" si="4"/>
        <v>#N/A</v>
      </c>
      <c r="P309" s="1049">
        <f>ROUND(IF(L309='S1&amp;2 Lists'!$CV$3,K309,IF(L309='S1&amp;2 Lists'!$CV$4,K309/'S1&amp;2 Lists'!$CQ$6,0)),3)</f>
        <v>0</v>
      </c>
      <c r="Q309" s="326" t="s">
        <v>264</v>
      </c>
    </row>
    <row r="310" spans="1:17" s="756" customFormat="1" ht="24" customHeight="1">
      <c r="A310" s="975"/>
      <c r="B310" s="975"/>
      <c r="C310" s="1027"/>
      <c r="D310" s="975"/>
      <c r="E310" s="980"/>
      <c r="F310" s="975"/>
      <c r="G310" s="979"/>
      <c r="H310" s="975"/>
      <c r="I310" s="980"/>
      <c r="J310" s="975"/>
      <c r="K310" s="975"/>
      <c r="L310" s="975"/>
      <c r="M310" s="755" t="e">
        <f>+VLOOKUP(G310,'S1&amp;2 Lists'!$C$8:$G$134,3,FALSE)</f>
        <v>#N/A</v>
      </c>
      <c r="N310" s="755" t="e">
        <f t="shared" si="4"/>
        <v>#N/A</v>
      </c>
      <c r="P310" s="1049">
        <f>ROUND(IF(L310='S1&amp;2 Lists'!$CV$3,K310,IF(L310='S1&amp;2 Lists'!$CV$4,K310/'S1&amp;2 Lists'!$CQ$6,0)),3)</f>
        <v>0</v>
      </c>
      <c r="Q310" s="326" t="s">
        <v>264</v>
      </c>
    </row>
    <row r="311" spans="1:17" s="756" customFormat="1" ht="24" customHeight="1">
      <c r="A311" s="975"/>
      <c r="B311" s="975"/>
      <c r="C311" s="1027"/>
      <c r="D311" s="975"/>
      <c r="E311" s="980"/>
      <c r="F311" s="975"/>
      <c r="G311" s="979"/>
      <c r="H311" s="975"/>
      <c r="I311" s="980"/>
      <c r="J311" s="975"/>
      <c r="K311" s="975"/>
      <c r="L311" s="975"/>
      <c r="M311" s="755" t="e">
        <f>+VLOOKUP(G311,'S1&amp;2 Lists'!$C$8:$G$134,3,FALSE)</f>
        <v>#N/A</v>
      </c>
      <c r="N311" s="755" t="e">
        <f t="shared" si="4"/>
        <v>#N/A</v>
      </c>
      <c r="P311" s="1049">
        <f>ROUND(IF(L311='S1&amp;2 Lists'!$CV$3,K311,IF(L311='S1&amp;2 Lists'!$CV$4,K311/'S1&amp;2 Lists'!$CQ$6,0)),3)</f>
        <v>0</v>
      </c>
      <c r="Q311" s="326" t="s">
        <v>264</v>
      </c>
    </row>
    <row r="312" spans="1:17" s="756" customFormat="1" ht="24" customHeight="1">
      <c r="A312" s="975"/>
      <c r="B312" s="975"/>
      <c r="C312" s="1027"/>
      <c r="D312" s="975"/>
      <c r="E312" s="980"/>
      <c r="F312" s="975"/>
      <c r="G312" s="979"/>
      <c r="H312" s="975"/>
      <c r="I312" s="980"/>
      <c r="J312" s="975"/>
      <c r="K312" s="975"/>
      <c r="L312" s="975"/>
      <c r="M312" s="755" t="e">
        <f>+VLOOKUP(G312,'S1&amp;2 Lists'!$C$8:$G$134,3,FALSE)</f>
        <v>#N/A</v>
      </c>
      <c r="N312" s="755" t="e">
        <f t="shared" si="4"/>
        <v>#N/A</v>
      </c>
      <c r="P312" s="1049">
        <f>ROUND(IF(L312='S1&amp;2 Lists'!$CV$3,K312,IF(L312='S1&amp;2 Lists'!$CV$4,K312/'S1&amp;2 Lists'!$CQ$6,0)),3)</f>
        <v>0</v>
      </c>
      <c r="Q312" s="326" t="s">
        <v>264</v>
      </c>
    </row>
    <row r="313" spans="1:17" s="756" customFormat="1" ht="24" customHeight="1">
      <c r="A313" s="975"/>
      <c r="B313" s="975"/>
      <c r="C313" s="1027"/>
      <c r="D313" s="975"/>
      <c r="E313" s="980"/>
      <c r="F313" s="975"/>
      <c r="G313" s="979"/>
      <c r="H313" s="975"/>
      <c r="I313" s="980"/>
      <c r="J313" s="975"/>
      <c r="K313" s="975"/>
      <c r="L313" s="975"/>
      <c r="M313" s="755" t="e">
        <f>+VLOOKUP(G313,'S1&amp;2 Lists'!$C$8:$G$134,3,FALSE)</f>
        <v>#N/A</v>
      </c>
      <c r="N313" s="755" t="e">
        <f t="shared" si="4"/>
        <v>#N/A</v>
      </c>
      <c r="P313" s="1049">
        <f>ROUND(IF(L313='S1&amp;2 Lists'!$CV$3,K313,IF(L313='S1&amp;2 Lists'!$CV$4,K313/'S1&amp;2 Lists'!$CQ$6,0)),3)</f>
        <v>0</v>
      </c>
      <c r="Q313" s="326" t="s">
        <v>264</v>
      </c>
    </row>
    <row r="314" spans="1:17" s="756" customFormat="1" ht="24" customHeight="1">
      <c r="A314" s="975"/>
      <c r="B314" s="975"/>
      <c r="C314" s="1027"/>
      <c r="D314" s="975"/>
      <c r="E314" s="980"/>
      <c r="F314" s="975"/>
      <c r="G314" s="979"/>
      <c r="H314" s="975"/>
      <c r="I314" s="980"/>
      <c r="J314" s="975"/>
      <c r="K314" s="975"/>
      <c r="L314" s="975"/>
      <c r="M314" s="755" t="e">
        <f>+VLOOKUP(G314,'S1&amp;2 Lists'!$C$8:$G$134,3,FALSE)</f>
        <v>#N/A</v>
      </c>
      <c r="N314" s="755" t="e">
        <f t="shared" si="4"/>
        <v>#N/A</v>
      </c>
      <c r="P314" s="1049">
        <f>ROUND(IF(L314='S1&amp;2 Lists'!$CV$3,K314,IF(L314='S1&amp;2 Lists'!$CV$4,K314/'S1&amp;2 Lists'!$CQ$6,0)),3)</f>
        <v>0</v>
      </c>
      <c r="Q314" s="326" t="s">
        <v>264</v>
      </c>
    </row>
    <row r="315" spans="1:17" s="756" customFormat="1" ht="24" customHeight="1">
      <c r="A315" s="975"/>
      <c r="B315" s="975"/>
      <c r="C315" s="1027"/>
      <c r="D315" s="975"/>
      <c r="E315" s="980"/>
      <c r="F315" s="975"/>
      <c r="G315" s="979"/>
      <c r="H315" s="975"/>
      <c r="I315" s="980"/>
      <c r="J315" s="975"/>
      <c r="K315" s="975"/>
      <c r="L315" s="975"/>
      <c r="M315" s="755" t="e">
        <f>+VLOOKUP(G315,'S1&amp;2 Lists'!$C$8:$G$134,3,FALSE)</f>
        <v>#N/A</v>
      </c>
      <c r="N315" s="755" t="e">
        <f t="shared" si="4"/>
        <v>#N/A</v>
      </c>
      <c r="P315" s="1049">
        <f>ROUND(IF(L315='S1&amp;2 Lists'!$CV$3,K315,IF(L315='S1&amp;2 Lists'!$CV$4,K315/'S1&amp;2 Lists'!$CQ$6,0)),3)</f>
        <v>0</v>
      </c>
      <c r="Q315" s="326" t="s">
        <v>264</v>
      </c>
    </row>
    <row r="316" spans="1:17" s="756" customFormat="1" ht="24" customHeight="1">
      <c r="A316" s="975"/>
      <c r="B316" s="975"/>
      <c r="C316" s="1027"/>
      <c r="D316" s="975"/>
      <c r="E316" s="980"/>
      <c r="F316" s="975"/>
      <c r="G316" s="979"/>
      <c r="H316" s="975"/>
      <c r="I316" s="980"/>
      <c r="J316" s="975"/>
      <c r="K316" s="975"/>
      <c r="L316" s="975"/>
      <c r="M316" s="755" t="e">
        <f>+VLOOKUP(G316,'S1&amp;2 Lists'!$C$8:$G$134,3,FALSE)</f>
        <v>#N/A</v>
      </c>
      <c r="N316" s="755" t="e">
        <f t="shared" si="4"/>
        <v>#N/A</v>
      </c>
      <c r="P316" s="1049">
        <f>ROUND(IF(L316='S1&amp;2 Lists'!$CV$3,K316,IF(L316='S1&amp;2 Lists'!$CV$4,K316/'S1&amp;2 Lists'!$CQ$6,0)),3)</f>
        <v>0</v>
      </c>
      <c r="Q316" s="326" t="s">
        <v>264</v>
      </c>
    </row>
    <row r="317" spans="1:17" s="756" customFormat="1" ht="24" customHeight="1">
      <c r="A317" s="975"/>
      <c r="B317" s="975"/>
      <c r="C317" s="1027"/>
      <c r="D317" s="975"/>
      <c r="E317" s="980"/>
      <c r="F317" s="975"/>
      <c r="G317" s="979"/>
      <c r="H317" s="975"/>
      <c r="I317" s="980"/>
      <c r="J317" s="975"/>
      <c r="K317" s="975"/>
      <c r="L317" s="975"/>
      <c r="M317" s="755" t="e">
        <f>+VLOOKUP(G317,'S1&amp;2 Lists'!$C$8:$G$134,3,FALSE)</f>
        <v>#N/A</v>
      </c>
      <c r="N317" s="755" t="e">
        <f t="shared" si="4"/>
        <v>#N/A</v>
      </c>
      <c r="P317" s="1049">
        <f>ROUND(IF(L317='S1&amp;2 Lists'!$CV$3,K317,IF(L317='S1&amp;2 Lists'!$CV$4,K317/'S1&amp;2 Lists'!$CQ$6,0)),3)</f>
        <v>0</v>
      </c>
      <c r="Q317" s="326" t="s">
        <v>264</v>
      </c>
    </row>
    <row r="318" spans="1:17" s="756" customFormat="1" ht="24" customHeight="1">
      <c r="A318" s="975"/>
      <c r="B318" s="975"/>
      <c r="C318" s="1027"/>
      <c r="D318" s="975"/>
      <c r="E318" s="980"/>
      <c r="F318" s="975"/>
      <c r="G318" s="979"/>
      <c r="H318" s="975"/>
      <c r="I318" s="980"/>
      <c r="J318" s="975"/>
      <c r="K318" s="975"/>
      <c r="L318" s="975"/>
      <c r="M318" s="755" t="e">
        <f>+VLOOKUP(G318,'S1&amp;2 Lists'!$C$8:$G$134,3,FALSE)</f>
        <v>#N/A</v>
      </c>
      <c r="N318" s="755" t="e">
        <f t="shared" si="4"/>
        <v>#N/A</v>
      </c>
      <c r="P318" s="1049">
        <f>ROUND(IF(L318='S1&amp;2 Lists'!$CV$3,K318,IF(L318='S1&amp;2 Lists'!$CV$4,K318/'S1&amp;2 Lists'!$CQ$6,0)),3)</f>
        <v>0</v>
      </c>
      <c r="Q318" s="326" t="s">
        <v>264</v>
      </c>
    </row>
    <row r="319" spans="1:17" s="756" customFormat="1" ht="24" customHeight="1">
      <c r="A319" s="975"/>
      <c r="B319" s="975"/>
      <c r="C319" s="1027"/>
      <c r="D319" s="975"/>
      <c r="E319" s="980"/>
      <c r="F319" s="975"/>
      <c r="G319" s="979"/>
      <c r="H319" s="975"/>
      <c r="I319" s="980"/>
      <c r="J319" s="975"/>
      <c r="K319" s="975"/>
      <c r="L319" s="975"/>
      <c r="M319" s="755" t="e">
        <f>+VLOOKUP(G319,'S1&amp;2 Lists'!$C$8:$G$134,3,FALSE)</f>
        <v>#N/A</v>
      </c>
      <c r="N319" s="755" t="e">
        <f t="shared" si="4"/>
        <v>#N/A</v>
      </c>
      <c r="P319" s="1049">
        <f>ROUND(IF(L319='S1&amp;2 Lists'!$CV$3,K319,IF(L319='S1&amp;2 Lists'!$CV$4,K319/'S1&amp;2 Lists'!$CQ$6,0)),3)</f>
        <v>0</v>
      </c>
      <c r="Q319" s="326" t="s">
        <v>264</v>
      </c>
    </row>
    <row r="320" spans="1:17" s="756" customFormat="1" ht="24" customHeight="1">
      <c r="A320" s="975"/>
      <c r="B320" s="975"/>
      <c r="C320" s="1027"/>
      <c r="D320" s="975"/>
      <c r="E320" s="980"/>
      <c r="F320" s="975"/>
      <c r="G320" s="979"/>
      <c r="H320" s="975"/>
      <c r="I320" s="980"/>
      <c r="J320" s="975"/>
      <c r="K320" s="975"/>
      <c r="L320" s="975"/>
      <c r="M320" s="755" t="e">
        <f>+VLOOKUP(G320,'S1&amp;2 Lists'!$C$8:$G$134,3,FALSE)</f>
        <v>#N/A</v>
      </c>
      <c r="N320" s="755" t="e">
        <f t="shared" si="4"/>
        <v>#N/A</v>
      </c>
      <c r="P320" s="1049">
        <f>ROUND(IF(L320='S1&amp;2 Lists'!$CV$3,K320,IF(L320='S1&amp;2 Lists'!$CV$4,K320/'S1&amp;2 Lists'!$CQ$6,0)),3)</f>
        <v>0</v>
      </c>
      <c r="Q320" s="326" t="s">
        <v>264</v>
      </c>
    </row>
    <row r="321" spans="1:17" s="756" customFormat="1" ht="24" customHeight="1">
      <c r="A321" s="975"/>
      <c r="B321" s="975"/>
      <c r="C321" s="1027"/>
      <c r="D321" s="975"/>
      <c r="E321" s="980"/>
      <c r="F321" s="975"/>
      <c r="G321" s="979"/>
      <c r="H321" s="975"/>
      <c r="I321" s="980"/>
      <c r="J321" s="975"/>
      <c r="K321" s="975"/>
      <c r="L321" s="975"/>
      <c r="M321" s="755" t="e">
        <f>+VLOOKUP(G321,'S1&amp;2 Lists'!$C$8:$G$134,3,FALSE)</f>
        <v>#N/A</v>
      </c>
      <c r="N321" s="755" t="e">
        <f t="shared" si="4"/>
        <v>#N/A</v>
      </c>
      <c r="P321" s="1049">
        <f>ROUND(IF(L321='S1&amp;2 Lists'!$CV$3,K321,IF(L321='S1&amp;2 Lists'!$CV$4,K321/'S1&amp;2 Lists'!$CQ$6,0)),3)</f>
        <v>0</v>
      </c>
      <c r="Q321" s="326" t="s">
        <v>264</v>
      </c>
    </row>
    <row r="322" spans="1:17" s="756" customFormat="1" ht="24" customHeight="1">
      <c r="A322" s="975"/>
      <c r="B322" s="975"/>
      <c r="C322" s="1027"/>
      <c r="D322" s="975"/>
      <c r="E322" s="980"/>
      <c r="F322" s="975"/>
      <c r="G322" s="979"/>
      <c r="H322" s="975"/>
      <c r="I322" s="980"/>
      <c r="J322" s="975"/>
      <c r="K322" s="975"/>
      <c r="L322" s="975"/>
      <c r="M322" s="755" t="e">
        <f>+VLOOKUP(G322,'S1&amp;2 Lists'!$C$8:$G$134,3,FALSE)</f>
        <v>#N/A</v>
      </c>
      <c r="N322" s="755" t="e">
        <f t="shared" si="4"/>
        <v>#N/A</v>
      </c>
      <c r="P322" s="1049">
        <f>ROUND(IF(L322='S1&amp;2 Lists'!$CV$3,K322,IF(L322='S1&amp;2 Lists'!$CV$4,K322/'S1&amp;2 Lists'!$CQ$6,0)),3)</f>
        <v>0</v>
      </c>
      <c r="Q322" s="326" t="s">
        <v>264</v>
      </c>
    </row>
    <row r="323" spans="1:17" s="756" customFormat="1" ht="24" customHeight="1">
      <c r="A323" s="975"/>
      <c r="B323" s="975"/>
      <c r="C323" s="1027"/>
      <c r="D323" s="975"/>
      <c r="E323" s="980"/>
      <c r="F323" s="975"/>
      <c r="G323" s="979"/>
      <c r="H323" s="975"/>
      <c r="I323" s="980"/>
      <c r="J323" s="975"/>
      <c r="K323" s="975"/>
      <c r="L323" s="975"/>
      <c r="M323" s="755" t="e">
        <f>+VLOOKUP(G323,'S1&amp;2 Lists'!$C$8:$G$134,3,FALSE)</f>
        <v>#N/A</v>
      </c>
      <c r="N323" s="755" t="e">
        <f t="shared" si="4"/>
        <v>#N/A</v>
      </c>
      <c r="P323" s="1049">
        <f>ROUND(IF(L323='S1&amp;2 Lists'!$CV$3,K323,IF(L323='S1&amp;2 Lists'!$CV$4,K323/'S1&amp;2 Lists'!$CQ$6,0)),3)</f>
        <v>0</v>
      </c>
      <c r="Q323" s="326" t="s">
        <v>264</v>
      </c>
    </row>
    <row r="324" spans="1:17" s="756" customFormat="1" ht="24" customHeight="1">
      <c r="A324" s="975"/>
      <c r="B324" s="975"/>
      <c r="C324" s="1027"/>
      <c r="D324" s="975"/>
      <c r="E324" s="980"/>
      <c r="F324" s="975"/>
      <c r="G324" s="979"/>
      <c r="H324" s="975"/>
      <c r="I324" s="980"/>
      <c r="J324" s="975"/>
      <c r="K324" s="975"/>
      <c r="L324" s="975"/>
      <c r="M324" s="755" t="e">
        <f>+VLOOKUP(G324,'S1&amp;2 Lists'!$C$8:$G$134,3,FALSE)</f>
        <v>#N/A</v>
      </c>
      <c r="N324" s="755" t="e">
        <f t="shared" si="4"/>
        <v>#N/A</v>
      </c>
      <c r="P324" s="1049">
        <f>ROUND(IF(L324='S1&amp;2 Lists'!$CV$3,K324,IF(L324='S1&amp;2 Lists'!$CV$4,K324/'S1&amp;2 Lists'!$CQ$6,0)),3)</f>
        <v>0</v>
      </c>
      <c r="Q324" s="326" t="s">
        <v>264</v>
      </c>
    </row>
    <row r="325" spans="1:17" s="756" customFormat="1" ht="24" customHeight="1">
      <c r="A325" s="975"/>
      <c r="B325" s="975"/>
      <c r="C325" s="1027"/>
      <c r="D325" s="975"/>
      <c r="E325" s="980"/>
      <c r="F325" s="975"/>
      <c r="G325" s="979"/>
      <c r="H325" s="975"/>
      <c r="I325" s="980"/>
      <c r="J325" s="975"/>
      <c r="K325" s="975"/>
      <c r="L325" s="975"/>
      <c r="M325" s="755" t="e">
        <f>+VLOOKUP(G325,'S1&amp;2 Lists'!$C$8:$G$134,3,FALSE)</f>
        <v>#N/A</v>
      </c>
      <c r="N325" s="755" t="e">
        <f t="shared" si="4"/>
        <v>#N/A</v>
      </c>
      <c r="P325" s="1049">
        <f>ROUND(IF(L325='S1&amp;2 Lists'!$CV$3,K325,IF(L325='S1&amp;2 Lists'!$CV$4,K325/'S1&amp;2 Lists'!$CQ$6,0)),3)</f>
        <v>0</v>
      </c>
      <c r="Q325" s="326" t="s">
        <v>264</v>
      </c>
    </row>
    <row r="326" spans="1:17" s="756" customFormat="1" ht="24" customHeight="1">
      <c r="A326" s="975"/>
      <c r="B326" s="975"/>
      <c r="C326" s="1027"/>
      <c r="D326" s="975"/>
      <c r="E326" s="980"/>
      <c r="F326" s="975"/>
      <c r="G326" s="979"/>
      <c r="H326" s="975"/>
      <c r="I326" s="980"/>
      <c r="J326" s="975"/>
      <c r="K326" s="975"/>
      <c r="L326" s="975"/>
      <c r="M326" s="755" t="e">
        <f>+VLOOKUP(G326,'S1&amp;2 Lists'!$C$8:$G$134,3,FALSE)</f>
        <v>#N/A</v>
      </c>
      <c r="N326" s="755" t="e">
        <f t="shared" si="4"/>
        <v>#N/A</v>
      </c>
      <c r="P326" s="1049">
        <f>ROUND(IF(L326='S1&amp;2 Lists'!$CV$3,K326,IF(L326='S1&amp;2 Lists'!$CV$4,K326/'S1&amp;2 Lists'!$CQ$6,0)),3)</f>
        <v>0</v>
      </c>
      <c r="Q326" s="326" t="s">
        <v>264</v>
      </c>
    </row>
    <row r="327" spans="1:17" s="756" customFormat="1" ht="24" customHeight="1">
      <c r="A327" s="975"/>
      <c r="B327" s="975"/>
      <c r="C327" s="1027"/>
      <c r="D327" s="975"/>
      <c r="E327" s="980"/>
      <c r="F327" s="975"/>
      <c r="G327" s="979"/>
      <c r="H327" s="975"/>
      <c r="I327" s="980"/>
      <c r="J327" s="975"/>
      <c r="K327" s="975"/>
      <c r="L327" s="975"/>
      <c r="M327" s="755" t="e">
        <f>+VLOOKUP(G327,'S1&amp;2 Lists'!$C$8:$G$134,3,FALSE)</f>
        <v>#N/A</v>
      </c>
      <c r="N327" s="755" t="e">
        <f t="shared" si="4"/>
        <v>#N/A</v>
      </c>
      <c r="P327" s="1049">
        <f>ROUND(IF(L327='S1&amp;2 Lists'!$CV$3,K327,IF(L327='S1&amp;2 Lists'!$CV$4,K327/'S1&amp;2 Lists'!$CQ$6,0)),3)</f>
        <v>0</v>
      </c>
      <c r="Q327" s="326" t="s">
        <v>264</v>
      </c>
    </row>
    <row r="328" spans="1:17" s="756" customFormat="1" ht="24" customHeight="1">
      <c r="A328" s="975"/>
      <c r="B328" s="975"/>
      <c r="C328" s="1027"/>
      <c r="D328" s="975"/>
      <c r="E328" s="980"/>
      <c r="F328" s="975"/>
      <c r="G328" s="979"/>
      <c r="H328" s="975"/>
      <c r="I328" s="980"/>
      <c r="J328" s="975"/>
      <c r="K328" s="975"/>
      <c r="L328" s="975"/>
      <c r="M328" s="755" t="e">
        <f>+VLOOKUP(G328,'S1&amp;2 Lists'!$C$8:$G$134,3,FALSE)</f>
        <v>#N/A</v>
      </c>
      <c r="N328" s="755" t="e">
        <f t="shared" si="4"/>
        <v>#N/A</v>
      </c>
      <c r="P328" s="1049">
        <f>ROUND(IF(L328='S1&amp;2 Lists'!$CV$3,K328,IF(L328='S1&amp;2 Lists'!$CV$4,K328/'S1&amp;2 Lists'!$CQ$6,0)),3)</f>
        <v>0</v>
      </c>
      <c r="Q328" s="326" t="s">
        <v>264</v>
      </c>
    </row>
    <row r="329" spans="1:17" s="756" customFormat="1" ht="24" customHeight="1">
      <c r="A329" s="975"/>
      <c r="B329" s="975"/>
      <c r="C329" s="1027"/>
      <c r="D329" s="975"/>
      <c r="E329" s="980"/>
      <c r="F329" s="975"/>
      <c r="G329" s="979"/>
      <c r="H329" s="975"/>
      <c r="I329" s="980"/>
      <c r="J329" s="975"/>
      <c r="K329" s="975"/>
      <c r="L329" s="975"/>
      <c r="M329" s="755" t="e">
        <f>+VLOOKUP(G329,'S1&amp;2 Lists'!$C$8:$G$134,3,FALSE)</f>
        <v>#N/A</v>
      </c>
      <c r="N329" s="755" t="e">
        <f t="shared" si="4"/>
        <v>#N/A</v>
      </c>
      <c r="P329" s="1049">
        <f>ROUND(IF(L329='S1&amp;2 Lists'!$CV$3,K329,IF(L329='S1&amp;2 Lists'!$CV$4,K329/'S1&amp;2 Lists'!$CQ$6,0)),3)</f>
        <v>0</v>
      </c>
      <c r="Q329" s="326" t="s">
        <v>264</v>
      </c>
    </row>
    <row r="330" spans="1:17" s="756" customFormat="1" ht="24" customHeight="1">
      <c r="A330" s="975"/>
      <c r="B330" s="975"/>
      <c r="C330" s="1027"/>
      <c r="D330" s="975"/>
      <c r="E330" s="980"/>
      <c r="F330" s="975"/>
      <c r="G330" s="979"/>
      <c r="H330" s="975"/>
      <c r="I330" s="980"/>
      <c r="J330" s="975"/>
      <c r="K330" s="975"/>
      <c r="L330" s="975"/>
      <c r="M330" s="755" t="e">
        <f>+VLOOKUP(G330,'S1&amp;2 Lists'!$C$8:$G$134,3,FALSE)</f>
        <v>#N/A</v>
      </c>
      <c r="N330" s="755" t="e">
        <f t="shared" ref="N330:N393" si="5">+P330*M330</f>
        <v>#N/A</v>
      </c>
      <c r="P330" s="1049">
        <f>ROUND(IF(L330='S1&amp;2 Lists'!$CV$3,K330,IF(L330='S1&amp;2 Lists'!$CV$4,K330/'S1&amp;2 Lists'!$CQ$6,0)),3)</f>
        <v>0</v>
      </c>
      <c r="Q330" s="326" t="s">
        <v>264</v>
      </c>
    </row>
    <row r="331" spans="1:17" s="756" customFormat="1" ht="24" customHeight="1">
      <c r="A331" s="975"/>
      <c r="B331" s="975"/>
      <c r="C331" s="1027"/>
      <c r="D331" s="975"/>
      <c r="E331" s="980"/>
      <c r="F331" s="975"/>
      <c r="G331" s="979"/>
      <c r="H331" s="975"/>
      <c r="I331" s="980"/>
      <c r="J331" s="975"/>
      <c r="K331" s="975"/>
      <c r="L331" s="975"/>
      <c r="M331" s="755" t="e">
        <f>+VLOOKUP(G331,'S1&amp;2 Lists'!$C$8:$G$134,3,FALSE)</f>
        <v>#N/A</v>
      </c>
      <c r="N331" s="755" t="e">
        <f t="shared" si="5"/>
        <v>#N/A</v>
      </c>
      <c r="P331" s="1049">
        <f>ROUND(IF(L331='S1&amp;2 Lists'!$CV$3,K331,IF(L331='S1&amp;2 Lists'!$CV$4,K331/'S1&amp;2 Lists'!$CQ$6,0)),3)</f>
        <v>0</v>
      </c>
      <c r="Q331" s="326" t="s">
        <v>264</v>
      </c>
    </row>
    <row r="332" spans="1:17" s="756" customFormat="1" ht="24" customHeight="1">
      <c r="A332" s="975"/>
      <c r="B332" s="975"/>
      <c r="C332" s="1027"/>
      <c r="D332" s="975"/>
      <c r="E332" s="980"/>
      <c r="F332" s="975"/>
      <c r="G332" s="979"/>
      <c r="H332" s="975"/>
      <c r="I332" s="980"/>
      <c r="J332" s="975"/>
      <c r="K332" s="975"/>
      <c r="L332" s="975"/>
      <c r="M332" s="755" t="e">
        <f>+VLOOKUP(G332,'S1&amp;2 Lists'!$C$8:$G$134,3,FALSE)</f>
        <v>#N/A</v>
      </c>
      <c r="N332" s="755" t="e">
        <f t="shared" si="5"/>
        <v>#N/A</v>
      </c>
      <c r="P332" s="1049">
        <f>ROUND(IF(L332='S1&amp;2 Lists'!$CV$3,K332,IF(L332='S1&amp;2 Lists'!$CV$4,K332/'S1&amp;2 Lists'!$CQ$6,0)),3)</f>
        <v>0</v>
      </c>
      <c r="Q332" s="326" t="s">
        <v>264</v>
      </c>
    </row>
    <row r="333" spans="1:17" s="756" customFormat="1" ht="24" customHeight="1">
      <c r="A333" s="975"/>
      <c r="B333" s="975"/>
      <c r="C333" s="1027"/>
      <c r="D333" s="975"/>
      <c r="E333" s="980"/>
      <c r="F333" s="975"/>
      <c r="G333" s="979"/>
      <c r="H333" s="975"/>
      <c r="I333" s="980"/>
      <c r="J333" s="975"/>
      <c r="K333" s="975"/>
      <c r="L333" s="975"/>
      <c r="M333" s="755" t="e">
        <f>+VLOOKUP(G333,'S1&amp;2 Lists'!$C$8:$G$134,3,FALSE)</f>
        <v>#N/A</v>
      </c>
      <c r="N333" s="755" t="e">
        <f t="shared" si="5"/>
        <v>#N/A</v>
      </c>
      <c r="P333" s="1049">
        <f>ROUND(IF(L333='S1&amp;2 Lists'!$CV$3,K333,IF(L333='S1&amp;2 Lists'!$CV$4,K333/'S1&amp;2 Lists'!$CQ$6,0)),3)</f>
        <v>0</v>
      </c>
      <c r="Q333" s="326" t="s">
        <v>264</v>
      </c>
    </row>
    <row r="334" spans="1:17" s="756" customFormat="1" ht="24" customHeight="1">
      <c r="A334" s="975"/>
      <c r="B334" s="975"/>
      <c r="C334" s="1027"/>
      <c r="D334" s="975"/>
      <c r="E334" s="980"/>
      <c r="F334" s="975"/>
      <c r="G334" s="979"/>
      <c r="H334" s="975"/>
      <c r="I334" s="980"/>
      <c r="J334" s="975"/>
      <c r="K334" s="975"/>
      <c r="L334" s="975"/>
      <c r="M334" s="755" t="e">
        <f>+VLOOKUP(G334,'S1&amp;2 Lists'!$C$8:$G$134,3,FALSE)</f>
        <v>#N/A</v>
      </c>
      <c r="N334" s="755" t="e">
        <f t="shared" si="5"/>
        <v>#N/A</v>
      </c>
      <c r="P334" s="1049">
        <f>ROUND(IF(L334='S1&amp;2 Lists'!$CV$3,K334,IF(L334='S1&amp;2 Lists'!$CV$4,K334/'S1&amp;2 Lists'!$CQ$6,0)),3)</f>
        <v>0</v>
      </c>
      <c r="Q334" s="326" t="s">
        <v>264</v>
      </c>
    </row>
    <row r="335" spans="1:17" s="756" customFormat="1" ht="24" customHeight="1">
      <c r="A335" s="975"/>
      <c r="B335" s="975"/>
      <c r="C335" s="1027"/>
      <c r="D335" s="975"/>
      <c r="E335" s="980"/>
      <c r="F335" s="975"/>
      <c r="G335" s="979"/>
      <c r="H335" s="975"/>
      <c r="I335" s="980"/>
      <c r="J335" s="975"/>
      <c r="K335" s="975"/>
      <c r="L335" s="975"/>
      <c r="M335" s="755" t="e">
        <f>+VLOOKUP(G335,'S1&amp;2 Lists'!$C$8:$G$134,3,FALSE)</f>
        <v>#N/A</v>
      </c>
      <c r="N335" s="755" t="e">
        <f t="shared" si="5"/>
        <v>#N/A</v>
      </c>
      <c r="P335" s="1049">
        <f>ROUND(IF(L335='S1&amp;2 Lists'!$CV$3,K335,IF(L335='S1&amp;2 Lists'!$CV$4,K335/'S1&amp;2 Lists'!$CQ$6,0)),3)</f>
        <v>0</v>
      </c>
      <c r="Q335" s="326" t="s">
        <v>264</v>
      </c>
    </row>
    <row r="336" spans="1:17" s="756" customFormat="1" ht="24" customHeight="1">
      <c r="A336" s="975"/>
      <c r="B336" s="975"/>
      <c r="C336" s="1027"/>
      <c r="D336" s="975"/>
      <c r="E336" s="980"/>
      <c r="F336" s="975"/>
      <c r="G336" s="979"/>
      <c r="H336" s="975"/>
      <c r="I336" s="980"/>
      <c r="J336" s="975"/>
      <c r="K336" s="975"/>
      <c r="L336" s="975"/>
      <c r="M336" s="755" t="e">
        <f>+VLOOKUP(G336,'S1&amp;2 Lists'!$C$8:$G$134,3,FALSE)</f>
        <v>#N/A</v>
      </c>
      <c r="N336" s="755" t="e">
        <f t="shared" si="5"/>
        <v>#N/A</v>
      </c>
      <c r="P336" s="1049">
        <f>ROUND(IF(L336='S1&amp;2 Lists'!$CV$3,K336,IF(L336='S1&amp;2 Lists'!$CV$4,K336/'S1&amp;2 Lists'!$CQ$6,0)),3)</f>
        <v>0</v>
      </c>
      <c r="Q336" s="326" t="s">
        <v>264</v>
      </c>
    </row>
    <row r="337" spans="1:17" s="756" customFormat="1" ht="24" customHeight="1">
      <c r="A337" s="975"/>
      <c r="B337" s="975"/>
      <c r="C337" s="1027"/>
      <c r="D337" s="975"/>
      <c r="E337" s="980"/>
      <c r="F337" s="975"/>
      <c r="G337" s="979"/>
      <c r="H337" s="975"/>
      <c r="I337" s="980"/>
      <c r="J337" s="975"/>
      <c r="K337" s="975"/>
      <c r="L337" s="975"/>
      <c r="M337" s="755" t="e">
        <f>+VLOOKUP(G337,'S1&amp;2 Lists'!$C$8:$G$134,3,FALSE)</f>
        <v>#N/A</v>
      </c>
      <c r="N337" s="755" t="e">
        <f t="shared" si="5"/>
        <v>#N/A</v>
      </c>
      <c r="P337" s="1049">
        <f>ROUND(IF(L337='S1&amp;2 Lists'!$CV$3,K337,IF(L337='S1&amp;2 Lists'!$CV$4,K337/'S1&amp;2 Lists'!$CQ$6,0)),3)</f>
        <v>0</v>
      </c>
      <c r="Q337" s="326" t="s">
        <v>264</v>
      </c>
    </row>
    <row r="338" spans="1:17" s="756" customFormat="1" ht="24" customHeight="1">
      <c r="A338" s="975"/>
      <c r="B338" s="975"/>
      <c r="C338" s="1027"/>
      <c r="D338" s="975"/>
      <c r="E338" s="980"/>
      <c r="F338" s="975"/>
      <c r="G338" s="979"/>
      <c r="H338" s="975"/>
      <c r="I338" s="980"/>
      <c r="J338" s="975"/>
      <c r="K338" s="975"/>
      <c r="L338" s="975"/>
      <c r="M338" s="755" t="e">
        <f>+VLOOKUP(G338,'S1&amp;2 Lists'!$C$8:$G$134,3,FALSE)</f>
        <v>#N/A</v>
      </c>
      <c r="N338" s="755" t="e">
        <f t="shared" si="5"/>
        <v>#N/A</v>
      </c>
      <c r="P338" s="1049">
        <f>ROUND(IF(L338='S1&amp;2 Lists'!$CV$3,K338,IF(L338='S1&amp;2 Lists'!$CV$4,K338/'S1&amp;2 Lists'!$CQ$6,0)),3)</f>
        <v>0</v>
      </c>
      <c r="Q338" s="326" t="s">
        <v>264</v>
      </c>
    </row>
    <row r="339" spans="1:17" s="756" customFormat="1" ht="24" customHeight="1">
      <c r="A339" s="975"/>
      <c r="B339" s="975"/>
      <c r="C339" s="1027"/>
      <c r="D339" s="975"/>
      <c r="E339" s="980"/>
      <c r="F339" s="975"/>
      <c r="G339" s="979"/>
      <c r="H339" s="975"/>
      <c r="I339" s="980"/>
      <c r="J339" s="975"/>
      <c r="K339" s="975"/>
      <c r="L339" s="975"/>
      <c r="M339" s="755" t="e">
        <f>+VLOOKUP(G339,'S1&amp;2 Lists'!$C$8:$G$134,3,FALSE)</f>
        <v>#N/A</v>
      </c>
      <c r="N339" s="755" t="e">
        <f t="shared" si="5"/>
        <v>#N/A</v>
      </c>
      <c r="P339" s="1049">
        <f>ROUND(IF(L339='S1&amp;2 Lists'!$CV$3,K339,IF(L339='S1&amp;2 Lists'!$CV$4,K339/'S1&amp;2 Lists'!$CQ$6,0)),3)</f>
        <v>0</v>
      </c>
      <c r="Q339" s="326" t="s">
        <v>264</v>
      </c>
    </row>
    <row r="340" spans="1:17" s="756" customFormat="1" ht="24" customHeight="1">
      <c r="A340" s="975"/>
      <c r="B340" s="975"/>
      <c r="C340" s="1027"/>
      <c r="D340" s="975"/>
      <c r="E340" s="980"/>
      <c r="F340" s="975"/>
      <c r="G340" s="979"/>
      <c r="H340" s="975"/>
      <c r="I340" s="980"/>
      <c r="J340" s="975"/>
      <c r="K340" s="975"/>
      <c r="L340" s="975"/>
      <c r="M340" s="755" t="e">
        <f>+VLOOKUP(G340,'S1&amp;2 Lists'!$C$8:$G$134,3,FALSE)</f>
        <v>#N/A</v>
      </c>
      <c r="N340" s="755" t="e">
        <f t="shared" si="5"/>
        <v>#N/A</v>
      </c>
      <c r="P340" s="1049">
        <f>ROUND(IF(L340='S1&amp;2 Lists'!$CV$3,K340,IF(L340='S1&amp;2 Lists'!$CV$4,K340/'S1&amp;2 Lists'!$CQ$6,0)),3)</f>
        <v>0</v>
      </c>
      <c r="Q340" s="326" t="s">
        <v>264</v>
      </c>
    </row>
    <row r="341" spans="1:17" s="756" customFormat="1" ht="24" customHeight="1">
      <c r="A341" s="975"/>
      <c r="B341" s="975"/>
      <c r="C341" s="1027"/>
      <c r="D341" s="975"/>
      <c r="E341" s="980"/>
      <c r="F341" s="975"/>
      <c r="G341" s="979"/>
      <c r="H341" s="975"/>
      <c r="I341" s="980"/>
      <c r="J341" s="975"/>
      <c r="K341" s="975"/>
      <c r="L341" s="975"/>
      <c r="M341" s="755" t="e">
        <f>+VLOOKUP(G341,'S1&amp;2 Lists'!$C$8:$G$134,3,FALSE)</f>
        <v>#N/A</v>
      </c>
      <c r="N341" s="755" t="e">
        <f t="shared" si="5"/>
        <v>#N/A</v>
      </c>
      <c r="P341" s="1049">
        <f>ROUND(IF(L341='S1&amp;2 Lists'!$CV$3,K341,IF(L341='S1&amp;2 Lists'!$CV$4,K341/'S1&amp;2 Lists'!$CQ$6,0)),3)</f>
        <v>0</v>
      </c>
      <c r="Q341" s="326" t="s">
        <v>264</v>
      </c>
    </row>
    <row r="342" spans="1:17" s="756" customFormat="1" ht="24" customHeight="1">
      <c r="A342" s="975"/>
      <c r="B342" s="975"/>
      <c r="C342" s="1027"/>
      <c r="D342" s="975"/>
      <c r="E342" s="980"/>
      <c r="F342" s="975"/>
      <c r="G342" s="979"/>
      <c r="H342" s="975"/>
      <c r="I342" s="980"/>
      <c r="J342" s="975"/>
      <c r="K342" s="975"/>
      <c r="L342" s="975"/>
      <c r="M342" s="755" t="e">
        <f>+VLOOKUP(G342,'S1&amp;2 Lists'!$C$8:$G$134,3,FALSE)</f>
        <v>#N/A</v>
      </c>
      <c r="N342" s="755" t="e">
        <f t="shared" si="5"/>
        <v>#N/A</v>
      </c>
      <c r="P342" s="1049">
        <f>ROUND(IF(L342='S1&amp;2 Lists'!$CV$3,K342,IF(L342='S1&amp;2 Lists'!$CV$4,K342/'S1&amp;2 Lists'!$CQ$6,0)),3)</f>
        <v>0</v>
      </c>
      <c r="Q342" s="326" t="s">
        <v>264</v>
      </c>
    </row>
    <row r="343" spans="1:17" s="756" customFormat="1" ht="24" customHeight="1">
      <c r="A343" s="975"/>
      <c r="B343" s="975"/>
      <c r="C343" s="1027"/>
      <c r="D343" s="975"/>
      <c r="E343" s="980"/>
      <c r="F343" s="975"/>
      <c r="G343" s="979"/>
      <c r="H343" s="975"/>
      <c r="I343" s="980"/>
      <c r="J343" s="975"/>
      <c r="K343" s="975"/>
      <c r="L343" s="975"/>
      <c r="M343" s="755" t="e">
        <f>+VLOOKUP(G343,'S1&amp;2 Lists'!$C$8:$G$134,3,FALSE)</f>
        <v>#N/A</v>
      </c>
      <c r="N343" s="755" t="e">
        <f t="shared" si="5"/>
        <v>#N/A</v>
      </c>
      <c r="P343" s="1049">
        <f>ROUND(IF(L343='S1&amp;2 Lists'!$CV$3,K343,IF(L343='S1&amp;2 Lists'!$CV$4,K343/'S1&amp;2 Lists'!$CQ$6,0)),3)</f>
        <v>0</v>
      </c>
      <c r="Q343" s="326" t="s">
        <v>264</v>
      </c>
    </row>
    <row r="344" spans="1:17" s="756" customFormat="1" ht="24" customHeight="1">
      <c r="A344" s="975"/>
      <c r="B344" s="975"/>
      <c r="C344" s="1027"/>
      <c r="D344" s="975"/>
      <c r="E344" s="980"/>
      <c r="F344" s="975"/>
      <c r="G344" s="979"/>
      <c r="H344" s="975"/>
      <c r="I344" s="980"/>
      <c r="J344" s="975"/>
      <c r="K344" s="975"/>
      <c r="L344" s="975"/>
      <c r="M344" s="755" t="e">
        <f>+VLOOKUP(G344,'S1&amp;2 Lists'!$C$8:$G$134,3,FALSE)</f>
        <v>#N/A</v>
      </c>
      <c r="N344" s="755" t="e">
        <f t="shared" si="5"/>
        <v>#N/A</v>
      </c>
      <c r="P344" s="1049">
        <f>ROUND(IF(L344='S1&amp;2 Lists'!$CV$3,K344,IF(L344='S1&amp;2 Lists'!$CV$4,K344/'S1&amp;2 Lists'!$CQ$6,0)),3)</f>
        <v>0</v>
      </c>
      <c r="Q344" s="326" t="s">
        <v>264</v>
      </c>
    </row>
    <row r="345" spans="1:17" s="756" customFormat="1" ht="24" customHeight="1">
      <c r="A345" s="975"/>
      <c r="B345" s="975"/>
      <c r="C345" s="1027"/>
      <c r="D345" s="975"/>
      <c r="E345" s="980"/>
      <c r="F345" s="975"/>
      <c r="G345" s="979"/>
      <c r="H345" s="975"/>
      <c r="I345" s="980"/>
      <c r="J345" s="975"/>
      <c r="K345" s="975"/>
      <c r="L345" s="975"/>
      <c r="M345" s="755" t="e">
        <f>+VLOOKUP(G345,'S1&amp;2 Lists'!$C$8:$G$134,3,FALSE)</f>
        <v>#N/A</v>
      </c>
      <c r="N345" s="755" t="e">
        <f t="shared" si="5"/>
        <v>#N/A</v>
      </c>
      <c r="P345" s="1049">
        <f>ROUND(IF(L345='S1&amp;2 Lists'!$CV$3,K345,IF(L345='S1&amp;2 Lists'!$CV$4,K345/'S1&amp;2 Lists'!$CQ$6,0)),3)</f>
        <v>0</v>
      </c>
      <c r="Q345" s="326" t="s">
        <v>264</v>
      </c>
    </row>
    <row r="346" spans="1:17" s="756" customFormat="1" ht="24" customHeight="1">
      <c r="A346" s="975"/>
      <c r="B346" s="975"/>
      <c r="C346" s="1027"/>
      <c r="D346" s="975"/>
      <c r="E346" s="980"/>
      <c r="F346" s="975"/>
      <c r="G346" s="979"/>
      <c r="H346" s="975"/>
      <c r="I346" s="980"/>
      <c r="J346" s="975"/>
      <c r="K346" s="975"/>
      <c r="L346" s="975"/>
      <c r="M346" s="755" t="e">
        <f>+VLOOKUP(G346,'S1&amp;2 Lists'!$C$8:$G$134,3,FALSE)</f>
        <v>#N/A</v>
      </c>
      <c r="N346" s="755" t="e">
        <f t="shared" si="5"/>
        <v>#N/A</v>
      </c>
      <c r="P346" s="1049">
        <f>ROUND(IF(L346='S1&amp;2 Lists'!$CV$3,K346,IF(L346='S1&amp;2 Lists'!$CV$4,K346/'S1&amp;2 Lists'!$CQ$6,0)),3)</f>
        <v>0</v>
      </c>
      <c r="Q346" s="326" t="s">
        <v>264</v>
      </c>
    </row>
    <row r="347" spans="1:17" s="756" customFormat="1" ht="24" customHeight="1">
      <c r="A347" s="975"/>
      <c r="B347" s="975"/>
      <c r="C347" s="1027"/>
      <c r="D347" s="975"/>
      <c r="E347" s="980"/>
      <c r="F347" s="975"/>
      <c r="G347" s="979"/>
      <c r="H347" s="975"/>
      <c r="I347" s="980"/>
      <c r="J347" s="975"/>
      <c r="K347" s="975"/>
      <c r="L347" s="975"/>
      <c r="M347" s="755" t="e">
        <f>+VLOOKUP(G347,'S1&amp;2 Lists'!$C$8:$G$134,3,FALSE)</f>
        <v>#N/A</v>
      </c>
      <c r="N347" s="755" t="e">
        <f t="shared" si="5"/>
        <v>#N/A</v>
      </c>
      <c r="P347" s="1049">
        <f>ROUND(IF(L347='S1&amp;2 Lists'!$CV$3,K347,IF(L347='S1&amp;2 Lists'!$CV$4,K347/'S1&amp;2 Lists'!$CQ$6,0)),3)</f>
        <v>0</v>
      </c>
      <c r="Q347" s="326" t="s">
        <v>264</v>
      </c>
    </row>
    <row r="348" spans="1:17" s="756" customFormat="1" ht="24" customHeight="1">
      <c r="A348" s="975"/>
      <c r="B348" s="975"/>
      <c r="C348" s="1027"/>
      <c r="D348" s="975"/>
      <c r="E348" s="980"/>
      <c r="F348" s="975"/>
      <c r="G348" s="979"/>
      <c r="H348" s="975"/>
      <c r="I348" s="980"/>
      <c r="J348" s="975"/>
      <c r="K348" s="975"/>
      <c r="L348" s="975"/>
      <c r="M348" s="755" t="e">
        <f>+VLOOKUP(G348,'S1&amp;2 Lists'!$C$8:$G$134,3,FALSE)</f>
        <v>#N/A</v>
      </c>
      <c r="N348" s="755" t="e">
        <f t="shared" si="5"/>
        <v>#N/A</v>
      </c>
      <c r="P348" s="1049">
        <f>ROUND(IF(L348='S1&amp;2 Lists'!$CV$3,K348,IF(L348='S1&amp;2 Lists'!$CV$4,K348/'S1&amp;2 Lists'!$CQ$6,0)),3)</f>
        <v>0</v>
      </c>
      <c r="Q348" s="326" t="s">
        <v>264</v>
      </c>
    </row>
    <row r="349" spans="1:17" s="756" customFormat="1" ht="24" customHeight="1">
      <c r="A349" s="975"/>
      <c r="B349" s="975"/>
      <c r="C349" s="1027"/>
      <c r="D349" s="975"/>
      <c r="E349" s="980"/>
      <c r="F349" s="975"/>
      <c r="G349" s="979"/>
      <c r="H349" s="975"/>
      <c r="I349" s="980"/>
      <c r="J349" s="975"/>
      <c r="K349" s="975"/>
      <c r="L349" s="975"/>
      <c r="M349" s="755" t="e">
        <f>+VLOOKUP(G349,'S1&amp;2 Lists'!$C$8:$G$134,3,FALSE)</f>
        <v>#N/A</v>
      </c>
      <c r="N349" s="755" t="e">
        <f t="shared" si="5"/>
        <v>#N/A</v>
      </c>
      <c r="P349" s="1049">
        <f>ROUND(IF(L349='S1&amp;2 Lists'!$CV$3,K349,IF(L349='S1&amp;2 Lists'!$CV$4,K349/'S1&amp;2 Lists'!$CQ$6,0)),3)</f>
        <v>0</v>
      </c>
      <c r="Q349" s="326" t="s">
        <v>264</v>
      </c>
    </row>
    <row r="350" spans="1:17" s="756" customFormat="1" ht="24" customHeight="1">
      <c r="A350" s="975"/>
      <c r="B350" s="975"/>
      <c r="C350" s="1027"/>
      <c r="D350" s="975"/>
      <c r="E350" s="980"/>
      <c r="F350" s="975"/>
      <c r="G350" s="979"/>
      <c r="H350" s="975"/>
      <c r="I350" s="980"/>
      <c r="J350" s="975"/>
      <c r="K350" s="975"/>
      <c r="L350" s="975"/>
      <c r="M350" s="755" t="e">
        <f>+VLOOKUP(G350,'S1&amp;2 Lists'!$C$8:$G$134,3,FALSE)</f>
        <v>#N/A</v>
      </c>
      <c r="N350" s="755" t="e">
        <f t="shared" si="5"/>
        <v>#N/A</v>
      </c>
      <c r="P350" s="1049">
        <f>ROUND(IF(L350='S1&amp;2 Lists'!$CV$3,K350,IF(L350='S1&amp;2 Lists'!$CV$4,K350/'S1&amp;2 Lists'!$CQ$6,0)),3)</f>
        <v>0</v>
      </c>
      <c r="Q350" s="326" t="s">
        <v>264</v>
      </c>
    </row>
    <row r="351" spans="1:17" s="756" customFormat="1" ht="24" customHeight="1">
      <c r="A351" s="975"/>
      <c r="B351" s="975"/>
      <c r="C351" s="1027"/>
      <c r="D351" s="975"/>
      <c r="E351" s="980"/>
      <c r="F351" s="975"/>
      <c r="G351" s="979"/>
      <c r="H351" s="975"/>
      <c r="I351" s="980"/>
      <c r="J351" s="975"/>
      <c r="K351" s="975"/>
      <c r="L351" s="975"/>
      <c r="M351" s="755" t="e">
        <f>+VLOOKUP(G351,'S1&amp;2 Lists'!$C$8:$G$134,3,FALSE)</f>
        <v>#N/A</v>
      </c>
      <c r="N351" s="755" t="e">
        <f t="shared" si="5"/>
        <v>#N/A</v>
      </c>
      <c r="P351" s="1049">
        <f>ROUND(IF(L351='S1&amp;2 Lists'!$CV$3,K351,IF(L351='S1&amp;2 Lists'!$CV$4,K351/'S1&amp;2 Lists'!$CQ$6,0)),3)</f>
        <v>0</v>
      </c>
      <c r="Q351" s="326" t="s">
        <v>264</v>
      </c>
    </row>
    <row r="352" spans="1:17" s="756" customFormat="1" ht="24" customHeight="1">
      <c r="A352" s="975"/>
      <c r="B352" s="975"/>
      <c r="C352" s="1027"/>
      <c r="D352" s="975"/>
      <c r="E352" s="980"/>
      <c r="F352" s="975"/>
      <c r="G352" s="979"/>
      <c r="H352" s="975"/>
      <c r="I352" s="980"/>
      <c r="J352" s="975"/>
      <c r="K352" s="975"/>
      <c r="L352" s="975"/>
      <c r="M352" s="755" t="e">
        <f>+VLOOKUP(G352,'S1&amp;2 Lists'!$C$8:$G$134,3,FALSE)</f>
        <v>#N/A</v>
      </c>
      <c r="N352" s="755" t="e">
        <f t="shared" si="5"/>
        <v>#N/A</v>
      </c>
      <c r="P352" s="1049">
        <f>ROUND(IF(L352='S1&amp;2 Lists'!$CV$3,K352,IF(L352='S1&amp;2 Lists'!$CV$4,K352/'S1&amp;2 Lists'!$CQ$6,0)),3)</f>
        <v>0</v>
      </c>
      <c r="Q352" s="326" t="s">
        <v>264</v>
      </c>
    </row>
    <row r="353" spans="1:17" s="756" customFormat="1" ht="24" customHeight="1">
      <c r="A353" s="975"/>
      <c r="B353" s="975"/>
      <c r="C353" s="1027"/>
      <c r="D353" s="975"/>
      <c r="E353" s="980"/>
      <c r="F353" s="975"/>
      <c r="G353" s="979"/>
      <c r="H353" s="975"/>
      <c r="I353" s="980"/>
      <c r="J353" s="975"/>
      <c r="K353" s="975"/>
      <c r="L353" s="975"/>
      <c r="M353" s="755" t="e">
        <f>+VLOOKUP(G353,'S1&amp;2 Lists'!$C$8:$G$134,3,FALSE)</f>
        <v>#N/A</v>
      </c>
      <c r="N353" s="755" t="e">
        <f t="shared" si="5"/>
        <v>#N/A</v>
      </c>
      <c r="P353" s="1049">
        <f>ROUND(IF(L353='S1&amp;2 Lists'!$CV$3,K353,IF(L353='S1&amp;2 Lists'!$CV$4,K353/'S1&amp;2 Lists'!$CQ$6,0)),3)</f>
        <v>0</v>
      </c>
      <c r="Q353" s="326" t="s">
        <v>264</v>
      </c>
    </row>
    <row r="354" spans="1:17" s="756" customFormat="1" ht="24" customHeight="1">
      <c r="A354" s="975"/>
      <c r="B354" s="975"/>
      <c r="C354" s="1027"/>
      <c r="D354" s="975"/>
      <c r="E354" s="980"/>
      <c r="F354" s="975"/>
      <c r="G354" s="979"/>
      <c r="H354" s="975"/>
      <c r="I354" s="980"/>
      <c r="J354" s="975"/>
      <c r="K354" s="975"/>
      <c r="L354" s="975"/>
      <c r="M354" s="755" t="e">
        <f>+VLOOKUP(G354,'S1&amp;2 Lists'!$C$8:$G$134,3,FALSE)</f>
        <v>#N/A</v>
      </c>
      <c r="N354" s="755" t="e">
        <f t="shared" si="5"/>
        <v>#N/A</v>
      </c>
      <c r="P354" s="1049">
        <f>ROUND(IF(L354='S1&amp;2 Lists'!$CV$3,K354,IF(L354='S1&amp;2 Lists'!$CV$4,K354/'S1&amp;2 Lists'!$CQ$6,0)),3)</f>
        <v>0</v>
      </c>
      <c r="Q354" s="326" t="s">
        <v>264</v>
      </c>
    </row>
    <row r="355" spans="1:17" s="756" customFormat="1" ht="24" customHeight="1">
      <c r="A355" s="975"/>
      <c r="B355" s="975"/>
      <c r="C355" s="1027"/>
      <c r="D355" s="975"/>
      <c r="E355" s="980"/>
      <c r="F355" s="975"/>
      <c r="G355" s="979"/>
      <c r="H355" s="975"/>
      <c r="I355" s="980"/>
      <c r="J355" s="975"/>
      <c r="K355" s="975"/>
      <c r="L355" s="975"/>
      <c r="M355" s="755" t="e">
        <f>+VLOOKUP(G355,'S1&amp;2 Lists'!$C$8:$G$134,3,FALSE)</f>
        <v>#N/A</v>
      </c>
      <c r="N355" s="755" t="e">
        <f t="shared" si="5"/>
        <v>#N/A</v>
      </c>
      <c r="P355" s="1049">
        <f>ROUND(IF(L355='S1&amp;2 Lists'!$CV$3,K355,IF(L355='S1&amp;2 Lists'!$CV$4,K355/'S1&amp;2 Lists'!$CQ$6,0)),3)</f>
        <v>0</v>
      </c>
      <c r="Q355" s="326" t="s">
        <v>264</v>
      </c>
    </row>
    <row r="356" spans="1:17" s="756" customFormat="1" ht="24" customHeight="1">
      <c r="A356" s="975"/>
      <c r="B356" s="975"/>
      <c r="C356" s="1027"/>
      <c r="D356" s="975"/>
      <c r="E356" s="980"/>
      <c r="F356" s="975"/>
      <c r="G356" s="979"/>
      <c r="H356" s="975"/>
      <c r="I356" s="980"/>
      <c r="J356" s="975"/>
      <c r="K356" s="975"/>
      <c r="L356" s="975"/>
      <c r="M356" s="755" t="e">
        <f>+VLOOKUP(G356,'S1&amp;2 Lists'!$C$8:$G$134,3,FALSE)</f>
        <v>#N/A</v>
      </c>
      <c r="N356" s="755" t="e">
        <f t="shared" si="5"/>
        <v>#N/A</v>
      </c>
      <c r="P356" s="1049">
        <f>ROUND(IF(L356='S1&amp;2 Lists'!$CV$3,K356,IF(L356='S1&amp;2 Lists'!$CV$4,K356/'S1&amp;2 Lists'!$CQ$6,0)),3)</f>
        <v>0</v>
      </c>
      <c r="Q356" s="326" t="s">
        <v>264</v>
      </c>
    </row>
    <row r="357" spans="1:17" s="756" customFormat="1" ht="24" customHeight="1">
      <c r="A357" s="975"/>
      <c r="B357" s="975"/>
      <c r="C357" s="1027"/>
      <c r="D357" s="975"/>
      <c r="E357" s="980"/>
      <c r="F357" s="975"/>
      <c r="G357" s="979"/>
      <c r="H357" s="975"/>
      <c r="I357" s="980"/>
      <c r="J357" s="975"/>
      <c r="K357" s="975"/>
      <c r="L357" s="975"/>
      <c r="M357" s="755" t="e">
        <f>+VLOOKUP(G357,'S1&amp;2 Lists'!$C$8:$G$134,3,FALSE)</f>
        <v>#N/A</v>
      </c>
      <c r="N357" s="755" t="e">
        <f t="shared" si="5"/>
        <v>#N/A</v>
      </c>
      <c r="P357" s="1049">
        <f>ROUND(IF(L357='S1&amp;2 Lists'!$CV$3,K357,IF(L357='S1&amp;2 Lists'!$CV$4,K357/'S1&amp;2 Lists'!$CQ$6,0)),3)</f>
        <v>0</v>
      </c>
      <c r="Q357" s="326" t="s">
        <v>264</v>
      </c>
    </row>
    <row r="358" spans="1:17" s="756" customFormat="1" ht="24" customHeight="1">
      <c r="A358" s="975"/>
      <c r="B358" s="975"/>
      <c r="C358" s="1027"/>
      <c r="D358" s="975"/>
      <c r="E358" s="980"/>
      <c r="F358" s="975"/>
      <c r="G358" s="979"/>
      <c r="H358" s="975"/>
      <c r="I358" s="980"/>
      <c r="J358" s="975"/>
      <c r="K358" s="975"/>
      <c r="L358" s="975"/>
      <c r="M358" s="755" t="e">
        <f>+VLOOKUP(G358,'S1&amp;2 Lists'!$C$8:$G$134,3,FALSE)</f>
        <v>#N/A</v>
      </c>
      <c r="N358" s="755" t="e">
        <f t="shared" si="5"/>
        <v>#N/A</v>
      </c>
      <c r="P358" s="1049">
        <f>ROUND(IF(L358='S1&amp;2 Lists'!$CV$3,K358,IF(L358='S1&amp;2 Lists'!$CV$4,K358/'S1&amp;2 Lists'!$CQ$6,0)),3)</f>
        <v>0</v>
      </c>
      <c r="Q358" s="326" t="s">
        <v>264</v>
      </c>
    </row>
    <row r="359" spans="1:17" s="756" customFormat="1" ht="24" customHeight="1">
      <c r="A359" s="975"/>
      <c r="B359" s="975"/>
      <c r="C359" s="1027"/>
      <c r="D359" s="975"/>
      <c r="E359" s="980"/>
      <c r="F359" s="975"/>
      <c r="G359" s="979"/>
      <c r="H359" s="975"/>
      <c r="I359" s="980"/>
      <c r="J359" s="975"/>
      <c r="K359" s="975"/>
      <c r="L359" s="975"/>
      <c r="M359" s="755" t="e">
        <f>+VLOOKUP(G359,'S1&amp;2 Lists'!$C$8:$G$134,3,FALSE)</f>
        <v>#N/A</v>
      </c>
      <c r="N359" s="755" t="e">
        <f t="shared" si="5"/>
        <v>#N/A</v>
      </c>
      <c r="P359" s="1049">
        <f>ROUND(IF(L359='S1&amp;2 Lists'!$CV$3,K359,IF(L359='S1&amp;2 Lists'!$CV$4,K359/'S1&amp;2 Lists'!$CQ$6,0)),3)</f>
        <v>0</v>
      </c>
      <c r="Q359" s="326" t="s">
        <v>264</v>
      </c>
    </row>
    <row r="360" spans="1:17" s="756" customFormat="1" ht="24" customHeight="1">
      <c r="A360" s="975"/>
      <c r="B360" s="975"/>
      <c r="C360" s="1027"/>
      <c r="D360" s="975"/>
      <c r="E360" s="980"/>
      <c r="F360" s="975"/>
      <c r="G360" s="979"/>
      <c r="H360" s="975"/>
      <c r="I360" s="980"/>
      <c r="J360" s="975"/>
      <c r="K360" s="975"/>
      <c r="L360" s="975"/>
      <c r="M360" s="755" t="e">
        <f>+VLOOKUP(G360,'S1&amp;2 Lists'!$C$8:$G$134,3,FALSE)</f>
        <v>#N/A</v>
      </c>
      <c r="N360" s="755" t="e">
        <f t="shared" si="5"/>
        <v>#N/A</v>
      </c>
      <c r="P360" s="1049">
        <f>ROUND(IF(L360='S1&amp;2 Lists'!$CV$3,K360,IF(L360='S1&amp;2 Lists'!$CV$4,K360/'S1&amp;2 Lists'!$CQ$6,0)),3)</f>
        <v>0</v>
      </c>
      <c r="Q360" s="326" t="s">
        <v>264</v>
      </c>
    </row>
    <row r="361" spans="1:17" s="756" customFormat="1" ht="24" customHeight="1">
      <c r="A361" s="975"/>
      <c r="B361" s="975"/>
      <c r="C361" s="1027"/>
      <c r="D361" s="975"/>
      <c r="E361" s="980"/>
      <c r="F361" s="975"/>
      <c r="G361" s="979"/>
      <c r="H361" s="975"/>
      <c r="I361" s="980"/>
      <c r="J361" s="975"/>
      <c r="K361" s="975"/>
      <c r="L361" s="975"/>
      <c r="M361" s="755" t="e">
        <f>+VLOOKUP(G361,'S1&amp;2 Lists'!$C$8:$G$134,3,FALSE)</f>
        <v>#N/A</v>
      </c>
      <c r="N361" s="755" t="e">
        <f t="shared" si="5"/>
        <v>#N/A</v>
      </c>
      <c r="P361" s="1049">
        <f>ROUND(IF(L361='S1&amp;2 Lists'!$CV$3,K361,IF(L361='S1&amp;2 Lists'!$CV$4,K361/'S1&amp;2 Lists'!$CQ$6,0)),3)</f>
        <v>0</v>
      </c>
      <c r="Q361" s="326" t="s">
        <v>264</v>
      </c>
    </row>
    <row r="362" spans="1:17" s="756" customFormat="1" ht="24" customHeight="1">
      <c r="A362" s="975"/>
      <c r="B362" s="975"/>
      <c r="C362" s="1027"/>
      <c r="D362" s="975"/>
      <c r="E362" s="980"/>
      <c r="F362" s="975"/>
      <c r="G362" s="979"/>
      <c r="H362" s="975"/>
      <c r="I362" s="980"/>
      <c r="J362" s="975"/>
      <c r="K362" s="975"/>
      <c r="L362" s="975"/>
      <c r="M362" s="755" t="e">
        <f>+VLOOKUP(G362,'S1&amp;2 Lists'!$C$8:$G$134,3,FALSE)</f>
        <v>#N/A</v>
      </c>
      <c r="N362" s="755" t="e">
        <f t="shared" si="5"/>
        <v>#N/A</v>
      </c>
      <c r="P362" s="1049">
        <f>ROUND(IF(L362='S1&amp;2 Lists'!$CV$3,K362,IF(L362='S1&amp;2 Lists'!$CV$4,K362/'S1&amp;2 Lists'!$CQ$6,0)),3)</f>
        <v>0</v>
      </c>
      <c r="Q362" s="326" t="s">
        <v>264</v>
      </c>
    </row>
    <row r="363" spans="1:17" s="756" customFormat="1" ht="24" customHeight="1">
      <c r="A363" s="975"/>
      <c r="B363" s="975"/>
      <c r="C363" s="1027"/>
      <c r="D363" s="975"/>
      <c r="E363" s="980"/>
      <c r="F363" s="975"/>
      <c r="G363" s="979"/>
      <c r="H363" s="975"/>
      <c r="I363" s="980"/>
      <c r="J363" s="975"/>
      <c r="K363" s="975"/>
      <c r="L363" s="975"/>
      <c r="M363" s="755" t="e">
        <f>+VLOOKUP(G363,'S1&amp;2 Lists'!$C$8:$G$134,3,FALSE)</f>
        <v>#N/A</v>
      </c>
      <c r="N363" s="755" t="e">
        <f t="shared" si="5"/>
        <v>#N/A</v>
      </c>
      <c r="P363" s="1049">
        <f>ROUND(IF(L363='S1&amp;2 Lists'!$CV$3,K363,IF(L363='S1&amp;2 Lists'!$CV$4,K363/'S1&amp;2 Lists'!$CQ$6,0)),3)</f>
        <v>0</v>
      </c>
      <c r="Q363" s="326" t="s">
        <v>264</v>
      </c>
    </row>
    <row r="364" spans="1:17" s="756" customFormat="1" ht="24" customHeight="1">
      <c r="A364" s="975"/>
      <c r="B364" s="975"/>
      <c r="C364" s="1027"/>
      <c r="D364" s="975"/>
      <c r="E364" s="980"/>
      <c r="F364" s="975"/>
      <c r="G364" s="979"/>
      <c r="H364" s="975"/>
      <c r="I364" s="980"/>
      <c r="J364" s="975"/>
      <c r="K364" s="975"/>
      <c r="L364" s="975"/>
      <c r="M364" s="755" t="e">
        <f>+VLOOKUP(G364,'S1&amp;2 Lists'!$C$8:$G$134,3,FALSE)</f>
        <v>#N/A</v>
      </c>
      <c r="N364" s="755" t="e">
        <f t="shared" si="5"/>
        <v>#N/A</v>
      </c>
      <c r="P364" s="1049">
        <f>ROUND(IF(L364='S1&amp;2 Lists'!$CV$3,K364,IF(L364='S1&amp;2 Lists'!$CV$4,K364/'S1&amp;2 Lists'!$CQ$6,0)),3)</f>
        <v>0</v>
      </c>
      <c r="Q364" s="326" t="s">
        <v>264</v>
      </c>
    </row>
    <row r="365" spans="1:17" s="756" customFormat="1" ht="24" customHeight="1">
      <c r="A365" s="975"/>
      <c r="B365" s="975"/>
      <c r="C365" s="1027"/>
      <c r="D365" s="975"/>
      <c r="E365" s="980"/>
      <c r="F365" s="975"/>
      <c r="G365" s="979"/>
      <c r="H365" s="975"/>
      <c r="I365" s="980"/>
      <c r="J365" s="975"/>
      <c r="K365" s="975"/>
      <c r="L365" s="975"/>
      <c r="M365" s="755" t="e">
        <f>+VLOOKUP(G365,'S1&amp;2 Lists'!$C$8:$G$134,3,FALSE)</f>
        <v>#N/A</v>
      </c>
      <c r="N365" s="755" t="e">
        <f t="shared" si="5"/>
        <v>#N/A</v>
      </c>
      <c r="P365" s="1049">
        <f>ROUND(IF(L365='S1&amp;2 Lists'!$CV$3,K365,IF(L365='S1&amp;2 Lists'!$CV$4,K365/'S1&amp;2 Lists'!$CQ$6,0)),3)</f>
        <v>0</v>
      </c>
      <c r="Q365" s="326" t="s">
        <v>264</v>
      </c>
    </row>
    <row r="366" spans="1:17" s="756" customFormat="1" ht="24" customHeight="1">
      <c r="A366" s="975"/>
      <c r="B366" s="975"/>
      <c r="C366" s="1027"/>
      <c r="D366" s="975"/>
      <c r="E366" s="980"/>
      <c r="F366" s="975"/>
      <c r="G366" s="979"/>
      <c r="H366" s="975"/>
      <c r="I366" s="980"/>
      <c r="J366" s="975"/>
      <c r="K366" s="975"/>
      <c r="L366" s="975"/>
      <c r="M366" s="755" t="e">
        <f>+VLOOKUP(G366,'S1&amp;2 Lists'!$C$8:$G$134,3,FALSE)</f>
        <v>#N/A</v>
      </c>
      <c r="N366" s="755" t="e">
        <f t="shared" si="5"/>
        <v>#N/A</v>
      </c>
      <c r="P366" s="1049">
        <f>ROUND(IF(L366='S1&amp;2 Lists'!$CV$3,K366,IF(L366='S1&amp;2 Lists'!$CV$4,K366/'S1&amp;2 Lists'!$CQ$6,0)),3)</f>
        <v>0</v>
      </c>
      <c r="Q366" s="326" t="s">
        <v>264</v>
      </c>
    </row>
    <row r="367" spans="1:17" s="756" customFormat="1" ht="24" customHeight="1">
      <c r="A367" s="975"/>
      <c r="B367" s="975"/>
      <c r="C367" s="1027"/>
      <c r="D367" s="975"/>
      <c r="E367" s="980"/>
      <c r="F367" s="975"/>
      <c r="G367" s="979"/>
      <c r="H367" s="975"/>
      <c r="I367" s="980"/>
      <c r="J367" s="975"/>
      <c r="K367" s="975"/>
      <c r="L367" s="975"/>
      <c r="M367" s="755" t="e">
        <f>+VLOOKUP(G367,'S1&amp;2 Lists'!$C$8:$G$134,3,FALSE)</f>
        <v>#N/A</v>
      </c>
      <c r="N367" s="755" t="e">
        <f t="shared" si="5"/>
        <v>#N/A</v>
      </c>
      <c r="P367" s="1049">
        <f>ROUND(IF(L367='S1&amp;2 Lists'!$CV$3,K367,IF(L367='S1&amp;2 Lists'!$CV$4,K367/'S1&amp;2 Lists'!$CQ$6,0)),3)</f>
        <v>0</v>
      </c>
      <c r="Q367" s="326" t="s">
        <v>264</v>
      </c>
    </row>
    <row r="368" spans="1:17" s="756" customFormat="1" ht="24" customHeight="1">
      <c r="A368" s="975"/>
      <c r="B368" s="975"/>
      <c r="C368" s="1027"/>
      <c r="D368" s="975"/>
      <c r="E368" s="980"/>
      <c r="F368" s="975"/>
      <c r="G368" s="979"/>
      <c r="H368" s="975"/>
      <c r="I368" s="980"/>
      <c r="J368" s="975"/>
      <c r="K368" s="975"/>
      <c r="L368" s="975"/>
      <c r="M368" s="755" t="e">
        <f>+VLOOKUP(G368,'S1&amp;2 Lists'!$C$8:$G$134,3,FALSE)</f>
        <v>#N/A</v>
      </c>
      <c r="N368" s="755" t="e">
        <f t="shared" si="5"/>
        <v>#N/A</v>
      </c>
      <c r="P368" s="1049">
        <f>ROUND(IF(L368='S1&amp;2 Lists'!$CV$3,K368,IF(L368='S1&amp;2 Lists'!$CV$4,K368/'S1&amp;2 Lists'!$CQ$6,0)),3)</f>
        <v>0</v>
      </c>
      <c r="Q368" s="326" t="s">
        <v>264</v>
      </c>
    </row>
    <row r="369" spans="1:17" s="756" customFormat="1" ht="24" customHeight="1">
      <c r="A369" s="975"/>
      <c r="B369" s="975"/>
      <c r="C369" s="1027"/>
      <c r="D369" s="975"/>
      <c r="E369" s="980"/>
      <c r="F369" s="975"/>
      <c r="G369" s="979"/>
      <c r="H369" s="975"/>
      <c r="I369" s="980"/>
      <c r="J369" s="975"/>
      <c r="K369" s="975"/>
      <c r="L369" s="975"/>
      <c r="M369" s="755" t="e">
        <f>+VLOOKUP(G369,'S1&amp;2 Lists'!$C$8:$G$134,3,FALSE)</f>
        <v>#N/A</v>
      </c>
      <c r="N369" s="755" t="e">
        <f t="shared" si="5"/>
        <v>#N/A</v>
      </c>
      <c r="P369" s="1049">
        <f>ROUND(IF(L369='S1&amp;2 Lists'!$CV$3,K369,IF(L369='S1&amp;2 Lists'!$CV$4,K369/'S1&amp;2 Lists'!$CQ$6,0)),3)</f>
        <v>0</v>
      </c>
      <c r="Q369" s="326" t="s">
        <v>264</v>
      </c>
    </row>
    <row r="370" spans="1:17" s="756" customFormat="1" ht="24" customHeight="1">
      <c r="A370" s="975"/>
      <c r="B370" s="975"/>
      <c r="C370" s="1027"/>
      <c r="D370" s="975"/>
      <c r="E370" s="980"/>
      <c r="F370" s="975"/>
      <c r="G370" s="979"/>
      <c r="H370" s="975"/>
      <c r="I370" s="980"/>
      <c r="J370" s="975"/>
      <c r="K370" s="975"/>
      <c r="L370" s="975"/>
      <c r="M370" s="755" t="e">
        <f>+VLOOKUP(G370,'S1&amp;2 Lists'!$C$8:$G$134,3,FALSE)</f>
        <v>#N/A</v>
      </c>
      <c r="N370" s="755" t="e">
        <f t="shared" si="5"/>
        <v>#N/A</v>
      </c>
      <c r="P370" s="1049">
        <f>ROUND(IF(L370='S1&amp;2 Lists'!$CV$3,K370,IF(L370='S1&amp;2 Lists'!$CV$4,K370/'S1&amp;2 Lists'!$CQ$6,0)),3)</f>
        <v>0</v>
      </c>
      <c r="Q370" s="326" t="s">
        <v>264</v>
      </c>
    </row>
    <row r="371" spans="1:17" s="756" customFormat="1" ht="24" customHeight="1">
      <c r="A371" s="975"/>
      <c r="B371" s="975"/>
      <c r="C371" s="1027"/>
      <c r="D371" s="975"/>
      <c r="E371" s="980"/>
      <c r="F371" s="975"/>
      <c r="G371" s="979"/>
      <c r="H371" s="975"/>
      <c r="I371" s="980"/>
      <c r="J371" s="975"/>
      <c r="K371" s="975"/>
      <c r="L371" s="975"/>
      <c r="M371" s="755" t="e">
        <f>+VLOOKUP(G371,'S1&amp;2 Lists'!$C$8:$G$134,3,FALSE)</f>
        <v>#N/A</v>
      </c>
      <c r="N371" s="755" t="e">
        <f t="shared" si="5"/>
        <v>#N/A</v>
      </c>
      <c r="P371" s="1049">
        <f>ROUND(IF(L371='S1&amp;2 Lists'!$CV$3,K371,IF(L371='S1&amp;2 Lists'!$CV$4,K371/'S1&amp;2 Lists'!$CQ$6,0)),3)</f>
        <v>0</v>
      </c>
      <c r="Q371" s="326" t="s">
        <v>264</v>
      </c>
    </row>
    <row r="372" spans="1:17" s="756" customFormat="1" ht="24" customHeight="1">
      <c r="A372" s="975"/>
      <c r="B372" s="975"/>
      <c r="C372" s="1027"/>
      <c r="D372" s="975"/>
      <c r="E372" s="980"/>
      <c r="F372" s="975"/>
      <c r="G372" s="979"/>
      <c r="H372" s="975"/>
      <c r="I372" s="980"/>
      <c r="J372" s="975"/>
      <c r="K372" s="975"/>
      <c r="L372" s="975"/>
      <c r="M372" s="755" t="e">
        <f>+VLOOKUP(G372,'S1&amp;2 Lists'!$C$8:$G$134,3,FALSE)</f>
        <v>#N/A</v>
      </c>
      <c r="N372" s="755" t="e">
        <f t="shared" si="5"/>
        <v>#N/A</v>
      </c>
      <c r="P372" s="1049">
        <f>ROUND(IF(L372='S1&amp;2 Lists'!$CV$3,K372,IF(L372='S1&amp;2 Lists'!$CV$4,K372/'S1&amp;2 Lists'!$CQ$6,0)),3)</f>
        <v>0</v>
      </c>
      <c r="Q372" s="326" t="s">
        <v>264</v>
      </c>
    </row>
    <row r="373" spans="1:17" s="756" customFormat="1" ht="24" customHeight="1">
      <c r="A373" s="975"/>
      <c r="B373" s="975"/>
      <c r="C373" s="1027"/>
      <c r="D373" s="975"/>
      <c r="E373" s="980"/>
      <c r="F373" s="975"/>
      <c r="G373" s="979"/>
      <c r="H373" s="975"/>
      <c r="I373" s="980"/>
      <c r="J373" s="975"/>
      <c r="K373" s="975"/>
      <c r="L373" s="975"/>
      <c r="M373" s="755" t="e">
        <f>+VLOOKUP(G373,'S1&amp;2 Lists'!$C$8:$G$134,3,FALSE)</f>
        <v>#N/A</v>
      </c>
      <c r="N373" s="755" t="e">
        <f t="shared" si="5"/>
        <v>#N/A</v>
      </c>
      <c r="P373" s="1049">
        <f>ROUND(IF(L373='S1&amp;2 Lists'!$CV$3,K373,IF(L373='S1&amp;2 Lists'!$CV$4,K373/'S1&amp;2 Lists'!$CQ$6,0)),3)</f>
        <v>0</v>
      </c>
      <c r="Q373" s="326" t="s">
        <v>264</v>
      </c>
    </row>
    <row r="374" spans="1:17" s="756" customFormat="1" ht="24" customHeight="1">
      <c r="A374" s="975"/>
      <c r="B374" s="975"/>
      <c r="C374" s="1027"/>
      <c r="D374" s="975"/>
      <c r="E374" s="980"/>
      <c r="F374" s="975"/>
      <c r="G374" s="979"/>
      <c r="H374" s="975"/>
      <c r="I374" s="980"/>
      <c r="J374" s="975"/>
      <c r="K374" s="975"/>
      <c r="L374" s="975"/>
      <c r="M374" s="755" t="e">
        <f>+VLOOKUP(G374,'S1&amp;2 Lists'!$C$8:$G$134,3,FALSE)</f>
        <v>#N/A</v>
      </c>
      <c r="N374" s="755" t="e">
        <f t="shared" si="5"/>
        <v>#N/A</v>
      </c>
      <c r="P374" s="1049">
        <f>ROUND(IF(L374='S1&amp;2 Lists'!$CV$3,K374,IF(L374='S1&amp;2 Lists'!$CV$4,K374/'S1&amp;2 Lists'!$CQ$6,0)),3)</f>
        <v>0</v>
      </c>
      <c r="Q374" s="326" t="s">
        <v>264</v>
      </c>
    </row>
    <row r="375" spans="1:17" s="756" customFormat="1" ht="24" customHeight="1">
      <c r="A375" s="975"/>
      <c r="B375" s="975"/>
      <c r="C375" s="1027"/>
      <c r="D375" s="975"/>
      <c r="E375" s="980"/>
      <c r="F375" s="975"/>
      <c r="G375" s="979"/>
      <c r="H375" s="975"/>
      <c r="I375" s="980"/>
      <c r="J375" s="975"/>
      <c r="K375" s="975"/>
      <c r="L375" s="975"/>
      <c r="M375" s="755" t="e">
        <f>+VLOOKUP(G375,'S1&amp;2 Lists'!$C$8:$G$134,3,FALSE)</f>
        <v>#N/A</v>
      </c>
      <c r="N375" s="755" t="e">
        <f t="shared" si="5"/>
        <v>#N/A</v>
      </c>
      <c r="P375" s="1049">
        <f>ROUND(IF(L375='S1&amp;2 Lists'!$CV$3,K375,IF(L375='S1&amp;2 Lists'!$CV$4,K375/'S1&amp;2 Lists'!$CQ$6,0)),3)</f>
        <v>0</v>
      </c>
      <c r="Q375" s="326" t="s">
        <v>264</v>
      </c>
    </row>
    <row r="376" spans="1:17" s="756" customFormat="1" ht="24" customHeight="1">
      <c r="A376" s="975"/>
      <c r="B376" s="975"/>
      <c r="C376" s="1027"/>
      <c r="D376" s="975"/>
      <c r="E376" s="980"/>
      <c r="F376" s="975"/>
      <c r="G376" s="979"/>
      <c r="H376" s="975"/>
      <c r="I376" s="980"/>
      <c r="J376" s="975"/>
      <c r="K376" s="975"/>
      <c r="L376" s="975"/>
      <c r="M376" s="755" t="e">
        <f>+VLOOKUP(G376,'S1&amp;2 Lists'!$C$8:$G$134,3,FALSE)</f>
        <v>#N/A</v>
      </c>
      <c r="N376" s="755" t="e">
        <f t="shared" si="5"/>
        <v>#N/A</v>
      </c>
      <c r="P376" s="1049">
        <f>ROUND(IF(L376='S1&amp;2 Lists'!$CV$3,K376,IF(L376='S1&amp;2 Lists'!$CV$4,K376/'S1&amp;2 Lists'!$CQ$6,0)),3)</f>
        <v>0</v>
      </c>
      <c r="Q376" s="326" t="s">
        <v>264</v>
      </c>
    </row>
    <row r="377" spans="1:17" s="756" customFormat="1" ht="24" customHeight="1">
      <c r="A377" s="975"/>
      <c r="B377" s="975"/>
      <c r="C377" s="1027"/>
      <c r="D377" s="975"/>
      <c r="E377" s="980"/>
      <c r="F377" s="975"/>
      <c r="G377" s="979"/>
      <c r="H377" s="975"/>
      <c r="I377" s="980"/>
      <c r="J377" s="975"/>
      <c r="K377" s="975"/>
      <c r="L377" s="975"/>
      <c r="M377" s="755" t="e">
        <f>+VLOOKUP(G377,'S1&amp;2 Lists'!$C$8:$G$134,3,FALSE)</f>
        <v>#N/A</v>
      </c>
      <c r="N377" s="755" t="e">
        <f t="shared" si="5"/>
        <v>#N/A</v>
      </c>
      <c r="P377" s="1049">
        <f>ROUND(IF(L377='S1&amp;2 Lists'!$CV$3,K377,IF(L377='S1&amp;2 Lists'!$CV$4,K377/'S1&amp;2 Lists'!$CQ$6,0)),3)</f>
        <v>0</v>
      </c>
      <c r="Q377" s="326" t="s">
        <v>264</v>
      </c>
    </row>
    <row r="378" spans="1:17" s="756" customFormat="1" ht="24" customHeight="1">
      <c r="A378" s="975"/>
      <c r="B378" s="975"/>
      <c r="C378" s="1027"/>
      <c r="D378" s="975"/>
      <c r="E378" s="980"/>
      <c r="F378" s="975"/>
      <c r="G378" s="979"/>
      <c r="H378" s="975"/>
      <c r="I378" s="980"/>
      <c r="J378" s="975"/>
      <c r="K378" s="975"/>
      <c r="L378" s="975"/>
      <c r="M378" s="755" t="e">
        <f>+VLOOKUP(G378,'S1&amp;2 Lists'!$C$8:$G$134,3,FALSE)</f>
        <v>#N/A</v>
      </c>
      <c r="N378" s="755" t="e">
        <f t="shared" si="5"/>
        <v>#N/A</v>
      </c>
      <c r="P378" s="1049">
        <f>ROUND(IF(L378='S1&amp;2 Lists'!$CV$3,K378,IF(L378='S1&amp;2 Lists'!$CV$4,K378/'S1&amp;2 Lists'!$CQ$6,0)),3)</f>
        <v>0</v>
      </c>
      <c r="Q378" s="326" t="s">
        <v>264</v>
      </c>
    </row>
    <row r="379" spans="1:17" s="756" customFormat="1" ht="24" customHeight="1">
      <c r="A379" s="975"/>
      <c r="B379" s="975"/>
      <c r="C379" s="1027"/>
      <c r="D379" s="975"/>
      <c r="E379" s="980"/>
      <c r="F379" s="975"/>
      <c r="G379" s="979"/>
      <c r="H379" s="975"/>
      <c r="I379" s="980"/>
      <c r="J379" s="975"/>
      <c r="K379" s="975"/>
      <c r="L379" s="975"/>
      <c r="M379" s="755" t="e">
        <f>+VLOOKUP(G379,'S1&amp;2 Lists'!$C$8:$G$134,3,FALSE)</f>
        <v>#N/A</v>
      </c>
      <c r="N379" s="755" t="e">
        <f t="shared" si="5"/>
        <v>#N/A</v>
      </c>
      <c r="P379" s="1049">
        <f>ROUND(IF(L379='S1&amp;2 Lists'!$CV$3,K379,IF(L379='S1&amp;2 Lists'!$CV$4,K379/'S1&amp;2 Lists'!$CQ$6,0)),3)</f>
        <v>0</v>
      </c>
      <c r="Q379" s="326" t="s">
        <v>264</v>
      </c>
    </row>
    <row r="380" spans="1:17" s="756" customFormat="1" ht="24" customHeight="1">
      <c r="A380" s="975"/>
      <c r="B380" s="975"/>
      <c r="C380" s="1027"/>
      <c r="D380" s="975"/>
      <c r="E380" s="980"/>
      <c r="F380" s="975"/>
      <c r="G380" s="979"/>
      <c r="H380" s="975"/>
      <c r="I380" s="980"/>
      <c r="J380" s="975"/>
      <c r="K380" s="975"/>
      <c r="L380" s="975"/>
      <c r="M380" s="755" t="e">
        <f>+VLOOKUP(G380,'S1&amp;2 Lists'!$C$8:$G$134,3,FALSE)</f>
        <v>#N/A</v>
      </c>
      <c r="N380" s="755" t="e">
        <f t="shared" si="5"/>
        <v>#N/A</v>
      </c>
      <c r="P380" s="1049">
        <f>ROUND(IF(L380='S1&amp;2 Lists'!$CV$3,K380,IF(L380='S1&amp;2 Lists'!$CV$4,K380/'S1&amp;2 Lists'!$CQ$6,0)),3)</f>
        <v>0</v>
      </c>
      <c r="Q380" s="326" t="s">
        <v>264</v>
      </c>
    </row>
    <row r="381" spans="1:17" s="756" customFormat="1" ht="24" customHeight="1">
      <c r="A381" s="975"/>
      <c r="B381" s="975"/>
      <c r="C381" s="1027"/>
      <c r="D381" s="975"/>
      <c r="E381" s="980"/>
      <c r="F381" s="975"/>
      <c r="G381" s="979"/>
      <c r="H381" s="975"/>
      <c r="I381" s="980"/>
      <c r="J381" s="975"/>
      <c r="K381" s="975"/>
      <c r="L381" s="975"/>
      <c r="M381" s="755" t="e">
        <f>+VLOOKUP(G381,'S1&amp;2 Lists'!$C$8:$G$134,3,FALSE)</f>
        <v>#N/A</v>
      </c>
      <c r="N381" s="755" t="e">
        <f t="shared" si="5"/>
        <v>#N/A</v>
      </c>
      <c r="P381" s="1049">
        <f>ROUND(IF(L381='S1&amp;2 Lists'!$CV$3,K381,IF(L381='S1&amp;2 Lists'!$CV$4,K381/'S1&amp;2 Lists'!$CQ$6,0)),3)</f>
        <v>0</v>
      </c>
      <c r="Q381" s="326" t="s">
        <v>264</v>
      </c>
    </row>
    <row r="382" spans="1:17" s="756" customFormat="1" ht="24" customHeight="1">
      <c r="A382" s="975"/>
      <c r="B382" s="975"/>
      <c r="C382" s="1027"/>
      <c r="D382" s="975"/>
      <c r="E382" s="980"/>
      <c r="F382" s="975"/>
      <c r="G382" s="979"/>
      <c r="H382" s="975"/>
      <c r="I382" s="980"/>
      <c r="J382" s="975"/>
      <c r="K382" s="975"/>
      <c r="L382" s="975"/>
      <c r="M382" s="755" t="e">
        <f>+VLOOKUP(G382,'S1&amp;2 Lists'!$C$8:$G$134,3,FALSE)</f>
        <v>#N/A</v>
      </c>
      <c r="N382" s="755" t="e">
        <f t="shared" si="5"/>
        <v>#N/A</v>
      </c>
      <c r="P382" s="1049">
        <f>ROUND(IF(L382='S1&amp;2 Lists'!$CV$3,K382,IF(L382='S1&amp;2 Lists'!$CV$4,K382/'S1&amp;2 Lists'!$CQ$6,0)),3)</f>
        <v>0</v>
      </c>
      <c r="Q382" s="326" t="s">
        <v>264</v>
      </c>
    </row>
    <row r="383" spans="1:17" s="756" customFormat="1" ht="24" customHeight="1">
      <c r="A383" s="975"/>
      <c r="B383" s="975"/>
      <c r="C383" s="1027"/>
      <c r="D383" s="975"/>
      <c r="E383" s="980"/>
      <c r="F383" s="975"/>
      <c r="G383" s="979"/>
      <c r="H383" s="975"/>
      <c r="I383" s="980"/>
      <c r="J383" s="975"/>
      <c r="K383" s="975"/>
      <c r="L383" s="975"/>
      <c r="M383" s="755" t="e">
        <f>+VLOOKUP(G383,'S1&amp;2 Lists'!$C$8:$G$134,3,FALSE)</f>
        <v>#N/A</v>
      </c>
      <c r="N383" s="755" t="e">
        <f t="shared" si="5"/>
        <v>#N/A</v>
      </c>
      <c r="P383" s="1049">
        <f>ROUND(IF(L383='S1&amp;2 Lists'!$CV$3,K383,IF(L383='S1&amp;2 Lists'!$CV$4,K383/'S1&amp;2 Lists'!$CQ$6,0)),3)</f>
        <v>0</v>
      </c>
      <c r="Q383" s="326" t="s">
        <v>264</v>
      </c>
    </row>
    <row r="384" spans="1:17" s="756" customFormat="1" ht="24" customHeight="1">
      <c r="A384" s="975"/>
      <c r="B384" s="975"/>
      <c r="C384" s="1027"/>
      <c r="D384" s="975"/>
      <c r="E384" s="980"/>
      <c r="F384" s="975"/>
      <c r="G384" s="979"/>
      <c r="H384" s="975"/>
      <c r="I384" s="980"/>
      <c r="J384" s="975"/>
      <c r="K384" s="975"/>
      <c r="L384" s="975"/>
      <c r="M384" s="755" t="e">
        <f>+VLOOKUP(G384,'S1&amp;2 Lists'!$C$8:$G$134,3,FALSE)</f>
        <v>#N/A</v>
      </c>
      <c r="N384" s="755" t="e">
        <f t="shared" si="5"/>
        <v>#N/A</v>
      </c>
      <c r="P384" s="1049">
        <f>ROUND(IF(L384='S1&amp;2 Lists'!$CV$3,K384,IF(L384='S1&amp;2 Lists'!$CV$4,K384/'S1&amp;2 Lists'!$CQ$6,0)),3)</f>
        <v>0</v>
      </c>
      <c r="Q384" s="326" t="s">
        <v>264</v>
      </c>
    </row>
    <row r="385" spans="1:17" s="756" customFormat="1" ht="24" customHeight="1">
      <c r="A385" s="975"/>
      <c r="B385" s="975"/>
      <c r="C385" s="1027"/>
      <c r="D385" s="975"/>
      <c r="E385" s="980"/>
      <c r="F385" s="975"/>
      <c r="G385" s="979"/>
      <c r="H385" s="975"/>
      <c r="I385" s="980"/>
      <c r="J385" s="975"/>
      <c r="K385" s="975"/>
      <c r="L385" s="975"/>
      <c r="M385" s="755" t="e">
        <f>+VLOOKUP(G385,'S1&amp;2 Lists'!$C$8:$G$134,3,FALSE)</f>
        <v>#N/A</v>
      </c>
      <c r="N385" s="755" t="e">
        <f t="shared" si="5"/>
        <v>#N/A</v>
      </c>
      <c r="P385" s="1049">
        <f>ROUND(IF(L385='S1&amp;2 Lists'!$CV$3,K385,IF(L385='S1&amp;2 Lists'!$CV$4,K385/'S1&amp;2 Lists'!$CQ$6,0)),3)</f>
        <v>0</v>
      </c>
      <c r="Q385" s="326" t="s">
        <v>264</v>
      </c>
    </row>
    <row r="386" spans="1:17" s="756" customFormat="1" ht="24" customHeight="1">
      <c r="A386" s="975"/>
      <c r="B386" s="975"/>
      <c r="C386" s="1027"/>
      <c r="D386" s="975"/>
      <c r="E386" s="980"/>
      <c r="F386" s="975"/>
      <c r="G386" s="979"/>
      <c r="H386" s="975"/>
      <c r="I386" s="980"/>
      <c r="J386" s="975"/>
      <c r="K386" s="975"/>
      <c r="L386" s="975"/>
      <c r="M386" s="755" t="e">
        <f>+VLOOKUP(G386,'S1&amp;2 Lists'!$C$8:$G$134,3,FALSE)</f>
        <v>#N/A</v>
      </c>
      <c r="N386" s="755" t="e">
        <f t="shared" si="5"/>
        <v>#N/A</v>
      </c>
      <c r="P386" s="1049">
        <f>ROUND(IF(L386='S1&amp;2 Lists'!$CV$3,K386,IF(L386='S1&amp;2 Lists'!$CV$4,K386/'S1&amp;2 Lists'!$CQ$6,0)),3)</f>
        <v>0</v>
      </c>
      <c r="Q386" s="326" t="s">
        <v>264</v>
      </c>
    </row>
    <row r="387" spans="1:17" s="756" customFormat="1" ht="24" customHeight="1">
      <c r="A387" s="975"/>
      <c r="B387" s="975"/>
      <c r="C387" s="1027"/>
      <c r="D387" s="975"/>
      <c r="E387" s="980"/>
      <c r="F387" s="975"/>
      <c r="G387" s="979"/>
      <c r="H387" s="975"/>
      <c r="I387" s="980"/>
      <c r="J387" s="975"/>
      <c r="K387" s="975"/>
      <c r="L387" s="975"/>
      <c r="M387" s="755" t="e">
        <f>+VLOOKUP(G387,'S1&amp;2 Lists'!$C$8:$G$134,3,FALSE)</f>
        <v>#N/A</v>
      </c>
      <c r="N387" s="755" t="e">
        <f t="shared" si="5"/>
        <v>#N/A</v>
      </c>
      <c r="P387" s="1049">
        <f>ROUND(IF(L387='S1&amp;2 Lists'!$CV$3,K387,IF(L387='S1&amp;2 Lists'!$CV$4,K387/'S1&amp;2 Lists'!$CQ$6,0)),3)</f>
        <v>0</v>
      </c>
      <c r="Q387" s="326" t="s">
        <v>264</v>
      </c>
    </row>
    <row r="388" spans="1:17" s="756" customFormat="1" ht="24" customHeight="1">
      <c r="A388" s="975"/>
      <c r="B388" s="975"/>
      <c r="C388" s="1027"/>
      <c r="D388" s="975"/>
      <c r="E388" s="980"/>
      <c r="F388" s="975"/>
      <c r="G388" s="979"/>
      <c r="H388" s="975"/>
      <c r="I388" s="980"/>
      <c r="J388" s="975"/>
      <c r="K388" s="975"/>
      <c r="L388" s="975"/>
      <c r="M388" s="755" t="e">
        <f>+VLOOKUP(G388,'S1&amp;2 Lists'!$C$8:$G$134,3,FALSE)</f>
        <v>#N/A</v>
      </c>
      <c r="N388" s="755" t="e">
        <f t="shared" si="5"/>
        <v>#N/A</v>
      </c>
      <c r="P388" s="1049">
        <f>ROUND(IF(L388='S1&amp;2 Lists'!$CV$3,K388,IF(L388='S1&amp;2 Lists'!$CV$4,K388/'S1&amp;2 Lists'!$CQ$6,0)),3)</f>
        <v>0</v>
      </c>
      <c r="Q388" s="326" t="s">
        <v>264</v>
      </c>
    </row>
    <row r="389" spans="1:17" s="756" customFormat="1" ht="24" customHeight="1">
      <c r="A389" s="975"/>
      <c r="B389" s="975"/>
      <c r="C389" s="1027"/>
      <c r="D389" s="975"/>
      <c r="E389" s="980"/>
      <c r="F389" s="975"/>
      <c r="G389" s="979"/>
      <c r="H389" s="975"/>
      <c r="I389" s="980"/>
      <c r="J389" s="975"/>
      <c r="K389" s="975"/>
      <c r="L389" s="975"/>
      <c r="M389" s="755" t="e">
        <f>+VLOOKUP(G389,'S1&amp;2 Lists'!$C$8:$G$134,3,FALSE)</f>
        <v>#N/A</v>
      </c>
      <c r="N389" s="755" t="e">
        <f t="shared" si="5"/>
        <v>#N/A</v>
      </c>
      <c r="P389" s="1049">
        <f>ROUND(IF(L389='S1&amp;2 Lists'!$CV$3,K389,IF(L389='S1&amp;2 Lists'!$CV$4,K389/'S1&amp;2 Lists'!$CQ$6,0)),3)</f>
        <v>0</v>
      </c>
      <c r="Q389" s="326" t="s">
        <v>264</v>
      </c>
    </row>
    <row r="390" spans="1:17" s="756" customFormat="1" ht="24" customHeight="1">
      <c r="A390" s="975"/>
      <c r="B390" s="975"/>
      <c r="C390" s="1027"/>
      <c r="D390" s="975"/>
      <c r="E390" s="980"/>
      <c r="F390" s="975"/>
      <c r="G390" s="979"/>
      <c r="H390" s="975"/>
      <c r="I390" s="980"/>
      <c r="J390" s="975"/>
      <c r="K390" s="975"/>
      <c r="L390" s="975"/>
      <c r="M390" s="755" t="e">
        <f>+VLOOKUP(G390,'S1&amp;2 Lists'!$C$8:$G$134,3,FALSE)</f>
        <v>#N/A</v>
      </c>
      <c r="N390" s="755" t="e">
        <f t="shared" si="5"/>
        <v>#N/A</v>
      </c>
      <c r="P390" s="1049">
        <f>ROUND(IF(L390='S1&amp;2 Lists'!$CV$3,K390,IF(L390='S1&amp;2 Lists'!$CV$4,K390/'S1&amp;2 Lists'!$CQ$6,0)),3)</f>
        <v>0</v>
      </c>
      <c r="Q390" s="326" t="s">
        <v>264</v>
      </c>
    </row>
    <row r="391" spans="1:17" s="756" customFormat="1" ht="24" customHeight="1">
      <c r="A391" s="975"/>
      <c r="B391" s="975"/>
      <c r="C391" s="1027"/>
      <c r="D391" s="975"/>
      <c r="E391" s="980"/>
      <c r="F391" s="975"/>
      <c r="G391" s="979"/>
      <c r="H391" s="975"/>
      <c r="I391" s="980"/>
      <c r="J391" s="975"/>
      <c r="K391" s="975"/>
      <c r="L391" s="975"/>
      <c r="M391" s="755" t="e">
        <f>+VLOOKUP(G391,'S1&amp;2 Lists'!$C$8:$G$134,3,FALSE)</f>
        <v>#N/A</v>
      </c>
      <c r="N391" s="755" t="e">
        <f t="shared" si="5"/>
        <v>#N/A</v>
      </c>
      <c r="P391" s="1049">
        <f>ROUND(IF(L391='S1&amp;2 Lists'!$CV$3,K391,IF(L391='S1&amp;2 Lists'!$CV$4,K391/'S1&amp;2 Lists'!$CQ$6,0)),3)</f>
        <v>0</v>
      </c>
      <c r="Q391" s="326" t="s">
        <v>264</v>
      </c>
    </row>
    <row r="392" spans="1:17" s="756" customFormat="1" ht="24" customHeight="1">
      <c r="A392" s="975"/>
      <c r="B392" s="975"/>
      <c r="C392" s="1027"/>
      <c r="D392" s="975"/>
      <c r="E392" s="980"/>
      <c r="F392" s="975"/>
      <c r="G392" s="979"/>
      <c r="H392" s="975"/>
      <c r="I392" s="980"/>
      <c r="J392" s="975"/>
      <c r="K392" s="975"/>
      <c r="L392" s="975"/>
      <c r="M392" s="755" t="e">
        <f>+VLOOKUP(G392,'S1&amp;2 Lists'!$C$8:$G$134,3,FALSE)</f>
        <v>#N/A</v>
      </c>
      <c r="N392" s="755" t="e">
        <f t="shared" si="5"/>
        <v>#N/A</v>
      </c>
      <c r="P392" s="1049">
        <f>ROUND(IF(L392='S1&amp;2 Lists'!$CV$3,K392,IF(L392='S1&amp;2 Lists'!$CV$4,K392/'S1&amp;2 Lists'!$CQ$6,0)),3)</f>
        <v>0</v>
      </c>
      <c r="Q392" s="326" t="s">
        <v>264</v>
      </c>
    </row>
    <row r="393" spans="1:17" s="756" customFormat="1" ht="24" customHeight="1">
      <c r="A393" s="975"/>
      <c r="B393" s="975"/>
      <c r="C393" s="1027"/>
      <c r="D393" s="975"/>
      <c r="E393" s="980"/>
      <c r="F393" s="975"/>
      <c r="G393" s="979"/>
      <c r="H393" s="975"/>
      <c r="I393" s="980"/>
      <c r="J393" s="975"/>
      <c r="K393" s="975"/>
      <c r="L393" s="975"/>
      <c r="M393" s="755" t="e">
        <f>+VLOOKUP(G393,'S1&amp;2 Lists'!$C$8:$G$134,3,FALSE)</f>
        <v>#N/A</v>
      </c>
      <c r="N393" s="755" t="e">
        <f t="shared" si="5"/>
        <v>#N/A</v>
      </c>
      <c r="P393" s="1049">
        <f>ROUND(IF(L393='S1&amp;2 Lists'!$CV$3,K393,IF(L393='S1&amp;2 Lists'!$CV$4,K393/'S1&amp;2 Lists'!$CQ$6,0)),3)</f>
        <v>0</v>
      </c>
      <c r="Q393" s="326" t="s">
        <v>264</v>
      </c>
    </row>
    <row r="394" spans="1:17" s="756" customFormat="1" ht="24" customHeight="1">
      <c r="A394" s="975"/>
      <c r="B394" s="975"/>
      <c r="C394" s="1027"/>
      <c r="D394" s="975"/>
      <c r="E394" s="980"/>
      <c r="F394" s="975"/>
      <c r="G394" s="979"/>
      <c r="H394" s="975"/>
      <c r="I394" s="980"/>
      <c r="J394" s="975"/>
      <c r="K394" s="975"/>
      <c r="L394" s="975"/>
      <c r="M394" s="755" t="e">
        <f>+VLOOKUP(G394,'S1&amp;2 Lists'!$C$8:$G$134,3,FALSE)</f>
        <v>#N/A</v>
      </c>
      <c r="N394" s="755" t="e">
        <f t="shared" ref="N394:N457" si="6">+P394*M394</f>
        <v>#N/A</v>
      </c>
      <c r="P394" s="1049">
        <f>ROUND(IF(L394='S1&amp;2 Lists'!$CV$3,K394,IF(L394='S1&amp;2 Lists'!$CV$4,K394/'S1&amp;2 Lists'!$CQ$6,0)),3)</f>
        <v>0</v>
      </c>
      <c r="Q394" s="326" t="s">
        <v>264</v>
      </c>
    </row>
    <row r="395" spans="1:17" s="756" customFormat="1" ht="24" customHeight="1">
      <c r="A395" s="975"/>
      <c r="B395" s="975"/>
      <c r="C395" s="1027"/>
      <c r="D395" s="975"/>
      <c r="E395" s="980"/>
      <c r="F395" s="975"/>
      <c r="G395" s="979"/>
      <c r="H395" s="975"/>
      <c r="I395" s="980"/>
      <c r="J395" s="975"/>
      <c r="K395" s="975"/>
      <c r="L395" s="975"/>
      <c r="M395" s="755" t="e">
        <f>+VLOOKUP(G395,'S1&amp;2 Lists'!$C$8:$G$134,3,FALSE)</f>
        <v>#N/A</v>
      </c>
      <c r="N395" s="755" t="e">
        <f t="shared" si="6"/>
        <v>#N/A</v>
      </c>
      <c r="P395" s="1049">
        <f>ROUND(IF(L395='S1&amp;2 Lists'!$CV$3,K395,IF(L395='S1&amp;2 Lists'!$CV$4,K395/'S1&amp;2 Lists'!$CQ$6,0)),3)</f>
        <v>0</v>
      </c>
      <c r="Q395" s="326" t="s">
        <v>264</v>
      </c>
    </row>
    <row r="396" spans="1:17" s="756" customFormat="1" ht="24" customHeight="1">
      <c r="A396" s="975"/>
      <c r="B396" s="975"/>
      <c r="C396" s="1027"/>
      <c r="D396" s="975"/>
      <c r="E396" s="980"/>
      <c r="F396" s="975"/>
      <c r="G396" s="979"/>
      <c r="H396" s="975"/>
      <c r="I396" s="980"/>
      <c r="J396" s="975"/>
      <c r="K396" s="975"/>
      <c r="L396" s="975"/>
      <c r="M396" s="755" t="e">
        <f>+VLOOKUP(G396,'S1&amp;2 Lists'!$C$8:$G$134,3,FALSE)</f>
        <v>#N/A</v>
      </c>
      <c r="N396" s="755" t="e">
        <f t="shared" si="6"/>
        <v>#N/A</v>
      </c>
      <c r="P396" s="1049">
        <f>ROUND(IF(L396='S1&amp;2 Lists'!$CV$3,K396,IF(L396='S1&amp;2 Lists'!$CV$4,K396/'S1&amp;2 Lists'!$CQ$6,0)),3)</f>
        <v>0</v>
      </c>
      <c r="Q396" s="326" t="s">
        <v>264</v>
      </c>
    </row>
    <row r="397" spans="1:17" s="756" customFormat="1" ht="24" customHeight="1">
      <c r="A397" s="975"/>
      <c r="B397" s="975"/>
      <c r="C397" s="1027"/>
      <c r="D397" s="975"/>
      <c r="E397" s="980"/>
      <c r="F397" s="975"/>
      <c r="G397" s="979"/>
      <c r="H397" s="975"/>
      <c r="I397" s="980"/>
      <c r="J397" s="975"/>
      <c r="K397" s="975"/>
      <c r="L397" s="975"/>
      <c r="M397" s="755" t="e">
        <f>+VLOOKUP(G397,'S1&amp;2 Lists'!$C$8:$G$134,3,FALSE)</f>
        <v>#N/A</v>
      </c>
      <c r="N397" s="755" t="e">
        <f t="shared" si="6"/>
        <v>#N/A</v>
      </c>
      <c r="P397" s="1049">
        <f>ROUND(IF(L397='S1&amp;2 Lists'!$CV$3,K397,IF(L397='S1&amp;2 Lists'!$CV$4,K397/'S1&amp;2 Lists'!$CQ$6,0)),3)</f>
        <v>0</v>
      </c>
      <c r="Q397" s="326" t="s">
        <v>264</v>
      </c>
    </row>
    <row r="398" spans="1:17" s="756" customFormat="1" ht="24" customHeight="1">
      <c r="A398" s="975"/>
      <c r="B398" s="975"/>
      <c r="C398" s="1027"/>
      <c r="D398" s="975"/>
      <c r="E398" s="980"/>
      <c r="F398" s="975"/>
      <c r="G398" s="979"/>
      <c r="H398" s="975"/>
      <c r="I398" s="980"/>
      <c r="J398" s="975"/>
      <c r="K398" s="975"/>
      <c r="L398" s="975"/>
      <c r="M398" s="755" t="e">
        <f>+VLOOKUP(G398,'S1&amp;2 Lists'!$C$8:$G$134,3,FALSE)</f>
        <v>#N/A</v>
      </c>
      <c r="N398" s="755" t="e">
        <f t="shared" si="6"/>
        <v>#N/A</v>
      </c>
      <c r="P398" s="1049">
        <f>ROUND(IF(L398='S1&amp;2 Lists'!$CV$3,K398,IF(L398='S1&amp;2 Lists'!$CV$4,K398/'S1&amp;2 Lists'!$CQ$6,0)),3)</f>
        <v>0</v>
      </c>
      <c r="Q398" s="326" t="s">
        <v>264</v>
      </c>
    </row>
    <row r="399" spans="1:17" s="756" customFormat="1" ht="24" customHeight="1">
      <c r="A399" s="975"/>
      <c r="B399" s="975"/>
      <c r="C399" s="1027"/>
      <c r="D399" s="975"/>
      <c r="E399" s="980"/>
      <c r="F399" s="975"/>
      <c r="G399" s="979"/>
      <c r="H399" s="975"/>
      <c r="I399" s="980"/>
      <c r="J399" s="975"/>
      <c r="K399" s="975"/>
      <c r="L399" s="975"/>
      <c r="M399" s="755" t="e">
        <f>+VLOOKUP(G399,'S1&amp;2 Lists'!$C$8:$G$134,3,FALSE)</f>
        <v>#N/A</v>
      </c>
      <c r="N399" s="755" t="e">
        <f t="shared" si="6"/>
        <v>#N/A</v>
      </c>
      <c r="P399" s="1049">
        <f>ROUND(IF(L399='S1&amp;2 Lists'!$CV$3,K399,IF(L399='S1&amp;2 Lists'!$CV$4,K399/'S1&amp;2 Lists'!$CQ$6,0)),3)</f>
        <v>0</v>
      </c>
      <c r="Q399" s="326" t="s">
        <v>264</v>
      </c>
    </row>
    <row r="400" spans="1:17" s="756" customFormat="1" ht="24" customHeight="1">
      <c r="A400" s="975"/>
      <c r="B400" s="975"/>
      <c r="C400" s="1027"/>
      <c r="D400" s="975"/>
      <c r="E400" s="980"/>
      <c r="F400" s="975"/>
      <c r="G400" s="979"/>
      <c r="H400" s="975"/>
      <c r="I400" s="980"/>
      <c r="J400" s="975"/>
      <c r="K400" s="975"/>
      <c r="L400" s="975"/>
      <c r="M400" s="755" t="e">
        <f>+VLOOKUP(G400,'S1&amp;2 Lists'!$C$8:$G$134,3,FALSE)</f>
        <v>#N/A</v>
      </c>
      <c r="N400" s="755" t="e">
        <f t="shared" si="6"/>
        <v>#N/A</v>
      </c>
      <c r="P400" s="1049">
        <f>ROUND(IF(L400='S1&amp;2 Lists'!$CV$3,K400,IF(L400='S1&amp;2 Lists'!$CV$4,K400/'S1&amp;2 Lists'!$CQ$6,0)),3)</f>
        <v>0</v>
      </c>
      <c r="Q400" s="326" t="s">
        <v>264</v>
      </c>
    </row>
    <row r="401" spans="1:17" s="756" customFormat="1" ht="24" customHeight="1">
      <c r="A401" s="975"/>
      <c r="B401" s="975"/>
      <c r="C401" s="1027"/>
      <c r="D401" s="975"/>
      <c r="E401" s="980"/>
      <c r="F401" s="975"/>
      <c r="G401" s="979"/>
      <c r="H401" s="975"/>
      <c r="I401" s="980"/>
      <c r="J401" s="975"/>
      <c r="K401" s="975"/>
      <c r="L401" s="975"/>
      <c r="M401" s="755" t="e">
        <f>+VLOOKUP(G401,'S1&amp;2 Lists'!$C$8:$G$134,3,FALSE)</f>
        <v>#N/A</v>
      </c>
      <c r="N401" s="755" t="e">
        <f t="shared" si="6"/>
        <v>#N/A</v>
      </c>
      <c r="P401" s="1049">
        <f>ROUND(IF(L401='S1&amp;2 Lists'!$CV$3,K401,IF(L401='S1&amp;2 Lists'!$CV$4,K401/'S1&amp;2 Lists'!$CQ$6,0)),3)</f>
        <v>0</v>
      </c>
      <c r="Q401" s="326" t="s">
        <v>264</v>
      </c>
    </row>
    <row r="402" spans="1:17" s="756" customFormat="1" ht="24" customHeight="1">
      <c r="A402" s="975"/>
      <c r="B402" s="975"/>
      <c r="C402" s="1027"/>
      <c r="D402" s="975"/>
      <c r="E402" s="980"/>
      <c r="F402" s="975"/>
      <c r="G402" s="979"/>
      <c r="H402" s="975"/>
      <c r="I402" s="980"/>
      <c r="J402" s="975"/>
      <c r="K402" s="975"/>
      <c r="L402" s="975"/>
      <c r="M402" s="755" t="e">
        <f>+VLOOKUP(G402,'S1&amp;2 Lists'!$C$8:$G$134,3,FALSE)</f>
        <v>#N/A</v>
      </c>
      <c r="N402" s="755" t="e">
        <f t="shared" si="6"/>
        <v>#N/A</v>
      </c>
      <c r="P402" s="1049">
        <f>ROUND(IF(L402='S1&amp;2 Lists'!$CV$3,K402,IF(L402='S1&amp;2 Lists'!$CV$4,K402/'S1&amp;2 Lists'!$CQ$6,0)),3)</f>
        <v>0</v>
      </c>
      <c r="Q402" s="326" t="s">
        <v>264</v>
      </c>
    </row>
    <row r="403" spans="1:17" s="756" customFormat="1" ht="24" customHeight="1">
      <c r="A403" s="975"/>
      <c r="B403" s="975"/>
      <c r="C403" s="1027"/>
      <c r="D403" s="975"/>
      <c r="E403" s="980"/>
      <c r="F403" s="975"/>
      <c r="G403" s="979"/>
      <c r="H403" s="975"/>
      <c r="I403" s="980"/>
      <c r="J403" s="975"/>
      <c r="K403" s="975"/>
      <c r="L403" s="975"/>
      <c r="M403" s="755" t="e">
        <f>+VLOOKUP(G403,'S1&amp;2 Lists'!$C$8:$G$134,3,FALSE)</f>
        <v>#N/A</v>
      </c>
      <c r="N403" s="755" t="e">
        <f t="shared" si="6"/>
        <v>#N/A</v>
      </c>
      <c r="P403" s="1049">
        <f>ROUND(IF(L403='S1&amp;2 Lists'!$CV$3,K403,IF(L403='S1&amp;2 Lists'!$CV$4,K403/'S1&amp;2 Lists'!$CQ$6,0)),3)</f>
        <v>0</v>
      </c>
      <c r="Q403" s="326" t="s">
        <v>264</v>
      </c>
    </row>
    <row r="404" spans="1:17" s="756" customFormat="1" ht="24" customHeight="1">
      <c r="A404" s="975"/>
      <c r="B404" s="975"/>
      <c r="C404" s="1027"/>
      <c r="D404" s="975"/>
      <c r="E404" s="980"/>
      <c r="F404" s="975"/>
      <c r="G404" s="979"/>
      <c r="H404" s="975"/>
      <c r="I404" s="980"/>
      <c r="J404" s="975"/>
      <c r="K404" s="975"/>
      <c r="L404" s="975"/>
      <c r="M404" s="755" t="e">
        <f>+VLOOKUP(G404,'S1&amp;2 Lists'!$C$8:$G$134,3,FALSE)</f>
        <v>#N/A</v>
      </c>
      <c r="N404" s="755" t="e">
        <f t="shared" si="6"/>
        <v>#N/A</v>
      </c>
      <c r="P404" s="1049">
        <f>ROUND(IF(L404='S1&amp;2 Lists'!$CV$3,K404,IF(L404='S1&amp;2 Lists'!$CV$4,K404/'S1&amp;2 Lists'!$CQ$6,0)),3)</f>
        <v>0</v>
      </c>
      <c r="Q404" s="326" t="s">
        <v>264</v>
      </c>
    </row>
    <row r="405" spans="1:17" s="756" customFormat="1" ht="24" customHeight="1">
      <c r="A405" s="975"/>
      <c r="B405" s="975"/>
      <c r="C405" s="1027"/>
      <c r="D405" s="975"/>
      <c r="E405" s="980"/>
      <c r="F405" s="975"/>
      <c r="G405" s="979"/>
      <c r="H405" s="975"/>
      <c r="I405" s="980"/>
      <c r="J405" s="975"/>
      <c r="K405" s="975"/>
      <c r="L405" s="975"/>
      <c r="M405" s="755" t="e">
        <f>+VLOOKUP(G405,'S1&amp;2 Lists'!$C$8:$G$134,3,FALSE)</f>
        <v>#N/A</v>
      </c>
      <c r="N405" s="755" t="e">
        <f t="shared" si="6"/>
        <v>#N/A</v>
      </c>
      <c r="P405" s="1049">
        <f>ROUND(IF(L405='S1&amp;2 Lists'!$CV$3,K405,IF(L405='S1&amp;2 Lists'!$CV$4,K405/'S1&amp;2 Lists'!$CQ$6,0)),3)</f>
        <v>0</v>
      </c>
      <c r="Q405" s="326" t="s">
        <v>264</v>
      </c>
    </row>
    <row r="406" spans="1:17" s="756" customFormat="1" ht="24" customHeight="1">
      <c r="A406" s="975"/>
      <c r="B406" s="975"/>
      <c r="C406" s="1027"/>
      <c r="D406" s="975"/>
      <c r="E406" s="980"/>
      <c r="F406" s="975"/>
      <c r="G406" s="979"/>
      <c r="H406" s="975"/>
      <c r="I406" s="980"/>
      <c r="J406" s="975"/>
      <c r="K406" s="975"/>
      <c r="L406" s="975"/>
      <c r="M406" s="755" t="e">
        <f>+VLOOKUP(G406,'S1&amp;2 Lists'!$C$8:$G$134,3,FALSE)</f>
        <v>#N/A</v>
      </c>
      <c r="N406" s="755" t="e">
        <f t="shared" si="6"/>
        <v>#N/A</v>
      </c>
      <c r="P406" s="1049">
        <f>ROUND(IF(L406='S1&amp;2 Lists'!$CV$3,K406,IF(L406='S1&amp;2 Lists'!$CV$4,K406/'S1&amp;2 Lists'!$CQ$6,0)),3)</f>
        <v>0</v>
      </c>
      <c r="Q406" s="326" t="s">
        <v>264</v>
      </c>
    </row>
    <row r="407" spans="1:17" s="756" customFormat="1" ht="24" customHeight="1">
      <c r="A407" s="975"/>
      <c r="B407" s="975"/>
      <c r="C407" s="1027"/>
      <c r="D407" s="975"/>
      <c r="E407" s="980"/>
      <c r="F407" s="975"/>
      <c r="G407" s="979"/>
      <c r="H407" s="975"/>
      <c r="I407" s="980"/>
      <c r="J407" s="975"/>
      <c r="K407" s="975"/>
      <c r="L407" s="975"/>
      <c r="M407" s="755" t="e">
        <f>+VLOOKUP(G407,'S1&amp;2 Lists'!$C$8:$G$134,3,FALSE)</f>
        <v>#N/A</v>
      </c>
      <c r="N407" s="755" t="e">
        <f t="shared" si="6"/>
        <v>#N/A</v>
      </c>
      <c r="P407" s="1049">
        <f>ROUND(IF(L407='S1&amp;2 Lists'!$CV$3,K407,IF(L407='S1&amp;2 Lists'!$CV$4,K407/'S1&amp;2 Lists'!$CQ$6,0)),3)</f>
        <v>0</v>
      </c>
      <c r="Q407" s="326" t="s">
        <v>264</v>
      </c>
    </row>
    <row r="408" spans="1:17" s="756" customFormat="1" ht="24" customHeight="1">
      <c r="A408" s="975"/>
      <c r="B408" s="975"/>
      <c r="C408" s="1027"/>
      <c r="D408" s="975"/>
      <c r="E408" s="980"/>
      <c r="F408" s="975"/>
      <c r="G408" s="979"/>
      <c r="H408" s="975"/>
      <c r="I408" s="980"/>
      <c r="J408" s="975"/>
      <c r="K408" s="975"/>
      <c r="L408" s="975"/>
      <c r="M408" s="755" t="e">
        <f>+VLOOKUP(G408,'S1&amp;2 Lists'!$C$8:$G$134,3,FALSE)</f>
        <v>#N/A</v>
      </c>
      <c r="N408" s="755" t="e">
        <f t="shared" si="6"/>
        <v>#N/A</v>
      </c>
      <c r="P408" s="1049">
        <f>ROUND(IF(L408='S1&amp;2 Lists'!$CV$3,K408,IF(L408='S1&amp;2 Lists'!$CV$4,K408/'S1&amp;2 Lists'!$CQ$6,0)),3)</f>
        <v>0</v>
      </c>
      <c r="Q408" s="326" t="s">
        <v>264</v>
      </c>
    </row>
    <row r="409" spans="1:17" s="756" customFormat="1" ht="24" customHeight="1">
      <c r="A409" s="975"/>
      <c r="B409" s="975"/>
      <c r="C409" s="1027"/>
      <c r="D409" s="975"/>
      <c r="E409" s="980"/>
      <c r="F409" s="975"/>
      <c r="G409" s="979"/>
      <c r="H409" s="975"/>
      <c r="I409" s="980"/>
      <c r="J409" s="975"/>
      <c r="K409" s="975"/>
      <c r="L409" s="975"/>
      <c r="M409" s="755" t="e">
        <f>+VLOOKUP(G409,'S1&amp;2 Lists'!$C$8:$G$134,3,FALSE)</f>
        <v>#N/A</v>
      </c>
      <c r="N409" s="755" t="e">
        <f t="shared" si="6"/>
        <v>#N/A</v>
      </c>
      <c r="P409" s="1049">
        <f>ROUND(IF(L409='S1&amp;2 Lists'!$CV$3,K409,IF(L409='S1&amp;2 Lists'!$CV$4,K409/'S1&amp;2 Lists'!$CQ$6,0)),3)</f>
        <v>0</v>
      </c>
      <c r="Q409" s="326" t="s">
        <v>264</v>
      </c>
    </row>
    <row r="410" spans="1:17" s="756" customFormat="1" ht="24" customHeight="1">
      <c r="A410" s="975"/>
      <c r="B410" s="975"/>
      <c r="C410" s="1027"/>
      <c r="D410" s="975"/>
      <c r="E410" s="980"/>
      <c r="F410" s="975"/>
      <c r="G410" s="979"/>
      <c r="H410" s="975"/>
      <c r="I410" s="980"/>
      <c r="J410" s="975"/>
      <c r="K410" s="975"/>
      <c r="L410" s="975"/>
      <c r="M410" s="755" t="e">
        <f>+VLOOKUP(G410,'S1&amp;2 Lists'!$C$8:$G$134,3,FALSE)</f>
        <v>#N/A</v>
      </c>
      <c r="N410" s="755" t="e">
        <f t="shared" si="6"/>
        <v>#N/A</v>
      </c>
      <c r="P410" s="1049">
        <f>ROUND(IF(L410='S1&amp;2 Lists'!$CV$3,K410,IF(L410='S1&amp;2 Lists'!$CV$4,K410/'S1&amp;2 Lists'!$CQ$6,0)),3)</f>
        <v>0</v>
      </c>
      <c r="Q410" s="326" t="s">
        <v>264</v>
      </c>
    </row>
    <row r="411" spans="1:17" s="756" customFormat="1" ht="24" customHeight="1">
      <c r="A411" s="975"/>
      <c r="B411" s="975"/>
      <c r="C411" s="1027"/>
      <c r="D411" s="975"/>
      <c r="E411" s="980"/>
      <c r="F411" s="975"/>
      <c r="G411" s="979"/>
      <c r="H411" s="975"/>
      <c r="I411" s="980"/>
      <c r="J411" s="975"/>
      <c r="K411" s="975"/>
      <c r="L411" s="975"/>
      <c r="M411" s="755" t="e">
        <f>+VLOOKUP(G411,'S1&amp;2 Lists'!$C$8:$G$134,3,FALSE)</f>
        <v>#N/A</v>
      </c>
      <c r="N411" s="755" t="e">
        <f t="shared" si="6"/>
        <v>#N/A</v>
      </c>
      <c r="P411" s="1049">
        <f>ROUND(IF(L411='S1&amp;2 Lists'!$CV$3,K411,IF(L411='S1&amp;2 Lists'!$CV$4,K411/'S1&amp;2 Lists'!$CQ$6,0)),3)</f>
        <v>0</v>
      </c>
      <c r="Q411" s="326" t="s">
        <v>264</v>
      </c>
    </row>
    <row r="412" spans="1:17" s="756" customFormat="1" ht="24" customHeight="1">
      <c r="A412" s="975"/>
      <c r="B412" s="975"/>
      <c r="C412" s="1027"/>
      <c r="D412" s="975"/>
      <c r="E412" s="980"/>
      <c r="F412" s="975"/>
      <c r="G412" s="979"/>
      <c r="H412" s="975"/>
      <c r="I412" s="980"/>
      <c r="J412" s="975"/>
      <c r="K412" s="975"/>
      <c r="L412" s="975"/>
      <c r="M412" s="755" t="e">
        <f>+VLOOKUP(G412,'S1&amp;2 Lists'!$C$8:$G$134,3,FALSE)</f>
        <v>#N/A</v>
      </c>
      <c r="N412" s="755" t="e">
        <f t="shared" si="6"/>
        <v>#N/A</v>
      </c>
      <c r="P412" s="1049">
        <f>ROUND(IF(L412='S1&amp;2 Lists'!$CV$3,K412,IF(L412='S1&amp;2 Lists'!$CV$4,K412/'S1&amp;2 Lists'!$CQ$6,0)),3)</f>
        <v>0</v>
      </c>
      <c r="Q412" s="326" t="s">
        <v>264</v>
      </c>
    </row>
    <row r="413" spans="1:17" s="756" customFormat="1" ht="24" customHeight="1">
      <c r="A413" s="975"/>
      <c r="B413" s="975"/>
      <c r="C413" s="1027"/>
      <c r="D413" s="975"/>
      <c r="E413" s="980"/>
      <c r="F413" s="975"/>
      <c r="G413" s="979"/>
      <c r="H413" s="975"/>
      <c r="I413" s="980"/>
      <c r="J413" s="975"/>
      <c r="K413" s="975"/>
      <c r="L413" s="975"/>
      <c r="M413" s="755" t="e">
        <f>+VLOOKUP(G413,'S1&amp;2 Lists'!$C$8:$G$134,3,FALSE)</f>
        <v>#N/A</v>
      </c>
      <c r="N413" s="755" t="e">
        <f t="shared" si="6"/>
        <v>#N/A</v>
      </c>
      <c r="P413" s="1049">
        <f>ROUND(IF(L413='S1&amp;2 Lists'!$CV$3,K413,IF(L413='S1&amp;2 Lists'!$CV$4,K413/'S1&amp;2 Lists'!$CQ$6,0)),3)</f>
        <v>0</v>
      </c>
      <c r="Q413" s="326" t="s">
        <v>264</v>
      </c>
    </row>
    <row r="414" spans="1:17" s="756" customFormat="1" ht="24" customHeight="1">
      <c r="A414" s="975"/>
      <c r="B414" s="975"/>
      <c r="C414" s="1027"/>
      <c r="D414" s="975"/>
      <c r="E414" s="980"/>
      <c r="F414" s="975"/>
      <c r="G414" s="979"/>
      <c r="H414" s="975"/>
      <c r="I414" s="980"/>
      <c r="J414" s="975"/>
      <c r="K414" s="975"/>
      <c r="L414" s="975"/>
      <c r="M414" s="755" t="e">
        <f>+VLOOKUP(G414,'S1&amp;2 Lists'!$C$8:$G$134,3,FALSE)</f>
        <v>#N/A</v>
      </c>
      <c r="N414" s="755" t="e">
        <f t="shared" si="6"/>
        <v>#N/A</v>
      </c>
      <c r="P414" s="1049">
        <f>ROUND(IF(L414='S1&amp;2 Lists'!$CV$3,K414,IF(L414='S1&amp;2 Lists'!$CV$4,K414/'S1&amp;2 Lists'!$CQ$6,0)),3)</f>
        <v>0</v>
      </c>
      <c r="Q414" s="326" t="s">
        <v>264</v>
      </c>
    </row>
    <row r="415" spans="1:17" s="756" customFormat="1" ht="24" customHeight="1">
      <c r="A415" s="975"/>
      <c r="B415" s="975"/>
      <c r="C415" s="1027"/>
      <c r="D415" s="975"/>
      <c r="E415" s="980"/>
      <c r="F415" s="975"/>
      <c r="G415" s="979"/>
      <c r="H415" s="975"/>
      <c r="I415" s="980"/>
      <c r="J415" s="975"/>
      <c r="K415" s="975"/>
      <c r="L415" s="975"/>
      <c r="M415" s="755" t="e">
        <f>+VLOOKUP(G415,'S1&amp;2 Lists'!$C$8:$G$134,3,FALSE)</f>
        <v>#N/A</v>
      </c>
      <c r="N415" s="755" t="e">
        <f t="shared" si="6"/>
        <v>#N/A</v>
      </c>
      <c r="P415" s="1049">
        <f>ROUND(IF(L415='S1&amp;2 Lists'!$CV$3,K415,IF(L415='S1&amp;2 Lists'!$CV$4,K415/'S1&amp;2 Lists'!$CQ$6,0)),3)</f>
        <v>0</v>
      </c>
      <c r="Q415" s="326" t="s">
        <v>264</v>
      </c>
    </row>
    <row r="416" spans="1:17" s="756" customFormat="1" ht="24" customHeight="1">
      <c r="A416" s="975"/>
      <c r="B416" s="975"/>
      <c r="C416" s="1027"/>
      <c r="D416" s="975"/>
      <c r="E416" s="980"/>
      <c r="F416" s="975"/>
      <c r="G416" s="979"/>
      <c r="H416" s="975"/>
      <c r="I416" s="980"/>
      <c r="J416" s="975"/>
      <c r="K416" s="975"/>
      <c r="L416" s="975"/>
      <c r="M416" s="755" t="e">
        <f>+VLOOKUP(G416,'S1&amp;2 Lists'!$C$8:$G$134,3,FALSE)</f>
        <v>#N/A</v>
      </c>
      <c r="N416" s="755" t="e">
        <f t="shared" si="6"/>
        <v>#N/A</v>
      </c>
      <c r="P416" s="1049">
        <f>ROUND(IF(L416='S1&amp;2 Lists'!$CV$3,K416,IF(L416='S1&amp;2 Lists'!$CV$4,K416/'S1&amp;2 Lists'!$CQ$6,0)),3)</f>
        <v>0</v>
      </c>
      <c r="Q416" s="326" t="s">
        <v>264</v>
      </c>
    </row>
    <row r="417" spans="1:17" s="756" customFormat="1" ht="24" customHeight="1">
      <c r="A417" s="975"/>
      <c r="B417" s="975"/>
      <c r="C417" s="1027"/>
      <c r="D417" s="975"/>
      <c r="E417" s="980"/>
      <c r="F417" s="975"/>
      <c r="G417" s="979"/>
      <c r="H417" s="975"/>
      <c r="I417" s="980"/>
      <c r="J417" s="975"/>
      <c r="K417" s="975"/>
      <c r="L417" s="975"/>
      <c r="M417" s="755" t="e">
        <f>+VLOOKUP(G417,'S1&amp;2 Lists'!$C$8:$G$134,3,FALSE)</f>
        <v>#N/A</v>
      </c>
      <c r="N417" s="755" t="e">
        <f t="shared" si="6"/>
        <v>#N/A</v>
      </c>
      <c r="P417" s="1049">
        <f>ROUND(IF(L417='S1&amp;2 Lists'!$CV$3,K417,IF(L417='S1&amp;2 Lists'!$CV$4,K417/'S1&amp;2 Lists'!$CQ$6,0)),3)</f>
        <v>0</v>
      </c>
      <c r="Q417" s="326" t="s">
        <v>264</v>
      </c>
    </row>
    <row r="418" spans="1:17" s="756" customFormat="1" ht="24" customHeight="1">
      <c r="A418" s="975"/>
      <c r="B418" s="975"/>
      <c r="C418" s="1027"/>
      <c r="D418" s="975"/>
      <c r="E418" s="980"/>
      <c r="F418" s="975"/>
      <c r="G418" s="979"/>
      <c r="H418" s="975"/>
      <c r="I418" s="980"/>
      <c r="J418" s="975"/>
      <c r="K418" s="975"/>
      <c r="L418" s="975"/>
      <c r="M418" s="755" t="e">
        <f>+VLOOKUP(G418,'S1&amp;2 Lists'!$C$8:$G$134,3,FALSE)</f>
        <v>#N/A</v>
      </c>
      <c r="N418" s="755" t="e">
        <f t="shared" si="6"/>
        <v>#N/A</v>
      </c>
      <c r="P418" s="1049">
        <f>ROUND(IF(L418='S1&amp;2 Lists'!$CV$3,K418,IF(L418='S1&amp;2 Lists'!$CV$4,K418/'S1&amp;2 Lists'!$CQ$6,0)),3)</f>
        <v>0</v>
      </c>
      <c r="Q418" s="326" t="s">
        <v>264</v>
      </c>
    </row>
    <row r="419" spans="1:17" s="756" customFormat="1" ht="24" customHeight="1">
      <c r="A419" s="975"/>
      <c r="B419" s="975"/>
      <c r="C419" s="1027"/>
      <c r="D419" s="975"/>
      <c r="E419" s="980"/>
      <c r="F419" s="975"/>
      <c r="G419" s="979"/>
      <c r="H419" s="975"/>
      <c r="I419" s="980"/>
      <c r="J419" s="975"/>
      <c r="K419" s="975"/>
      <c r="L419" s="975"/>
      <c r="M419" s="755" t="e">
        <f>+VLOOKUP(G419,'S1&amp;2 Lists'!$C$8:$G$134,3,FALSE)</f>
        <v>#N/A</v>
      </c>
      <c r="N419" s="755" t="e">
        <f t="shared" si="6"/>
        <v>#N/A</v>
      </c>
      <c r="P419" s="1049">
        <f>ROUND(IF(L419='S1&amp;2 Lists'!$CV$3,K419,IF(L419='S1&amp;2 Lists'!$CV$4,K419/'S1&amp;2 Lists'!$CQ$6,0)),3)</f>
        <v>0</v>
      </c>
      <c r="Q419" s="326" t="s">
        <v>264</v>
      </c>
    </row>
    <row r="420" spans="1:17" s="756" customFormat="1" ht="24" customHeight="1">
      <c r="A420" s="975"/>
      <c r="B420" s="975"/>
      <c r="C420" s="1027"/>
      <c r="D420" s="975"/>
      <c r="E420" s="980"/>
      <c r="F420" s="975"/>
      <c r="G420" s="979"/>
      <c r="H420" s="975"/>
      <c r="I420" s="980"/>
      <c r="J420" s="975"/>
      <c r="K420" s="975"/>
      <c r="L420" s="975"/>
      <c r="M420" s="755" t="e">
        <f>+VLOOKUP(G420,'S1&amp;2 Lists'!$C$8:$G$134,3,FALSE)</f>
        <v>#N/A</v>
      </c>
      <c r="N420" s="755" t="e">
        <f t="shared" si="6"/>
        <v>#N/A</v>
      </c>
      <c r="P420" s="1049">
        <f>ROUND(IF(L420='S1&amp;2 Lists'!$CV$3,K420,IF(L420='S1&amp;2 Lists'!$CV$4,K420/'S1&amp;2 Lists'!$CQ$6,0)),3)</f>
        <v>0</v>
      </c>
      <c r="Q420" s="326" t="s">
        <v>264</v>
      </c>
    </row>
    <row r="421" spans="1:17" s="756" customFormat="1" ht="24" customHeight="1">
      <c r="A421" s="975"/>
      <c r="B421" s="975"/>
      <c r="C421" s="1027"/>
      <c r="D421" s="975"/>
      <c r="E421" s="980"/>
      <c r="F421" s="975"/>
      <c r="G421" s="979"/>
      <c r="H421" s="975"/>
      <c r="I421" s="980"/>
      <c r="J421" s="975"/>
      <c r="K421" s="975"/>
      <c r="L421" s="975"/>
      <c r="M421" s="755" t="e">
        <f>+VLOOKUP(G421,'S1&amp;2 Lists'!$C$8:$G$134,3,FALSE)</f>
        <v>#N/A</v>
      </c>
      <c r="N421" s="755" t="e">
        <f t="shared" si="6"/>
        <v>#N/A</v>
      </c>
      <c r="P421" s="1049">
        <f>ROUND(IF(L421='S1&amp;2 Lists'!$CV$3,K421,IF(L421='S1&amp;2 Lists'!$CV$4,K421/'S1&amp;2 Lists'!$CQ$6,0)),3)</f>
        <v>0</v>
      </c>
      <c r="Q421" s="326" t="s">
        <v>264</v>
      </c>
    </row>
    <row r="422" spans="1:17" s="756" customFormat="1" ht="24" customHeight="1">
      <c r="A422" s="975"/>
      <c r="B422" s="975"/>
      <c r="C422" s="1027"/>
      <c r="D422" s="975"/>
      <c r="E422" s="980"/>
      <c r="F422" s="975"/>
      <c r="G422" s="979"/>
      <c r="H422" s="975"/>
      <c r="I422" s="980"/>
      <c r="J422" s="975"/>
      <c r="K422" s="975"/>
      <c r="L422" s="975"/>
      <c r="M422" s="755" t="e">
        <f>+VLOOKUP(G422,'S1&amp;2 Lists'!$C$8:$G$134,3,FALSE)</f>
        <v>#N/A</v>
      </c>
      <c r="N422" s="755" t="e">
        <f t="shared" si="6"/>
        <v>#N/A</v>
      </c>
      <c r="P422" s="1049">
        <f>ROUND(IF(L422='S1&amp;2 Lists'!$CV$3,K422,IF(L422='S1&amp;2 Lists'!$CV$4,K422/'S1&amp;2 Lists'!$CQ$6,0)),3)</f>
        <v>0</v>
      </c>
      <c r="Q422" s="326" t="s">
        <v>264</v>
      </c>
    </row>
    <row r="423" spans="1:17" s="756" customFormat="1" ht="24" customHeight="1">
      <c r="A423" s="975"/>
      <c r="B423" s="975"/>
      <c r="C423" s="1027"/>
      <c r="D423" s="975"/>
      <c r="E423" s="980"/>
      <c r="F423" s="975"/>
      <c r="G423" s="979"/>
      <c r="H423" s="975"/>
      <c r="I423" s="980"/>
      <c r="J423" s="975"/>
      <c r="K423" s="975"/>
      <c r="L423" s="975"/>
      <c r="M423" s="755" t="e">
        <f>+VLOOKUP(G423,'S1&amp;2 Lists'!$C$8:$G$134,3,FALSE)</f>
        <v>#N/A</v>
      </c>
      <c r="N423" s="755" t="e">
        <f t="shared" si="6"/>
        <v>#N/A</v>
      </c>
      <c r="P423" s="1049">
        <f>ROUND(IF(L423='S1&amp;2 Lists'!$CV$3,K423,IF(L423='S1&amp;2 Lists'!$CV$4,K423/'S1&amp;2 Lists'!$CQ$6,0)),3)</f>
        <v>0</v>
      </c>
      <c r="Q423" s="326" t="s">
        <v>264</v>
      </c>
    </row>
    <row r="424" spans="1:17" s="756" customFormat="1" ht="24" customHeight="1">
      <c r="A424" s="975"/>
      <c r="B424" s="975"/>
      <c r="C424" s="1027"/>
      <c r="D424" s="975"/>
      <c r="E424" s="980"/>
      <c r="F424" s="975"/>
      <c r="G424" s="979"/>
      <c r="H424" s="975"/>
      <c r="I424" s="980"/>
      <c r="J424" s="975"/>
      <c r="K424" s="975"/>
      <c r="L424" s="975"/>
      <c r="M424" s="755" t="e">
        <f>+VLOOKUP(G424,'S1&amp;2 Lists'!$C$8:$G$134,3,FALSE)</f>
        <v>#N/A</v>
      </c>
      <c r="N424" s="755" t="e">
        <f t="shared" si="6"/>
        <v>#N/A</v>
      </c>
      <c r="P424" s="1049">
        <f>ROUND(IF(L424='S1&amp;2 Lists'!$CV$3,K424,IF(L424='S1&amp;2 Lists'!$CV$4,K424/'S1&amp;2 Lists'!$CQ$6,0)),3)</f>
        <v>0</v>
      </c>
      <c r="Q424" s="326" t="s">
        <v>264</v>
      </c>
    </row>
    <row r="425" spans="1:17" s="756" customFormat="1" ht="24" customHeight="1">
      <c r="A425" s="975"/>
      <c r="B425" s="975"/>
      <c r="C425" s="1027"/>
      <c r="D425" s="975"/>
      <c r="E425" s="980"/>
      <c r="F425" s="975"/>
      <c r="G425" s="979"/>
      <c r="H425" s="975"/>
      <c r="I425" s="980"/>
      <c r="J425" s="975"/>
      <c r="K425" s="975"/>
      <c r="L425" s="975"/>
      <c r="M425" s="755" t="e">
        <f>+VLOOKUP(G425,'S1&amp;2 Lists'!$C$8:$G$134,3,FALSE)</f>
        <v>#N/A</v>
      </c>
      <c r="N425" s="755" t="e">
        <f t="shared" si="6"/>
        <v>#N/A</v>
      </c>
      <c r="P425" s="1049">
        <f>ROUND(IF(L425='S1&amp;2 Lists'!$CV$3,K425,IF(L425='S1&amp;2 Lists'!$CV$4,K425/'S1&amp;2 Lists'!$CQ$6,0)),3)</f>
        <v>0</v>
      </c>
      <c r="Q425" s="326" t="s">
        <v>264</v>
      </c>
    </row>
    <row r="426" spans="1:17" s="756" customFormat="1" ht="24" customHeight="1">
      <c r="A426" s="975"/>
      <c r="B426" s="975"/>
      <c r="C426" s="1027"/>
      <c r="D426" s="975"/>
      <c r="E426" s="980"/>
      <c r="F426" s="975"/>
      <c r="G426" s="979"/>
      <c r="H426" s="975"/>
      <c r="I426" s="980"/>
      <c r="J426" s="975"/>
      <c r="K426" s="975"/>
      <c r="L426" s="975"/>
      <c r="M426" s="755" t="e">
        <f>+VLOOKUP(G426,'S1&amp;2 Lists'!$C$8:$G$134,3,FALSE)</f>
        <v>#N/A</v>
      </c>
      <c r="N426" s="755" t="e">
        <f t="shared" si="6"/>
        <v>#N/A</v>
      </c>
      <c r="P426" s="1049">
        <f>ROUND(IF(L426='S1&amp;2 Lists'!$CV$3,K426,IF(L426='S1&amp;2 Lists'!$CV$4,K426/'S1&amp;2 Lists'!$CQ$6,0)),3)</f>
        <v>0</v>
      </c>
      <c r="Q426" s="326" t="s">
        <v>264</v>
      </c>
    </row>
    <row r="427" spans="1:17" s="756" customFormat="1" ht="24" customHeight="1">
      <c r="A427" s="975"/>
      <c r="B427" s="975"/>
      <c r="C427" s="1027"/>
      <c r="D427" s="975"/>
      <c r="E427" s="980"/>
      <c r="F427" s="975"/>
      <c r="G427" s="979"/>
      <c r="H427" s="975"/>
      <c r="I427" s="980"/>
      <c r="J427" s="975"/>
      <c r="K427" s="975"/>
      <c r="L427" s="975"/>
      <c r="M427" s="755" t="e">
        <f>+VLOOKUP(G427,'S1&amp;2 Lists'!$C$8:$G$134,3,FALSE)</f>
        <v>#N/A</v>
      </c>
      <c r="N427" s="755" t="e">
        <f t="shared" si="6"/>
        <v>#N/A</v>
      </c>
      <c r="P427" s="1049">
        <f>ROUND(IF(L427='S1&amp;2 Lists'!$CV$3,K427,IF(L427='S1&amp;2 Lists'!$CV$4,K427/'S1&amp;2 Lists'!$CQ$6,0)),3)</f>
        <v>0</v>
      </c>
      <c r="Q427" s="326" t="s">
        <v>264</v>
      </c>
    </row>
    <row r="428" spans="1:17" s="756" customFormat="1" ht="24" customHeight="1">
      <c r="A428" s="975"/>
      <c r="B428" s="975"/>
      <c r="C428" s="1027"/>
      <c r="D428" s="975"/>
      <c r="E428" s="980"/>
      <c r="F428" s="975"/>
      <c r="G428" s="979"/>
      <c r="H428" s="975"/>
      <c r="I428" s="980"/>
      <c r="J428" s="975"/>
      <c r="K428" s="975"/>
      <c r="L428" s="975"/>
      <c r="M428" s="755" t="e">
        <f>+VLOOKUP(G428,'S1&amp;2 Lists'!$C$8:$G$134,3,FALSE)</f>
        <v>#N/A</v>
      </c>
      <c r="N428" s="755" t="e">
        <f t="shared" si="6"/>
        <v>#N/A</v>
      </c>
      <c r="P428" s="1049">
        <f>ROUND(IF(L428='S1&amp;2 Lists'!$CV$3,K428,IF(L428='S1&amp;2 Lists'!$CV$4,K428/'S1&amp;2 Lists'!$CQ$6,0)),3)</f>
        <v>0</v>
      </c>
      <c r="Q428" s="326" t="s">
        <v>264</v>
      </c>
    </row>
    <row r="429" spans="1:17" s="756" customFormat="1" ht="24" customHeight="1">
      <c r="A429" s="975"/>
      <c r="B429" s="975"/>
      <c r="C429" s="1027"/>
      <c r="D429" s="975"/>
      <c r="E429" s="980"/>
      <c r="F429" s="975"/>
      <c r="G429" s="979"/>
      <c r="H429" s="975"/>
      <c r="I429" s="980"/>
      <c r="J429" s="975"/>
      <c r="K429" s="975"/>
      <c r="L429" s="975"/>
      <c r="M429" s="755" t="e">
        <f>+VLOOKUP(G429,'S1&amp;2 Lists'!$C$8:$G$134,3,FALSE)</f>
        <v>#N/A</v>
      </c>
      <c r="N429" s="755" t="e">
        <f t="shared" si="6"/>
        <v>#N/A</v>
      </c>
      <c r="P429" s="1049">
        <f>ROUND(IF(L429='S1&amp;2 Lists'!$CV$3,K429,IF(L429='S1&amp;2 Lists'!$CV$4,K429/'S1&amp;2 Lists'!$CQ$6,0)),3)</f>
        <v>0</v>
      </c>
      <c r="Q429" s="326" t="s">
        <v>264</v>
      </c>
    </row>
    <row r="430" spans="1:17" s="756" customFormat="1" ht="24" customHeight="1">
      <c r="A430" s="975"/>
      <c r="B430" s="975"/>
      <c r="C430" s="1027"/>
      <c r="D430" s="975"/>
      <c r="E430" s="980"/>
      <c r="F430" s="975"/>
      <c r="G430" s="979"/>
      <c r="H430" s="975"/>
      <c r="I430" s="980"/>
      <c r="J430" s="975"/>
      <c r="K430" s="975"/>
      <c r="L430" s="975"/>
      <c r="M430" s="755" t="e">
        <f>+VLOOKUP(G430,'S1&amp;2 Lists'!$C$8:$G$134,3,FALSE)</f>
        <v>#N/A</v>
      </c>
      <c r="N430" s="755" t="e">
        <f t="shared" si="6"/>
        <v>#N/A</v>
      </c>
      <c r="P430" s="1049">
        <f>ROUND(IF(L430='S1&amp;2 Lists'!$CV$3,K430,IF(L430='S1&amp;2 Lists'!$CV$4,K430/'S1&amp;2 Lists'!$CQ$6,0)),3)</f>
        <v>0</v>
      </c>
      <c r="Q430" s="326" t="s">
        <v>264</v>
      </c>
    </row>
    <row r="431" spans="1:17" s="756" customFormat="1" ht="24" customHeight="1">
      <c r="A431" s="975"/>
      <c r="B431" s="975"/>
      <c r="C431" s="1027"/>
      <c r="D431" s="975"/>
      <c r="E431" s="980"/>
      <c r="F431" s="975"/>
      <c r="G431" s="979"/>
      <c r="H431" s="975"/>
      <c r="I431" s="980"/>
      <c r="J431" s="975"/>
      <c r="K431" s="975"/>
      <c r="L431" s="975"/>
      <c r="M431" s="755" t="e">
        <f>+VLOOKUP(G431,'S1&amp;2 Lists'!$C$8:$G$134,3,FALSE)</f>
        <v>#N/A</v>
      </c>
      <c r="N431" s="755" t="e">
        <f t="shared" si="6"/>
        <v>#N/A</v>
      </c>
      <c r="P431" s="1049">
        <f>ROUND(IF(L431='S1&amp;2 Lists'!$CV$3,K431,IF(L431='S1&amp;2 Lists'!$CV$4,K431/'S1&amp;2 Lists'!$CQ$6,0)),3)</f>
        <v>0</v>
      </c>
      <c r="Q431" s="326" t="s">
        <v>264</v>
      </c>
    </row>
    <row r="432" spans="1:17" s="756" customFormat="1" ht="24" customHeight="1">
      <c r="A432" s="975"/>
      <c r="B432" s="975"/>
      <c r="C432" s="1027"/>
      <c r="D432" s="975"/>
      <c r="E432" s="980"/>
      <c r="F432" s="975"/>
      <c r="G432" s="979"/>
      <c r="H432" s="975"/>
      <c r="I432" s="980"/>
      <c r="J432" s="975"/>
      <c r="K432" s="975"/>
      <c r="L432" s="975"/>
      <c r="M432" s="755" t="e">
        <f>+VLOOKUP(G432,'S1&amp;2 Lists'!$C$8:$G$134,3,FALSE)</f>
        <v>#N/A</v>
      </c>
      <c r="N432" s="755" t="e">
        <f t="shared" si="6"/>
        <v>#N/A</v>
      </c>
      <c r="P432" s="1049">
        <f>ROUND(IF(L432='S1&amp;2 Lists'!$CV$3,K432,IF(L432='S1&amp;2 Lists'!$CV$4,K432/'S1&amp;2 Lists'!$CQ$6,0)),3)</f>
        <v>0</v>
      </c>
      <c r="Q432" s="326" t="s">
        <v>264</v>
      </c>
    </row>
    <row r="433" spans="1:17" s="756" customFormat="1" ht="24" customHeight="1">
      <c r="A433" s="975"/>
      <c r="B433" s="975"/>
      <c r="C433" s="1027"/>
      <c r="D433" s="975"/>
      <c r="E433" s="980"/>
      <c r="F433" s="975"/>
      <c r="G433" s="979"/>
      <c r="H433" s="975"/>
      <c r="I433" s="980"/>
      <c r="J433" s="975"/>
      <c r="K433" s="975"/>
      <c r="L433" s="975"/>
      <c r="M433" s="755" t="e">
        <f>+VLOOKUP(G433,'S1&amp;2 Lists'!$C$8:$G$134,3,FALSE)</f>
        <v>#N/A</v>
      </c>
      <c r="N433" s="755" t="e">
        <f t="shared" si="6"/>
        <v>#N/A</v>
      </c>
      <c r="P433" s="1049">
        <f>ROUND(IF(L433='S1&amp;2 Lists'!$CV$3,K433,IF(L433='S1&amp;2 Lists'!$CV$4,K433/'S1&amp;2 Lists'!$CQ$6,0)),3)</f>
        <v>0</v>
      </c>
      <c r="Q433" s="326" t="s">
        <v>264</v>
      </c>
    </row>
    <row r="434" spans="1:17" s="756" customFormat="1" ht="24" customHeight="1">
      <c r="A434" s="975"/>
      <c r="B434" s="975"/>
      <c r="C434" s="1027"/>
      <c r="D434" s="975"/>
      <c r="E434" s="980"/>
      <c r="F434" s="975"/>
      <c r="G434" s="979"/>
      <c r="H434" s="975"/>
      <c r="I434" s="980"/>
      <c r="J434" s="975"/>
      <c r="K434" s="975"/>
      <c r="L434" s="975"/>
      <c r="M434" s="755" t="e">
        <f>+VLOOKUP(G434,'S1&amp;2 Lists'!$C$8:$G$134,3,FALSE)</f>
        <v>#N/A</v>
      </c>
      <c r="N434" s="755" t="e">
        <f t="shared" si="6"/>
        <v>#N/A</v>
      </c>
      <c r="P434" s="1049">
        <f>ROUND(IF(L434='S1&amp;2 Lists'!$CV$3,K434,IF(L434='S1&amp;2 Lists'!$CV$4,K434/'S1&amp;2 Lists'!$CQ$6,0)),3)</f>
        <v>0</v>
      </c>
      <c r="Q434" s="326" t="s">
        <v>264</v>
      </c>
    </row>
    <row r="435" spans="1:17" s="756" customFormat="1" ht="24" customHeight="1">
      <c r="A435" s="975"/>
      <c r="B435" s="975"/>
      <c r="C435" s="1027"/>
      <c r="D435" s="975"/>
      <c r="E435" s="980"/>
      <c r="F435" s="975"/>
      <c r="G435" s="979"/>
      <c r="H435" s="975"/>
      <c r="I435" s="980"/>
      <c r="J435" s="975"/>
      <c r="K435" s="975"/>
      <c r="L435" s="975"/>
      <c r="M435" s="755" t="e">
        <f>+VLOOKUP(G435,'S1&amp;2 Lists'!$C$8:$G$134,3,FALSE)</f>
        <v>#N/A</v>
      </c>
      <c r="N435" s="755" t="e">
        <f t="shared" si="6"/>
        <v>#N/A</v>
      </c>
      <c r="P435" s="1049">
        <f>ROUND(IF(L435='S1&amp;2 Lists'!$CV$3,K435,IF(L435='S1&amp;2 Lists'!$CV$4,K435/'S1&amp;2 Lists'!$CQ$6,0)),3)</f>
        <v>0</v>
      </c>
      <c r="Q435" s="326" t="s">
        <v>264</v>
      </c>
    </row>
    <row r="436" spans="1:17" s="756" customFormat="1" ht="24" customHeight="1">
      <c r="A436" s="975"/>
      <c r="B436" s="975"/>
      <c r="C436" s="1027"/>
      <c r="D436" s="975"/>
      <c r="E436" s="980"/>
      <c r="F436" s="975"/>
      <c r="G436" s="979"/>
      <c r="H436" s="975"/>
      <c r="I436" s="980"/>
      <c r="J436" s="975"/>
      <c r="K436" s="975"/>
      <c r="L436" s="975"/>
      <c r="M436" s="755" t="e">
        <f>+VLOOKUP(G436,'S1&amp;2 Lists'!$C$8:$G$134,3,FALSE)</f>
        <v>#N/A</v>
      </c>
      <c r="N436" s="755" t="e">
        <f t="shared" si="6"/>
        <v>#N/A</v>
      </c>
      <c r="P436" s="1049">
        <f>ROUND(IF(L436='S1&amp;2 Lists'!$CV$3,K436,IF(L436='S1&amp;2 Lists'!$CV$4,K436/'S1&amp;2 Lists'!$CQ$6,0)),3)</f>
        <v>0</v>
      </c>
      <c r="Q436" s="326" t="s">
        <v>264</v>
      </c>
    </row>
    <row r="437" spans="1:17" s="756" customFormat="1" ht="24" customHeight="1">
      <c r="A437" s="975"/>
      <c r="B437" s="975"/>
      <c r="C437" s="1027"/>
      <c r="D437" s="975"/>
      <c r="E437" s="980"/>
      <c r="F437" s="975"/>
      <c r="G437" s="979"/>
      <c r="H437" s="975"/>
      <c r="I437" s="980"/>
      <c r="J437" s="975"/>
      <c r="K437" s="975"/>
      <c r="L437" s="975"/>
      <c r="M437" s="755" t="e">
        <f>+VLOOKUP(G437,'S1&amp;2 Lists'!$C$8:$G$134,3,FALSE)</f>
        <v>#N/A</v>
      </c>
      <c r="N437" s="755" t="e">
        <f t="shared" si="6"/>
        <v>#N/A</v>
      </c>
      <c r="P437" s="1049">
        <f>ROUND(IF(L437='S1&amp;2 Lists'!$CV$3,K437,IF(L437='S1&amp;2 Lists'!$CV$4,K437/'S1&amp;2 Lists'!$CQ$6,0)),3)</f>
        <v>0</v>
      </c>
      <c r="Q437" s="326" t="s">
        <v>264</v>
      </c>
    </row>
    <row r="438" spans="1:17" s="756" customFormat="1" ht="24" customHeight="1">
      <c r="A438" s="975"/>
      <c r="B438" s="975"/>
      <c r="C438" s="1027"/>
      <c r="D438" s="975"/>
      <c r="E438" s="980"/>
      <c r="F438" s="975"/>
      <c r="G438" s="979"/>
      <c r="H438" s="975"/>
      <c r="I438" s="980"/>
      <c r="J438" s="975"/>
      <c r="K438" s="975"/>
      <c r="L438" s="975"/>
      <c r="M438" s="755" t="e">
        <f>+VLOOKUP(G438,'S1&amp;2 Lists'!$C$8:$G$134,3,FALSE)</f>
        <v>#N/A</v>
      </c>
      <c r="N438" s="755" t="e">
        <f t="shared" si="6"/>
        <v>#N/A</v>
      </c>
      <c r="P438" s="1049">
        <f>ROUND(IF(L438='S1&amp;2 Lists'!$CV$3,K438,IF(L438='S1&amp;2 Lists'!$CV$4,K438/'S1&amp;2 Lists'!$CQ$6,0)),3)</f>
        <v>0</v>
      </c>
      <c r="Q438" s="326" t="s">
        <v>264</v>
      </c>
    </row>
    <row r="439" spans="1:17" s="756" customFormat="1" ht="24" customHeight="1">
      <c r="A439" s="975"/>
      <c r="B439" s="975"/>
      <c r="C439" s="1027"/>
      <c r="D439" s="975"/>
      <c r="E439" s="980"/>
      <c r="F439" s="975"/>
      <c r="G439" s="979"/>
      <c r="H439" s="975"/>
      <c r="I439" s="980"/>
      <c r="J439" s="975"/>
      <c r="K439" s="975"/>
      <c r="L439" s="975"/>
      <c r="M439" s="755" t="e">
        <f>+VLOOKUP(G439,'S1&amp;2 Lists'!$C$8:$G$134,3,FALSE)</f>
        <v>#N/A</v>
      </c>
      <c r="N439" s="755" t="e">
        <f t="shared" si="6"/>
        <v>#N/A</v>
      </c>
      <c r="P439" s="1049">
        <f>ROUND(IF(L439='S1&amp;2 Lists'!$CV$3,K439,IF(L439='S1&amp;2 Lists'!$CV$4,K439/'S1&amp;2 Lists'!$CQ$6,0)),3)</f>
        <v>0</v>
      </c>
      <c r="Q439" s="326" t="s">
        <v>264</v>
      </c>
    </row>
    <row r="440" spans="1:17" s="756" customFormat="1" ht="24" customHeight="1">
      <c r="A440" s="975"/>
      <c r="B440" s="975"/>
      <c r="C440" s="1027"/>
      <c r="D440" s="975"/>
      <c r="E440" s="980"/>
      <c r="F440" s="975"/>
      <c r="G440" s="979"/>
      <c r="H440" s="975"/>
      <c r="I440" s="980"/>
      <c r="J440" s="975"/>
      <c r="K440" s="975"/>
      <c r="L440" s="975"/>
      <c r="M440" s="755" t="e">
        <f>+VLOOKUP(G440,'S1&amp;2 Lists'!$C$8:$G$134,3,FALSE)</f>
        <v>#N/A</v>
      </c>
      <c r="N440" s="755" t="e">
        <f t="shared" si="6"/>
        <v>#N/A</v>
      </c>
      <c r="P440" s="1049">
        <f>ROUND(IF(L440='S1&amp;2 Lists'!$CV$3,K440,IF(L440='S1&amp;2 Lists'!$CV$4,K440/'S1&amp;2 Lists'!$CQ$6,0)),3)</f>
        <v>0</v>
      </c>
      <c r="Q440" s="326" t="s">
        <v>264</v>
      </c>
    </row>
    <row r="441" spans="1:17" s="756" customFormat="1" ht="24" customHeight="1">
      <c r="A441" s="975"/>
      <c r="B441" s="975"/>
      <c r="C441" s="1027"/>
      <c r="D441" s="975"/>
      <c r="E441" s="980"/>
      <c r="F441" s="975"/>
      <c r="G441" s="979"/>
      <c r="H441" s="975"/>
      <c r="I441" s="980"/>
      <c r="J441" s="975"/>
      <c r="K441" s="975"/>
      <c r="L441" s="975"/>
      <c r="M441" s="755" t="e">
        <f>+VLOOKUP(G441,'S1&amp;2 Lists'!$C$8:$G$134,3,FALSE)</f>
        <v>#N/A</v>
      </c>
      <c r="N441" s="755" t="e">
        <f t="shared" si="6"/>
        <v>#N/A</v>
      </c>
      <c r="P441" s="1049">
        <f>ROUND(IF(L441='S1&amp;2 Lists'!$CV$3,K441,IF(L441='S1&amp;2 Lists'!$CV$4,K441/'S1&amp;2 Lists'!$CQ$6,0)),3)</f>
        <v>0</v>
      </c>
      <c r="Q441" s="326" t="s">
        <v>264</v>
      </c>
    </row>
    <row r="442" spans="1:17" s="756" customFormat="1" ht="24" customHeight="1">
      <c r="A442" s="975"/>
      <c r="B442" s="975"/>
      <c r="C442" s="1027"/>
      <c r="D442" s="975"/>
      <c r="E442" s="980"/>
      <c r="F442" s="975"/>
      <c r="G442" s="979"/>
      <c r="H442" s="975"/>
      <c r="I442" s="980"/>
      <c r="J442" s="975"/>
      <c r="K442" s="975"/>
      <c r="L442" s="975"/>
      <c r="M442" s="755" t="e">
        <f>+VLOOKUP(G442,'S1&amp;2 Lists'!$C$8:$G$134,3,FALSE)</f>
        <v>#N/A</v>
      </c>
      <c r="N442" s="755" t="e">
        <f t="shared" si="6"/>
        <v>#N/A</v>
      </c>
      <c r="P442" s="1049">
        <f>ROUND(IF(L442='S1&amp;2 Lists'!$CV$3,K442,IF(L442='S1&amp;2 Lists'!$CV$4,K442/'S1&amp;2 Lists'!$CQ$6,0)),3)</f>
        <v>0</v>
      </c>
      <c r="Q442" s="326" t="s">
        <v>264</v>
      </c>
    </row>
    <row r="443" spans="1:17" s="756" customFormat="1" ht="24" customHeight="1">
      <c r="A443" s="975"/>
      <c r="B443" s="975"/>
      <c r="C443" s="1027"/>
      <c r="D443" s="975"/>
      <c r="E443" s="980"/>
      <c r="F443" s="975"/>
      <c r="G443" s="979"/>
      <c r="H443" s="975"/>
      <c r="I443" s="980"/>
      <c r="J443" s="975"/>
      <c r="K443" s="975"/>
      <c r="L443" s="975"/>
      <c r="M443" s="755" t="e">
        <f>+VLOOKUP(G443,'S1&amp;2 Lists'!$C$8:$G$134,3,FALSE)</f>
        <v>#N/A</v>
      </c>
      <c r="N443" s="755" t="e">
        <f t="shared" si="6"/>
        <v>#N/A</v>
      </c>
      <c r="P443" s="1049">
        <f>ROUND(IF(L443='S1&amp;2 Lists'!$CV$3,K443,IF(L443='S1&amp;2 Lists'!$CV$4,K443/'S1&amp;2 Lists'!$CQ$6,0)),3)</f>
        <v>0</v>
      </c>
      <c r="Q443" s="326" t="s">
        <v>264</v>
      </c>
    </row>
    <row r="444" spans="1:17" s="756" customFormat="1" ht="24" customHeight="1">
      <c r="A444" s="975"/>
      <c r="B444" s="975"/>
      <c r="C444" s="1027"/>
      <c r="D444" s="975"/>
      <c r="E444" s="980"/>
      <c r="F444" s="975"/>
      <c r="G444" s="979"/>
      <c r="H444" s="975"/>
      <c r="I444" s="980"/>
      <c r="J444" s="975"/>
      <c r="K444" s="975"/>
      <c r="L444" s="975"/>
      <c r="M444" s="755" t="e">
        <f>+VLOOKUP(G444,'S1&amp;2 Lists'!$C$8:$G$134,3,FALSE)</f>
        <v>#N/A</v>
      </c>
      <c r="N444" s="755" t="e">
        <f t="shared" si="6"/>
        <v>#N/A</v>
      </c>
      <c r="P444" s="1049">
        <f>ROUND(IF(L444='S1&amp;2 Lists'!$CV$3,K444,IF(L444='S1&amp;2 Lists'!$CV$4,K444/'S1&amp;2 Lists'!$CQ$6,0)),3)</f>
        <v>0</v>
      </c>
      <c r="Q444" s="326" t="s">
        <v>264</v>
      </c>
    </row>
    <row r="445" spans="1:17" s="756" customFormat="1" ht="24" customHeight="1">
      <c r="A445" s="975"/>
      <c r="B445" s="975"/>
      <c r="C445" s="1027"/>
      <c r="D445" s="975"/>
      <c r="E445" s="980"/>
      <c r="F445" s="975"/>
      <c r="G445" s="979"/>
      <c r="H445" s="975"/>
      <c r="I445" s="980"/>
      <c r="J445" s="975"/>
      <c r="K445" s="975"/>
      <c r="L445" s="975"/>
      <c r="M445" s="755" t="e">
        <f>+VLOOKUP(G445,'S1&amp;2 Lists'!$C$8:$G$134,3,FALSE)</f>
        <v>#N/A</v>
      </c>
      <c r="N445" s="755" t="e">
        <f t="shared" si="6"/>
        <v>#N/A</v>
      </c>
      <c r="P445" s="1049">
        <f>ROUND(IF(L445='S1&amp;2 Lists'!$CV$3,K445,IF(L445='S1&amp;2 Lists'!$CV$4,K445/'S1&amp;2 Lists'!$CQ$6,0)),3)</f>
        <v>0</v>
      </c>
      <c r="Q445" s="326" t="s">
        <v>264</v>
      </c>
    </row>
    <row r="446" spans="1:17" s="756" customFormat="1" ht="24" customHeight="1">
      <c r="A446" s="975"/>
      <c r="B446" s="975"/>
      <c r="C446" s="1027"/>
      <c r="D446" s="975"/>
      <c r="E446" s="980"/>
      <c r="F446" s="975"/>
      <c r="G446" s="979"/>
      <c r="H446" s="975"/>
      <c r="I446" s="980"/>
      <c r="J446" s="975"/>
      <c r="K446" s="975"/>
      <c r="L446" s="975"/>
      <c r="M446" s="755" t="e">
        <f>+VLOOKUP(G446,'S1&amp;2 Lists'!$C$8:$G$134,3,FALSE)</f>
        <v>#N/A</v>
      </c>
      <c r="N446" s="755" t="e">
        <f t="shared" si="6"/>
        <v>#N/A</v>
      </c>
      <c r="P446" s="1049">
        <f>ROUND(IF(L446='S1&amp;2 Lists'!$CV$3,K446,IF(L446='S1&amp;2 Lists'!$CV$4,K446/'S1&amp;2 Lists'!$CQ$6,0)),3)</f>
        <v>0</v>
      </c>
      <c r="Q446" s="326" t="s">
        <v>264</v>
      </c>
    </row>
    <row r="447" spans="1:17" s="756" customFormat="1" ht="24" customHeight="1">
      <c r="A447" s="975"/>
      <c r="B447" s="975"/>
      <c r="C447" s="1027"/>
      <c r="D447" s="975"/>
      <c r="E447" s="980"/>
      <c r="F447" s="975"/>
      <c r="G447" s="979"/>
      <c r="H447" s="975"/>
      <c r="I447" s="980"/>
      <c r="J447" s="975"/>
      <c r="K447" s="975"/>
      <c r="L447" s="975"/>
      <c r="M447" s="755" t="e">
        <f>+VLOOKUP(G447,'S1&amp;2 Lists'!$C$8:$G$134,3,FALSE)</f>
        <v>#N/A</v>
      </c>
      <c r="N447" s="755" t="e">
        <f t="shared" si="6"/>
        <v>#N/A</v>
      </c>
      <c r="P447" s="1049">
        <f>ROUND(IF(L447='S1&amp;2 Lists'!$CV$3,K447,IF(L447='S1&amp;2 Lists'!$CV$4,K447/'S1&amp;2 Lists'!$CQ$6,0)),3)</f>
        <v>0</v>
      </c>
      <c r="Q447" s="326" t="s">
        <v>264</v>
      </c>
    </row>
    <row r="448" spans="1:17" s="756" customFormat="1" ht="24" customHeight="1">
      <c r="A448" s="975"/>
      <c r="B448" s="975"/>
      <c r="C448" s="1027"/>
      <c r="D448" s="975"/>
      <c r="E448" s="980"/>
      <c r="F448" s="975"/>
      <c r="G448" s="979"/>
      <c r="H448" s="975"/>
      <c r="I448" s="980"/>
      <c r="J448" s="975"/>
      <c r="K448" s="975"/>
      <c r="L448" s="975"/>
      <c r="M448" s="755" t="e">
        <f>+VLOOKUP(G448,'S1&amp;2 Lists'!$C$8:$G$134,3,FALSE)</f>
        <v>#N/A</v>
      </c>
      <c r="N448" s="755" t="e">
        <f t="shared" si="6"/>
        <v>#N/A</v>
      </c>
      <c r="P448" s="1049">
        <f>ROUND(IF(L448='S1&amp;2 Lists'!$CV$3,K448,IF(L448='S1&amp;2 Lists'!$CV$4,K448/'S1&amp;2 Lists'!$CQ$6,0)),3)</f>
        <v>0</v>
      </c>
      <c r="Q448" s="326" t="s">
        <v>264</v>
      </c>
    </row>
    <row r="449" spans="1:17" s="756" customFormat="1" ht="24" customHeight="1">
      <c r="A449" s="975"/>
      <c r="B449" s="975"/>
      <c r="C449" s="1027"/>
      <c r="D449" s="975"/>
      <c r="E449" s="980"/>
      <c r="F449" s="975"/>
      <c r="G449" s="979"/>
      <c r="H449" s="975"/>
      <c r="I449" s="980"/>
      <c r="J449" s="975"/>
      <c r="K449" s="975"/>
      <c r="L449" s="975"/>
      <c r="M449" s="755" t="e">
        <f>+VLOOKUP(G449,'S1&amp;2 Lists'!$C$8:$G$134,3,FALSE)</f>
        <v>#N/A</v>
      </c>
      <c r="N449" s="755" t="e">
        <f t="shared" si="6"/>
        <v>#N/A</v>
      </c>
      <c r="P449" s="1049">
        <f>ROUND(IF(L449='S1&amp;2 Lists'!$CV$3,K449,IF(L449='S1&amp;2 Lists'!$CV$4,K449/'S1&amp;2 Lists'!$CQ$6,0)),3)</f>
        <v>0</v>
      </c>
      <c r="Q449" s="326" t="s">
        <v>264</v>
      </c>
    </row>
    <row r="450" spans="1:17" s="756" customFormat="1" ht="24" customHeight="1">
      <c r="A450" s="975"/>
      <c r="B450" s="975"/>
      <c r="C450" s="1027"/>
      <c r="D450" s="975"/>
      <c r="E450" s="980"/>
      <c r="F450" s="975"/>
      <c r="G450" s="979"/>
      <c r="H450" s="975"/>
      <c r="I450" s="980"/>
      <c r="J450" s="975"/>
      <c r="K450" s="975"/>
      <c r="L450" s="975"/>
      <c r="M450" s="755" t="e">
        <f>+VLOOKUP(G450,'S1&amp;2 Lists'!$C$8:$G$134,3,FALSE)</f>
        <v>#N/A</v>
      </c>
      <c r="N450" s="755" t="e">
        <f t="shared" si="6"/>
        <v>#N/A</v>
      </c>
      <c r="P450" s="1049">
        <f>ROUND(IF(L450='S1&amp;2 Lists'!$CV$3,K450,IF(L450='S1&amp;2 Lists'!$CV$4,K450/'S1&amp;2 Lists'!$CQ$6,0)),3)</f>
        <v>0</v>
      </c>
      <c r="Q450" s="326" t="s">
        <v>264</v>
      </c>
    </row>
    <row r="451" spans="1:17" s="756" customFormat="1" ht="24" customHeight="1">
      <c r="A451" s="975"/>
      <c r="B451" s="975"/>
      <c r="C451" s="1027"/>
      <c r="D451" s="975"/>
      <c r="E451" s="980"/>
      <c r="F451" s="975"/>
      <c r="G451" s="979"/>
      <c r="H451" s="975"/>
      <c r="I451" s="980"/>
      <c r="J451" s="975"/>
      <c r="K451" s="975"/>
      <c r="L451" s="975"/>
      <c r="M451" s="755" t="e">
        <f>+VLOOKUP(G451,'S1&amp;2 Lists'!$C$8:$G$134,3,FALSE)</f>
        <v>#N/A</v>
      </c>
      <c r="N451" s="755" t="e">
        <f t="shared" si="6"/>
        <v>#N/A</v>
      </c>
      <c r="P451" s="1049">
        <f>ROUND(IF(L451='S1&amp;2 Lists'!$CV$3,K451,IF(L451='S1&amp;2 Lists'!$CV$4,K451/'S1&amp;2 Lists'!$CQ$6,0)),3)</f>
        <v>0</v>
      </c>
      <c r="Q451" s="326" t="s">
        <v>264</v>
      </c>
    </row>
    <row r="452" spans="1:17" s="756" customFormat="1" ht="24" customHeight="1">
      <c r="A452" s="975"/>
      <c r="B452" s="975"/>
      <c r="C452" s="1027"/>
      <c r="D452" s="975"/>
      <c r="E452" s="980"/>
      <c r="F452" s="975"/>
      <c r="G452" s="979"/>
      <c r="H452" s="975"/>
      <c r="I452" s="980"/>
      <c r="J452" s="975"/>
      <c r="K452" s="975"/>
      <c r="L452" s="975"/>
      <c r="M452" s="755" t="e">
        <f>+VLOOKUP(G452,'S1&amp;2 Lists'!$C$8:$G$134,3,FALSE)</f>
        <v>#N/A</v>
      </c>
      <c r="N452" s="755" t="e">
        <f t="shared" si="6"/>
        <v>#N/A</v>
      </c>
      <c r="P452" s="1049">
        <f>ROUND(IF(L452='S1&amp;2 Lists'!$CV$3,K452,IF(L452='S1&amp;2 Lists'!$CV$4,K452/'S1&amp;2 Lists'!$CQ$6,0)),3)</f>
        <v>0</v>
      </c>
      <c r="Q452" s="326" t="s">
        <v>264</v>
      </c>
    </row>
    <row r="453" spans="1:17" s="756" customFormat="1" ht="24" customHeight="1">
      <c r="A453" s="975"/>
      <c r="B453" s="975"/>
      <c r="C453" s="1027"/>
      <c r="D453" s="975"/>
      <c r="E453" s="980"/>
      <c r="F453" s="975"/>
      <c r="G453" s="979"/>
      <c r="H453" s="975"/>
      <c r="I453" s="980"/>
      <c r="J453" s="975"/>
      <c r="K453" s="975"/>
      <c r="L453" s="975"/>
      <c r="M453" s="755" t="e">
        <f>+VLOOKUP(G453,'S1&amp;2 Lists'!$C$8:$G$134,3,FALSE)</f>
        <v>#N/A</v>
      </c>
      <c r="N453" s="755" t="e">
        <f t="shared" si="6"/>
        <v>#N/A</v>
      </c>
      <c r="P453" s="1049">
        <f>ROUND(IF(L453='S1&amp;2 Lists'!$CV$3,K453,IF(L453='S1&amp;2 Lists'!$CV$4,K453/'S1&amp;2 Lists'!$CQ$6,0)),3)</f>
        <v>0</v>
      </c>
      <c r="Q453" s="326" t="s">
        <v>264</v>
      </c>
    </row>
    <row r="454" spans="1:17" s="756" customFormat="1" ht="24" customHeight="1">
      <c r="A454" s="975"/>
      <c r="B454" s="975"/>
      <c r="C454" s="1027"/>
      <c r="D454" s="975"/>
      <c r="E454" s="980"/>
      <c r="F454" s="975"/>
      <c r="G454" s="979"/>
      <c r="H454" s="975"/>
      <c r="I454" s="980"/>
      <c r="J454" s="975"/>
      <c r="K454" s="975"/>
      <c r="L454" s="975"/>
      <c r="M454" s="755" t="e">
        <f>+VLOOKUP(G454,'S1&amp;2 Lists'!$C$8:$G$134,3,FALSE)</f>
        <v>#N/A</v>
      </c>
      <c r="N454" s="755" t="e">
        <f t="shared" si="6"/>
        <v>#N/A</v>
      </c>
      <c r="P454" s="1049">
        <f>ROUND(IF(L454='S1&amp;2 Lists'!$CV$3,K454,IF(L454='S1&amp;2 Lists'!$CV$4,K454/'S1&amp;2 Lists'!$CQ$6,0)),3)</f>
        <v>0</v>
      </c>
      <c r="Q454" s="326" t="s">
        <v>264</v>
      </c>
    </row>
    <row r="455" spans="1:17" s="756" customFormat="1" ht="24" customHeight="1">
      <c r="A455" s="975"/>
      <c r="B455" s="975"/>
      <c r="C455" s="1027"/>
      <c r="D455" s="975"/>
      <c r="E455" s="980"/>
      <c r="F455" s="975"/>
      <c r="G455" s="979"/>
      <c r="H455" s="975"/>
      <c r="I455" s="980"/>
      <c r="J455" s="975"/>
      <c r="K455" s="975"/>
      <c r="L455" s="975"/>
      <c r="M455" s="755" t="e">
        <f>+VLOOKUP(G455,'S1&amp;2 Lists'!$C$8:$G$134,3,FALSE)</f>
        <v>#N/A</v>
      </c>
      <c r="N455" s="755" t="e">
        <f t="shared" si="6"/>
        <v>#N/A</v>
      </c>
      <c r="P455" s="1049">
        <f>ROUND(IF(L455='S1&amp;2 Lists'!$CV$3,K455,IF(L455='S1&amp;2 Lists'!$CV$4,K455/'S1&amp;2 Lists'!$CQ$6,0)),3)</f>
        <v>0</v>
      </c>
      <c r="Q455" s="326" t="s">
        <v>264</v>
      </c>
    </row>
    <row r="456" spans="1:17" s="756" customFormat="1" ht="24" customHeight="1">
      <c r="A456" s="975"/>
      <c r="B456" s="975"/>
      <c r="C456" s="1027"/>
      <c r="D456" s="975"/>
      <c r="E456" s="980"/>
      <c r="F456" s="975"/>
      <c r="G456" s="979"/>
      <c r="H456" s="975"/>
      <c r="I456" s="980"/>
      <c r="J456" s="975"/>
      <c r="K456" s="975"/>
      <c r="L456" s="975"/>
      <c r="M456" s="755" t="e">
        <f>+VLOOKUP(G456,'S1&amp;2 Lists'!$C$8:$G$134,3,FALSE)</f>
        <v>#N/A</v>
      </c>
      <c r="N456" s="755" t="e">
        <f t="shared" si="6"/>
        <v>#N/A</v>
      </c>
      <c r="P456" s="1049">
        <f>ROUND(IF(L456='S1&amp;2 Lists'!$CV$3,K456,IF(L456='S1&amp;2 Lists'!$CV$4,K456/'S1&amp;2 Lists'!$CQ$6,0)),3)</f>
        <v>0</v>
      </c>
      <c r="Q456" s="326" t="s">
        <v>264</v>
      </c>
    </row>
    <row r="457" spans="1:17" s="756" customFormat="1" ht="24" customHeight="1">
      <c r="A457" s="975"/>
      <c r="B457" s="975"/>
      <c r="C457" s="1027"/>
      <c r="D457" s="975"/>
      <c r="E457" s="980"/>
      <c r="F457" s="975"/>
      <c r="G457" s="979"/>
      <c r="H457" s="975"/>
      <c r="I457" s="980"/>
      <c r="J457" s="975"/>
      <c r="K457" s="975"/>
      <c r="L457" s="975"/>
      <c r="M457" s="755" t="e">
        <f>+VLOOKUP(G457,'S1&amp;2 Lists'!$C$8:$G$134,3,FALSE)</f>
        <v>#N/A</v>
      </c>
      <c r="N457" s="755" t="e">
        <f t="shared" si="6"/>
        <v>#N/A</v>
      </c>
      <c r="P457" s="1049">
        <f>ROUND(IF(L457='S1&amp;2 Lists'!$CV$3,K457,IF(L457='S1&amp;2 Lists'!$CV$4,K457/'S1&amp;2 Lists'!$CQ$6,0)),3)</f>
        <v>0</v>
      </c>
      <c r="Q457" s="326" t="s">
        <v>264</v>
      </c>
    </row>
    <row r="458" spans="1:17" s="756" customFormat="1" ht="24" customHeight="1">
      <c r="A458" s="975"/>
      <c r="B458" s="975"/>
      <c r="C458" s="1027"/>
      <c r="D458" s="975"/>
      <c r="E458" s="980"/>
      <c r="F458" s="975"/>
      <c r="G458" s="979"/>
      <c r="H458" s="975"/>
      <c r="I458" s="980"/>
      <c r="J458" s="975"/>
      <c r="K458" s="975"/>
      <c r="L458" s="975"/>
      <c r="M458" s="755" t="e">
        <f>+VLOOKUP(G458,'S1&amp;2 Lists'!$C$8:$G$134,3,FALSE)</f>
        <v>#N/A</v>
      </c>
      <c r="N458" s="755" t="e">
        <f t="shared" ref="N458:N521" si="7">+P458*M458</f>
        <v>#N/A</v>
      </c>
      <c r="P458" s="1049">
        <f>ROUND(IF(L458='S1&amp;2 Lists'!$CV$3,K458,IF(L458='S1&amp;2 Lists'!$CV$4,K458/'S1&amp;2 Lists'!$CQ$6,0)),3)</f>
        <v>0</v>
      </c>
      <c r="Q458" s="326" t="s">
        <v>264</v>
      </c>
    </row>
    <row r="459" spans="1:17" s="756" customFormat="1" ht="24" customHeight="1">
      <c r="A459" s="975"/>
      <c r="B459" s="975"/>
      <c r="C459" s="1027"/>
      <c r="D459" s="975"/>
      <c r="E459" s="980"/>
      <c r="F459" s="975"/>
      <c r="G459" s="979"/>
      <c r="H459" s="975"/>
      <c r="I459" s="980"/>
      <c r="J459" s="975"/>
      <c r="K459" s="975"/>
      <c r="L459" s="975"/>
      <c r="M459" s="755" t="e">
        <f>+VLOOKUP(G459,'S1&amp;2 Lists'!$C$8:$G$134,3,FALSE)</f>
        <v>#N/A</v>
      </c>
      <c r="N459" s="755" t="e">
        <f t="shared" si="7"/>
        <v>#N/A</v>
      </c>
      <c r="P459" s="1049">
        <f>ROUND(IF(L459='S1&amp;2 Lists'!$CV$3,K459,IF(L459='S1&amp;2 Lists'!$CV$4,K459/'S1&amp;2 Lists'!$CQ$6,0)),3)</f>
        <v>0</v>
      </c>
      <c r="Q459" s="326" t="s">
        <v>264</v>
      </c>
    </row>
    <row r="460" spans="1:17" s="756" customFormat="1" ht="24" customHeight="1">
      <c r="A460" s="975"/>
      <c r="B460" s="975"/>
      <c r="C460" s="1027"/>
      <c r="D460" s="975"/>
      <c r="E460" s="980"/>
      <c r="F460" s="975"/>
      <c r="G460" s="979"/>
      <c r="H460" s="975"/>
      <c r="I460" s="980"/>
      <c r="J460" s="975"/>
      <c r="K460" s="975"/>
      <c r="L460" s="975"/>
      <c r="M460" s="755" t="e">
        <f>+VLOOKUP(G460,'S1&amp;2 Lists'!$C$8:$G$134,3,FALSE)</f>
        <v>#N/A</v>
      </c>
      <c r="N460" s="755" t="e">
        <f t="shared" si="7"/>
        <v>#N/A</v>
      </c>
      <c r="P460" s="1049">
        <f>ROUND(IF(L460='S1&amp;2 Lists'!$CV$3,K460,IF(L460='S1&amp;2 Lists'!$CV$4,K460/'S1&amp;2 Lists'!$CQ$6,0)),3)</f>
        <v>0</v>
      </c>
      <c r="Q460" s="326" t="s">
        <v>264</v>
      </c>
    </row>
    <row r="461" spans="1:17" s="756" customFormat="1" ht="24" customHeight="1">
      <c r="A461" s="975"/>
      <c r="B461" s="975"/>
      <c r="C461" s="1027"/>
      <c r="D461" s="975"/>
      <c r="E461" s="980"/>
      <c r="F461" s="975"/>
      <c r="G461" s="979"/>
      <c r="H461" s="975"/>
      <c r="I461" s="980"/>
      <c r="J461" s="975"/>
      <c r="K461" s="975"/>
      <c r="L461" s="975"/>
      <c r="M461" s="755" t="e">
        <f>+VLOOKUP(G461,'S1&amp;2 Lists'!$C$8:$G$134,3,FALSE)</f>
        <v>#N/A</v>
      </c>
      <c r="N461" s="755" t="e">
        <f t="shared" si="7"/>
        <v>#N/A</v>
      </c>
      <c r="P461" s="1049">
        <f>ROUND(IF(L461='S1&amp;2 Lists'!$CV$3,K461,IF(L461='S1&amp;2 Lists'!$CV$4,K461/'S1&amp;2 Lists'!$CQ$6,0)),3)</f>
        <v>0</v>
      </c>
      <c r="Q461" s="326" t="s">
        <v>264</v>
      </c>
    </row>
    <row r="462" spans="1:17" s="756" customFormat="1" ht="24" customHeight="1">
      <c r="A462" s="975"/>
      <c r="B462" s="975"/>
      <c r="C462" s="1027"/>
      <c r="D462" s="975"/>
      <c r="E462" s="980"/>
      <c r="F462" s="975"/>
      <c r="G462" s="979"/>
      <c r="H462" s="975"/>
      <c r="I462" s="980"/>
      <c r="J462" s="975"/>
      <c r="K462" s="975"/>
      <c r="L462" s="975"/>
      <c r="M462" s="755" t="e">
        <f>+VLOOKUP(G462,'S1&amp;2 Lists'!$C$8:$G$134,3,FALSE)</f>
        <v>#N/A</v>
      </c>
      <c r="N462" s="755" t="e">
        <f t="shared" si="7"/>
        <v>#N/A</v>
      </c>
      <c r="P462" s="1049">
        <f>ROUND(IF(L462='S1&amp;2 Lists'!$CV$3,K462,IF(L462='S1&amp;2 Lists'!$CV$4,K462/'S1&amp;2 Lists'!$CQ$6,0)),3)</f>
        <v>0</v>
      </c>
      <c r="Q462" s="326" t="s">
        <v>264</v>
      </c>
    </row>
    <row r="463" spans="1:17" s="756" customFormat="1" ht="24" customHeight="1">
      <c r="A463" s="975"/>
      <c r="B463" s="975"/>
      <c r="C463" s="1027"/>
      <c r="D463" s="975"/>
      <c r="E463" s="980"/>
      <c r="F463" s="975"/>
      <c r="G463" s="979"/>
      <c r="H463" s="975"/>
      <c r="I463" s="980"/>
      <c r="J463" s="975"/>
      <c r="K463" s="975"/>
      <c r="L463" s="975"/>
      <c r="M463" s="755" t="e">
        <f>+VLOOKUP(G463,'S1&amp;2 Lists'!$C$8:$G$134,3,FALSE)</f>
        <v>#N/A</v>
      </c>
      <c r="N463" s="755" t="e">
        <f t="shared" si="7"/>
        <v>#N/A</v>
      </c>
      <c r="P463" s="1049">
        <f>ROUND(IF(L463='S1&amp;2 Lists'!$CV$3,K463,IF(L463='S1&amp;2 Lists'!$CV$4,K463/'S1&amp;2 Lists'!$CQ$6,0)),3)</f>
        <v>0</v>
      </c>
      <c r="Q463" s="326" t="s">
        <v>264</v>
      </c>
    </row>
    <row r="464" spans="1:17" s="756" customFormat="1" ht="24" customHeight="1">
      <c r="A464" s="975"/>
      <c r="B464" s="975"/>
      <c r="C464" s="1027"/>
      <c r="D464" s="975"/>
      <c r="E464" s="980"/>
      <c r="F464" s="975"/>
      <c r="G464" s="979"/>
      <c r="H464" s="975"/>
      <c r="I464" s="980"/>
      <c r="J464" s="975"/>
      <c r="K464" s="975"/>
      <c r="L464" s="975"/>
      <c r="M464" s="755" t="e">
        <f>+VLOOKUP(G464,'S1&amp;2 Lists'!$C$8:$G$134,3,FALSE)</f>
        <v>#N/A</v>
      </c>
      <c r="N464" s="755" t="e">
        <f t="shared" si="7"/>
        <v>#N/A</v>
      </c>
      <c r="P464" s="1049">
        <f>ROUND(IF(L464='S1&amp;2 Lists'!$CV$3,K464,IF(L464='S1&amp;2 Lists'!$CV$4,K464/'S1&amp;2 Lists'!$CQ$6,0)),3)</f>
        <v>0</v>
      </c>
      <c r="Q464" s="326" t="s">
        <v>264</v>
      </c>
    </row>
    <row r="465" spans="1:17" s="756" customFormat="1" ht="24" customHeight="1">
      <c r="A465" s="975"/>
      <c r="B465" s="975"/>
      <c r="C465" s="1027"/>
      <c r="D465" s="975"/>
      <c r="E465" s="980"/>
      <c r="F465" s="975"/>
      <c r="G465" s="979"/>
      <c r="H465" s="975"/>
      <c r="I465" s="980"/>
      <c r="J465" s="975"/>
      <c r="K465" s="975"/>
      <c r="L465" s="975"/>
      <c r="M465" s="755" t="e">
        <f>+VLOOKUP(G465,'S1&amp;2 Lists'!$C$8:$G$134,3,FALSE)</f>
        <v>#N/A</v>
      </c>
      <c r="N465" s="755" t="e">
        <f t="shared" si="7"/>
        <v>#N/A</v>
      </c>
      <c r="P465" s="1049">
        <f>ROUND(IF(L465='S1&amp;2 Lists'!$CV$3,K465,IF(L465='S1&amp;2 Lists'!$CV$4,K465/'S1&amp;2 Lists'!$CQ$6,0)),3)</f>
        <v>0</v>
      </c>
      <c r="Q465" s="326" t="s">
        <v>264</v>
      </c>
    </row>
    <row r="466" spans="1:17" s="756" customFormat="1" ht="24" customHeight="1">
      <c r="A466" s="975"/>
      <c r="B466" s="975"/>
      <c r="C466" s="1027"/>
      <c r="D466" s="975"/>
      <c r="E466" s="980"/>
      <c r="F466" s="975"/>
      <c r="G466" s="979"/>
      <c r="H466" s="975"/>
      <c r="I466" s="980"/>
      <c r="J466" s="975"/>
      <c r="K466" s="975"/>
      <c r="L466" s="975"/>
      <c r="M466" s="755" t="e">
        <f>+VLOOKUP(G466,'S1&amp;2 Lists'!$C$8:$G$134,3,FALSE)</f>
        <v>#N/A</v>
      </c>
      <c r="N466" s="755" t="e">
        <f t="shared" si="7"/>
        <v>#N/A</v>
      </c>
      <c r="P466" s="1049">
        <f>ROUND(IF(L466='S1&amp;2 Lists'!$CV$3,K466,IF(L466='S1&amp;2 Lists'!$CV$4,K466/'S1&amp;2 Lists'!$CQ$6,0)),3)</f>
        <v>0</v>
      </c>
      <c r="Q466" s="326" t="s">
        <v>264</v>
      </c>
    </row>
    <row r="467" spans="1:17" s="756" customFormat="1" ht="24" customHeight="1">
      <c r="A467" s="975"/>
      <c r="B467" s="975"/>
      <c r="C467" s="1027"/>
      <c r="D467" s="975"/>
      <c r="E467" s="980"/>
      <c r="F467" s="975"/>
      <c r="G467" s="979"/>
      <c r="H467" s="975"/>
      <c r="I467" s="980"/>
      <c r="J467" s="975"/>
      <c r="K467" s="975"/>
      <c r="L467" s="975"/>
      <c r="M467" s="755" t="e">
        <f>+VLOOKUP(G467,'S1&amp;2 Lists'!$C$8:$G$134,3,FALSE)</f>
        <v>#N/A</v>
      </c>
      <c r="N467" s="755" t="e">
        <f t="shared" si="7"/>
        <v>#N/A</v>
      </c>
      <c r="P467" s="1049">
        <f>ROUND(IF(L467='S1&amp;2 Lists'!$CV$3,K467,IF(L467='S1&amp;2 Lists'!$CV$4,K467/'S1&amp;2 Lists'!$CQ$6,0)),3)</f>
        <v>0</v>
      </c>
      <c r="Q467" s="326" t="s">
        <v>264</v>
      </c>
    </row>
    <row r="468" spans="1:17" s="756" customFormat="1" ht="24" customHeight="1">
      <c r="A468" s="975"/>
      <c r="B468" s="975"/>
      <c r="C468" s="1027"/>
      <c r="D468" s="975"/>
      <c r="E468" s="980"/>
      <c r="F468" s="975"/>
      <c r="G468" s="979"/>
      <c r="H468" s="975"/>
      <c r="I468" s="980"/>
      <c r="J468" s="975"/>
      <c r="K468" s="975"/>
      <c r="L468" s="975"/>
      <c r="M468" s="755" t="e">
        <f>+VLOOKUP(G468,'S1&amp;2 Lists'!$C$8:$G$134,3,FALSE)</f>
        <v>#N/A</v>
      </c>
      <c r="N468" s="755" t="e">
        <f t="shared" si="7"/>
        <v>#N/A</v>
      </c>
      <c r="P468" s="1049">
        <f>ROUND(IF(L468='S1&amp;2 Lists'!$CV$3,K468,IF(L468='S1&amp;2 Lists'!$CV$4,K468/'S1&amp;2 Lists'!$CQ$6,0)),3)</f>
        <v>0</v>
      </c>
      <c r="Q468" s="326" t="s">
        <v>264</v>
      </c>
    </row>
    <row r="469" spans="1:17" s="756" customFormat="1" ht="24" customHeight="1">
      <c r="A469" s="975"/>
      <c r="B469" s="975"/>
      <c r="C469" s="1027"/>
      <c r="D469" s="975"/>
      <c r="E469" s="980"/>
      <c r="F469" s="975"/>
      <c r="G469" s="979"/>
      <c r="H469" s="975"/>
      <c r="I469" s="980"/>
      <c r="J469" s="975"/>
      <c r="K469" s="975"/>
      <c r="L469" s="975"/>
      <c r="M469" s="755" t="e">
        <f>+VLOOKUP(G469,'S1&amp;2 Lists'!$C$8:$G$134,3,FALSE)</f>
        <v>#N/A</v>
      </c>
      <c r="N469" s="755" t="e">
        <f t="shared" si="7"/>
        <v>#N/A</v>
      </c>
      <c r="P469" s="1049">
        <f>ROUND(IF(L469='S1&amp;2 Lists'!$CV$3,K469,IF(L469='S1&amp;2 Lists'!$CV$4,K469/'S1&amp;2 Lists'!$CQ$6,0)),3)</f>
        <v>0</v>
      </c>
      <c r="Q469" s="326" t="s">
        <v>264</v>
      </c>
    </row>
    <row r="470" spans="1:17" s="756" customFormat="1" ht="24" customHeight="1">
      <c r="A470" s="975"/>
      <c r="B470" s="975"/>
      <c r="C470" s="1027"/>
      <c r="D470" s="975"/>
      <c r="E470" s="980"/>
      <c r="F470" s="975"/>
      <c r="G470" s="979"/>
      <c r="H470" s="975"/>
      <c r="I470" s="980"/>
      <c r="J470" s="975"/>
      <c r="K470" s="975"/>
      <c r="L470" s="975"/>
      <c r="M470" s="755" t="e">
        <f>+VLOOKUP(G470,'S1&amp;2 Lists'!$C$8:$G$134,3,FALSE)</f>
        <v>#N/A</v>
      </c>
      <c r="N470" s="755" t="e">
        <f t="shared" si="7"/>
        <v>#N/A</v>
      </c>
      <c r="P470" s="1049">
        <f>ROUND(IF(L470='S1&amp;2 Lists'!$CV$3,K470,IF(L470='S1&amp;2 Lists'!$CV$4,K470/'S1&amp;2 Lists'!$CQ$6,0)),3)</f>
        <v>0</v>
      </c>
      <c r="Q470" s="326" t="s">
        <v>264</v>
      </c>
    </row>
    <row r="471" spans="1:17" s="756" customFormat="1" ht="24" customHeight="1">
      <c r="A471" s="975"/>
      <c r="B471" s="975"/>
      <c r="C471" s="1027"/>
      <c r="D471" s="975"/>
      <c r="E471" s="980"/>
      <c r="F471" s="975"/>
      <c r="G471" s="979"/>
      <c r="H471" s="975"/>
      <c r="I471" s="980"/>
      <c r="J471" s="975"/>
      <c r="K471" s="975"/>
      <c r="L471" s="975"/>
      <c r="M471" s="755" t="e">
        <f>+VLOOKUP(G471,'S1&amp;2 Lists'!$C$8:$G$134,3,FALSE)</f>
        <v>#N/A</v>
      </c>
      <c r="N471" s="755" t="e">
        <f t="shared" si="7"/>
        <v>#N/A</v>
      </c>
      <c r="P471" s="1049">
        <f>ROUND(IF(L471='S1&amp;2 Lists'!$CV$3,K471,IF(L471='S1&amp;2 Lists'!$CV$4,K471/'S1&amp;2 Lists'!$CQ$6,0)),3)</f>
        <v>0</v>
      </c>
      <c r="Q471" s="326" t="s">
        <v>264</v>
      </c>
    </row>
    <row r="472" spans="1:17" s="756" customFormat="1" ht="24" customHeight="1">
      <c r="A472" s="975"/>
      <c r="B472" s="975"/>
      <c r="C472" s="1027"/>
      <c r="D472" s="975"/>
      <c r="E472" s="980"/>
      <c r="F472" s="975"/>
      <c r="G472" s="979"/>
      <c r="H472" s="975"/>
      <c r="I472" s="980"/>
      <c r="J472" s="975"/>
      <c r="K472" s="975"/>
      <c r="L472" s="975"/>
      <c r="M472" s="755" t="e">
        <f>+VLOOKUP(G472,'S1&amp;2 Lists'!$C$8:$G$134,3,FALSE)</f>
        <v>#N/A</v>
      </c>
      <c r="N472" s="755" t="e">
        <f t="shared" si="7"/>
        <v>#N/A</v>
      </c>
      <c r="P472" s="1049">
        <f>ROUND(IF(L472='S1&amp;2 Lists'!$CV$3,K472,IF(L472='S1&amp;2 Lists'!$CV$4,K472/'S1&amp;2 Lists'!$CQ$6,0)),3)</f>
        <v>0</v>
      </c>
      <c r="Q472" s="326" t="s">
        <v>264</v>
      </c>
    </row>
    <row r="473" spans="1:17" s="756" customFormat="1" ht="24" customHeight="1">
      <c r="A473" s="975"/>
      <c r="B473" s="975"/>
      <c r="C473" s="1027"/>
      <c r="D473" s="975"/>
      <c r="E473" s="980"/>
      <c r="F473" s="975"/>
      <c r="G473" s="979"/>
      <c r="H473" s="975"/>
      <c r="I473" s="980"/>
      <c r="J473" s="975"/>
      <c r="K473" s="975"/>
      <c r="L473" s="975"/>
      <c r="M473" s="755" t="e">
        <f>+VLOOKUP(G473,'S1&amp;2 Lists'!$C$8:$G$134,3,FALSE)</f>
        <v>#N/A</v>
      </c>
      <c r="N473" s="755" t="e">
        <f t="shared" si="7"/>
        <v>#N/A</v>
      </c>
      <c r="P473" s="1049">
        <f>ROUND(IF(L473='S1&amp;2 Lists'!$CV$3,K473,IF(L473='S1&amp;2 Lists'!$CV$4,K473/'S1&amp;2 Lists'!$CQ$6,0)),3)</f>
        <v>0</v>
      </c>
      <c r="Q473" s="326" t="s">
        <v>264</v>
      </c>
    </row>
    <row r="474" spans="1:17" s="756" customFormat="1" ht="24" customHeight="1">
      <c r="A474" s="975"/>
      <c r="B474" s="975"/>
      <c r="C474" s="1027"/>
      <c r="D474" s="975"/>
      <c r="E474" s="980"/>
      <c r="F474" s="975"/>
      <c r="G474" s="979"/>
      <c r="H474" s="975"/>
      <c r="I474" s="980"/>
      <c r="J474" s="975"/>
      <c r="K474" s="975"/>
      <c r="L474" s="975"/>
      <c r="M474" s="755" t="e">
        <f>+VLOOKUP(G474,'S1&amp;2 Lists'!$C$8:$G$134,3,FALSE)</f>
        <v>#N/A</v>
      </c>
      <c r="N474" s="755" t="e">
        <f t="shared" si="7"/>
        <v>#N/A</v>
      </c>
      <c r="P474" s="1049">
        <f>ROUND(IF(L474='S1&amp;2 Lists'!$CV$3,K474,IF(L474='S1&amp;2 Lists'!$CV$4,K474/'S1&amp;2 Lists'!$CQ$6,0)),3)</f>
        <v>0</v>
      </c>
      <c r="Q474" s="326" t="s">
        <v>264</v>
      </c>
    </row>
    <row r="475" spans="1:17" s="756" customFormat="1" ht="24" customHeight="1">
      <c r="A475" s="975"/>
      <c r="B475" s="975"/>
      <c r="C475" s="1027"/>
      <c r="D475" s="975"/>
      <c r="E475" s="980"/>
      <c r="F475" s="975"/>
      <c r="G475" s="979"/>
      <c r="H475" s="975"/>
      <c r="I475" s="980"/>
      <c r="J475" s="975"/>
      <c r="K475" s="975"/>
      <c r="L475" s="975"/>
      <c r="M475" s="755" t="e">
        <f>+VLOOKUP(G475,'S1&amp;2 Lists'!$C$8:$G$134,3,FALSE)</f>
        <v>#N/A</v>
      </c>
      <c r="N475" s="755" t="e">
        <f t="shared" si="7"/>
        <v>#N/A</v>
      </c>
      <c r="P475" s="1049">
        <f>ROUND(IF(L475='S1&amp;2 Lists'!$CV$3,K475,IF(L475='S1&amp;2 Lists'!$CV$4,K475/'S1&amp;2 Lists'!$CQ$6,0)),3)</f>
        <v>0</v>
      </c>
      <c r="Q475" s="326" t="s">
        <v>264</v>
      </c>
    </row>
    <row r="476" spans="1:17" s="756" customFormat="1" ht="24" customHeight="1">
      <c r="A476" s="975"/>
      <c r="B476" s="975"/>
      <c r="C476" s="1027"/>
      <c r="D476" s="975"/>
      <c r="E476" s="980"/>
      <c r="F476" s="975"/>
      <c r="G476" s="979"/>
      <c r="H476" s="975"/>
      <c r="I476" s="980"/>
      <c r="J476" s="975"/>
      <c r="K476" s="975"/>
      <c r="L476" s="975"/>
      <c r="M476" s="755" t="e">
        <f>+VLOOKUP(G476,'S1&amp;2 Lists'!$C$8:$G$134,3,FALSE)</f>
        <v>#N/A</v>
      </c>
      <c r="N476" s="755" t="e">
        <f t="shared" si="7"/>
        <v>#N/A</v>
      </c>
      <c r="P476" s="1049">
        <f>ROUND(IF(L476='S1&amp;2 Lists'!$CV$3,K476,IF(L476='S1&amp;2 Lists'!$CV$4,K476/'S1&amp;2 Lists'!$CQ$6,0)),3)</f>
        <v>0</v>
      </c>
      <c r="Q476" s="326" t="s">
        <v>264</v>
      </c>
    </row>
    <row r="477" spans="1:17" s="756" customFormat="1" ht="24" customHeight="1">
      <c r="A477" s="975"/>
      <c r="B477" s="975"/>
      <c r="C477" s="1027"/>
      <c r="D477" s="975"/>
      <c r="E477" s="980"/>
      <c r="F477" s="975"/>
      <c r="G477" s="979"/>
      <c r="H477" s="975"/>
      <c r="I477" s="980"/>
      <c r="J477" s="975"/>
      <c r="K477" s="975"/>
      <c r="L477" s="975"/>
      <c r="M477" s="755" t="e">
        <f>+VLOOKUP(G477,'S1&amp;2 Lists'!$C$8:$G$134,3,FALSE)</f>
        <v>#N/A</v>
      </c>
      <c r="N477" s="755" t="e">
        <f t="shared" si="7"/>
        <v>#N/A</v>
      </c>
      <c r="P477" s="1049">
        <f>ROUND(IF(L477='S1&amp;2 Lists'!$CV$3,K477,IF(L477='S1&amp;2 Lists'!$CV$4,K477/'S1&amp;2 Lists'!$CQ$6,0)),3)</f>
        <v>0</v>
      </c>
      <c r="Q477" s="326" t="s">
        <v>264</v>
      </c>
    </row>
    <row r="478" spans="1:17" s="756" customFormat="1" ht="24" customHeight="1">
      <c r="A478" s="975"/>
      <c r="B478" s="975"/>
      <c r="C478" s="1027"/>
      <c r="D478" s="975"/>
      <c r="E478" s="980"/>
      <c r="F478" s="975"/>
      <c r="G478" s="979"/>
      <c r="H478" s="975"/>
      <c r="I478" s="980"/>
      <c r="J478" s="975"/>
      <c r="K478" s="975"/>
      <c r="L478" s="975"/>
      <c r="M478" s="755" t="e">
        <f>+VLOOKUP(G478,'S1&amp;2 Lists'!$C$8:$G$134,3,FALSE)</f>
        <v>#N/A</v>
      </c>
      <c r="N478" s="755" t="e">
        <f t="shared" si="7"/>
        <v>#N/A</v>
      </c>
      <c r="P478" s="1049">
        <f>ROUND(IF(L478='S1&amp;2 Lists'!$CV$3,K478,IF(L478='S1&amp;2 Lists'!$CV$4,K478/'S1&amp;2 Lists'!$CQ$6,0)),3)</f>
        <v>0</v>
      </c>
      <c r="Q478" s="326" t="s">
        <v>264</v>
      </c>
    </row>
    <row r="479" spans="1:17" s="756" customFormat="1" ht="24" customHeight="1">
      <c r="A479" s="975"/>
      <c r="B479" s="975"/>
      <c r="C479" s="1027"/>
      <c r="D479" s="975"/>
      <c r="E479" s="980"/>
      <c r="F479" s="975"/>
      <c r="G479" s="979"/>
      <c r="H479" s="975"/>
      <c r="I479" s="980"/>
      <c r="J479" s="975"/>
      <c r="K479" s="975"/>
      <c r="L479" s="975"/>
      <c r="M479" s="755" t="e">
        <f>+VLOOKUP(G479,'S1&amp;2 Lists'!$C$8:$G$134,3,FALSE)</f>
        <v>#N/A</v>
      </c>
      <c r="N479" s="755" t="e">
        <f t="shared" si="7"/>
        <v>#N/A</v>
      </c>
      <c r="P479" s="1049">
        <f>ROUND(IF(L479='S1&amp;2 Lists'!$CV$3,K479,IF(L479='S1&amp;2 Lists'!$CV$4,K479/'S1&amp;2 Lists'!$CQ$6,0)),3)</f>
        <v>0</v>
      </c>
      <c r="Q479" s="326" t="s">
        <v>264</v>
      </c>
    </row>
    <row r="480" spans="1:17" s="756" customFormat="1" ht="24" customHeight="1">
      <c r="A480" s="975"/>
      <c r="B480" s="975"/>
      <c r="C480" s="1027"/>
      <c r="D480" s="975"/>
      <c r="E480" s="980"/>
      <c r="F480" s="975"/>
      <c r="G480" s="979"/>
      <c r="H480" s="975"/>
      <c r="I480" s="980"/>
      <c r="J480" s="975"/>
      <c r="K480" s="975"/>
      <c r="L480" s="975"/>
      <c r="M480" s="755" t="e">
        <f>+VLOOKUP(G480,'S1&amp;2 Lists'!$C$8:$G$134,3,FALSE)</f>
        <v>#N/A</v>
      </c>
      <c r="N480" s="755" t="e">
        <f t="shared" si="7"/>
        <v>#N/A</v>
      </c>
      <c r="P480" s="1049">
        <f>ROUND(IF(L480='S1&amp;2 Lists'!$CV$3,K480,IF(L480='S1&amp;2 Lists'!$CV$4,K480/'S1&amp;2 Lists'!$CQ$6,0)),3)</f>
        <v>0</v>
      </c>
      <c r="Q480" s="326" t="s">
        <v>264</v>
      </c>
    </row>
    <row r="481" spans="1:17" s="756" customFormat="1" ht="24" customHeight="1">
      <c r="A481" s="975"/>
      <c r="B481" s="975"/>
      <c r="C481" s="1027"/>
      <c r="D481" s="975"/>
      <c r="E481" s="980"/>
      <c r="F481" s="975"/>
      <c r="G481" s="979"/>
      <c r="H481" s="975"/>
      <c r="I481" s="980"/>
      <c r="J481" s="975"/>
      <c r="K481" s="975"/>
      <c r="L481" s="975"/>
      <c r="M481" s="755" t="e">
        <f>+VLOOKUP(G481,'S1&amp;2 Lists'!$C$8:$G$134,3,FALSE)</f>
        <v>#N/A</v>
      </c>
      <c r="N481" s="755" t="e">
        <f t="shared" si="7"/>
        <v>#N/A</v>
      </c>
      <c r="P481" s="1049">
        <f>ROUND(IF(L481='S1&amp;2 Lists'!$CV$3,K481,IF(L481='S1&amp;2 Lists'!$CV$4,K481/'S1&amp;2 Lists'!$CQ$6,0)),3)</f>
        <v>0</v>
      </c>
      <c r="Q481" s="326" t="s">
        <v>264</v>
      </c>
    </row>
    <row r="482" spans="1:17" s="756" customFormat="1" ht="24" customHeight="1">
      <c r="A482" s="975"/>
      <c r="B482" s="975"/>
      <c r="C482" s="1027"/>
      <c r="D482" s="975"/>
      <c r="E482" s="980"/>
      <c r="F482" s="975"/>
      <c r="G482" s="979"/>
      <c r="H482" s="975"/>
      <c r="I482" s="980"/>
      <c r="J482" s="975"/>
      <c r="K482" s="975"/>
      <c r="L482" s="975"/>
      <c r="M482" s="755" t="e">
        <f>+VLOOKUP(G482,'S1&amp;2 Lists'!$C$8:$G$134,3,FALSE)</f>
        <v>#N/A</v>
      </c>
      <c r="N482" s="755" t="e">
        <f t="shared" si="7"/>
        <v>#N/A</v>
      </c>
      <c r="P482" s="1049">
        <f>ROUND(IF(L482='S1&amp;2 Lists'!$CV$3,K482,IF(L482='S1&amp;2 Lists'!$CV$4,K482/'S1&amp;2 Lists'!$CQ$6,0)),3)</f>
        <v>0</v>
      </c>
      <c r="Q482" s="326" t="s">
        <v>264</v>
      </c>
    </row>
    <row r="483" spans="1:17" s="756" customFormat="1" ht="24" customHeight="1">
      <c r="A483" s="975"/>
      <c r="B483" s="975"/>
      <c r="C483" s="1027"/>
      <c r="D483" s="975"/>
      <c r="E483" s="980"/>
      <c r="F483" s="975"/>
      <c r="G483" s="979"/>
      <c r="H483" s="975"/>
      <c r="I483" s="980"/>
      <c r="J483" s="975"/>
      <c r="K483" s="975"/>
      <c r="L483" s="975"/>
      <c r="M483" s="755" t="e">
        <f>+VLOOKUP(G483,'S1&amp;2 Lists'!$C$8:$G$134,3,FALSE)</f>
        <v>#N/A</v>
      </c>
      <c r="N483" s="755" t="e">
        <f t="shared" si="7"/>
        <v>#N/A</v>
      </c>
      <c r="P483" s="1049">
        <f>ROUND(IF(L483='S1&amp;2 Lists'!$CV$3,K483,IF(L483='S1&amp;2 Lists'!$CV$4,K483/'S1&amp;2 Lists'!$CQ$6,0)),3)</f>
        <v>0</v>
      </c>
      <c r="Q483" s="326" t="s">
        <v>264</v>
      </c>
    </row>
    <row r="484" spans="1:17" s="756" customFormat="1" ht="24" customHeight="1">
      <c r="A484" s="975"/>
      <c r="B484" s="975"/>
      <c r="C484" s="1027"/>
      <c r="D484" s="975"/>
      <c r="E484" s="980"/>
      <c r="F484" s="975"/>
      <c r="G484" s="979"/>
      <c r="H484" s="975"/>
      <c r="I484" s="980"/>
      <c r="J484" s="975"/>
      <c r="K484" s="975"/>
      <c r="L484" s="975"/>
      <c r="M484" s="755" t="e">
        <f>+VLOOKUP(G484,'S1&amp;2 Lists'!$C$8:$G$134,3,FALSE)</f>
        <v>#N/A</v>
      </c>
      <c r="N484" s="755" t="e">
        <f t="shared" si="7"/>
        <v>#N/A</v>
      </c>
      <c r="P484" s="1049">
        <f>ROUND(IF(L484='S1&amp;2 Lists'!$CV$3,K484,IF(L484='S1&amp;2 Lists'!$CV$4,K484/'S1&amp;2 Lists'!$CQ$6,0)),3)</f>
        <v>0</v>
      </c>
      <c r="Q484" s="326" t="s">
        <v>264</v>
      </c>
    </row>
    <row r="485" spans="1:17" s="756" customFormat="1" ht="24" customHeight="1">
      <c r="A485" s="975"/>
      <c r="B485" s="975"/>
      <c r="C485" s="1027"/>
      <c r="D485" s="975"/>
      <c r="E485" s="980"/>
      <c r="F485" s="975"/>
      <c r="G485" s="979"/>
      <c r="H485" s="975"/>
      <c r="I485" s="980"/>
      <c r="J485" s="975"/>
      <c r="K485" s="975"/>
      <c r="L485" s="975"/>
      <c r="M485" s="755" t="e">
        <f>+VLOOKUP(G485,'S1&amp;2 Lists'!$C$8:$G$134,3,FALSE)</f>
        <v>#N/A</v>
      </c>
      <c r="N485" s="755" t="e">
        <f t="shared" si="7"/>
        <v>#N/A</v>
      </c>
      <c r="P485" s="1049">
        <f>ROUND(IF(L485='S1&amp;2 Lists'!$CV$3,K485,IF(L485='S1&amp;2 Lists'!$CV$4,K485/'S1&amp;2 Lists'!$CQ$6,0)),3)</f>
        <v>0</v>
      </c>
      <c r="Q485" s="326" t="s">
        <v>264</v>
      </c>
    </row>
    <row r="486" spans="1:17" s="756" customFormat="1" ht="24" customHeight="1">
      <c r="A486" s="975"/>
      <c r="B486" s="975"/>
      <c r="C486" s="1027"/>
      <c r="D486" s="975"/>
      <c r="E486" s="980"/>
      <c r="F486" s="975"/>
      <c r="G486" s="979"/>
      <c r="H486" s="975"/>
      <c r="I486" s="980"/>
      <c r="J486" s="975"/>
      <c r="K486" s="975"/>
      <c r="L486" s="975"/>
      <c r="M486" s="755" t="e">
        <f>+VLOOKUP(G486,'S1&amp;2 Lists'!$C$8:$G$134,3,FALSE)</f>
        <v>#N/A</v>
      </c>
      <c r="N486" s="755" t="e">
        <f t="shared" si="7"/>
        <v>#N/A</v>
      </c>
      <c r="P486" s="1049">
        <f>ROUND(IF(L486='S1&amp;2 Lists'!$CV$3,K486,IF(L486='S1&amp;2 Lists'!$CV$4,K486/'S1&amp;2 Lists'!$CQ$6,0)),3)</f>
        <v>0</v>
      </c>
      <c r="Q486" s="326" t="s">
        <v>264</v>
      </c>
    </row>
    <row r="487" spans="1:17" s="756" customFormat="1" ht="24" customHeight="1">
      <c r="A487" s="975"/>
      <c r="B487" s="975"/>
      <c r="C487" s="1027"/>
      <c r="D487" s="975"/>
      <c r="E487" s="980"/>
      <c r="F487" s="975"/>
      <c r="G487" s="979"/>
      <c r="H487" s="975"/>
      <c r="I487" s="980"/>
      <c r="J487" s="975"/>
      <c r="K487" s="975"/>
      <c r="L487" s="975"/>
      <c r="M487" s="755" t="e">
        <f>+VLOOKUP(G487,'S1&amp;2 Lists'!$C$8:$G$134,3,FALSE)</f>
        <v>#N/A</v>
      </c>
      <c r="N487" s="755" t="e">
        <f t="shared" si="7"/>
        <v>#N/A</v>
      </c>
      <c r="P487" s="1049">
        <f>ROUND(IF(L487='S1&amp;2 Lists'!$CV$3,K487,IF(L487='S1&amp;2 Lists'!$CV$4,K487/'S1&amp;2 Lists'!$CQ$6,0)),3)</f>
        <v>0</v>
      </c>
      <c r="Q487" s="326" t="s">
        <v>264</v>
      </c>
    </row>
    <row r="488" spans="1:17" s="756" customFormat="1" ht="24" customHeight="1">
      <c r="A488" s="975"/>
      <c r="B488" s="975"/>
      <c r="C488" s="1027"/>
      <c r="D488" s="975"/>
      <c r="E488" s="980"/>
      <c r="F488" s="975"/>
      <c r="G488" s="979"/>
      <c r="H488" s="975"/>
      <c r="I488" s="980"/>
      <c r="J488" s="975"/>
      <c r="K488" s="975"/>
      <c r="L488" s="975"/>
      <c r="M488" s="755" t="e">
        <f>+VLOOKUP(G488,'S1&amp;2 Lists'!$C$8:$G$134,3,FALSE)</f>
        <v>#N/A</v>
      </c>
      <c r="N488" s="755" t="e">
        <f t="shared" si="7"/>
        <v>#N/A</v>
      </c>
      <c r="P488" s="1049">
        <f>ROUND(IF(L488='S1&amp;2 Lists'!$CV$3,K488,IF(L488='S1&amp;2 Lists'!$CV$4,K488/'S1&amp;2 Lists'!$CQ$6,0)),3)</f>
        <v>0</v>
      </c>
      <c r="Q488" s="326" t="s">
        <v>264</v>
      </c>
    </row>
    <row r="489" spans="1:17" s="756" customFormat="1" ht="24" customHeight="1">
      <c r="A489" s="975"/>
      <c r="B489" s="975"/>
      <c r="C489" s="1027"/>
      <c r="D489" s="975"/>
      <c r="E489" s="980"/>
      <c r="F489" s="975"/>
      <c r="G489" s="979"/>
      <c r="H489" s="975"/>
      <c r="I489" s="980"/>
      <c r="J489" s="975"/>
      <c r="K489" s="975"/>
      <c r="L489" s="975"/>
      <c r="M489" s="755" t="e">
        <f>+VLOOKUP(G489,'S1&amp;2 Lists'!$C$8:$G$134,3,FALSE)</f>
        <v>#N/A</v>
      </c>
      <c r="N489" s="755" t="e">
        <f t="shared" si="7"/>
        <v>#N/A</v>
      </c>
      <c r="P489" s="1049">
        <f>ROUND(IF(L489='S1&amp;2 Lists'!$CV$3,K489,IF(L489='S1&amp;2 Lists'!$CV$4,K489/'S1&amp;2 Lists'!$CQ$6,0)),3)</f>
        <v>0</v>
      </c>
      <c r="Q489" s="326" t="s">
        <v>264</v>
      </c>
    </row>
    <row r="490" spans="1:17" s="756" customFormat="1" ht="24" customHeight="1">
      <c r="A490" s="975"/>
      <c r="B490" s="975"/>
      <c r="C490" s="1027"/>
      <c r="D490" s="975"/>
      <c r="E490" s="980"/>
      <c r="F490" s="975"/>
      <c r="G490" s="979"/>
      <c r="H490" s="975"/>
      <c r="I490" s="980"/>
      <c r="J490" s="975"/>
      <c r="K490" s="975"/>
      <c r="L490" s="975"/>
      <c r="M490" s="755" t="e">
        <f>+VLOOKUP(G490,'S1&amp;2 Lists'!$C$8:$G$134,3,FALSE)</f>
        <v>#N/A</v>
      </c>
      <c r="N490" s="755" t="e">
        <f t="shared" si="7"/>
        <v>#N/A</v>
      </c>
      <c r="P490" s="1049">
        <f>ROUND(IF(L490='S1&amp;2 Lists'!$CV$3,K490,IF(L490='S1&amp;2 Lists'!$CV$4,K490/'S1&amp;2 Lists'!$CQ$6,0)),3)</f>
        <v>0</v>
      </c>
      <c r="Q490" s="326" t="s">
        <v>264</v>
      </c>
    </row>
    <row r="491" spans="1:17" s="756" customFormat="1" ht="24" customHeight="1">
      <c r="A491" s="975"/>
      <c r="B491" s="975"/>
      <c r="C491" s="1027"/>
      <c r="D491" s="975"/>
      <c r="E491" s="980"/>
      <c r="F491" s="975"/>
      <c r="G491" s="979"/>
      <c r="H491" s="975"/>
      <c r="I491" s="980"/>
      <c r="J491" s="975"/>
      <c r="K491" s="975"/>
      <c r="L491" s="975"/>
      <c r="M491" s="755" t="e">
        <f>+VLOOKUP(G491,'S1&amp;2 Lists'!$C$8:$G$134,3,FALSE)</f>
        <v>#N/A</v>
      </c>
      <c r="N491" s="755" t="e">
        <f t="shared" si="7"/>
        <v>#N/A</v>
      </c>
      <c r="P491" s="1049">
        <f>ROUND(IF(L491='S1&amp;2 Lists'!$CV$3,K491,IF(L491='S1&amp;2 Lists'!$CV$4,K491/'S1&amp;2 Lists'!$CQ$6,0)),3)</f>
        <v>0</v>
      </c>
      <c r="Q491" s="326" t="s">
        <v>264</v>
      </c>
    </row>
    <row r="492" spans="1:17" s="756" customFormat="1" ht="24" customHeight="1">
      <c r="A492" s="975"/>
      <c r="B492" s="975"/>
      <c r="C492" s="1027"/>
      <c r="D492" s="975"/>
      <c r="E492" s="980"/>
      <c r="F492" s="975"/>
      <c r="G492" s="979"/>
      <c r="H492" s="975"/>
      <c r="I492" s="980"/>
      <c r="J492" s="975"/>
      <c r="K492" s="975"/>
      <c r="L492" s="975"/>
      <c r="M492" s="755" t="e">
        <f>+VLOOKUP(G492,'S1&amp;2 Lists'!$C$8:$G$134,3,FALSE)</f>
        <v>#N/A</v>
      </c>
      <c r="N492" s="755" t="e">
        <f t="shared" si="7"/>
        <v>#N/A</v>
      </c>
      <c r="P492" s="1049">
        <f>ROUND(IF(L492='S1&amp;2 Lists'!$CV$3,K492,IF(L492='S1&amp;2 Lists'!$CV$4,K492/'S1&amp;2 Lists'!$CQ$6,0)),3)</f>
        <v>0</v>
      </c>
      <c r="Q492" s="326" t="s">
        <v>264</v>
      </c>
    </row>
    <row r="493" spans="1:17" s="756" customFormat="1" ht="24" customHeight="1">
      <c r="A493" s="975"/>
      <c r="B493" s="975"/>
      <c r="C493" s="1027"/>
      <c r="D493" s="975"/>
      <c r="E493" s="980"/>
      <c r="F493" s="975"/>
      <c r="G493" s="979"/>
      <c r="H493" s="975"/>
      <c r="I493" s="980"/>
      <c r="J493" s="975"/>
      <c r="K493" s="975"/>
      <c r="L493" s="975"/>
      <c r="M493" s="755" t="e">
        <f>+VLOOKUP(G493,'S1&amp;2 Lists'!$C$8:$G$134,3,FALSE)</f>
        <v>#N/A</v>
      </c>
      <c r="N493" s="755" t="e">
        <f t="shared" si="7"/>
        <v>#N/A</v>
      </c>
      <c r="P493" s="1049">
        <f>ROUND(IF(L493='S1&amp;2 Lists'!$CV$3,K493,IF(L493='S1&amp;2 Lists'!$CV$4,K493/'S1&amp;2 Lists'!$CQ$6,0)),3)</f>
        <v>0</v>
      </c>
      <c r="Q493" s="326" t="s">
        <v>264</v>
      </c>
    </row>
    <row r="494" spans="1:17" s="756" customFormat="1" ht="24" customHeight="1">
      <c r="A494" s="975"/>
      <c r="B494" s="975"/>
      <c r="C494" s="1027"/>
      <c r="D494" s="975"/>
      <c r="E494" s="980"/>
      <c r="F494" s="975"/>
      <c r="G494" s="979"/>
      <c r="H494" s="975"/>
      <c r="I494" s="980"/>
      <c r="J494" s="975"/>
      <c r="K494" s="975"/>
      <c r="L494" s="975"/>
      <c r="M494" s="755" t="e">
        <f>+VLOOKUP(G494,'S1&amp;2 Lists'!$C$8:$G$134,3,FALSE)</f>
        <v>#N/A</v>
      </c>
      <c r="N494" s="755" t="e">
        <f t="shared" si="7"/>
        <v>#N/A</v>
      </c>
      <c r="P494" s="1049">
        <f>ROUND(IF(L494='S1&amp;2 Lists'!$CV$3,K494,IF(L494='S1&amp;2 Lists'!$CV$4,K494/'S1&amp;2 Lists'!$CQ$6,0)),3)</f>
        <v>0</v>
      </c>
      <c r="Q494" s="326" t="s">
        <v>264</v>
      </c>
    </row>
    <row r="495" spans="1:17" s="756" customFormat="1" ht="24" customHeight="1">
      <c r="A495" s="975"/>
      <c r="B495" s="975"/>
      <c r="C495" s="1027"/>
      <c r="D495" s="975"/>
      <c r="E495" s="980"/>
      <c r="F495" s="975"/>
      <c r="G495" s="979"/>
      <c r="H495" s="975"/>
      <c r="I495" s="980"/>
      <c r="J495" s="975"/>
      <c r="K495" s="975"/>
      <c r="L495" s="975"/>
      <c r="M495" s="755" t="e">
        <f>+VLOOKUP(G495,'S1&amp;2 Lists'!$C$8:$G$134,3,FALSE)</f>
        <v>#N/A</v>
      </c>
      <c r="N495" s="755" t="e">
        <f t="shared" si="7"/>
        <v>#N/A</v>
      </c>
      <c r="P495" s="1049">
        <f>ROUND(IF(L495='S1&amp;2 Lists'!$CV$3,K495,IF(L495='S1&amp;2 Lists'!$CV$4,K495/'S1&amp;2 Lists'!$CQ$6,0)),3)</f>
        <v>0</v>
      </c>
      <c r="Q495" s="326" t="s">
        <v>264</v>
      </c>
    </row>
    <row r="496" spans="1:17" s="756" customFormat="1" ht="24" customHeight="1">
      <c r="A496" s="975"/>
      <c r="B496" s="975"/>
      <c r="C496" s="1027"/>
      <c r="D496" s="975"/>
      <c r="E496" s="980"/>
      <c r="F496" s="975"/>
      <c r="G496" s="979"/>
      <c r="H496" s="975"/>
      <c r="I496" s="980"/>
      <c r="J496" s="975"/>
      <c r="K496" s="975"/>
      <c r="L496" s="975"/>
      <c r="M496" s="755" t="e">
        <f>+VLOOKUP(G496,'S1&amp;2 Lists'!$C$8:$G$134,3,FALSE)</f>
        <v>#N/A</v>
      </c>
      <c r="N496" s="755" t="e">
        <f t="shared" si="7"/>
        <v>#N/A</v>
      </c>
      <c r="P496" s="1049">
        <f>ROUND(IF(L496='S1&amp;2 Lists'!$CV$3,K496,IF(L496='S1&amp;2 Lists'!$CV$4,K496/'S1&amp;2 Lists'!$CQ$6,0)),3)</f>
        <v>0</v>
      </c>
      <c r="Q496" s="326" t="s">
        <v>264</v>
      </c>
    </row>
    <row r="497" spans="1:17" s="756" customFormat="1" ht="24" customHeight="1">
      <c r="A497" s="975"/>
      <c r="B497" s="975"/>
      <c r="C497" s="1027"/>
      <c r="D497" s="975"/>
      <c r="E497" s="980"/>
      <c r="F497" s="975"/>
      <c r="G497" s="979"/>
      <c r="H497" s="975"/>
      <c r="I497" s="980"/>
      <c r="J497" s="975"/>
      <c r="K497" s="975"/>
      <c r="L497" s="975"/>
      <c r="M497" s="755" t="e">
        <f>+VLOOKUP(G497,'S1&amp;2 Lists'!$C$8:$G$134,3,FALSE)</f>
        <v>#N/A</v>
      </c>
      <c r="N497" s="755" t="e">
        <f t="shared" si="7"/>
        <v>#N/A</v>
      </c>
      <c r="P497" s="1049">
        <f>ROUND(IF(L497='S1&amp;2 Lists'!$CV$3,K497,IF(L497='S1&amp;2 Lists'!$CV$4,K497/'S1&amp;2 Lists'!$CQ$6,0)),3)</f>
        <v>0</v>
      </c>
      <c r="Q497" s="326" t="s">
        <v>264</v>
      </c>
    </row>
    <row r="498" spans="1:17" s="756" customFormat="1" ht="24" customHeight="1">
      <c r="A498" s="975"/>
      <c r="B498" s="975"/>
      <c r="C498" s="1027"/>
      <c r="D498" s="975"/>
      <c r="E498" s="980"/>
      <c r="F498" s="975"/>
      <c r="G498" s="979"/>
      <c r="H498" s="975"/>
      <c r="I498" s="980"/>
      <c r="J498" s="975"/>
      <c r="K498" s="975"/>
      <c r="L498" s="975"/>
      <c r="M498" s="755" t="e">
        <f>+VLOOKUP(G498,'S1&amp;2 Lists'!$C$8:$G$134,3,FALSE)</f>
        <v>#N/A</v>
      </c>
      <c r="N498" s="755" t="e">
        <f t="shared" si="7"/>
        <v>#N/A</v>
      </c>
      <c r="P498" s="1049">
        <f>ROUND(IF(L498='S1&amp;2 Lists'!$CV$3,K498,IF(L498='S1&amp;2 Lists'!$CV$4,K498/'S1&amp;2 Lists'!$CQ$6,0)),3)</f>
        <v>0</v>
      </c>
      <c r="Q498" s="326" t="s">
        <v>264</v>
      </c>
    </row>
    <row r="499" spans="1:17" s="756" customFormat="1" ht="24" customHeight="1">
      <c r="A499" s="975"/>
      <c r="B499" s="975"/>
      <c r="C499" s="1027"/>
      <c r="D499" s="975"/>
      <c r="E499" s="980"/>
      <c r="F499" s="975"/>
      <c r="G499" s="979"/>
      <c r="H499" s="975"/>
      <c r="I499" s="980"/>
      <c r="J499" s="975"/>
      <c r="K499" s="975"/>
      <c r="L499" s="975"/>
      <c r="M499" s="755" t="e">
        <f>+VLOOKUP(G499,'S1&amp;2 Lists'!$C$8:$G$134,3,FALSE)</f>
        <v>#N/A</v>
      </c>
      <c r="N499" s="755" t="e">
        <f t="shared" si="7"/>
        <v>#N/A</v>
      </c>
      <c r="P499" s="1049">
        <f>ROUND(IF(L499='S1&amp;2 Lists'!$CV$3,K499,IF(L499='S1&amp;2 Lists'!$CV$4,K499/'S1&amp;2 Lists'!$CQ$6,0)),3)</f>
        <v>0</v>
      </c>
      <c r="Q499" s="326" t="s">
        <v>264</v>
      </c>
    </row>
    <row r="500" spans="1:17" s="756" customFormat="1" ht="24" customHeight="1">
      <c r="A500" s="975"/>
      <c r="B500" s="975"/>
      <c r="C500" s="1027"/>
      <c r="D500" s="975"/>
      <c r="E500" s="980"/>
      <c r="F500" s="975"/>
      <c r="G500" s="979"/>
      <c r="H500" s="975"/>
      <c r="I500" s="980"/>
      <c r="J500" s="975"/>
      <c r="K500" s="975"/>
      <c r="L500" s="975"/>
      <c r="M500" s="755" t="e">
        <f>+VLOOKUP(G500,'S1&amp;2 Lists'!$C$8:$G$134,3,FALSE)</f>
        <v>#N/A</v>
      </c>
      <c r="N500" s="755" t="e">
        <f t="shared" si="7"/>
        <v>#N/A</v>
      </c>
      <c r="P500" s="1049">
        <f>ROUND(IF(L500='S1&amp;2 Lists'!$CV$3,K500,IF(L500='S1&amp;2 Lists'!$CV$4,K500/'S1&amp;2 Lists'!$CQ$6,0)),3)</f>
        <v>0</v>
      </c>
      <c r="Q500" s="326" t="s">
        <v>264</v>
      </c>
    </row>
    <row r="501" spans="1:17" s="756" customFormat="1" ht="24" customHeight="1">
      <c r="A501" s="975"/>
      <c r="B501" s="975"/>
      <c r="C501" s="1027"/>
      <c r="D501" s="975"/>
      <c r="E501" s="980"/>
      <c r="F501" s="975"/>
      <c r="G501" s="979"/>
      <c r="H501" s="975"/>
      <c r="I501" s="980"/>
      <c r="J501" s="975"/>
      <c r="K501" s="975"/>
      <c r="L501" s="975"/>
      <c r="M501" s="755" t="e">
        <f>+VLOOKUP(G501,'S1&amp;2 Lists'!$C$8:$G$134,3,FALSE)</f>
        <v>#N/A</v>
      </c>
      <c r="N501" s="755" t="e">
        <f t="shared" si="7"/>
        <v>#N/A</v>
      </c>
      <c r="P501" s="1049">
        <f>ROUND(IF(L501='S1&amp;2 Lists'!$CV$3,K501,IF(L501='S1&amp;2 Lists'!$CV$4,K501/'S1&amp;2 Lists'!$CQ$6,0)),3)</f>
        <v>0</v>
      </c>
      <c r="Q501" s="326" t="s">
        <v>264</v>
      </c>
    </row>
    <row r="502" spans="1:17" s="756" customFormat="1" ht="24" customHeight="1">
      <c r="A502" s="975"/>
      <c r="B502" s="975"/>
      <c r="C502" s="1027"/>
      <c r="D502" s="975"/>
      <c r="E502" s="980"/>
      <c r="F502" s="975"/>
      <c r="G502" s="979"/>
      <c r="H502" s="975"/>
      <c r="I502" s="980"/>
      <c r="J502" s="975"/>
      <c r="K502" s="975"/>
      <c r="L502" s="975"/>
      <c r="M502" s="755" t="e">
        <f>+VLOOKUP(G502,'S1&amp;2 Lists'!$C$8:$G$134,3,FALSE)</f>
        <v>#N/A</v>
      </c>
      <c r="N502" s="755" t="e">
        <f t="shared" si="7"/>
        <v>#N/A</v>
      </c>
      <c r="P502" s="1049">
        <f>ROUND(IF(L502='S1&amp;2 Lists'!$CV$3,K502,IF(L502='S1&amp;2 Lists'!$CV$4,K502/'S1&amp;2 Lists'!$CQ$6,0)),3)</f>
        <v>0</v>
      </c>
      <c r="Q502" s="326" t="s">
        <v>264</v>
      </c>
    </row>
    <row r="503" spans="1:17" s="756" customFormat="1" ht="24" customHeight="1">
      <c r="A503" s="975"/>
      <c r="B503" s="975"/>
      <c r="C503" s="1027"/>
      <c r="D503" s="975"/>
      <c r="E503" s="980"/>
      <c r="F503" s="975"/>
      <c r="G503" s="979"/>
      <c r="H503" s="975"/>
      <c r="I503" s="980"/>
      <c r="J503" s="975"/>
      <c r="K503" s="975"/>
      <c r="L503" s="975"/>
      <c r="M503" s="755" t="e">
        <f>+VLOOKUP(G503,'S1&amp;2 Lists'!$C$8:$G$134,3,FALSE)</f>
        <v>#N/A</v>
      </c>
      <c r="N503" s="755" t="e">
        <f t="shared" si="7"/>
        <v>#N/A</v>
      </c>
      <c r="P503" s="1049">
        <f>ROUND(IF(L503='S1&amp;2 Lists'!$CV$3,K503,IF(L503='S1&amp;2 Lists'!$CV$4,K503/'S1&amp;2 Lists'!$CQ$6,0)),3)</f>
        <v>0</v>
      </c>
      <c r="Q503" s="326" t="s">
        <v>264</v>
      </c>
    </row>
    <row r="504" spans="1:17" s="756" customFormat="1" ht="24" customHeight="1">
      <c r="A504" s="975"/>
      <c r="B504" s="975"/>
      <c r="C504" s="1027"/>
      <c r="D504" s="975"/>
      <c r="E504" s="980"/>
      <c r="F504" s="975"/>
      <c r="G504" s="979"/>
      <c r="H504" s="975"/>
      <c r="I504" s="980"/>
      <c r="J504" s="975"/>
      <c r="K504" s="975"/>
      <c r="L504" s="975"/>
      <c r="M504" s="755" t="e">
        <f>+VLOOKUP(G504,'S1&amp;2 Lists'!$C$8:$G$134,3,FALSE)</f>
        <v>#N/A</v>
      </c>
      <c r="N504" s="755" t="e">
        <f t="shared" si="7"/>
        <v>#N/A</v>
      </c>
      <c r="P504" s="1049">
        <f>ROUND(IF(L504='S1&amp;2 Lists'!$CV$3,K504,IF(L504='S1&amp;2 Lists'!$CV$4,K504/'S1&amp;2 Lists'!$CQ$6,0)),3)</f>
        <v>0</v>
      </c>
      <c r="Q504" s="326" t="s">
        <v>264</v>
      </c>
    </row>
    <row r="505" spans="1:17" s="756" customFormat="1" ht="24" customHeight="1">
      <c r="A505" s="975"/>
      <c r="B505" s="975"/>
      <c r="C505" s="1027"/>
      <c r="D505" s="975"/>
      <c r="E505" s="980"/>
      <c r="F505" s="975"/>
      <c r="G505" s="979"/>
      <c r="H505" s="975"/>
      <c r="I505" s="980"/>
      <c r="J505" s="975"/>
      <c r="K505" s="975"/>
      <c r="L505" s="975"/>
      <c r="M505" s="755" t="e">
        <f>+VLOOKUP(G505,'S1&amp;2 Lists'!$C$8:$G$134,3,FALSE)</f>
        <v>#N/A</v>
      </c>
      <c r="N505" s="755" t="e">
        <f t="shared" si="7"/>
        <v>#N/A</v>
      </c>
      <c r="P505" s="1049">
        <f>ROUND(IF(L505='S1&amp;2 Lists'!$CV$3,K505,IF(L505='S1&amp;2 Lists'!$CV$4,K505/'S1&amp;2 Lists'!$CQ$6,0)),3)</f>
        <v>0</v>
      </c>
      <c r="Q505" s="326" t="s">
        <v>264</v>
      </c>
    </row>
    <row r="506" spans="1:17" s="756" customFormat="1" ht="24" customHeight="1">
      <c r="A506" s="975"/>
      <c r="B506" s="975"/>
      <c r="C506" s="1027"/>
      <c r="D506" s="975"/>
      <c r="E506" s="980"/>
      <c r="F506" s="975"/>
      <c r="G506" s="979"/>
      <c r="H506" s="975"/>
      <c r="I506" s="980"/>
      <c r="J506" s="975"/>
      <c r="K506" s="975"/>
      <c r="L506" s="975"/>
      <c r="M506" s="755" t="e">
        <f>+VLOOKUP(G506,'S1&amp;2 Lists'!$C$8:$G$134,3,FALSE)</f>
        <v>#N/A</v>
      </c>
      <c r="N506" s="755" t="e">
        <f t="shared" si="7"/>
        <v>#N/A</v>
      </c>
      <c r="P506" s="1049">
        <f>ROUND(IF(L506='S1&amp;2 Lists'!$CV$3,K506,IF(L506='S1&amp;2 Lists'!$CV$4,K506/'S1&amp;2 Lists'!$CQ$6,0)),3)</f>
        <v>0</v>
      </c>
      <c r="Q506" s="326" t="s">
        <v>264</v>
      </c>
    </row>
    <row r="507" spans="1:17" s="756" customFormat="1" ht="24" customHeight="1">
      <c r="A507" s="975"/>
      <c r="B507" s="975"/>
      <c r="C507" s="1027"/>
      <c r="D507" s="975"/>
      <c r="E507" s="980"/>
      <c r="F507" s="975"/>
      <c r="G507" s="979"/>
      <c r="H507" s="975"/>
      <c r="I507" s="980"/>
      <c r="J507" s="975"/>
      <c r="K507" s="975"/>
      <c r="L507" s="975"/>
      <c r="M507" s="755" t="e">
        <f>+VLOOKUP(G507,'S1&amp;2 Lists'!$C$8:$G$134,3,FALSE)</f>
        <v>#N/A</v>
      </c>
      <c r="N507" s="755" t="e">
        <f t="shared" si="7"/>
        <v>#N/A</v>
      </c>
      <c r="P507" s="1049">
        <f>ROUND(IF(L507='S1&amp;2 Lists'!$CV$3,K507,IF(L507='S1&amp;2 Lists'!$CV$4,K507/'S1&amp;2 Lists'!$CQ$6,0)),3)</f>
        <v>0</v>
      </c>
      <c r="Q507" s="326" t="s">
        <v>264</v>
      </c>
    </row>
    <row r="508" spans="1:17" s="756" customFormat="1" ht="24" customHeight="1">
      <c r="A508" s="975"/>
      <c r="B508" s="975"/>
      <c r="C508" s="1027"/>
      <c r="D508" s="975"/>
      <c r="E508" s="980"/>
      <c r="F508" s="975"/>
      <c r="G508" s="979"/>
      <c r="H508" s="975"/>
      <c r="I508" s="980"/>
      <c r="J508" s="975"/>
      <c r="K508" s="975"/>
      <c r="L508" s="975"/>
      <c r="M508" s="755" t="e">
        <f>+VLOOKUP(G508,'S1&amp;2 Lists'!$C$8:$G$134,3,FALSE)</f>
        <v>#N/A</v>
      </c>
      <c r="N508" s="755" t="e">
        <f t="shared" si="7"/>
        <v>#N/A</v>
      </c>
      <c r="P508" s="1049">
        <f>ROUND(IF(L508='S1&amp;2 Lists'!$CV$3,K508,IF(L508='S1&amp;2 Lists'!$CV$4,K508/'S1&amp;2 Lists'!$CQ$6,0)),3)</f>
        <v>0</v>
      </c>
      <c r="Q508" s="326" t="s">
        <v>264</v>
      </c>
    </row>
    <row r="509" spans="1:17" s="756" customFormat="1" ht="24" customHeight="1">
      <c r="A509" s="975"/>
      <c r="B509" s="975"/>
      <c r="C509" s="1027"/>
      <c r="D509" s="975"/>
      <c r="E509" s="980"/>
      <c r="F509" s="975"/>
      <c r="G509" s="979"/>
      <c r="H509" s="975"/>
      <c r="I509" s="980"/>
      <c r="J509" s="975"/>
      <c r="K509" s="975"/>
      <c r="L509" s="975"/>
      <c r="M509" s="755" t="e">
        <f>+VLOOKUP(G509,'S1&amp;2 Lists'!$C$8:$G$134,3,FALSE)</f>
        <v>#N/A</v>
      </c>
      <c r="N509" s="755" t="e">
        <f t="shared" si="7"/>
        <v>#N/A</v>
      </c>
      <c r="P509" s="1049">
        <f>ROUND(IF(L509='S1&amp;2 Lists'!$CV$3,K509,IF(L509='S1&amp;2 Lists'!$CV$4,K509/'S1&amp;2 Lists'!$CQ$6,0)),3)</f>
        <v>0</v>
      </c>
      <c r="Q509" s="326" t="s">
        <v>264</v>
      </c>
    </row>
    <row r="510" spans="1:17" s="756" customFormat="1" ht="24" customHeight="1">
      <c r="A510" s="975"/>
      <c r="B510" s="975"/>
      <c r="C510" s="1027"/>
      <c r="D510" s="975"/>
      <c r="E510" s="980"/>
      <c r="F510" s="975"/>
      <c r="G510" s="979"/>
      <c r="H510" s="975"/>
      <c r="I510" s="980"/>
      <c r="J510" s="975"/>
      <c r="K510" s="975"/>
      <c r="L510" s="975"/>
      <c r="M510" s="755" t="e">
        <f>+VLOOKUP(G510,'S1&amp;2 Lists'!$C$8:$G$134,3,FALSE)</f>
        <v>#N/A</v>
      </c>
      <c r="N510" s="755" t="e">
        <f t="shared" si="7"/>
        <v>#N/A</v>
      </c>
      <c r="P510" s="1049">
        <f>ROUND(IF(L510='S1&amp;2 Lists'!$CV$3,K510,IF(L510='S1&amp;2 Lists'!$CV$4,K510/'S1&amp;2 Lists'!$CQ$6,0)),3)</f>
        <v>0</v>
      </c>
      <c r="Q510" s="326" t="s">
        <v>264</v>
      </c>
    </row>
    <row r="511" spans="1:17" s="756" customFormat="1" ht="24" customHeight="1">
      <c r="A511" s="975"/>
      <c r="B511" s="975"/>
      <c r="C511" s="1027"/>
      <c r="D511" s="975"/>
      <c r="E511" s="980"/>
      <c r="F511" s="975"/>
      <c r="G511" s="979"/>
      <c r="H511" s="975"/>
      <c r="I511" s="980"/>
      <c r="J511" s="975"/>
      <c r="K511" s="975"/>
      <c r="L511" s="975"/>
      <c r="M511" s="755" t="e">
        <f>+VLOOKUP(G511,'S1&amp;2 Lists'!$C$8:$G$134,3,FALSE)</f>
        <v>#N/A</v>
      </c>
      <c r="N511" s="755" t="e">
        <f t="shared" si="7"/>
        <v>#N/A</v>
      </c>
      <c r="P511" s="1049">
        <f>ROUND(IF(L511='S1&amp;2 Lists'!$CV$3,K511,IF(L511='S1&amp;2 Lists'!$CV$4,K511/'S1&amp;2 Lists'!$CQ$6,0)),3)</f>
        <v>0</v>
      </c>
      <c r="Q511" s="326" t="s">
        <v>264</v>
      </c>
    </row>
    <row r="512" spans="1:17" s="756" customFormat="1" ht="24" customHeight="1">
      <c r="A512" s="975"/>
      <c r="B512" s="975"/>
      <c r="C512" s="1027"/>
      <c r="D512" s="975"/>
      <c r="E512" s="980"/>
      <c r="F512" s="975"/>
      <c r="G512" s="979"/>
      <c r="H512" s="975"/>
      <c r="I512" s="980"/>
      <c r="J512" s="975"/>
      <c r="K512" s="975"/>
      <c r="L512" s="975"/>
      <c r="M512" s="755" t="e">
        <f>+VLOOKUP(G512,'S1&amp;2 Lists'!$C$8:$G$134,3,FALSE)</f>
        <v>#N/A</v>
      </c>
      <c r="N512" s="755" t="e">
        <f t="shared" si="7"/>
        <v>#N/A</v>
      </c>
      <c r="P512" s="1049">
        <f>ROUND(IF(L512='S1&amp;2 Lists'!$CV$3,K512,IF(L512='S1&amp;2 Lists'!$CV$4,K512/'S1&amp;2 Lists'!$CQ$6,0)),3)</f>
        <v>0</v>
      </c>
      <c r="Q512" s="326" t="s">
        <v>264</v>
      </c>
    </row>
    <row r="513" spans="1:17" s="756" customFormat="1" ht="24" customHeight="1">
      <c r="A513" s="975"/>
      <c r="B513" s="975"/>
      <c r="C513" s="1027"/>
      <c r="D513" s="975"/>
      <c r="E513" s="980"/>
      <c r="F513" s="975"/>
      <c r="G513" s="979"/>
      <c r="H513" s="975"/>
      <c r="I513" s="980"/>
      <c r="J513" s="975"/>
      <c r="K513" s="975"/>
      <c r="L513" s="975"/>
      <c r="M513" s="755" t="e">
        <f>+VLOOKUP(G513,'S1&amp;2 Lists'!$C$8:$G$134,3,FALSE)</f>
        <v>#N/A</v>
      </c>
      <c r="N513" s="755" t="e">
        <f t="shared" si="7"/>
        <v>#N/A</v>
      </c>
      <c r="P513" s="1049">
        <f>ROUND(IF(L513='S1&amp;2 Lists'!$CV$3,K513,IF(L513='S1&amp;2 Lists'!$CV$4,K513/'S1&amp;2 Lists'!$CQ$6,0)),3)</f>
        <v>0</v>
      </c>
      <c r="Q513" s="326" t="s">
        <v>264</v>
      </c>
    </row>
    <row r="514" spans="1:17" s="756" customFormat="1" ht="24" customHeight="1">
      <c r="A514" s="975"/>
      <c r="B514" s="975"/>
      <c r="C514" s="1027"/>
      <c r="D514" s="975"/>
      <c r="E514" s="980"/>
      <c r="F514" s="975"/>
      <c r="G514" s="979"/>
      <c r="H514" s="975"/>
      <c r="I514" s="980"/>
      <c r="J514" s="975"/>
      <c r="K514" s="975"/>
      <c r="L514" s="975"/>
      <c r="M514" s="755" t="e">
        <f>+VLOOKUP(G514,'S1&amp;2 Lists'!$C$8:$G$134,3,FALSE)</f>
        <v>#N/A</v>
      </c>
      <c r="N514" s="755" t="e">
        <f t="shared" si="7"/>
        <v>#N/A</v>
      </c>
      <c r="P514" s="1049">
        <f>ROUND(IF(L514='S1&amp;2 Lists'!$CV$3,K514,IF(L514='S1&amp;2 Lists'!$CV$4,K514/'S1&amp;2 Lists'!$CQ$6,0)),3)</f>
        <v>0</v>
      </c>
      <c r="Q514" s="326" t="s">
        <v>264</v>
      </c>
    </row>
    <row r="515" spans="1:17" s="756" customFormat="1" ht="24" customHeight="1">
      <c r="A515" s="975"/>
      <c r="B515" s="975"/>
      <c r="C515" s="1027"/>
      <c r="D515" s="975"/>
      <c r="E515" s="980"/>
      <c r="F515" s="975"/>
      <c r="G515" s="979"/>
      <c r="H515" s="975"/>
      <c r="I515" s="980"/>
      <c r="J515" s="975"/>
      <c r="K515" s="975"/>
      <c r="L515" s="975"/>
      <c r="M515" s="755" t="e">
        <f>+VLOOKUP(G515,'S1&amp;2 Lists'!$C$8:$G$134,3,FALSE)</f>
        <v>#N/A</v>
      </c>
      <c r="N515" s="755" t="e">
        <f t="shared" si="7"/>
        <v>#N/A</v>
      </c>
      <c r="P515" s="1049">
        <f>ROUND(IF(L515='S1&amp;2 Lists'!$CV$3,K515,IF(L515='S1&amp;2 Lists'!$CV$4,K515/'S1&amp;2 Lists'!$CQ$6,0)),3)</f>
        <v>0</v>
      </c>
      <c r="Q515" s="326" t="s">
        <v>264</v>
      </c>
    </row>
    <row r="516" spans="1:17" s="756" customFormat="1" ht="24" customHeight="1">
      <c r="A516" s="975"/>
      <c r="B516" s="975"/>
      <c r="C516" s="1027"/>
      <c r="D516" s="975"/>
      <c r="E516" s="980"/>
      <c r="F516" s="975"/>
      <c r="G516" s="979"/>
      <c r="H516" s="975"/>
      <c r="I516" s="980"/>
      <c r="J516" s="975"/>
      <c r="K516" s="975"/>
      <c r="L516" s="975"/>
      <c r="M516" s="755" t="e">
        <f>+VLOOKUP(G516,'S1&amp;2 Lists'!$C$8:$G$134,3,FALSE)</f>
        <v>#N/A</v>
      </c>
      <c r="N516" s="755" t="e">
        <f t="shared" si="7"/>
        <v>#N/A</v>
      </c>
      <c r="P516" s="1049">
        <f>ROUND(IF(L516='S1&amp;2 Lists'!$CV$3,K516,IF(L516='S1&amp;2 Lists'!$CV$4,K516/'S1&amp;2 Lists'!$CQ$6,0)),3)</f>
        <v>0</v>
      </c>
      <c r="Q516" s="326" t="s">
        <v>264</v>
      </c>
    </row>
    <row r="517" spans="1:17" s="756" customFormat="1" ht="24" customHeight="1">
      <c r="A517" s="975"/>
      <c r="B517" s="975"/>
      <c r="C517" s="1027"/>
      <c r="D517" s="975"/>
      <c r="E517" s="980"/>
      <c r="F517" s="975"/>
      <c r="G517" s="979"/>
      <c r="H517" s="975"/>
      <c r="I517" s="980"/>
      <c r="J517" s="975"/>
      <c r="K517" s="975"/>
      <c r="L517" s="975"/>
      <c r="M517" s="755" t="e">
        <f>+VLOOKUP(G517,'S1&amp;2 Lists'!$C$8:$G$134,3,FALSE)</f>
        <v>#N/A</v>
      </c>
      <c r="N517" s="755" t="e">
        <f t="shared" si="7"/>
        <v>#N/A</v>
      </c>
      <c r="P517" s="1049">
        <f>ROUND(IF(L517='S1&amp;2 Lists'!$CV$3,K517,IF(L517='S1&amp;2 Lists'!$CV$4,K517/'S1&amp;2 Lists'!$CQ$6,0)),3)</f>
        <v>0</v>
      </c>
      <c r="Q517" s="326" t="s">
        <v>264</v>
      </c>
    </row>
    <row r="518" spans="1:17" s="756" customFormat="1" ht="24" customHeight="1">
      <c r="A518" s="975"/>
      <c r="B518" s="975"/>
      <c r="C518" s="1027"/>
      <c r="D518" s="975"/>
      <c r="E518" s="980"/>
      <c r="F518" s="975"/>
      <c r="G518" s="979"/>
      <c r="H518" s="975"/>
      <c r="I518" s="980"/>
      <c r="J518" s="975"/>
      <c r="K518" s="975"/>
      <c r="L518" s="975"/>
      <c r="M518" s="755" t="e">
        <f>+VLOOKUP(G518,'S1&amp;2 Lists'!$C$8:$G$134,3,FALSE)</f>
        <v>#N/A</v>
      </c>
      <c r="N518" s="755" t="e">
        <f t="shared" si="7"/>
        <v>#N/A</v>
      </c>
      <c r="P518" s="1049">
        <f>ROUND(IF(L518='S1&amp;2 Lists'!$CV$3,K518,IF(L518='S1&amp;2 Lists'!$CV$4,K518/'S1&amp;2 Lists'!$CQ$6,0)),3)</f>
        <v>0</v>
      </c>
      <c r="Q518" s="326" t="s">
        <v>264</v>
      </c>
    </row>
    <row r="519" spans="1:17" s="756" customFormat="1" ht="24" customHeight="1">
      <c r="A519" s="975"/>
      <c r="B519" s="975"/>
      <c r="C519" s="1027"/>
      <c r="D519" s="975"/>
      <c r="E519" s="980"/>
      <c r="F519" s="975"/>
      <c r="G519" s="979"/>
      <c r="H519" s="975"/>
      <c r="I519" s="980"/>
      <c r="J519" s="975"/>
      <c r="K519" s="975"/>
      <c r="L519" s="975"/>
      <c r="M519" s="755" t="e">
        <f>+VLOOKUP(G519,'S1&amp;2 Lists'!$C$8:$G$134,3,FALSE)</f>
        <v>#N/A</v>
      </c>
      <c r="N519" s="755" t="e">
        <f t="shared" si="7"/>
        <v>#N/A</v>
      </c>
      <c r="P519" s="1049">
        <f>ROUND(IF(L519='S1&amp;2 Lists'!$CV$3,K519,IF(L519='S1&amp;2 Lists'!$CV$4,K519/'S1&amp;2 Lists'!$CQ$6,0)),3)</f>
        <v>0</v>
      </c>
      <c r="Q519" s="326" t="s">
        <v>264</v>
      </c>
    </row>
    <row r="520" spans="1:17" s="756" customFormat="1" ht="24" customHeight="1">
      <c r="A520" s="975"/>
      <c r="B520" s="975"/>
      <c r="C520" s="1027"/>
      <c r="D520" s="975"/>
      <c r="E520" s="980"/>
      <c r="F520" s="975"/>
      <c r="G520" s="979"/>
      <c r="H520" s="975"/>
      <c r="I520" s="980"/>
      <c r="J520" s="975"/>
      <c r="K520" s="975"/>
      <c r="L520" s="975"/>
      <c r="M520" s="755" t="e">
        <f>+VLOOKUP(G520,'S1&amp;2 Lists'!$C$8:$G$134,3,FALSE)</f>
        <v>#N/A</v>
      </c>
      <c r="N520" s="755" t="e">
        <f t="shared" si="7"/>
        <v>#N/A</v>
      </c>
      <c r="P520" s="1049">
        <f>ROUND(IF(L520='S1&amp;2 Lists'!$CV$3,K520,IF(L520='S1&amp;2 Lists'!$CV$4,K520/'S1&amp;2 Lists'!$CQ$6,0)),3)</f>
        <v>0</v>
      </c>
      <c r="Q520" s="326" t="s">
        <v>264</v>
      </c>
    </row>
    <row r="521" spans="1:17" s="756" customFormat="1" ht="24" customHeight="1">
      <c r="A521" s="975"/>
      <c r="B521" s="975"/>
      <c r="C521" s="1027"/>
      <c r="D521" s="975"/>
      <c r="E521" s="980"/>
      <c r="F521" s="975"/>
      <c r="G521" s="979"/>
      <c r="H521" s="975"/>
      <c r="I521" s="980"/>
      <c r="J521" s="975"/>
      <c r="K521" s="975"/>
      <c r="L521" s="975"/>
      <c r="M521" s="755" t="e">
        <f>+VLOOKUP(G521,'S1&amp;2 Lists'!$C$8:$G$134,3,FALSE)</f>
        <v>#N/A</v>
      </c>
      <c r="N521" s="755" t="e">
        <f t="shared" si="7"/>
        <v>#N/A</v>
      </c>
      <c r="P521" s="1049">
        <f>ROUND(IF(L521='S1&amp;2 Lists'!$CV$3,K521,IF(L521='S1&amp;2 Lists'!$CV$4,K521/'S1&amp;2 Lists'!$CQ$6,0)),3)</f>
        <v>0</v>
      </c>
      <c r="Q521" s="326" t="s">
        <v>264</v>
      </c>
    </row>
    <row r="522" spans="1:17" s="756" customFormat="1" ht="24" customHeight="1">
      <c r="A522" s="975"/>
      <c r="B522" s="975"/>
      <c r="C522" s="1027"/>
      <c r="D522" s="975"/>
      <c r="E522" s="980"/>
      <c r="F522" s="975"/>
      <c r="G522" s="979"/>
      <c r="H522" s="975"/>
      <c r="I522" s="980"/>
      <c r="J522" s="975"/>
      <c r="K522" s="975"/>
      <c r="L522" s="975"/>
      <c r="M522" s="755" t="e">
        <f>+VLOOKUP(G522,'S1&amp;2 Lists'!$C$8:$G$134,3,FALSE)</f>
        <v>#N/A</v>
      </c>
      <c r="N522" s="755" t="e">
        <f t="shared" ref="N522:N585" si="8">+P522*M522</f>
        <v>#N/A</v>
      </c>
      <c r="P522" s="1049">
        <f>ROUND(IF(L522='S1&amp;2 Lists'!$CV$3,K522,IF(L522='S1&amp;2 Lists'!$CV$4,K522/'S1&amp;2 Lists'!$CQ$6,0)),3)</f>
        <v>0</v>
      </c>
      <c r="Q522" s="326" t="s">
        <v>264</v>
      </c>
    </row>
    <row r="523" spans="1:17" s="756" customFormat="1" ht="24" customHeight="1">
      <c r="A523" s="975"/>
      <c r="B523" s="975"/>
      <c r="C523" s="1027"/>
      <c r="D523" s="975"/>
      <c r="E523" s="980"/>
      <c r="F523" s="975"/>
      <c r="G523" s="979"/>
      <c r="H523" s="975"/>
      <c r="I523" s="980"/>
      <c r="J523" s="975"/>
      <c r="K523" s="975"/>
      <c r="L523" s="975"/>
      <c r="M523" s="755" t="e">
        <f>+VLOOKUP(G523,'S1&amp;2 Lists'!$C$8:$G$134,3,FALSE)</f>
        <v>#N/A</v>
      </c>
      <c r="N523" s="755" t="e">
        <f t="shared" si="8"/>
        <v>#N/A</v>
      </c>
      <c r="P523" s="1049">
        <f>ROUND(IF(L523='S1&amp;2 Lists'!$CV$3,K523,IF(L523='S1&amp;2 Lists'!$CV$4,K523/'S1&amp;2 Lists'!$CQ$6,0)),3)</f>
        <v>0</v>
      </c>
      <c r="Q523" s="326" t="s">
        <v>264</v>
      </c>
    </row>
    <row r="524" spans="1:17" s="756" customFormat="1" ht="24" customHeight="1">
      <c r="A524" s="975"/>
      <c r="B524" s="975"/>
      <c r="C524" s="1027"/>
      <c r="D524" s="975"/>
      <c r="E524" s="980"/>
      <c r="F524" s="975"/>
      <c r="G524" s="979"/>
      <c r="H524" s="975"/>
      <c r="I524" s="980"/>
      <c r="J524" s="975"/>
      <c r="K524" s="975"/>
      <c r="L524" s="975"/>
      <c r="M524" s="755" t="e">
        <f>+VLOOKUP(G524,'S1&amp;2 Lists'!$C$8:$G$134,3,FALSE)</f>
        <v>#N/A</v>
      </c>
      <c r="N524" s="755" t="e">
        <f t="shared" si="8"/>
        <v>#N/A</v>
      </c>
      <c r="P524" s="1049">
        <f>ROUND(IF(L524='S1&amp;2 Lists'!$CV$3,K524,IF(L524='S1&amp;2 Lists'!$CV$4,K524/'S1&amp;2 Lists'!$CQ$6,0)),3)</f>
        <v>0</v>
      </c>
      <c r="Q524" s="326" t="s">
        <v>264</v>
      </c>
    </row>
    <row r="525" spans="1:17" s="756" customFormat="1" ht="24" customHeight="1">
      <c r="A525" s="975"/>
      <c r="B525" s="975"/>
      <c r="C525" s="1027"/>
      <c r="D525" s="975"/>
      <c r="E525" s="980"/>
      <c r="F525" s="975"/>
      <c r="G525" s="979"/>
      <c r="H525" s="975"/>
      <c r="I525" s="980"/>
      <c r="J525" s="975"/>
      <c r="K525" s="975"/>
      <c r="L525" s="975"/>
      <c r="M525" s="755" t="e">
        <f>+VLOOKUP(G525,'S1&amp;2 Lists'!$C$8:$G$134,3,FALSE)</f>
        <v>#N/A</v>
      </c>
      <c r="N525" s="755" t="e">
        <f t="shared" si="8"/>
        <v>#N/A</v>
      </c>
      <c r="P525" s="1049">
        <f>ROUND(IF(L525='S1&amp;2 Lists'!$CV$3,K525,IF(L525='S1&amp;2 Lists'!$CV$4,K525/'S1&amp;2 Lists'!$CQ$6,0)),3)</f>
        <v>0</v>
      </c>
      <c r="Q525" s="326" t="s">
        <v>264</v>
      </c>
    </row>
    <row r="526" spans="1:17" s="756" customFormat="1" ht="24" customHeight="1">
      <c r="A526" s="975"/>
      <c r="B526" s="975"/>
      <c r="C526" s="1027"/>
      <c r="D526" s="975"/>
      <c r="E526" s="980"/>
      <c r="F526" s="975"/>
      <c r="G526" s="979"/>
      <c r="H526" s="975"/>
      <c r="I526" s="980"/>
      <c r="J526" s="975"/>
      <c r="K526" s="975"/>
      <c r="L526" s="975"/>
      <c r="M526" s="755" t="e">
        <f>+VLOOKUP(G526,'S1&amp;2 Lists'!$C$8:$G$134,3,FALSE)</f>
        <v>#N/A</v>
      </c>
      <c r="N526" s="755" t="e">
        <f t="shared" si="8"/>
        <v>#N/A</v>
      </c>
      <c r="P526" s="1049">
        <f>ROUND(IF(L526='S1&amp;2 Lists'!$CV$3,K526,IF(L526='S1&amp;2 Lists'!$CV$4,K526/'S1&amp;2 Lists'!$CQ$6,0)),3)</f>
        <v>0</v>
      </c>
      <c r="Q526" s="326" t="s">
        <v>264</v>
      </c>
    </row>
    <row r="527" spans="1:17" s="756" customFormat="1" ht="24" customHeight="1">
      <c r="A527" s="975"/>
      <c r="B527" s="975"/>
      <c r="C527" s="1027"/>
      <c r="D527" s="975"/>
      <c r="E527" s="980"/>
      <c r="F527" s="975"/>
      <c r="G527" s="979"/>
      <c r="H527" s="975"/>
      <c r="I527" s="980"/>
      <c r="J527" s="975"/>
      <c r="K527" s="975"/>
      <c r="L527" s="975"/>
      <c r="M527" s="755" t="e">
        <f>+VLOOKUP(G527,'S1&amp;2 Lists'!$C$8:$G$134,3,FALSE)</f>
        <v>#N/A</v>
      </c>
      <c r="N527" s="755" t="e">
        <f t="shared" si="8"/>
        <v>#N/A</v>
      </c>
      <c r="P527" s="1049">
        <f>ROUND(IF(L527='S1&amp;2 Lists'!$CV$3,K527,IF(L527='S1&amp;2 Lists'!$CV$4,K527/'S1&amp;2 Lists'!$CQ$6,0)),3)</f>
        <v>0</v>
      </c>
      <c r="Q527" s="326" t="s">
        <v>264</v>
      </c>
    </row>
    <row r="528" spans="1:17" s="756" customFormat="1" ht="24" customHeight="1">
      <c r="A528" s="975"/>
      <c r="B528" s="975"/>
      <c r="C528" s="1027"/>
      <c r="D528" s="975"/>
      <c r="E528" s="980"/>
      <c r="F528" s="975"/>
      <c r="G528" s="979"/>
      <c r="H528" s="975"/>
      <c r="I528" s="980"/>
      <c r="J528" s="975"/>
      <c r="K528" s="975"/>
      <c r="L528" s="975"/>
      <c r="M528" s="755" t="e">
        <f>+VLOOKUP(G528,'S1&amp;2 Lists'!$C$8:$G$134,3,FALSE)</f>
        <v>#N/A</v>
      </c>
      <c r="N528" s="755" t="e">
        <f t="shared" si="8"/>
        <v>#N/A</v>
      </c>
      <c r="P528" s="1049">
        <f>ROUND(IF(L528='S1&amp;2 Lists'!$CV$3,K528,IF(L528='S1&amp;2 Lists'!$CV$4,K528/'S1&amp;2 Lists'!$CQ$6,0)),3)</f>
        <v>0</v>
      </c>
      <c r="Q528" s="326" t="s">
        <v>264</v>
      </c>
    </row>
    <row r="529" spans="1:17" s="756" customFormat="1" ht="24" customHeight="1">
      <c r="A529" s="975"/>
      <c r="B529" s="975"/>
      <c r="C529" s="1027"/>
      <c r="D529" s="975"/>
      <c r="E529" s="980"/>
      <c r="F529" s="975"/>
      <c r="G529" s="979"/>
      <c r="H529" s="975"/>
      <c r="I529" s="980"/>
      <c r="J529" s="975"/>
      <c r="K529" s="975"/>
      <c r="L529" s="975"/>
      <c r="M529" s="755" t="e">
        <f>+VLOOKUP(G529,'S1&amp;2 Lists'!$C$8:$G$134,3,FALSE)</f>
        <v>#N/A</v>
      </c>
      <c r="N529" s="755" t="e">
        <f t="shared" si="8"/>
        <v>#N/A</v>
      </c>
      <c r="P529" s="1049">
        <f>ROUND(IF(L529='S1&amp;2 Lists'!$CV$3,K529,IF(L529='S1&amp;2 Lists'!$CV$4,K529/'S1&amp;2 Lists'!$CQ$6,0)),3)</f>
        <v>0</v>
      </c>
      <c r="Q529" s="326" t="s">
        <v>264</v>
      </c>
    </row>
    <row r="530" spans="1:17" s="756" customFormat="1" ht="24" customHeight="1">
      <c r="A530" s="975"/>
      <c r="B530" s="975"/>
      <c r="C530" s="1027"/>
      <c r="D530" s="975"/>
      <c r="E530" s="980"/>
      <c r="F530" s="975"/>
      <c r="G530" s="979"/>
      <c r="H530" s="975"/>
      <c r="I530" s="980"/>
      <c r="J530" s="975"/>
      <c r="K530" s="975"/>
      <c r="L530" s="975"/>
      <c r="M530" s="755" t="e">
        <f>+VLOOKUP(G530,'S1&amp;2 Lists'!$C$8:$G$134,3,FALSE)</f>
        <v>#N/A</v>
      </c>
      <c r="N530" s="755" t="e">
        <f t="shared" si="8"/>
        <v>#N/A</v>
      </c>
      <c r="P530" s="1049">
        <f>ROUND(IF(L530='S1&amp;2 Lists'!$CV$3,K530,IF(L530='S1&amp;2 Lists'!$CV$4,K530/'S1&amp;2 Lists'!$CQ$6,0)),3)</f>
        <v>0</v>
      </c>
      <c r="Q530" s="326" t="s">
        <v>264</v>
      </c>
    </row>
    <row r="531" spans="1:17" s="756" customFormat="1" ht="24" customHeight="1">
      <c r="A531" s="975"/>
      <c r="B531" s="975"/>
      <c r="C531" s="1027"/>
      <c r="D531" s="975"/>
      <c r="E531" s="980"/>
      <c r="F531" s="975"/>
      <c r="G531" s="979"/>
      <c r="H531" s="975"/>
      <c r="I531" s="980"/>
      <c r="J531" s="975"/>
      <c r="K531" s="975"/>
      <c r="L531" s="975"/>
      <c r="M531" s="755" t="e">
        <f>+VLOOKUP(G531,'S1&amp;2 Lists'!$C$8:$G$134,3,FALSE)</f>
        <v>#N/A</v>
      </c>
      <c r="N531" s="755" t="e">
        <f t="shared" si="8"/>
        <v>#N/A</v>
      </c>
      <c r="P531" s="1049">
        <f>ROUND(IF(L531='S1&amp;2 Lists'!$CV$3,K531,IF(L531='S1&amp;2 Lists'!$CV$4,K531/'S1&amp;2 Lists'!$CQ$6,0)),3)</f>
        <v>0</v>
      </c>
      <c r="Q531" s="326" t="s">
        <v>264</v>
      </c>
    </row>
    <row r="532" spans="1:17" s="756" customFormat="1" ht="24" customHeight="1">
      <c r="A532" s="975"/>
      <c r="B532" s="975"/>
      <c r="C532" s="1027"/>
      <c r="D532" s="975"/>
      <c r="E532" s="980"/>
      <c r="F532" s="975"/>
      <c r="G532" s="979"/>
      <c r="H532" s="975"/>
      <c r="I532" s="980"/>
      <c r="J532" s="975"/>
      <c r="K532" s="975"/>
      <c r="L532" s="975"/>
      <c r="M532" s="755" t="e">
        <f>+VLOOKUP(G532,'S1&amp;2 Lists'!$C$8:$G$134,3,FALSE)</f>
        <v>#N/A</v>
      </c>
      <c r="N532" s="755" t="e">
        <f t="shared" si="8"/>
        <v>#N/A</v>
      </c>
      <c r="P532" s="1049">
        <f>ROUND(IF(L532='S1&amp;2 Lists'!$CV$3,K532,IF(L532='S1&amp;2 Lists'!$CV$4,K532/'S1&amp;2 Lists'!$CQ$6,0)),3)</f>
        <v>0</v>
      </c>
      <c r="Q532" s="326" t="s">
        <v>264</v>
      </c>
    </row>
    <row r="533" spans="1:17" s="756" customFormat="1" ht="24" customHeight="1">
      <c r="A533" s="975"/>
      <c r="B533" s="975"/>
      <c r="C533" s="1027"/>
      <c r="D533" s="975"/>
      <c r="E533" s="980"/>
      <c r="F533" s="975"/>
      <c r="G533" s="979"/>
      <c r="H533" s="975"/>
      <c r="I533" s="980"/>
      <c r="J533" s="975"/>
      <c r="K533" s="975"/>
      <c r="L533" s="975"/>
      <c r="M533" s="755" t="e">
        <f>+VLOOKUP(G533,'S1&amp;2 Lists'!$C$8:$G$134,3,FALSE)</f>
        <v>#N/A</v>
      </c>
      <c r="N533" s="755" t="e">
        <f t="shared" si="8"/>
        <v>#N/A</v>
      </c>
      <c r="P533" s="1049">
        <f>ROUND(IF(L533='S1&amp;2 Lists'!$CV$3,K533,IF(L533='S1&amp;2 Lists'!$CV$4,K533/'S1&amp;2 Lists'!$CQ$6,0)),3)</f>
        <v>0</v>
      </c>
      <c r="Q533" s="326" t="s">
        <v>264</v>
      </c>
    </row>
    <row r="534" spans="1:17" s="756" customFormat="1" ht="24" customHeight="1">
      <c r="A534" s="975"/>
      <c r="B534" s="975"/>
      <c r="C534" s="1027"/>
      <c r="D534" s="975"/>
      <c r="E534" s="980"/>
      <c r="F534" s="975"/>
      <c r="G534" s="979"/>
      <c r="H534" s="975"/>
      <c r="I534" s="980"/>
      <c r="J534" s="975"/>
      <c r="K534" s="975"/>
      <c r="L534" s="975"/>
      <c r="M534" s="755" t="e">
        <f>+VLOOKUP(G534,'S1&amp;2 Lists'!$C$8:$G$134,3,FALSE)</f>
        <v>#N/A</v>
      </c>
      <c r="N534" s="755" t="e">
        <f t="shared" si="8"/>
        <v>#N/A</v>
      </c>
      <c r="P534" s="1049">
        <f>ROUND(IF(L534='S1&amp;2 Lists'!$CV$3,K534,IF(L534='S1&amp;2 Lists'!$CV$4,K534/'S1&amp;2 Lists'!$CQ$6,0)),3)</f>
        <v>0</v>
      </c>
      <c r="Q534" s="326" t="s">
        <v>264</v>
      </c>
    </row>
    <row r="535" spans="1:17" s="756" customFormat="1" ht="24" customHeight="1">
      <c r="A535" s="975"/>
      <c r="B535" s="975"/>
      <c r="C535" s="1027"/>
      <c r="D535" s="975"/>
      <c r="E535" s="980"/>
      <c r="F535" s="975"/>
      <c r="G535" s="979"/>
      <c r="H535" s="975"/>
      <c r="I535" s="980"/>
      <c r="J535" s="975"/>
      <c r="K535" s="975"/>
      <c r="L535" s="975"/>
      <c r="M535" s="755" t="e">
        <f>+VLOOKUP(G535,'S1&amp;2 Lists'!$C$8:$G$134,3,FALSE)</f>
        <v>#N/A</v>
      </c>
      <c r="N535" s="755" t="e">
        <f t="shared" si="8"/>
        <v>#N/A</v>
      </c>
      <c r="P535" s="1049">
        <f>ROUND(IF(L535='S1&amp;2 Lists'!$CV$3,K535,IF(L535='S1&amp;2 Lists'!$CV$4,K535/'S1&amp;2 Lists'!$CQ$6,0)),3)</f>
        <v>0</v>
      </c>
      <c r="Q535" s="326" t="s">
        <v>264</v>
      </c>
    </row>
    <row r="536" spans="1:17" s="756" customFormat="1" ht="24" customHeight="1">
      <c r="A536" s="975"/>
      <c r="B536" s="975"/>
      <c r="C536" s="1027"/>
      <c r="D536" s="975"/>
      <c r="E536" s="980"/>
      <c r="F536" s="975"/>
      <c r="G536" s="979"/>
      <c r="H536" s="975"/>
      <c r="I536" s="980"/>
      <c r="J536" s="975"/>
      <c r="K536" s="975"/>
      <c r="L536" s="975"/>
      <c r="M536" s="755" t="e">
        <f>+VLOOKUP(G536,'S1&amp;2 Lists'!$C$8:$G$134,3,FALSE)</f>
        <v>#N/A</v>
      </c>
      <c r="N536" s="755" t="e">
        <f t="shared" si="8"/>
        <v>#N/A</v>
      </c>
      <c r="P536" s="1049">
        <f>ROUND(IF(L536='S1&amp;2 Lists'!$CV$3,K536,IF(L536='S1&amp;2 Lists'!$CV$4,K536/'S1&amp;2 Lists'!$CQ$6,0)),3)</f>
        <v>0</v>
      </c>
      <c r="Q536" s="326" t="s">
        <v>264</v>
      </c>
    </row>
    <row r="537" spans="1:17" s="756" customFormat="1" ht="24" customHeight="1">
      <c r="A537" s="975"/>
      <c r="B537" s="975"/>
      <c r="C537" s="1027"/>
      <c r="D537" s="975"/>
      <c r="E537" s="980"/>
      <c r="F537" s="975"/>
      <c r="G537" s="979"/>
      <c r="H537" s="975"/>
      <c r="I537" s="980"/>
      <c r="J537" s="975"/>
      <c r="K537" s="975"/>
      <c r="L537" s="975"/>
      <c r="M537" s="755" t="e">
        <f>+VLOOKUP(G537,'S1&amp;2 Lists'!$C$8:$G$134,3,FALSE)</f>
        <v>#N/A</v>
      </c>
      <c r="N537" s="755" t="e">
        <f t="shared" si="8"/>
        <v>#N/A</v>
      </c>
      <c r="P537" s="1049">
        <f>ROUND(IF(L537='S1&amp;2 Lists'!$CV$3,K537,IF(L537='S1&amp;2 Lists'!$CV$4,K537/'S1&amp;2 Lists'!$CQ$6,0)),3)</f>
        <v>0</v>
      </c>
      <c r="Q537" s="326" t="s">
        <v>264</v>
      </c>
    </row>
    <row r="538" spans="1:17" s="756" customFormat="1" ht="24" customHeight="1">
      <c r="A538" s="975"/>
      <c r="B538" s="975"/>
      <c r="C538" s="1027"/>
      <c r="D538" s="975"/>
      <c r="E538" s="980"/>
      <c r="F538" s="975"/>
      <c r="G538" s="979"/>
      <c r="H538" s="975"/>
      <c r="I538" s="980"/>
      <c r="J538" s="975"/>
      <c r="K538" s="975"/>
      <c r="L538" s="975"/>
      <c r="M538" s="755" t="e">
        <f>+VLOOKUP(G538,'S1&amp;2 Lists'!$C$8:$G$134,3,FALSE)</f>
        <v>#N/A</v>
      </c>
      <c r="N538" s="755" t="e">
        <f t="shared" si="8"/>
        <v>#N/A</v>
      </c>
      <c r="P538" s="1049">
        <f>ROUND(IF(L538='S1&amp;2 Lists'!$CV$3,K538,IF(L538='S1&amp;2 Lists'!$CV$4,K538/'S1&amp;2 Lists'!$CQ$6,0)),3)</f>
        <v>0</v>
      </c>
      <c r="Q538" s="326" t="s">
        <v>264</v>
      </c>
    </row>
    <row r="539" spans="1:17" s="756" customFormat="1" ht="24" customHeight="1">
      <c r="A539" s="975"/>
      <c r="B539" s="975"/>
      <c r="C539" s="1027"/>
      <c r="D539" s="975"/>
      <c r="E539" s="980"/>
      <c r="F539" s="975"/>
      <c r="G539" s="979"/>
      <c r="H539" s="975"/>
      <c r="I539" s="980"/>
      <c r="J539" s="975"/>
      <c r="K539" s="975"/>
      <c r="L539" s="975"/>
      <c r="M539" s="755" t="e">
        <f>+VLOOKUP(G539,'S1&amp;2 Lists'!$C$8:$G$134,3,FALSE)</f>
        <v>#N/A</v>
      </c>
      <c r="N539" s="755" t="e">
        <f t="shared" si="8"/>
        <v>#N/A</v>
      </c>
      <c r="P539" s="1049">
        <f>ROUND(IF(L539='S1&amp;2 Lists'!$CV$3,K539,IF(L539='S1&amp;2 Lists'!$CV$4,K539/'S1&amp;2 Lists'!$CQ$6,0)),3)</f>
        <v>0</v>
      </c>
      <c r="Q539" s="326" t="s">
        <v>264</v>
      </c>
    </row>
    <row r="540" spans="1:17" s="756" customFormat="1" ht="24" customHeight="1">
      <c r="A540" s="975"/>
      <c r="B540" s="975"/>
      <c r="C540" s="1027"/>
      <c r="D540" s="975"/>
      <c r="E540" s="980"/>
      <c r="F540" s="975"/>
      <c r="G540" s="979"/>
      <c r="H540" s="975"/>
      <c r="I540" s="980"/>
      <c r="J540" s="975"/>
      <c r="K540" s="975"/>
      <c r="L540" s="975"/>
      <c r="M540" s="755" t="e">
        <f>+VLOOKUP(G540,'S1&amp;2 Lists'!$C$8:$G$134,3,FALSE)</f>
        <v>#N/A</v>
      </c>
      <c r="N540" s="755" t="e">
        <f t="shared" si="8"/>
        <v>#N/A</v>
      </c>
      <c r="P540" s="1049">
        <f>ROUND(IF(L540='S1&amp;2 Lists'!$CV$3,K540,IF(L540='S1&amp;2 Lists'!$CV$4,K540/'S1&amp;2 Lists'!$CQ$6,0)),3)</f>
        <v>0</v>
      </c>
      <c r="Q540" s="326" t="s">
        <v>264</v>
      </c>
    </row>
    <row r="541" spans="1:17" s="756" customFormat="1" ht="24" customHeight="1">
      <c r="A541" s="975"/>
      <c r="B541" s="975"/>
      <c r="C541" s="1027"/>
      <c r="D541" s="975"/>
      <c r="E541" s="980"/>
      <c r="F541" s="975"/>
      <c r="G541" s="979"/>
      <c r="H541" s="975"/>
      <c r="I541" s="980"/>
      <c r="J541" s="975"/>
      <c r="K541" s="975"/>
      <c r="L541" s="975"/>
      <c r="M541" s="755" t="e">
        <f>+VLOOKUP(G541,'S1&amp;2 Lists'!$C$8:$G$134,3,FALSE)</f>
        <v>#N/A</v>
      </c>
      <c r="N541" s="755" t="e">
        <f t="shared" si="8"/>
        <v>#N/A</v>
      </c>
      <c r="P541" s="1049">
        <f>ROUND(IF(L541='S1&amp;2 Lists'!$CV$3,K541,IF(L541='S1&amp;2 Lists'!$CV$4,K541/'S1&amp;2 Lists'!$CQ$6,0)),3)</f>
        <v>0</v>
      </c>
      <c r="Q541" s="326" t="s">
        <v>264</v>
      </c>
    </row>
    <row r="542" spans="1:17" s="756" customFormat="1" ht="24" customHeight="1">
      <c r="A542" s="975"/>
      <c r="B542" s="975"/>
      <c r="C542" s="1027"/>
      <c r="D542" s="975"/>
      <c r="E542" s="980"/>
      <c r="F542" s="975"/>
      <c r="G542" s="979"/>
      <c r="H542" s="975"/>
      <c r="I542" s="980"/>
      <c r="J542" s="975"/>
      <c r="K542" s="975"/>
      <c r="L542" s="975"/>
      <c r="M542" s="755" t="e">
        <f>+VLOOKUP(G542,'S1&amp;2 Lists'!$C$8:$G$134,3,FALSE)</f>
        <v>#N/A</v>
      </c>
      <c r="N542" s="755" t="e">
        <f t="shared" si="8"/>
        <v>#N/A</v>
      </c>
      <c r="P542" s="1049">
        <f>ROUND(IF(L542='S1&amp;2 Lists'!$CV$3,K542,IF(L542='S1&amp;2 Lists'!$CV$4,K542/'S1&amp;2 Lists'!$CQ$6,0)),3)</f>
        <v>0</v>
      </c>
      <c r="Q542" s="326" t="s">
        <v>264</v>
      </c>
    </row>
    <row r="543" spans="1:17" s="756" customFormat="1" ht="24" customHeight="1">
      <c r="A543" s="975"/>
      <c r="B543" s="975"/>
      <c r="C543" s="1027"/>
      <c r="D543" s="975"/>
      <c r="E543" s="980"/>
      <c r="F543" s="975"/>
      <c r="G543" s="979"/>
      <c r="H543" s="975"/>
      <c r="I543" s="980"/>
      <c r="J543" s="975"/>
      <c r="K543" s="975"/>
      <c r="L543" s="975"/>
      <c r="M543" s="755" t="e">
        <f>+VLOOKUP(G543,'S1&amp;2 Lists'!$C$8:$G$134,3,FALSE)</f>
        <v>#N/A</v>
      </c>
      <c r="N543" s="755" t="e">
        <f t="shared" si="8"/>
        <v>#N/A</v>
      </c>
      <c r="P543" s="1049">
        <f>ROUND(IF(L543='S1&amp;2 Lists'!$CV$3,K543,IF(L543='S1&amp;2 Lists'!$CV$4,K543/'S1&amp;2 Lists'!$CQ$6,0)),3)</f>
        <v>0</v>
      </c>
      <c r="Q543" s="326" t="s">
        <v>264</v>
      </c>
    </row>
    <row r="544" spans="1:17" s="756" customFormat="1" ht="24" customHeight="1">
      <c r="A544" s="975"/>
      <c r="B544" s="975"/>
      <c r="C544" s="1027"/>
      <c r="D544" s="975"/>
      <c r="E544" s="980"/>
      <c r="F544" s="975"/>
      <c r="G544" s="979"/>
      <c r="H544" s="975"/>
      <c r="I544" s="980"/>
      <c r="J544" s="975"/>
      <c r="K544" s="975"/>
      <c r="L544" s="975"/>
      <c r="M544" s="755" t="e">
        <f>+VLOOKUP(G544,'S1&amp;2 Lists'!$C$8:$G$134,3,FALSE)</f>
        <v>#N/A</v>
      </c>
      <c r="N544" s="755" t="e">
        <f t="shared" si="8"/>
        <v>#N/A</v>
      </c>
      <c r="P544" s="1049">
        <f>ROUND(IF(L544='S1&amp;2 Lists'!$CV$3,K544,IF(L544='S1&amp;2 Lists'!$CV$4,K544/'S1&amp;2 Lists'!$CQ$6,0)),3)</f>
        <v>0</v>
      </c>
      <c r="Q544" s="326" t="s">
        <v>264</v>
      </c>
    </row>
    <row r="545" spans="1:17" s="756" customFormat="1" ht="24" customHeight="1">
      <c r="A545" s="975"/>
      <c r="B545" s="975"/>
      <c r="C545" s="1027"/>
      <c r="D545" s="975"/>
      <c r="E545" s="980"/>
      <c r="F545" s="975"/>
      <c r="G545" s="979"/>
      <c r="H545" s="975"/>
      <c r="I545" s="980"/>
      <c r="J545" s="975"/>
      <c r="K545" s="975"/>
      <c r="L545" s="975"/>
      <c r="M545" s="755" t="e">
        <f>+VLOOKUP(G545,'S1&amp;2 Lists'!$C$8:$G$134,3,FALSE)</f>
        <v>#N/A</v>
      </c>
      <c r="N545" s="755" t="e">
        <f t="shared" si="8"/>
        <v>#N/A</v>
      </c>
      <c r="P545" s="1049">
        <f>ROUND(IF(L545='S1&amp;2 Lists'!$CV$3,K545,IF(L545='S1&amp;2 Lists'!$CV$4,K545/'S1&amp;2 Lists'!$CQ$6,0)),3)</f>
        <v>0</v>
      </c>
      <c r="Q545" s="326" t="s">
        <v>264</v>
      </c>
    </row>
    <row r="546" spans="1:17" s="756" customFormat="1" ht="24" customHeight="1">
      <c r="A546" s="975"/>
      <c r="B546" s="975"/>
      <c r="C546" s="1027"/>
      <c r="D546" s="975"/>
      <c r="E546" s="980"/>
      <c r="F546" s="975"/>
      <c r="G546" s="979"/>
      <c r="H546" s="975"/>
      <c r="I546" s="980"/>
      <c r="J546" s="975"/>
      <c r="K546" s="975"/>
      <c r="L546" s="975"/>
      <c r="M546" s="755" t="e">
        <f>+VLOOKUP(G546,'S1&amp;2 Lists'!$C$8:$G$134,3,FALSE)</f>
        <v>#N/A</v>
      </c>
      <c r="N546" s="755" t="e">
        <f t="shared" si="8"/>
        <v>#N/A</v>
      </c>
      <c r="P546" s="1049">
        <f>ROUND(IF(L546='S1&amp;2 Lists'!$CV$3,K546,IF(L546='S1&amp;2 Lists'!$CV$4,K546/'S1&amp;2 Lists'!$CQ$6,0)),3)</f>
        <v>0</v>
      </c>
      <c r="Q546" s="326" t="s">
        <v>264</v>
      </c>
    </row>
    <row r="547" spans="1:17" s="756" customFormat="1" ht="24" customHeight="1">
      <c r="A547" s="975"/>
      <c r="B547" s="975"/>
      <c r="C547" s="1027"/>
      <c r="D547" s="975"/>
      <c r="E547" s="980"/>
      <c r="F547" s="975"/>
      <c r="G547" s="979"/>
      <c r="H547" s="975"/>
      <c r="I547" s="980"/>
      <c r="J547" s="975"/>
      <c r="K547" s="975"/>
      <c r="L547" s="975"/>
      <c r="M547" s="755" t="e">
        <f>+VLOOKUP(G547,'S1&amp;2 Lists'!$C$8:$G$134,3,FALSE)</f>
        <v>#N/A</v>
      </c>
      <c r="N547" s="755" t="e">
        <f t="shared" si="8"/>
        <v>#N/A</v>
      </c>
      <c r="P547" s="1049">
        <f>ROUND(IF(L547='S1&amp;2 Lists'!$CV$3,K547,IF(L547='S1&amp;2 Lists'!$CV$4,K547/'S1&amp;2 Lists'!$CQ$6,0)),3)</f>
        <v>0</v>
      </c>
      <c r="Q547" s="326" t="s">
        <v>264</v>
      </c>
    </row>
    <row r="548" spans="1:17" s="756" customFormat="1" ht="24" customHeight="1">
      <c r="A548" s="975"/>
      <c r="B548" s="975"/>
      <c r="C548" s="1027"/>
      <c r="D548" s="975"/>
      <c r="E548" s="980"/>
      <c r="F548" s="975"/>
      <c r="G548" s="979"/>
      <c r="H548" s="975"/>
      <c r="I548" s="980"/>
      <c r="J548" s="975"/>
      <c r="K548" s="975"/>
      <c r="L548" s="975"/>
      <c r="M548" s="755" t="e">
        <f>+VLOOKUP(G548,'S1&amp;2 Lists'!$C$8:$G$134,3,FALSE)</f>
        <v>#N/A</v>
      </c>
      <c r="N548" s="755" t="e">
        <f t="shared" si="8"/>
        <v>#N/A</v>
      </c>
      <c r="P548" s="1049">
        <f>ROUND(IF(L548='S1&amp;2 Lists'!$CV$3,K548,IF(L548='S1&amp;2 Lists'!$CV$4,K548/'S1&amp;2 Lists'!$CQ$6,0)),3)</f>
        <v>0</v>
      </c>
      <c r="Q548" s="326" t="s">
        <v>264</v>
      </c>
    </row>
    <row r="549" spans="1:17" s="756" customFormat="1" ht="24" customHeight="1">
      <c r="A549" s="975"/>
      <c r="B549" s="975"/>
      <c r="C549" s="1027"/>
      <c r="D549" s="975"/>
      <c r="E549" s="980"/>
      <c r="F549" s="975"/>
      <c r="G549" s="979"/>
      <c r="H549" s="975"/>
      <c r="I549" s="980"/>
      <c r="J549" s="975"/>
      <c r="K549" s="975"/>
      <c r="L549" s="975"/>
      <c r="M549" s="755" t="e">
        <f>+VLOOKUP(G549,'S1&amp;2 Lists'!$C$8:$G$134,3,FALSE)</f>
        <v>#N/A</v>
      </c>
      <c r="N549" s="755" t="e">
        <f t="shared" si="8"/>
        <v>#N/A</v>
      </c>
      <c r="P549" s="1049">
        <f>ROUND(IF(L549='S1&amp;2 Lists'!$CV$3,K549,IF(L549='S1&amp;2 Lists'!$CV$4,K549/'S1&amp;2 Lists'!$CQ$6,0)),3)</f>
        <v>0</v>
      </c>
      <c r="Q549" s="326" t="s">
        <v>264</v>
      </c>
    </row>
    <row r="550" spans="1:17" s="756" customFormat="1" ht="24" customHeight="1">
      <c r="A550" s="975"/>
      <c r="B550" s="975"/>
      <c r="C550" s="1027"/>
      <c r="D550" s="975"/>
      <c r="E550" s="980"/>
      <c r="F550" s="975"/>
      <c r="G550" s="979"/>
      <c r="H550" s="975"/>
      <c r="I550" s="980"/>
      <c r="J550" s="975"/>
      <c r="K550" s="975"/>
      <c r="L550" s="975"/>
      <c r="M550" s="755" t="e">
        <f>+VLOOKUP(G550,'S1&amp;2 Lists'!$C$8:$G$134,3,FALSE)</f>
        <v>#N/A</v>
      </c>
      <c r="N550" s="755" t="e">
        <f t="shared" si="8"/>
        <v>#N/A</v>
      </c>
      <c r="P550" s="1049">
        <f>ROUND(IF(L550='S1&amp;2 Lists'!$CV$3,K550,IF(L550='S1&amp;2 Lists'!$CV$4,K550/'S1&amp;2 Lists'!$CQ$6,0)),3)</f>
        <v>0</v>
      </c>
      <c r="Q550" s="326" t="s">
        <v>264</v>
      </c>
    </row>
    <row r="551" spans="1:17" s="756" customFormat="1" ht="24" customHeight="1">
      <c r="A551" s="975"/>
      <c r="B551" s="975"/>
      <c r="C551" s="1027"/>
      <c r="D551" s="975"/>
      <c r="E551" s="980"/>
      <c r="F551" s="975"/>
      <c r="G551" s="979"/>
      <c r="H551" s="975"/>
      <c r="I551" s="980"/>
      <c r="J551" s="975"/>
      <c r="K551" s="975"/>
      <c r="L551" s="975"/>
      <c r="M551" s="755" t="e">
        <f>+VLOOKUP(G551,'S1&amp;2 Lists'!$C$8:$G$134,3,FALSE)</f>
        <v>#N/A</v>
      </c>
      <c r="N551" s="755" t="e">
        <f t="shared" si="8"/>
        <v>#N/A</v>
      </c>
      <c r="P551" s="1049">
        <f>ROUND(IF(L551='S1&amp;2 Lists'!$CV$3,K551,IF(L551='S1&amp;2 Lists'!$CV$4,K551/'S1&amp;2 Lists'!$CQ$6,0)),3)</f>
        <v>0</v>
      </c>
      <c r="Q551" s="326" t="s">
        <v>264</v>
      </c>
    </row>
    <row r="552" spans="1:17" s="756" customFormat="1" ht="24" customHeight="1">
      <c r="A552" s="975"/>
      <c r="B552" s="975"/>
      <c r="C552" s="1027"/>
      <c r="D552" s="975"/>
      <c r="E552" s="980"/>
      <c r="F552" s="975"/>
      <c r="G552" s="979"/>
      <c r="H552" s="975"/>
      <c r="I552" s="980"/>
      <c r="J552" s="975"/>
      <c r="K552" s="975"/>
      <c r="L552" s="975"/>
      <c r="M552" s="755" t="e">
        <f>+VLOOKUP(G552,'S1&amp;2 Lists'!$C$8:$G$134,3,FALSE)</f>
        <v>#N/A</v>
      </c>
      <c r="N552" s="755" t="e">
        <f t="shared" si="8"/>
        <v>#N/A</v>
      </c>
      <c r="P552" s="1049">
        <f>ROUND(IF(L552='S1&amp;2 Lists'!$CV$3,K552,IF(L552='S1&amp;2 Lists'!$CV$4,K552/'S1&amp;2 Lists'!$CQ$6,0)),3)</f>
        <v>0</v>
      </c>
      <c r="Q552" s="326" t="s">
        <v>264</v>
      </c>
    </row>
    <row r="553" spans="1:17" s="756" customFormat="1" ht="24" customHeight="1">
      <c r="A553" s="975"/>
      <c r="B553" s="975"/>
      <c r="C553" s="1027"/>
      <c r="D553" s="975"/>
      <c r="E553" s="980"/>
      <c r="F553" s="975"/>
      <c r="G553" s="979"/>
      <c r="H553" s="975"/>
      <c r="I553" s="980"/>
      <c r="J553" s="975"/>
      <c r="K553" s="975"/>
      <c r="L553" s="975"/>
      <c r="M553" s="755" t="e">
        <f>+VLOOKUP(G553,'S1&amp;2 Lists'!$C$8:$G$134,3,FALSE)</f>
        <v>#N/A</v>
      </c>
      <c r="N553" s="755" t="e">
        <f t="shared" si="8"/>
        <v>#N/A</v>
      </c>
      <c r="P553" s="1049">
        <f>ROUND(IF(L553='S1&amp;2 Lists'!$CV$3,K553,IF(L553='S1&amp;2 Lists'!$CV$4,K553/'S1&amp;2 Lists'!$CQ$6,0)),3)</f>
        <v>0</v>
      </c>
      <c r="Q553" s="326" t="s">
        <v>264</v>
      </c>
    </row>
    <row r="554" spans="1:17" s="756" customFormat="1" ht="24" customHeight="1">
      <c r="A554" s="975"/>
      <c r="B554" s="975"/>
      <c r="C554" s="1027"/>
      <c r="D554" s="975"/>
      <c r="E554" s="980"/>
      <c r="F554" s="975"/>
      <c r="G554" s="979"/>
      <c r="H554" s="975"/>
      <c r="I554" s="980"/>
      <c r="J554" s="975"/>
      <c r="K554" s="975"/>
      <c r="L554" s="975"/>
      <c r="M554" s="755" t="e">
        <f>+VLOOKUP(G554,'S1&amp;2 Lists'!$C$8:$G$134,3,FALSE)</f>
        <v>#N/A</v>
      </c>
      <c r="N554" s="755" t="e">
        <f t="shared" si="8"/>
        <v>#N/A</v>
      </c>
      <c r="P554" s="1049">
        <f>ROUND(IF(L554='S1&amp;2 Lists'!$CV$3,K554,IF(L554='S1&amp;2 Lists'!$CV$4,K554/'S1&amp;2 Lists'!$CQ$6,0)),3)</f>
        <v>0</v>
      </c>
      <c r="Q554" s="326" t="s">
        <v>264</v>
      </c>
    </row>
    <row r="555" spans="1:17" s="756" customFormat="1" ht="24" customHeight="1">
      <c r="A555" s="975"/>
      <c r="B555" s="975"/>
      <c r="C555" s="1027"/>
      <c r="D555" s="975"/>
      <c r="E555" s="980"/>
      <c r="F555" s="975"/>
      <c r="G555" s="979"/>
      <c r="H555" s="975"/>
      <c r="I555" s="980"/>
      <c r="J555" s="975"/>
      <c r="K555" s="975"/>
      <c r="L555" s="975"/>
      <c r="M555" s="755" t="e">
        <f>+VLOOKUP(G555,'S1&amp;2 Lists'!$C$8:$G$134,3,FALSE)</f>
        <v>#N/A</v>
      </c>
      <c r="N555" s="755" t="e">
        <f t="shared" si="8"/>
        <v>#N/A</v>
      </c>
      <c r="P555" s="1049">
        <f>ROUND(IF(L555='S1&amp;2 Lists'!$CV$3,K555,IF(L555='S1&amp;2 Lists'!$CV$4,K555/'S1&amp;2 Lists'!$CQ$6,0)),3)</f>
        <v>0</v>
      </c>
      <c r="Q555" s="326" t="s">
        <v>264</v>
      </c>
    </row>
    <row r="556" spans="1:17" s="756" customFormat="1" ht="24" customHeight="1">
      <c r="A556" s="975"/>
      <c r="B556" s="975"/>
      <c r="C556" s="1027"/>
      <c r="D556" s="975"/>
      <c r="E556" s="980"/>
      <c r="F556" s="975"/>
      <c r="G556" s="979"/>
      <c r="H556" s="975"/>
      <c r="I556" s="980"/>
      <c r="J556" s="975"/>
      <c r="K556" s="975"/>
      <c r="L556" s="975"/>
      <c r="M556" s="755" t="e">
        <f>+VLOOKUP(G556,'S1&amp;2 Lists'!$C$8:$G$134,3,FALSE)</f>
        <v>#N/A</v>
      </c>
      <c r="N556" s="755" t="e">
        <f t="shared" si="8"/>
        <v>#N/A</v>
      </c>
      <c r="P556" s="1049">
        <f>ROUND(IF(L556='S1&amp;2 Lists'!$CV$3,K556,IF(L556='S1&amp;2 Lists'!$CV$4,K556/'S1&amp;2 Lists'!$CQ$6,0)),3)</f>
        <v>0</v>
      </c>
      <c r="Q556" s="326" t="s">
        <v>264</v>
      </c>
    </row>
    <row r="557" spans="1:17" s="756" customFormat="1" ht="24" customHeight="1">
      <c r="A557" s="975"/>
      <c r="B557" s="975"/>
      <c r="C557" s="1027"/>
      <c r="D557" s="975"/>
      <c r="E557" s="980"/>
      <c r="F557" s="975"/>
      <c r="G557" s="979"/>
      <c r="H557" s="975"/>
      <c r="I557" s="980"/>
      <c r="J557" s="975"/>
      <c r="K557" s="975"/>
      <c r="L557" s="975"/>
      <c r="M557" s="755" t="e">
        <f>+VLOOKUP(G557,'S1&amp;2 Lists'!$C$8:$G$134,3,FALSE)</f>
        <v>#N/A</v>
      </c>
      <c r="N557" s="755" t="e">
        <f t="shared" si="8"/>
        <v>#N/A</v>
      </c>
      <c r="P557" s="1049">
        <f>ROUND(IF(L557='S1&amp;2 Lists'!$CV$3,K557,IF(L557='S1&amp;2 Lists'!$CV$4,K557/'S1&amp;2 Lists'!$CQ$6,0)),3)</f>
        <v>0</v>
      </c>
      <c r="Q557" s="326" t="s">
        <v>264</v>
      </c>
    </row>
    <row r="558" spans="1:17" s="756" customFormat="1" ht="24" customHeight="1">
      <c r="A558" s="975"/>
      <c r="B558" s="975"/>
      <c r="C558" s="1027"/>
      <c r="D558" s="975"/>
      <c r="E558" s="980"/>
      <c r="F558" s="975"/>
      <c r="G558" s="979"/>
      <c r="H558" s="975"/>
      <c r="I558" s="980"/>
      <c r="J558" s="975"/>
      <c r="K558" s="975"/>
      <c r="L558" s="975"/>
      <c r="M558" s="755" t="e">
        <f>+VLOOKUP(G558,'S1&amp;2 Lists'!$C$8:$G$134,3,FALSE)</f>
        <v>#N/A</v>
      </c>
      <c r="N558" s="755" t="e">
        <f t="shared" si="8"/>
        <v>#N/A</v>
      </c>
      <c r="P558" s="1049">
        <f>ROUND(IF(L558='S1&amp;2 Lists'!$CV$3,K558,IF(L558='S1&amp;2 Lists'!$CV$4,K558/'S1&amp;2 Lists'!$CQ$6,0)),3)</f>
        <v>0</v>
      </c>
      <c r="Q558" s="326" t="s">
        <v>264</v>
      </c>
    </row>
    <row r="559" spans="1:17" s="756" customFormat="1" ht="24" customHeight="1">
      <c r="A559" s="975"/>
      <c r="B559" s="975"/>
      <c r="C559" s="1027"/>
      <c r="D559" s="975"/>
      <c r="E559" s="980"/>
      <c r="F559" s="975"/>
      <c r="G559" s="979"/>
      <c r="H559" s="975"/>
      <c r="I559" s="980"/>
      <c r="J559" s="975"/>
      <c r="K559" s="975"/>
      <c r="L559" s="975"/>
      <c r="M559" s="755" t="e">
        <f>+VLOOKUP(G559,'S1&amp;2 Lists'!$C$8:$G$134,3,FALSE)</f>
        <v>#N/A</v>
      </c>
      <c r="N559" s="755" t="e">
        <f t="shared" si="8"/>
        <v>#N/A</v>
      </c>
      <c r="P559" s="1049">
        <f>ROUND(IF(L559='S1&amp;2 Lists'!$CV$3,K559,IF(L559='S1&amp;2 Lists'!$CV$4,K559/'S1&amp;2 Lists'!$CQ$6,0)),3)</f>
        <v>0</v>
      </c>
      <c r="Q559" s="326" t="s">
        <v>264</v>
      </c>
    </row>
    <row r="560" spans="1:17" s="756" customFormat="1" ht="24" customHeight="1">
      <c r="A560" s="975"/>
      <c r="B560" s="975"/>
      <c r="C560" s="1027"/>
      <c r="D560" s="975"/>
      <c r="E560" s="980"/>
      <c r="F560" s="975"/>
      <c r="G560" s="979"/>
      <c r="H560" s="975"/>
      <c r="I560" s="980"/>
      <c r="J560" s="975"/>
      <c r="K560" s="975"/>
      <c r="L560" s="975"/>
      <c r="M560" s="755" t="e">
        <f>+VLOOKUP(G560,'S1&amp;2 Lists'!$C$8:$G$134,3,FALSE)</f>
        <v>#N/A</v>
      </c>
      <c r="N560" s="755" t="e">
        <f t="shared" si="8"/>
        <v>#N/A</v>
      </c>
      <c r="P560" s="1049">
        <f>ROUND(IF(L560='S1&amp;2 Lists'!$CV$3,K560,IF(L560='S1&amp;2 Lists'!$CV$4,K560/'S1&amp;2 Lists'!$CQ$6,0)),3)</f>
        <v>0</v>
      </c>
      <c r="Q560" s="326" t="s">
        <v>264</v>
      </c>
    </row>
    <row r="561" spans="1:17" s="756" customFormat="1" ht="24" customHeight="1">
      <c r="A561" s="975"/>
      <c r="B561" s="975"/>
      <c r="C561" s="1027"/>
      <c r="D561" s="975"/>
      <c r="E561" s="980"/>
      <c r="F561" s="975"/>
      <c r="G561" s="979"/>
      <c r="H561" s="975"/>
      <c r="I561" s="980"/>
      <c r="J561" s="975"/>
      <c r="K561" s="975"/>
      <c r="L561" s="975"/>
      <c r="M561" s="755" t="e">
        <f>+VLOOKUP(G561,'S1&amp;2 Lists'!$C$8:$G$134,3,FALSE)</f>
        <v>#N/A</v>
      </c>
      <c r="N561" s="755" t="e">
        <f t="shared" si="8"/>
        <v>#N/A</v>
      </c>
      <c r="P561" s="1049">
        <f>ROUND(IF(L561='S1&amp;2 Lists'!$CV$3,K561,IF(L561='S1&amp;2 Lists'!$CV$4,K561/'S1&amp;2 Lists'!$CQ$6,0)),3)</f>
        <v>0</v>
      </c>
      <c r="Q561" s="326" t="s">
        <v>264</v>
      </c>
    </row>
    <row r="562" spans="1:17" s="756" customFormat="1" ht="24" customHeight="1">
      <c r="A562" s="975"/>
      <c r="B562" s="975"/>
      <c r="C562" s="1027"/>
      <c r="D562" s="975"/>
      <c r="E562" s="980"/>
      <c r="F562" s="975"/>
      <c r="G562" s="979"/>
      <c r="H562" s="975"/>
      <c r="I562" s="980"/>
      <c r="J562" s="975"/>
      <c r="K562" s="975"/>
      <c r="L562" s="975"/>
      <c r="M562" s="755" t="e">
        <f>+VLOOKUP(G562,'S1&amp;2 Lists'!$C$8:$G$134,3,FALSE)</f>
        <v>#N/A</v>
      </c>
      <c r="N562" s="755" t="e">
        <f t="shared" si="8"/>
        <v>#N/A</v>
      </c>
      <c r="P562" s="1049">
        <f>ROUND(IF(L562='S1&amp;2 Lists'!$CV$3,K562,IF(L562='S1&amp;2 Lists'!$CV$4,K562/'S1&amp;2 Lists'!$CQ$6,0)),3)</f>
        <v>0</v>
      </c>
      <c r="Q562" s="326" t="s">
        <v>264</v>
      </c>
    </row>
    <row r="563" spans="1:17" s="756" customFormat="1" ht="24" customHeight="1">
      <c r="A563" s="975"/>
      <c r="B563" s="975"/>
      <c r="C563" s="1027"/>
      <c r="D563" s="975"/>
      <c r="E563" s="980"/>
      <c r="F563" s="975"/>
      <c r="G563" s="979"/>
      <c r="H563" s="975"/>
      <c r="I563" s="980"/>
      <c r="J563" s="975"/>
      <c r="K563" s="975"/>
      <c r="L563" s="975"/>
      <c r="M563" s="755" t="e">
        <f>+VLOOKUP(G563,'S1&amp;2 Lists'!$C$8:$G$134,3,FALSE)</f>
        <v>#N/A</v>
      </c>
      <c r="N563" s="755" t="e">
        <f t="shared" si="8"/>
        <v>#N/A</v>
      </c>
      <c r="P563" s="1049">
        <f>ROUND(IF(L563='S1&amp;2 Lists'!$CV$3,K563,IF(L563='S1&amp;2 Lists'!$CV$4,K563/'S1&amp;2 Lists'!$CQ$6,0)),3)</f>
        <v>0</v>
      </c>
      <c r="Q563" s="326" t="s">
        <v>264</v>
      </c>
    </row>
    <row r="564" spans="1:17" s="756" customFormat="1" ht="24" customHeight="1">
      <c r="A564" s="975"/>
      <c r="B564" s="975"/>
      <c r="C564" s="1027"/>
      <c r="D564" s="975"/>
      <c r="E564" s="980"/>
      <c r="F564" s="975"/>
      <c r="G564" s="979"/>
      <c r="H564" s="975"/>
      <c r="I564" s="980"/>
      <c r="J564" s="975"/>
      <c r="K564" s="975"/>
      <c r="L564" s="975"/>
      <c r="M564" s="755" t="e">
        <f>+VLOOKUP(G564,'S1&amp;2 Lists'!$C$8:$G$134,3,FALSE)</f>
        <v>#N/A</v>
      </c>
      <c r="N564" s="755" t="e">
        <f t="shared" si="8"/>
        <v>#N/A</v>
      </c>
      <c r="P564" s="1049">
        <f>ROUND(IF(L564='S1&amp;2 Lists'!$CV$3,K564,IF(L564='S1&amp;2 Lists'!$CV$4,K564/'S1&amp;2 Lists'!$CQ$6,0)),3)</f>
        <v>0</v>
      </c>
      <c r="Q564" s="326" t="s">
        <v>264</v>
      </c>
    </row>
    <row r="565" spans="1:17" s="756" customFormat="1" ht="24" customHeight="1">
      <c r="A565" s="975"/>
      <c r="B565" s="975"/>
      <c r="C565" s="1027"/>
      <c r="D565" s="975"/>
      <c r="E565" s="980"/>
      <c r="F565" s="975"/>
      <c r="G565" s="979"/>
      <c r="H565" s="975"/>
      <c r="I565" s="980"/>
      <c r="J565" s="975"/>
      <c r="K565" s="975"/>
      <c r="L565" s="975"/>
      <c r="M565" s="755" t="e">
        <f>+VLOOKUP(G565,'S1&amp;2 Lists'!$C$8:$G$134,3,FALSE)</f>
        <v>#N/A</v>
      </c>
      <c r="N565" s="755" t="e">
        <f t="shared" si="8"/>
        <v>#N/A</v>
      </c>
      <c r="P565" s="1049">
        <f>ROUND(IF(L565='S1&amp;2 Lists'!$CV$3,K565,IF(L565='S1&amp;2 Lists'!$CV$4,K565/'S1&amp;2 Lists'!$CQ$6,0)),3)</f>
        <v>0</v>
      </c>
      <c r="Q565" s="326" t="s">
        <v>264</v>
      </c>
    </row>
    <row r="566" spans="1:17" s="756" customFormat="1" ht="24" customHeight="1">
      <c r="A566" s="975"/>
      <c r="B566" s="975"/>
      <c r="C566" s="1027"/>
      <c r="D566" s="975"/>
      <c r="E566" s="980"/>
      <c r="F566" s="975"/>
      <c r="G566" s="979"/>
      <c r="H566" s="975"/>
      <c r="I566" s="980"/>
      <c r="J566" s="975"/>
      <c r="K566" s="975"/>
      <c r="L566" s="975"/>
      <c r="M566" s="755" t="e">
        <f>+VLOOKUP(G566,'S1&amp;2 Lists'!$C$8:$G$134,3,FALSE)</f>
        <v>#N/A</v>
      </c>
      <c r="N566" s="755" t="e">
        <f t="shared" si="8"/>
        <v>#N/A</v>
      </c>
      <c r="P566" s="1049">
        <f>ROUND(IF(L566='S1&amp;2 Lists'!$CV$3,K566,IF(L566='S1&amp;2 Lists'!$CV$4,K566/'S1&amp;2 Lists'!$CQ$6,0)),3)</f>
        <v>0</v>
      </c>
      <c r="Q566" s="326" t="s">
        <v>264</v>
      </c>
    </row>
    <row r="567" spans="1:17" s="756" customFormat="1" ht="24" customHeight="1">
      <c r="A567" s="975"/>
      <c r="B567" s="975"/>
      <c r="C567" s="1027"/>
      <c r="D567" s="975"/>
      <c r="E567" s="980"/>
      <c r="F567" s="975"/>
      <c r="G567" s="979"/>
      <c r="H567" s="975"/>
      <c r="I567" s="980"/>
      <c r="J567" s="975"/>
      <c r="K567" s="975"/>
      <c r="L567" s="975"/>
      <c r="M567" s="755" t="e">
        <f>+VLOOKUP(G567,'S1&amp;2 Lists'!$C$8:$G$134,3,FALSE)</f>
        <v>#N/A</v>
      </c>
      <c r="N567" s="755" t="e">
        <f t="shared" si="8"/>
        <v>#N/A</v>
      </c>
      <c r="P567" s="1049">
        <f>ROUND(IF(L567='S1&amp;2 Lists'!$CV$3,K567,IF(L567='S1&amp;2 Lists'!$CV$4,K567/'S1&amp;2 Lists'!$CQ$6,0)),3)</f>
        <v>0</v>
      </c>
      <c r="Q567" s="326" t="s">
        <v>264</v>
      </c>
    </row>
    <row r="568" spans="1:17" s="756" customFormat="1" ht="24" customHeight="1">
      <c r="A568" s="975"/>
      <c r="B568" s="975"/>
      <c r="C568" s="1027"/>
      <c r="D568" s="975"/>
      <c r="E568" s="980"/>
      <c r="F568" s="975"/>
      <c r="G568" s="979"/>
      <c r="H568" s="975"/>
      <c r="I568" s="980"/>
      <c r="J568" s="975"/>
      <c r="K568" s="975"/>
      <c r="L568" s="975"/>
      <c r="M568" s="755" t="e">
        <f>+VLOOKUP(G568,'S1&amp;2 Lists'!$C$8:$G$134,3,FALSE)</f>
        <v>#N/A</v>
      </c>
      <c r="N568" s="755" t="e">
        <f t="shared" si="8"/>
        <v>#N/A</v>
      </c>
      <c r="P568" s="1049">
        <f>ROUND(IF(L568='S1&amp;2 Lists'!$CV$3,K568,IF(L568='S1&amp;2 Lists'!$CV$4,K568/'S1&amp;2 Lists'!$CQ$6,0)),3)</f>
        <v>0</v>
      </c>
      <c r="Q568" s="326" t="s">
        <v>264</v>
      </c>
    </row>
    <row r="569" spans="1:17" s="756" customFormat="1" ht="24" customHeight="1">
      <c r="A569" s="975"/>
      <c r="B569" s="975"/>
      <c r="C569" s="1027"/>
      <c r="D569" s="975"/>
      <c r="E569" s="980"/>
      <c r="F569" s="975"/>
      <c r="G569" s="979"/>
      <c r="H569" s="975"/>
      <c r="I569" s="980"/>
      <c r="J569" s="975"/>
      <c r="K569" s="975"/>
      <c r="L569" s="975"/>
      <c r="M569" s="755" t="e">
        <f>+VLOOKUP(G569,'S1&amp;2 Lists'!$C$8:$G$134,3,FALSE)</f>
        <v>#N/A</v>
      </c>
      <c r="N569" s="755" t="e">
        <f t="shared" si="8"/>
        <v>#N/A</v>
      </c>
      <c r="P569" s="1049">
        <f>ROUND(IF(L569='S1&amp;2 Lists'!$CV$3,K569,IF(L569='S1&amp;2 Lists'!$CV$4,K569/'S1&amp;2 Lists'!$CQ$6,0)),3)</f>
        <v>0</v>
      </c>
      <c r="Q569" s="326" t="s">
        <v>264</v>
      </c>
    </row>
    <row r="570" spans="1:17" s="756" customFormat="1" ht="24" customHeight="1">
      <c r="A570" s="975"/>
      <c r="B570" s="975"/>
      <c r="C570" s="1027"/>
      <c r="D570" s="975"/>
      <c r="E570" s="980"/>
      <c r="F570" s="975"/>
      <c r="G570" s="979"/>
      <c r="H570" s="975"/>
      <c r="I570" s="980"/>
      <c r="J570" s="975"/>
      <c r="K570" s="975"/>
      <c r="L570" s="975"/>
      <c r="M570" s="755" t="e">
        <f>+VLOOKUP(G570,'S1&amp;2 Lists'!$C$8:$G$134,3,FALSE)</f>
        <v>#N/A</v>
      </c>
      <c r="N570" s="755" t="e">
        <f t="shared" si="8"/>
        <v>#N/A</v>
      </c>
      <c r="P570" s="1049">
        <f>ROUND(IF(L570='S1&amp;2 Lists'!$CV$3,K570,IF(L570='S1&amp;2 Lists'!$CV$4,K570/'S1&amp;2 Lists'!$CQ$6,0)),3)</f>
        <v>0</v>
      </c>
      <c r="Q570" s="326" t="s">
        <v>264</v>
      </c>
    </row>
    <row r="571" spans="1:17" s="756" customFormat="1" ht="24" customHeight="1">
      <c r="A571" s="975"/>
      <c r="B571" s="975"/>
      <c r="C571" s="1027"/>
      <c r="D571" s="975"/>
      <c r="E571" s="980"/>
      <c r="F571" s="975"/>
      <c r="G571" s="979"/>
      <c r="H571" s="975"/>
      <c r="I571" s="980"/>
      <c r="J571" s="975"/>
      <c r="K571" s="975"/>
      <c r="L571" s="975"/>
      <c r="M571" s="755" t="e">
        <f>+VLOOKUP(G571,'S1&amp;2 Lists'!$C$8:$G$134,3,FALSE)</f>
        <v>#N/A</v>
      </c>
      <c r="N571" s="755" t="e">
        <f t="shared" si="8"/>
        <v>#N/A</v>
      </c>
      <c r="P571" s="1049">
        <f>ROUND(IF(L571='S1&amp;2 Lists'!$CV$3,K571,IF(L571='S1&amp;2 Lists'!$CV$4,K571/'S1&amp;2 Lists'!$CQ$6,0)),3)</f>
        <v>0</v>
      </c>
      <c r="Q571" s="326" t="s">
        <v>264</v>
      </c>
    </row>
    <row r="572" spans="1:17" s="756" customFormat="1" ht="24" customHeight="1">
      <c r="A572" s="975"/>
      <c r="B572" s="975"/>
      <c r="C572" s="1027"/>
      <c r="D572" s="975"/>
      <c r="E572" s="980"/>
      <c r="F572" s="975"/>
      <c r="G572" s="979"/>
      <c r="H572" s="975"/>
      <c r="I572" s="980"/>
      <c r="J572" s="975"/>
      <c r="K572" s="975"/>
      <c r="L572" s="975"/>
      <c r="M572" s="755" t="e">
        <f>+VLOOKUP(G572,'S1&amp;2 Lists'!$C$8:$G$134,3,FALSE)</f>
        <v>#N/A</v>
      </c>
      <c r="N572" s="755" t="e">
        <f t="shared" si="8"/>
        <v>#N/A</v>
      </c>
      <c r="P572" s="1049">
        <f>ROUND(IF(L572='S1&amp;2 Lists'!$CV$3,K572,IF(L572='S1&amp;2 Lists'!$CV$4,K572/'S1&amp;2 Lists'!$CQ$6,0)),3)</f>
        <v>0</v>
      </c>
      <c r="Q572" s="326" t="s">
        <v>264</v>
      </c>
    </row>
    <row r="573" spans="1:17" s="756" customFormat="1" ht="24" customHeight="1">
      <c r="A573" s="975"/>
      <c r="B573" s="975"/>
      <c r="C573" s="1027"/>
      <c r="D573" s="975"/>
      <c r="E573" s="980"/>
      <c r="F573" s="975"/>
      <c r="G573" s="979"/>
      <c r="H573" s="975"/>
      <c r="I573" s="980"/>
      <c r="J573" s="975"/>
      <c r="K573" s="975"/>
      <c r="L573" s="975"/>
      <c r="M573" s="755" t="e">
        <f>+VLOOKUP(G573,'S1&amp;2 Lists'!$C$8:$G$134,3,FALSE)</f>
        <v>#N/A</v>
      </c>
      <c r="N573" s="755" t="e">
        <f t="shared" si="8"/>
        <v>#N/A</v>
      </c>
      <c r="P573" s="1049">
        <f>ROUND(IF(L573='S1&amp;2 Lists'!$CV$3,K573,IF(L573='S1&amp;2 Lists'!$CV$4,K573/'S1&amp;2 Lists'!$CQ$6,0)),3)</f>
        <v>0</v>
      </c>
      <c r="Q573" s="326" t="s">
        <v>264</v>
      </c>
    </row>
    <row r="574" spans="1:17" s="756" customFormat="1" ht="24" customHeight="1">
      <c r="A574" s="975"/>
      <c r="B574" s="975"/>
      <c r="C574" s="1027"/>
      <c r="D574" s="975"/>
      <c r="E574" s="980"/>
      <c r="F574" s="975"/>
      <c r="G574" s="979"/>
      <c r="H574" s="975"/>
      <c r="I574" s="980"/>
      <c r="J574" s="975"/>
      <c r="K574" s="975"/>
      <c r="L574" s="975"/>
      <c r="M574" s="755" t="e">
        <f>+VLOOKUP(G574,'S1&amp;2 Lists'!$C$8:$G$134,3,FALSE)</f>
        <v>#N/A</v>
      </c>
      <c r="N574" s="755" t="e">
        <f t="shared" si="8"/>
        <v>#N/A</v>
      </c>
      <c r="P574" s="1049">
        <f>ROUND(IF(L574='S1&amp;2 Lists'!$CV$3,K574,IF(L574='S1&amp;2 Lists'!$CV$4,K574/'S1&amp;2 Lists'!$CQ$6,0)),3)</f>
        <v>0</v>
      </c>
      <c r="Q574" s="326" t="s">
        <v>264</v>
      </c>
    </row>
    <row r="575" spans="1:17" s="756" customFormat="1" ht="24" customHeight="1">
      <c r="A575" s="975"/>
      <c r="B575" s="975"/>
      <c r="C575" s="1027"/>
      <c r="D575" s="975"/>
      <c r="E575" s="980"/>
      <c r="F575" s="975"/>
      <c r="G575" s="979"/>
      <c r="H575" s="975"/>
      <c r="I575" s="980"/>
      <c r="J575" s="975"/>
      <c r="K575" s="975"/>
      <c r="L575" s="975"/>
      <c r="M575" s="755" t="e">
        <f>+VLOOKUP(G575,'S1&amp;2 Lists'!$C$8:$G$134,3,FALSE)</f>
        <v>#N/A</v>
      </c>
      <c r="N575" s="755" t="e">
        <f t="shared" si="8"/>
        <v>#N/A</v>
      </c>
      <c r="P575" s="1049">
        <f>ROUND(IF(L575='S1&amp;2 Lists'!$CV$3,K575,IF(L575='S1&amp;2 Lists'!$CV$4,K575/'S1&amp;2 Lists'!$CQ$6,0)),3)</f>
        <v>0</v>
      </c>
      <c r="Q575" s="326" t="s">
        <v>264</v>
      </c>
    </row>
    <row r="576" spans="1:17" s="756" customFormat="1" ht="24" customHeight="1">
      <c r="A576" s="975"/>
      <c r="B576" s="975"/>
      <c r="C576" s="1027"/>
      <c r="D576" s="975"/>
      <c r="E576" s="980"/>
      <c r="F576" s="975"/>
      <c r="G576" s="979"/>
      <c r="H576" s="975"/>
      <c r="I576" s="980"/>
      <c r="J576" s="975"/>
      <c r="K576" s="975"/>
      <c r="L576" s="975"/>
      <c r="M576" s="755" t="e">
        <f>+VLOOKUP(G576,'S1&amp;2 Lists'!$C$8:$G$134,3,FALSE)</f>
        <v>#N/A</v>
      </c>
      <c r="N576" s="755" t="e">
        <f t="shared" si="8"/>
        <v>#N/A</v>
      </c>
      <c r="P576" s="1049">
        <f>ROUND(IF(L576='S1&amp;2 Lists'!$CV$3,K576,IF(L576='S1&amp;2 Lists'!$CV$4,K576/'S1&amp;2 Lists'!$CQ$6,0)),3)</f>
        <v>0</v>
      </c>
      <c r="Q576" s="326" t="s">
        <v>264</v>
      </c>
    </row>
    <row r="577" spans="1:17" s="756" customFormat="1" ht="24" customHeight="1">
      <c r="A577" s="975"/>
      <c r="B577" s="975"/>
      <c r="C577" s="1027"/>
      <c r="D577" s="975"/>
      <c r="E577" s="980"/>
      <c r="F577" s="975"/>
      <c r="G577" s="979"/>
      <c r="H577" s="975"/>
      <c r="I577" s="980"/>
      <c r="J577" s="975"/>
      <c r="K577" s="975"/>
      <c r="L577" s="975"/>
      <c r="M577" s="755" t="e">
        <f>+VLOOKUP(G577,'S1&amp;2 Lists'!$C$8:$G$134,3,FALSE)</f>
        <v>#N/A</v>
      </c>
      <c r="N577" s="755" t="e">
        <f t="shared" si="8"/>
        <v>#N/A</v>
      </c>
      <c r="P577" s="1049">
        <f>ROUND(IF(L577='S1&amp;2 Lists'!$CV$3,K577,IF(L577='S1&amp;2 Lists'!$CV$4,K577/'S1&amp;2 Lists'!$CQ$6,0)),3)</f>
        <v>0</v>
      </c>
      <c r="Q577" s="326" t="s">
        <v>264</v>
      </c>
    </row>
    <row r="578" spans="1:17" s="756" customFormat="1" ht="24" customHeight="1">
      <c r="A578" s="975"/>
      <c r="B578" s="975"/>
      <c r="C578" s="1027"/>
      <c r="D578" s="975"/>
      <c r="E578" s="980"/>
      <c r="F578" s="975"/>
      <c r="G578" s="979"/>
      <c r="H578" s="975"/>
      <c r="I578" s="980"/>
      <c r="J578" s="975"/>
      <c r="K578" s="975"/>
      <c r="L578" s="975"/>
      <c r="M578" s="755" t="e">
        <f>+VLOOKUP(G578,'S1&amp;2 Lists'!$C$8:$G$134,3,FALSE)</f>
        <v>#N/A</v>
      </c>
      <c r="N578" s="755" t="e">
        <f t="shared" si="8"/>
        <v>#N/A</v>
      </c>
      <c r="P578" s="1049">
        <f>ROUND(IF(L578='S1&amp;2 Lists'!$CV$3,K578,IF(L578='S1&amp;2 Lists'!$CV$4,K578/'S1&amp;2 Lists'!$CQ$6,0)),3)</f>
        <v>0</v>
      </c>
      <c r="Q578" s="326" t="s">
        <v>264</v>
      </c>
    </row>
    <row r="579" spans="1:17" s="756" customFormat="1" ht="24" customHeight="1">
      <c r="A579" s="975"/>
      <c r="B579" s="975"/>
      <c r="C579" s="1027"/>
      <c r="D579" s="975"/>
      <c r="E579" s="980"/>
      <c r="F579" s="975"/>
      <c r="G579" s="979"/>
      <c r="H579" s="975"/>
      <c r="I579" s="980"/>
      <c r="J579" s="975"/>
      <c r="K579" s="975"/>
      <c r="L579" s="975"/>
      <c r="M579" s="755" t="e">
        <f>+VLOOKUP(G579,'S1&amp;2 Lists'!$C$8:$G$134,3,FALSE)</f>
        <v>#N/A</v>
      </c>
      <c r="N579" s="755" t="e">
        <f t="shared" si="8"/>
        <v>#N/A</v>
      </c>
      <c r="P579" s="1049">
        <f>ROUND(IF(L579='S1&amp;2 Lists'!$CV$3,K579,IF(L579='S1&amp;2 Lists'!$CV$4,K579/'S1&amp;2 Lists'!$CQ$6,0)),3)</f>
        <v>0</v>
      </c>
      <c r="Q579" s="326" t="s">
        <v>264</v>
      </c>
    </row>
    <row r="580" spans="1:17" s="756" customFormat="1" ht="24" customHeight="1">
      <c r="A580" s="975"/>
      <c r="B580" s="975"/>
      <c r="C580" s="1027"/>
      <c r="D580" s="975"/>
      <c r="E580" s="980"/>
      <c r="F580" s="975"/>
      <c r="G580" s="979"/>
      <c r="H580" s="975"/>
      <c r="I580" s="980"/>
      <c r="J580" s="975"/>
      <c r="K580" s="975"/>
      <c r="L580" s="975"/>
      <c r="M580" s="755" t="e">
        <f>+VLOOKUP(G580,'S1&amp;2 Lists'!$C$8:$G$134,3,FALSE)</f>
        <v>#N/A</v>
      </c>
      <c r="N580" s="755" t="e">
        <f t="shared" si="8"/>
        <v>#N/A</v>
      </c>
      <c r="P580" s="1049">
        <f>ROUND(IF(L580='S1&amp;2 Lists'!$CV$3,K580,IF(L580='S1&amp;2 Lists'!$CV$4,K580/'S1&amp;2 Lists'!$CQ$6,0)),3)</f>
        <v>0</v>
      </c>
      <c r="Q580" s="326" t="s">
        <v>264</v>
      </c>
    </row>
    <row r="581" spans="1:17" s="756" customFormat="1" ht="24" customHeight="1">
      <c r="A581" s="975"/>
      <c r="B581" s="975"/>
      <c r="C581" s="1027"/>
      <c r="D581" s="975"/>
      <c r="E581" s="980"/>
      <c r="F581" s="975"/>
      <c r="G581" s="979"/>
      <c r="H581" s="975"/>
      <c r="I581" s="980"/>
      <c r="J581" s="975"/>
      <c r="K581" s="975"/>
      <c r="L581" s="975"/>
      <c r="M581" s="755" t="e">
        <f>+VLOOKUP(G581,'S1&amp;2 Lists'!$C$8:$G$134,3,FALSE)</f>
        <v>#N/A</v>
      </c>
      <c r="N581" s="755" t="e">
        <f t="shared" si="8"/>
        <v>#N/A</v>
      </c>
      <c r="P581" s="1049">
        <f>ROUND(IF(L581='S1&amp;2 Lists'!$CV$3,K581,IF(L581='S1&amp;2 Lists'!$CV$4,K581/'S1&amp;2 Lists'!$CQ$6,0)),3)</f>
        <v>0</v>
      </c>
      <c r="Q581" s="326" t="s">
        <v>264</v>
      </c>
    </row>
    <row r="582" spans="1:17" s="756" customFormat="1" ht="24" customHeight="1">
      <c r="A582" s="975"/>
      <c r="B582" s="975"/>
      <c r="C582" s="1027"/>
      <c r="D582" s="975"/>
      <c r="E582" s="980"/>
      <c r="F582" s="975"/>
      <c r="G582" s="979"/>
      <c r="H582" s="975"/>
      <c r="I582" s="980"/>
      <c r="J582" s="975"/>
      <c r="K582" s="975"/>
      <c r="L582" s="975"/>
      <c r="M582" s="755" t="e">
        <f>+VLOOKUP(G582,'S1&amp;2 Lists'!$C$8:$G$134,3,FALSE)</f>
        <v>#N/A</v>
      </c>
      <c r="N582" s="755" t="e">
        <f t="shared" si="8"/>
        <v>#N/A</v>
      </c>
      <c r="P582" s="1049">
        <f>ROUND(IF(L582='S1&amp;2 Lists'!$CV$3,K582,IF(L582='S1&amp;2 Lists'!$CV$4,K582/'S1&amp;2 Lists'!$CQ$6,0)),3)</f>
        <v>0</v>
      </c>
      <c r="Q582" s="326" t="s">
        <v>264</v>
      </c>
    </row>
    <row r="583" spans="1:17" s="756" customFormat="1" ht="24" customHeight="1">
      <c r="A583" s="975"/>
      <c r="B583" s="975"/>
      <c r="C583" s="1027"/>
      <c r="D583" s="975"/>
      <c r="E583" s="980"/>
      <c r="F583" s="975"/>
      <c r="G583" s="979"/>
      <c r="H583" s="975"/>
      <c r="I583" s="980"/>
      <c r="J583" s="975"/>
      <c r="K583" s="975"/>
      <c r="L583" s="975"/>
      <c r="M583" s="755" t="e">
        <f>+VLOOKUP(G583,'S1&amp;2 Lists'!$C$8:$G$134,3,FALSE)</f>
        <v>#N/A</v>
      </c>
      <c r="N583" s="755" t="e">
        <f t="shared" si="8"/>
        <v>#N/A</v>
      </c>
      <c r="P583" s="1049">
        <f>ROUND(IF(L583='S1&amp;2 Lists'!$CV$3,K583,IF(L583='S1&amp;2 Lists'!$CV$4,K583/'S1&amp;2 Lists'!$CQ$6,0)),3)</f>
        <v>0</v>
      </c>
      <c r="Q583" s="326" t="s">
        <v>264</v>
      </c>
    </row>
    <row r="584" spans="1:17" s="756" customFormat="1" ht="24" customHeight="1">
      <c r="A584" s="975"/>
      <c r="B584" s="975"/>
      <c r="C584" s="1027"/>
      <c r="D584" s="975"/>
      <c r="E584" s="980"/>
      <c r="F584" s="975"/>
      <c r="G584" s="979"/>
      <c r="H584" s="975"/>
      <c r="I584" s="980"/>
      <c r="J584" s="975"/>
      <c r="K584" s="975"/>
      <c r="L584" s="975"/>
      <c r="M584" s="755" t="e">
        <f>+VLOOKUP(G584,'S1&amp;2 Lists'!$C$8:$G$134,3,FALSE)</f>
        <v>#N/A</v>
      </c>
      <c r="N584" s="755" t="e">
        <f t="shared" si="8"/>
        <v>#N/A</v>
      </c>
      <c r="P584" s="1049">
        <f>ROUND(IF(L584='S1&amp;2 Lists'!$CV$3,K584,IF(L584='S1&amp;2 Lists'!$CV$4,K584/'S1&amp;2 Lists'!$CQ$6,0)),3)</f>
        <v>0</v>
      </c>
      <c r="Q584" s="326" t="s">
        <v>264</v>
      </c>
    </row>
    <row r="585" spans="1:17" s="756" customFormat="1" ht="24" customHeight="1">
      <c r="A585" s="975"/>
      <c r="B585" s="975"/>
      <c r="C585" s="1027"/>
      <c r="D585" s="975"/>
      <c r="E585" s="980"/>
      <c r="F585" s="975"/>
      <c r="G585" s="979"/>
      <c r="H585" s="975"/>
      <c r="I585" s="980"/>
      <c r="J585" s="975"/>
      <c r="K585" s="975"/>
      <c r="L585" s="975"/>
      <c r="M585" s="755" t="e">
        <f>+VLOOKUP(G585,'S1&amp;2 Lists'!$C$8:$G$134,3,FALSE)</f>
        <v>#N/A</v>
      </c>
      <c r="N585" s="755" t="e">
        <f t="shared" si="8"/>
        <v>#N/A</v>
      </c>
      <c r="P585" s="1049">
        <f>ROUND(IF(L585='S1&amp;2 Lists'!$CV$3,K585,IF(L585='S1&amp;2 Lists'!$CV$4,K585/'S1&amp;2 Lists'!$CQ$6,0)),3)</f>
        <v>0</v>
      </c>
      <c r="Q585" s="326" t="s">
        <v>264</v>
      </c>
    </row>
    <row r="586" spans="1:17" s="756" customFormat="1" ht="24" customHeight="1">
      <c r="A586" s="975"/>
      <c r="B586" s="975"/>
      <c r="C586" s="1027"/>
      <c r="D586" s="975"/>
      <c r="E586" s="980"/>
      <c r="F586" s="975"/>
      <c r="G586" s="979"/>
      <c r="H586" s="975"/>
      <c r="I586" s="980"/>
      <c r="J586" s="975"/>
      <c r="K586" s="975"/>
      <c r="L586" s="975"/>
      <c r="M586" s="755" t="e">
        <f>+VLOOKUP(G586,'S1&amp;2 Lists'!$C$8:$G$134,3,FALSE)</f>
        <v>#N/A</v>
      </c>
      <c r="N586" s="755" t="e">
        <f t="shared" ref="N586:N649" si="9">+P586*M586</f>
        <v>#N/A</v>
      </c>
      <c r="P586" s="1049">
        <f>ROUND(IF(L586='S1&amp;2 Lists'!$CV$3,K586,IF(L586='S1&amp;2 Lists'!$CV$4,K586/'S1&amp;2 Lists'!$CQ$6,0)),3)</f>
        <v>0</v>
      </c>
      <c r="Q586" s="326" t="s">
        <v>264</v>
      </c>
    </row>
    <row r="587" spans="1:17" s="756" customFormat="1" ht="24" customHeight="1">
      <c r="A587" s="975"/>
      <c r="B587" s="975"/>
      <c r="C587" s="1027"/>
      <c r="D587" s="975"/>
      <c r="E587" s="980"/>
      <c r="F587" s="975"/>
      <c r="G587" s="979"/>
      <c r="H587" s="975"/>
      <c r="I587" s="980"/>
      <c r="J587" s="975"/>
      <c r="K587" s="975"/>
      <c r="L587" s="975"/>
      <c r="M587" s="755" t="e">
        <f>+VLOOKUP(G587,'S1&amp;2 Lists'!$C$8:$G$134,3,FALSE)</f>
        <v>#N/A</v>
      </c>
      <c r="N587" s="755" t="e">
        <f t="shared" si="9"/>
        <v>#N/A</v>
      </c>
      <c r="P587" s="1049">
        <f>ROUND(IF(L587='S1&amp;2 Lists'!$CV$3,K587,IF(L587='S1&amp;2 Lists'!$CV$4,K587/'S1&amp;2 Lists'!$CQ$6,0)),3)</f>
        <v>0</v>
      </c>
      <c r="Q587" s="326" t="s">
        <v>264</v>
      </c>
    </row>
    <row r="588" spans="1:17" s="756" customFormat="1" ht="24" customHeight="1">
      <c r="A588" s="975"/>
      <c r="B588" s="975"/>
      <c r="C588" s="1027"/>
      <c r="D588" s="975"/>
      <c r="E588" s="980"/>
      <c r="F588" s="975"/>
      <c r="G588" s="979"/>
      <c r="H588" s="975"/>
      <c r="I588" s="980"/>
      <c r="J588" s="975"/>
      <c r="K588" s="975"/>
      <c r="L588" s="975"/>
      <c r="M588" s="755" t="e">
        <f>+VLOOKUP(G588,'S1&amp;2 Lists'!$C$8:$G$134,3,FALSE)</f>
        <v>#N/A</v>
      </c>
      <c r="N588" s="755" t="e">
        <f t="shared" si="9"/>
        <v>#N/A</v>
      </c>
      <c r="P588" s="1049">
        <f>ROUND(IF(L588='S1&amp;2 Lists'!$CV$3,K588,IF(L588='S1&amp;2 Lists'!$CV$4,K588/'S1&amp;2 Lists'!$CQ$6,0)),3)</f>
        <v>0</v>
      </c>
      <c r="Q588" s="326" t="s">
        <v>264</v>
      </c>
    </row>
    <row r="589" spans="1:17" s="756" customFormat="1" ht="24" customHeight="1">
      <c r="A589" s="975"/>
      <c r="B589" s="975"/>
      <c r="C589" s="1027"/>
      <c r="D589" s="975"/>
      <c r="E589" s="980"/>
      <c r="F589" s="975"/>
      <c r="G589" s="979"/>
      <c r="H589" s="975"/>
      <c r="I589" s="980"/>
      <c r="J589" s="975"/>
      <c r="K589" s="975"/>
      <c r="L589" s="975"/>
      <c r="M589" s="755" t="e">
        <f>+VLOOKUP(G589,'S1&amp;2 Lists'!$C$8:$G$134,3,FALSE)</f>
        <v>#N/A</v>
      </c>
      <c r="N589" s="755" t="e">
        <f t="shared" si="9"/>
        <v>#N/A</v>
      </c>
      <c r="P589" s="1049">
        <f>ROUND(IF(L589='S1&amp;2 Lists'!$CV$3,K589,IF(L589='S1&amp;2 Lists'!$CV$4,K589/'S1&amp;2 Lists'!$CQ$6,0)),3)</f>
        <v>0</v>
      </c>
      <c r="Q589" s="326" t="s">
        <v>264</v>
      </c>
    </row>
    <row r="590" spans="1:17" s="756" customFormat="1" ht="24" customHeight="1">
      <c r="A590" s="975"/>
      <c r="B590" s="975"/>
      <c r="C590" s="1027"/>
      <c r="D590" s="975"/>
      <c r="E590" s="980"/>
      <c r="F590" s="975"/>
      <c r="G590" s="979"/>
      <c r="H590" s="975"/>
      <c r="I590" s="980"/>
      <c r="J590" s="975"/>
      <c r="K590" s="975"/>
      <c r="L590" s="975"/>
      <c r="M590" s="755" t="e">
        <f>+VLOOKUP(G590,'S1&amp;2 Lists'!$C$8:$G$134,3,FALSE)</f>
        <v>#N/A</v>
      </c>
      <c r="N590" s="755" t="e">
        <f t="shared" si="9"/>
        <v>#N/A</v>
      </c>
      <c r="P590" s="1049">
        <f>ROUND(IF(L590='S1&amp;2 Lists'!$CV$3,K590,IF(L590='S1&amp;2 Lists'!$CV$4,K590/'S1&amp;2 Lists'!$CQ$6,0)),3)</f>
        <v>0</v>
      </c>
      <c r="Q590" s="326" t="s">
        <v>264</v>
      </c>
    </row>
    <row r="591" spans="1:17" s="756" customFormat="1" ht="24" customHeight="1">
      <c r="A591" s="975"/>
      <c r="B591" s="975"/>
      <c r="C591" s="1027"/>
      <c r="D591" s="975"/>
      <c r="E591" s="980"/>
      <c r="F591" s="975"/>
      <c r="G591" s="979"/>
      <c r="H591" s="975"/>
      <c r="I591" s="980"/>
      <c r="J591" s="975"/>
      <c r="K591" s="975"/>
      <c r="L591" s="975"/>
      <c r="M591" s="755" t="e">
        <f>+VLOOKUP(G591,'S1&amp;2 Lists'!$C$8:$G$134,3,FALSE)</f>
        <v>#N/A</v>
      </c>
      <c r="N591" s="755" t="e">
        <f t="shared" si="9"/>
        <v>#N/A</v>
      </c>
      <c r="P591" s="1049">
        <f>ROUND(IF(L591='S1&amp;2 Lists'!$CV$3,K591,IF(L591='S1&amp;2 Lists'!$CV$4,K591/'S1&amp;2 Lists'!$CQ$6,0)),3)</f>
        <v>0</v>
      </c>
      <c r="Q591" s="326" t="s">
        <v>264</v>
      </c>
    </row>
    <row r="592" spans="1:17" s="756" customFormat="1" ht="24" customHeight="1">
      <c r="A592" s="975"/>
      <c r="B592" s="975"/>
      <c r="C592" s="1027"/>
      <c r="D592" s="975"/>
      <c r="E592" s="980"/>
      <c r="F592" s="975"/>
      <c r="G592" s="979"/>
      <c r="H592" s="975"/>
      <c r="I592" s="980"/>
      <c r="J592" s="975"/>
      <c r="K592" s="975"/>
      <c r="L592" s="975"/>
      <c r="M592" s="755" t="e">
        <f>+VLOOKUP(G592,'S1&amp;2 Lists'!$C$8:$G$134,3,FALSE)</f>
        <v>#N/A</v>
      </c>
      <c r="N592" s="755" t="e">
        <f t="shared" si="9"/>
        <v>#N/A</v>
      </c>
      <c r="P592" s="1049">
        <f>ROUND(IF(L592='S1&amp;2 Lists'!$CV$3,K592,IF(L592='S1&amp;2 Lists'!$CV$4,K592/'S1&amp;2 Lists'!$CQ$6,0)),3)</f>
        <v>0</v>
      </c>
      <c r="Q592" s="326" t="s">
        <v>264</v>
      </c>
    </row>
    <row r="593" spans="1:17" s="756" customFormat="1" ht="24" customHeight="1">
      <c r="A593" s="975"/>
      <c r="B593" s="975"/>
      <c r="C593" s="1027"/>
      <c r="D593" s="975"/>
      <c r="E593" s="980"/>
      <c r="F593" s="975"/>
      <c r="G593" s="979"/>
      <c r="H593" s="975"/>
      <c r="I593" s="980"/>
      <c r="J593" s="975"/>
      <c r="K593" s="975"/>
      <c r="L593" s="975"/>
      <c r="M593" s="755" t="e">
        <f>+VLOOKUP(G593,'S1&amp;2 Lists'!$C$8:$G$134,3,FALSE)</f>
        <v>#N/A</v>
      </c>
      <c r="N593" s="755" t="e">
        <f t="shared" si="9"/>
        <v>#N/A</v>
      </c>
      <c r="P593" s="1049">
        <f>ROUND(IF(L593='S1&amp;2 Lists'!$CV$3,K593,IF(L593='S1&amp;2 Lists'!$CV$4,K593/'S1&amp;2 Lists'!$CQ$6,0)),3)</f>
        <v>0</v>
      </c>
      <c r="Q593" s="326" t="s">
        <v>264</v>
      </c>
    </row>
    <row r="594" spans="1:17" s="756" customFormat="1" ht="24" customHeight="1">
      <c r="A594" s="975"/>
      <c r="B594" s="975"/>
      <c r="C594" s="1027"/>
      <c r="D594" s="975"/>
      <c r="E594" s="980"/>
      <c r="F594" s="975"/>
      <c r="G594" s="979"/>
      <c r="H594" s="975"/>
      <c r="I594" s="980"/>
      <c r="J594" s="975"/>
      <c r="K594" s="975"/>
      <c r="L594" s="975"/>
      <c r="M594" s="755" t="e">
        <f>+VLOOKUP(G594,'S1&amp;2 Lists'!$C$8:$G$134,3,FALSE)</f>
        <v>#N/A</v>
      </c>
      <c r="N594" s="755" t="e">
        <f t="shared" si="9"/>
        <v>#N/A</v>
      </c>
      <c r="P594" s="1049">
        <f>ROUND(IF(L594='S1&amp;2 Lists'!$CV$3,K594,IF(L594='S1&amp;2 Lists'!$CV$4,K594/'S1&amp;2 Lists'!$CQ$6,0)),3)</f>
        <v>0</v>
      </c>
      <c r="Q594" s="326" t="s">
        <v>264</v>
      </c>
    </row>
    <row r="595" spans="1:17" s="756" customFormat="1" ht="24" customHeight="1">
      <c r="A595" s="975"/>
      <c r="B595" s="975"/>
      <c r="C595" s="1027"/>
      <c r="D595" s="975"/>
      <c r="E595" s="980"/>
      <c r="F595" s="975"/>
      <c r="G595" s="979"/>
      <c r="H595" s="975"/>
      <c r="I595" s="980"/>
      <c r="J595" s="975"/>
      <c r="K595" s="975"/>
      <c r="L595" s="975"/>
      <c r="M595" s="755" t="e">
        <f>+VLOOKUP(G595,'S1&amp;2 Lists'!$C$8:$G$134,3,FALSE)</f>
        <v>#N/A</v>
      </c>
      <c r="N595" s="755" t="e">
        <f t="shared" si="9"/>
        <v>#N/A</v>
      </c>
      <c r="P595" s="1049">
        <f>ROUND(IF(L595='S1&amp;2 Lists'!$CV$3,K595,IF(L595='S1&amp;2 Lists'!$CV$4,K595/'S1&amp;2 Lists'!$CQ$6,0)),3)</f>
        <v>0</v>
      </c>
      <c r="Q595" s="326" t="s">
        <v>264</v>
      </c>
    </row>
    <row r="596" spans="1:17" s="756" customFormat="1" ht="24" customHeight="1">
      <c r="A596" s="975"/>
      <c r="B596" s="975"/>
      <c r="C596" s="1027"/>
      <c r="D596" s="975"/>
      <c r="E596" s="980"/>
      <c r="F596" s="975"/>
      <c r="G596" s="979"/>
      <c r="H596" s="975"/>
      <c r="I596" s="980"/>
      <c r="J596" s="975"/>
      <c r="K596" s="975"/>
      <c r="L596" s="975"/>
      <c r="M596" s="755" t="e">
        <f>+VLOOKUP(G596,'S1&amp;2 Lists'!$C$8:$G$134,3,FALSE)</f>
        <v>#N/A</v>
      </c>
      <c r="N596" s="755" t="e">
        <f t="shared" si="9"/>
        <v>#N/A</v>
      </c>
      <c r="P596" s="1049">
        <f>ROUND(IF(L596='S1&amp;2 Lists'!$CV$3,K596,IF(L596='S1&amp;2 Lists'!$CV$4,K596/'S1&amp;2 Lists'!$CQ$6,0)),3)</f>
        <v>0</v>
      </c>
      <c r="Q596" s="326" t="s">
        <v>264</v>
      </c>
    </row>
    <row r="597" spans="1:17" s="756" customFormat="1" ht="24" customHeight="1">
      <c r="A597" s="975"/>
      <c r="B597" s="975"/>
      <c r="C597" s="1027"/>
      <c r="D597" s="975"/>
      <c r="E597" s="980"/>
      <c r="F597" s="975"/>
      <c r="G597" s="979"/>
      <c r="H597" s="975"/>
      <c r="I597" s="980"/>
      <c r="J597" s="975"/>
      <c r="K597" s="975"/>
      <c r="L597" s="975"/>
      <c r="M597" s="755" t="e">
        <f>+VLOOKUP(G597,'S1&amp;2 Lists'!$C$8:$G$134,3,FALSE)</f>
        <v>#N/A</v>
      </c>
      <c r="N597" s="755" t="e">
        <f t="shared" si="9"/>
        <v>#N/A</v>
      </c>
      <c r="P597" s="1049">
        <f>ROUND(IF(L597='S1&amp;2 Lists'!$CV$3,K597,IF(L597='S1&amp;2 Lists'!$CV$4,K597/'S1&amp;2 Lists'!$CQ$6,0)),3)</f>
        <v>0</v>
      </c>
      <c r="Q597" s="326" t="s">
        <v>264</v>
      </c>
    </row>
    <row r="598" spans="1:17" s="756" customFormat="1" ht="24" customHeight="1">
      <c r="A598" s="975"/>
      <c r="B598" s="975"/>
      <c r="C598" s="1027"/>
      <c r="D598" s="975"/>
      <c r="E598" s="980"/>
      <c r="F598" s="975"/>
      <c r="G598" s="979"/>
      <c r="H598" s="975"/>
      <c r="I598" s="980"/>
      <c r="J598" s="975"/>
      <c r="K598" s="975"/>
      <c r="L598" s="975"/>
      <c r="M598" s="755" t="e">
        <f>+VLOOKUP(G598,'S1&amp;2 Lists'!$C$8:$G$134,3,FALSE)</f>
        <v>#N/A</v>
      </c>
      <c r="N598" s="755" t="e">
        <f t="shared" si="9"/>
        <v>#N/A</v>
      </c>
      <c r="P598" s="1049">
        <f>ROUND(IF(L598='S1&amp;2 Lists'!$CV$3,K598,IF(L598='S1&amp;2 Lists'!$CV$4,K598/'S1&amp;2 Lists'!$CQ$6,0)),3)</f>
        <v>0</v>
      </c>
      <c r="Q598" s="326" t="s">
        <v>264</v>
      </c>
    </row>
    <row r="599" spans="1:17" s="756" customFormat="1" ht="24" customHeight="1">
      <c r="A599" s="975"/>
      <c r="B599" s="975"/>
      <c r="C599" s="1027"/>
      <c r="D599" s="975"/>
      <c r="E599" s="980"/>
      <c r="F599" s="975"/>
      <c r="G599" s="979"/>
      <c r="H599" s="975"/>
      <c r="I599" s="980"/>
      <c r="J599" s="975"/>
      <c r="K599" s="975"/>
      <c r="L599" s="975"/>
      <c r="M599" s="755" t="e">
        <f>+VLOOKUP(G599,'S1&amp;2 Lists'!$C$8:$G$134,3,FALSE)</f>
        <v>#N/A</v>
      </c>
      <c r="N599" s="755" t="e">
        <f t="shared" si="9"/>
        <v>#N/A</v>
      </c>
      <c r="P599" s="1049">
        <f>ROUND(IF(L599='S1&amp;2 Lists'!$CV$3,K599,IF(L599='S1&amp;2 Lists'!$CV$4,K599/'S1&amp;2 Lists'!$CQ$6,0)),3)</f>
        <v>0</v>
      </c>
      <c r="Q599" s="326" t="s">
        <v>264</v>
      </c>
    </row>
    <row r="600" spans="1:17" s="756" customFormat="1" ht="24" customHeight="1">
      <c r="A600" s="975"/>
      <c r="B600" s="975"/>
      <c r="C600" s="1027"/>
      <c r="D600" s="975"/>
      <c r="E600" s="980"/>
      <c r="F600" s="975"/>
      <c r="G600" s="979"/>
      <c r="H600" s="975"/>
      <c r="I600" s="980"/>
      <c r="J600" s="975"/>
      <c r="K600" s="975"/>
      <c r="L600" s="975"/>
      <c r="M600" s="755" t="e">
        <f>+VLOOKUP(G600,'S1&amp;2 Lists'!$C$8:$G$134,3,FALSE)</f>
        <v>#N/A</v>
      </c>
      <c r="N600" s="755" t="e">
        <f t="shared" si="9"/>
        <v>#N/A</v>
      </c>
      <c r="P600" s="1049">
        <f>ROUND(IF(L600='S1&amp;2 Lists'!$CV$3,K600,IF(L600='S1&amp;2 Lists'!$CV$4,K600/'S1&amp;2 Lists'!$CQ$6,0)),3)</f>
        <v>0</v>
      </c>
      <c r="Q600" s="326" t="s">
        <v>264</v>
      </c>
    </row>
    <row r="601" spans="1:17" s="756" customFormat="1" ht="24" customHeight="1">
      <c r="A601" s="975"/>
      <c r="B601" s="975"/>
      <c r="C601" s="1027"/>
      <c r="D601" s="975"/>
      <c r="E601" s="980"/>
      <c r="F601" s="975"/>
      <c r="G601" s="979"/>
      <c r="H601" s="975"/>
      <c r="I601" s="980"/>
      <c r="J601" s="975"/>
      <c r="K601" s="975"/>
      <c r="L601" s="975"/>
      <c r="M601" s="755" t="e">
        <f>+VLOOKUP(G601,'S1&amp;2 Lists'!$C$8:$G$134,3,FALSE)</f>
        <v>#N/A</v>
      </c>
      <c r="N601" s="755" t="e">
        <f t="shared" si="9"/>
        <v>#N/A</v>
      </c>
      <c r="P601" s="1049">
        <f>ROUND(IF(L601='S1&amp;2 Lists'!$CV$3,K601,IF(L601='S1&amp;2 Lists'!$CV$4,K601/'S1&amp;2 Lists'!$CQ$6,0)),3)</f>
        <v>0</v>
      </c>
      <c r="Q601" s="326" t="s">
        <v>264</v>
      </c>
    </row>
    <row r="602" spans="1:17" s="756" customFormat="1" ht="24" customHeight="1">
      <c r="A602" s="975"/>
      <c r="B602" s="975"/>
      <c r="C602" s="1027"/>
      <c r="D602" s="975"/>
      <c r="E602" s="980"/>
      <c r="F602" s="975"/>
      <c r="G602" s="979"/>
      <c r="H602" s="975"/>
      <c r="I602" s="980"/>
      <c r="J602" s="975"/>
      <c r="K602" s="975"/>
      <c r="L602" s="975"/>
      <c r="M602" s="755" t="e">
        <f>+VLOOKUP(G602,'S1&amp;2 Lists'!$C$8:$G$134,3,FALSE)</f>
        <v>#N/A</v>
      </c>
      <c r="N602" s="755" t="e">
        <f t="shared" si="9"/>
        <v>#N/A</v>
      </c>
      <c r="P602" s="1049">
        <f>ROUND(IF(L602='S1&amp;2 Lists'!$CV$3,K602,IF(L602='S1&amp;2 Lists'!$CV$4,K602/'S1&amp;2 Lists'!$CQ$6,0)),3)</f>
        <v>0</v>
      </c>
      <c r="Q602" s="326" t="s">
        <v>264</v>
      </c>
    </row>
    <row r="603" spans="1:17" s="756" customFormat="1" ht="24" customHeight="1">
      <c r="A603" s="975"/>
      <c r="B603" s="975"/>
      <c r="C603" s="1027"/>
      <c r="D603" s="975"/>
      <c r="E603" s="980"/>
      <c r="F603" s="975"/>
      <c r="G603" s="979"/>
      <c r="H603" s="975"/>
      <c r="I603" s="980"/>
      <c r="J603" s="975"/>
      <c r="K603" s="975"/>
      <c r="L603" s="975"/>
      <c r="M603" s="755" t="e">
        <f>+VLOOKUP(G603,'S1&amp;2 Lists'!$C$8:$G$134,3,FALSE)</f>
        <v>#N/A</v>
      </c>
      <c r="N603" s="755" t="e">
        <f t="shared" si="9"/>
        <v>#N/A</v>
      </c>
      <c r="P603" s="1049">
        <f>ROUND(IF(L603='S1&amp;2 Lists'!$CV$3,K603,IF(L603='S1&amp;2 Lists'!$CV$4,K603/'S1&amp;2 Lists'!$CQ$6,0)),3)</f>
        <v>0</v>
      </c>
      <c r="Q603" s="326" t="s">
        <v>264</v>
      </c>
    </row>
    <row r="604" spans="1:17" s="756" customFormat="1" ht="24" customHeight="1">
      <c r="A604" s="975"/>
      <c r="B604" s="975"/>
      <c r="C604" s="1027"/>
      <c r="D604" s="975"/>
      <c r="E604" s="980"/>
      <c r="F604" s="975"/>
      <c r="G604" s="979"/>
      <c r="H604" s="975"/>
      <c r="I604" s="980"/>
      <c r="J604" s="975"/>
      <c r="K604" s="975"/>
      <c r="L604" s="975"/>
      <c r="M604" s="755" t="e">
        <f>+VLOOKUP(G604,'S1&amp;2 Lists'!$C$8:$G$134,3,FALSE)</f>
        <v>#N/A</v>
      </c>
      <c r="N604" s="755" t="e">
        <f t="shared" si="9"/>
        <v>#N/A</v>
      </c>
      <c r="P604" s="1049">
        <f>ROUND(IF(L604='S1&amp;2 Lists'!$CV$3,K604,IF(L604='S1&amp;2 Lists'!$CV$4,K604/'S1&amp;2 Lists'!$CQ$6,0)),3)</f>
        <v>0</v>
      </c>
      <c r="Q604" s="326" t="s">
        <v>264</v>
      </c>
    </row>
    <row r="605" spans="1:17" s="756" customFormat="1" ht="24" customHeight="1">
      <c r="A605" s="975"/>
      <c r="B605" s="975"/>
      <c r="C605" s="1027"/>
      <c r="D605" s="975"/>
      <c r="E605" s="980"/>
      <c r="F605" s="975"/>
      <c r="G605" s="979"/>
      <c r="H605" s="975"/>
      <c r="I605" s="980"/>
      <c r="J605" s="975"/>
      <c r="K605" s="975"/>
      <c r="L605" s="975"/>
      <c r="M605" s="755" t="e">
        <f>+VLOOKUP(G605,'S1&amp;2 Lists'!$C$8:$G$134,3,FALSE)</f>
        <v>#N/A</v>
      </c>
      <c r="N605" s="755" t="e">
        <f t="shared" si="9"/>
        <v>#N/A</v>
      </c>
      <c r="P605" s="1049">
        <f>ROUND(IF(L605='S1&amp;2 Lists'!$CV$3,K605,IF(L605='S1&amp;2 Lists'!$CV$4,K605/'S1&amp;2 Lists'!$CQ$6,0)),3)</f>
        <v>0</v>
      </c>
      <c r="Q605" s="326" t="s">
        <v>264</v>
      </c>
    </row>
    <row r="606" spans="1:17" s="756" customFormat="1" ht="24" customHeight="1">
      <c r="A606" s="975"/>
      <c r="B606" s="975"/>
      <c r="C606" s="1027"/>
      <c r="D606" s="975"/>
      <c r="E606" s="980"/>
      <c r="F606" s="975"/>
      <c r="G606" s="979"/>
      <c r="H606" s="975"/>
      <c r="I606" s="980"/>
      <c r="J606" s="975"/>
      <c r="K606" s="975"/>
      <c r="L606" s="975"/>
      <c r="M606" s="755" t="e">
        <f>+VLOOKUP(G606,'S1&amp;2 Lists'!$C$8:$G$134,3,FALSE)</f>
        <v>#N/A</v>
      </c>
      <c r="N606" s="755" t="e">
        <f t="shared" si="9"/>
        <v>#N/A</v>
      </c>
      <c r="P606" s="1049">
        <f>ROUND(IF(L606='S1&amp;2 Lists'!$CV$3,K606,IF(L606='S1&amp;2 Lists'!$CV$4,K606/'S1&amp;2 Lists'!$CQ$6,0)),3)</f>
        <v>0</v>
      </c>
      <c r="Q606" s="326" t="s">
        <v>264</v>
      </c>
    </row>
    <row r="607" spans="1:17" s="756" customFormat="1" ht="24" customHeight="1">
      <c r="A607" s="975"/>
      <c r="B607" s="975"/>
      <c r="C607" s="1027"/>
      <c r="D607" s="975"/>
      <c r="E607" s="980"/>
      <c r="F607" s="975"/>
      <c r="G607" s="979"/>
      <c r="H607" s="975"/>
      <c r="I607" s="980"/>
      <c r="J607" s="975"/>
      <c r="K607" s="975"/>
      <c r="L607" s="975"/>
      <c r="M607" s="755" t="e">
        <f>+VLOOKUP(G607,'S1&amp;2 Lists'!$C$8:$G$134,3,FALSE)</f>
        <v>#N/A</v>
      </c>
      <c r="N607" s="755" t="e">
        <f t="shared" si="9"/>
        <v>#N/A</v>
      </c>
      <c r="P607" s="1049">
        <f>ROUND(IF(L607='S1&amp;2 Lists'!$CV$3,K607,IF(L607='S1&amp;2 Lists'!$CV$4,K607/'S1&amp;2 Lists'!$CQ$6,0)),3)</f>
        <v>0</v>
      </c>
      <c r="Q607" s="326" t="s">
        <v>264</v>
      </c>
    </row>
    <row r="608" spans="1:17" s="756" customFormat="1" ht="24" customHeight="1">
      <c r="A608" s="975"/>
      <c r="B608" s="975"/>
      <c r="C608" s="1027"/>
      <c r="D608" s="975"/>
      <c r="E608" s="980"/>
      <c r="F608" s="975"/>
      <c r="G608" s="979"/>
      <c r="H608" s="975"/>
      <c r="I608" s="980"/>
      <c r="J608" s="975"/>
      <c r="K608" s="975"/>
      <c r="L608" s="975"/>
      <c r="M608" s="755" t="e">
        <f>+VLOOKUP(G608,'S1&amp;2 Lists'!$C$8:$G$134,3,FALSE)</f>
        <v>#N/A</v>
      </c>
      <c r="N608" s="755" t="e">
        <f t="shared" si="9"/>
        <v>#N/A</v>
      </c>
      <c r="P608" s="1049">
        <f>ROUND(IF(L608='S1&amp;2 Lists'!$CV$3,K608,IF(L608='S1&amp;2 Lists'!$CV$4,K608/'S1&amp;2 Lists'!$CQ$6,0)),3)</f>
        <v>0</v>
      </c>
      <c r="Q608" s="326" t="s">
        <v>264</v>
      </c>
    </row>
    <row r="609" spans="1:17" s="756" customFormat="1" ht="24" customHeight="1">
      <c r="A609" s="975"/>
      <c r="B609" s="975"/>
      <c r="C609" s="1027"/>
      <c r="D609" s="975"/>
      <c r="E609" s="980"/>
      <c r="F609" s="975"/>
      <c r="G609" s="979"/>
      <c r="H609" s="975"/>
      <c r="I609" s="980"/>
      <c r="J609" s="975"/>
      <c r="K609" s="975"/>
      <c r="L609" s="975"/>
      <c r="M609" s="755" t="e">
        <f>+VLOOKUP(G609,'S1&amp;2 Lists'!$C$8:$G$134,3,FALSE)</f>
        <v>#N/A</v>
      </c>
      <c r="N609" s="755" t="e">
        <f t="shared" si="9"/>
        <v>#N/A</v>
      </c>
      <c r="P609" s="1049">
        <f>ROUND(IF(L609='S1&amp;2 Lists'!$CV$3,K609,IF(L609='S1&amp;2 Lists'!$CV$4,K609/'S1&amp;2 Lists'!$CQ$6,0)),3)</f>
        <v>0</v>
      </c>
      <c r="Q609" s="326" t="s">
        <v>264</v>
      </c>
    </row>
    <row r="610" spans="1:17" s="756" customFormat="1" ht="24" customHeight="1">
      <c r="A610" s="975"/>
      <c r="B610" s="975"/>
      <c r="C610" s="1027"/>
      <c r="D610" s="975"/>
      <c r="E610" s="980"/>
      <c r="F610" s="975"/>
      <c r="G610" s="979"/>
      <c r="H610" s="975"/>
      <c r="I610" s="980"/>
      <c r="J610" s="975"/>
      <c r="K610" s="975"/>
      <c r="L610" s="975"/>
      <c r="M610" s="755" t="e">
        <f>+VLOOKUP(G610,'S1&amp;2 Lists'!$C$8:$G$134,3,FALSE)</f>
        <v>#N/A</v>
      </c>
      <c r="N610" s="755" t="e">
        <f t="shared" si="9"/>
        <v>#N/A</v>
      </c>
      <c r="P610" s="1049">
        <f>ROUND(IF(L610='S1&amp;2 Lists'!$CV$3,K610,IF(L610='S1&amp;2 Lists'!$CV$4,K610/'S1&amp;2 Lists'!$CQ$6,0)),3)</f>
        <v>0</v>
      </c>
      <c r="Q610" s="326" t="s">
        <v>264</v>
      </c>
    </row>
    <row r="611" spans="1:17" s="756" customFormat="1" ht="24" customHeight="1">
      <c r="A611" s="975"/>
      <c r="B611" s="975"/>
      <c r="C611" s="1027"/>
      <c r="D611" s="975"/>
      <c r="E611" s="980"/>
      <c r="F611" s="975"/>
      <c r="G611" s="979"/>
      <c r="H611" s="975"/>
      <c r="I611" s="980"/>
      <c r="J611" s="975"/>
      <c r="K611" s="975"/>
      <c r="L611" s="975"/>
      <c r="M611" s="755" t="e">
        <f>+VLOOKUP(G611,'S1&amp;2 Lists'!$C$8:$G$134,3,FALSE)</f>
        <v>#N/A</v>
      </c>
      <c r="N611" s="755" t="e">
        <f t="shared" si="9"/>
        <v>#N/A</v>
      </c>
      <c r="P611" s="1049">
        <f>ROUND(IF(L611='S1&amp;2 Lists'!$CV$3,K611,IF(L611='S1&amp;2 Lists'!$CV$4,K611/'S1&amp;2 Lists'!$CQ$6,0)),3)</f>
        <v>0</v>
      </c>
      <c r="Q611" s="326" t="s">
        <v>264</v>
      </c>
    </row>
    <row r="612" spans="1:17" s="756" customFormat="1" ht="24" customHeight="1">
      <c r="A612" s="975"/>
      <c r="B612" s="975"/>
      <c r="C612" s="1027"/>
      <c r="D612" s="975"/>
      <c r="E612" s="980"/>
      <c r="F612" s="975"/>
      <c r="G612" s="979"/>
      <c r="H612" s="975"/>
      <c r="I612" s="980"/>
      <c r="J612" s="975"/>
      <c r="K612" s="975"/>
      <c r="L612" s="975"/>
      <c r="M612" s="755" t="e">
        <f>+VLOOKUP(G612,'S1&amp;2 Lists'!$C$8:$G$134,3,FALSE)</f>
        <v>#N/A</v>
      </c>
      <c r="N612" s="755" t="e">
        <f t="shared" si="9"/>
        <v>#N/A</v>
      </c>
      <c r="P612" s="1049">
        <f>ROUND(IF(L612='S1&amp;2 Lists'!$CV$3,K612,IF(L612='S1&amp;2 Lists'!$CV$4,K612/'S1&amp;2 Lists'!$CQ$6,0)),3)</f>
        <v>0</v>
      </c>
      <c r="Q612" s="326" t="s">
        <v>264</v>
      </c>
    </row>
    <row r="613" spans="1:17" s="756" customFormat="1" ht="24" customHeight="1">
      <c r="A613" s="975"/>
      <c r="B613" s="975"/>
      <c r="C613" s="1027"/>
      <c r="D613" s="975"/>
      <c r="E613" s="980"/>
      <c r="F613" s="975"/>
      <c r="G613" s="979"/>
      <c r="H613" s="975"/>
      <c r="I613" s="980"/>
      <c r="J613" s="975"/>
      <c r="K613" s="975"/>
      <c r="L613" s="975"/>
      <c r="M613" s="755" t="e">
        <f>+VLOOKUP(G613,'S1&amp;2 Lists'!$C$8:$G$134,3,FALSE)</f>
        <v>#N/A</v>
      </c>
      <c r="N613" s="755" t="e">
        <f t="shared" si="9"/>
        <v>#N/A</v>
      </c>
      <c r="P613" s="1049">
        <f>ROUND(IF(L613='S1&amp;2 Lists'!$CV$3,K613,IF(L613='S1&amp;2 Lists'!$CV$4,K613/'S1&amp;2 Lists'!$CQ$6,0)),3)</f>
        <v>0</v>
      </c>
      <c r="Q613" s="326" t="s">
        <v>264</v>
      </c>
    </row>
    <row r="614" spans="1:17" s="756" customFormat="1" ht="24" customHeight="1">
      <c r="A614" s="975"/>
      <c r="B614" s="975"/>
      <c r="C614" s="1027"/>
      <c r="D614" s="975"/>
      <c r="E614" s="980"/>
      <c r="F614" s="975"/>
      <c r="G614" s="979"/>
      <c r="H614" s="975"/>
      <c r="I614" s="980"/>
      <c r="J614" s="975"/>
      <c r="K614" s="975"/>
      <c r="L614" s="975"/>
      <c r="M614" s="755" t="e">
        <f>+VLOOKUP(G614,'S1&amp;2 Lists'!$C$8:$G$134,3,FALSE)</f>
        <v>#N/A</v>
      </c>
      <c r="N614" s="755" t="e">
        <f t="shared" si="9"/>
        <v>#N/A</v>
      </c>
      <c r="P614" s="1049">
        <f>ROUND(IF(L614='S1&amp;2 Lists'!$CV$3,K614,IF(L614='S1&amp;2 Lists'!$CV$4,K614/'S1&amp;2 Lists'!$CQ$6,0)),3)</f>
        <v>0</v>
      </c>
      <c r="Q614" s="326" t="s">
        <v>264</v>
      </c>
    </row>
    <row r="615" spans="1:17" s="756" customFormat="1" ht="24" customHeight="1">
      <c r="A615" s="975"/>
      <c r="B615" s="975"/>
      <c r="C615" s="1027"/>
      <c r="D615" s="975"/>
      <c r="E615" s="980"/>
      <c r="F615" s="975"/>
      <c r="G615" s="979"/>
      <c r="H615" s="975"/>
      <c r="I615" s="980"/>
      <c r="J615" s="975"/>
      <c r="K615" s="975"/>
      <c r="L615" s="975"/>
      <c r="M615" s="755" t="e">
        <f>+VLOOKUP(G615,'S1&amp;2 Lists'!$C$8:$G$134,3,FALSE)</f>
        <v>#N/A</v>
      </c>
      <c r="N615" s="755" t="e">
        <f t="shared" si="9"/>
        <v>#N/A</v>
      </c>
      <c r="P615" s="1049">
        <f>ROUND(IF(L615='S1&amp;2 Lists'!$CV$3,K615,IF(L615='S1&amp;2 Lists'!$CV$4,K615/'S1&amp;2 Lists'!$CQ$6,0)),3)</f>
        <v>0</v>
      </c>
      <c r="Q615" s="326" t="s">
        <v>264</v>
      </c>
    </row>
    <row r="616" spans="1:17" s="756" customFormat="1" ht="24" customHeight="1">
      <c r="A616" s="975"/>
      <c r="B616" s="975"/>
      <c r="C616" s="1027"/>
      <c r="D616" s="975"/>
      <c r="E616" s="980"/>
      <c r="F616" s="975"/>
      <c r="G616" s="979"/>
      <c r="H616" s="975"/>
      <c r="I616" s="980"/>
      <c r="J616" s="975"/>
      <c r="K616" s="975"/>
      <c r="L616" s="975"/>
      <c r="M616" s="755" t="e">
        <f>+VLOOKUP(G616,'S1&amp;2 Lists'!$C$8:$G$134,3,FALSE)</f>
        <v>#N/A</v>
      </c>
      <c r="N616" s="755" t="e">
        <f t="shared" si="9"/>
        <v>#N/A</v>
      </c>
      <c r="P616" s="1049">
        <f>ROUND(IF(L616='S1&amp;2 Lists'!$CV$3,K616,IF(L616='S1&amp;2 Lists'!$CV$4,K616/'S1&amp;2 Lists'!$CQ$6,0)),3)</f>
        <v>0</v>
      </c>
      <c r="Q616" s="326" t="s">
        <v>264</v>
      </c>
    </row>
    <row r="617" spans="1:17" s="756" customFormat="1" ht="24" customHeight="1">
      <c r="A617" s="975"/>
      <c r="B617" s="975"/>
      <c r="C617" s="1027"/>
      <c r="D617" s="975"/>
      <c r="E617" s="980"/>
      <c r="F617" s="975"/>
      <c r="G617" s="979"/>
      <c r="H617" s="975"/>
      <c r="I617" s="980"/>
      <c r="J617" s="975"/>
      <c r="K617" s="975"/>
      <c r="L617" s="975"/>
      <c r="M617" s="755" t="e">
        <f>+VLOOKUP(G617,'S1&amp;2 Lists'!$C$8:$G$134,3,FALSE)</f>
        <v>#N/A</v>
      </c>
      <c r="N617" s="755" t="e">
        <f t="shared" si="9"/>
        <v>#N/A</v>
      </c>
      <c r="P617" s="1049">
        <f>ROUND(IF(L617='S1&amp;2 Lists'!$CV$3,K617,IF(L617='S1&amp;2 Lists'!$CV$4,K617/'S1&amp;2 Lists'!$CQ$6,0)),3)</f>
        <v>0</v>
      </c>
      <c r="Q617" s="326" t="s">
        <v>264</v>
      </c>
    </row>
    <row r="618" spans="1:17" s="756" customFormat="1" ht="24" customHeight="1">
      <c r="A618" s="975"/>
      <c r="B618" s="975"/>
      <c r="C618" s="1027"/>
      <c r="D618" s="975"/>
      <c r="E618" s="980"/>
      <c r="F618" s="975"/>
      <c r="G618" s="979"/>
      <c r="H618" s="975"/>
      <c r="I618" s="980"/>
      <c r="J618" s="975"/>
      <c r="K618" s="975"/>
      <c r="L618" s="975"/>
      <c r="M618" s="755" t="e">
        <f>+VLOOKUP(G618,'S1&amp;2 Lists'!$C$8:$G$134,3,FALSE)</f>
        <v>#N/A</v>
      </c>
      <c r="N618" s="755" t="e">
        <f t="shared" si="9"/>
        <v>#N/A</v>
      </c>
      <c r="P618" s="1049">
        <f>ROUND(IF(L618='S1&amp;2 Lists'!$CV$3,K618,IF(L618='S1&amp;2 Lists'!$CV$4,K618/'S1&amp;2 Lists'!$CQ$6,0)),3)</f>
        <v>0</v>
      </c>
      <c r="Q618" s="326" t="s">
        <v>264</v>
      </c>
    </row>
    <row r="619" spans="1:17" s="756" customFormat="1" ht="24" customHeight="1">
      <c r="A619" s="975"/>
      <c r="B619" s="975"/>
      <c r="C619" s="1027"/>
      <c r="D619" s="975"/>
      <c r="E619" s="980"/>
      <c r="F619" s="975"/>
      <c r="G619" s="979"/>
      <c r="H619" s="975"/>
      <c r="I619" s="980"/>
      <c r="J619" s="975"/>
      <c r="K619" s="975"/>
      <c r="L619" s="975"/>
      <c r="M619" s="755" t="e">
        <f>+VLOOKUP(G619,'S1&amp;2 Lists'!$C$8:$G$134,3,FALSE)</f>
        <v>#N/A</v>
      </c>
      <c r="N619" s="755" t="e">
        <f t="shared" si="9"/>
        <v>#N/A</v>
      </c>
      <c r="P619" s="1049">
        <f>ROUND(IF(L619='S1&amp;2 Lists'!$CV$3,K619,IF(L619='S1&amp;2 Lists'!$CV$4,K619/'S1&amp;2 Lists'!$CQ$6,0)),3)</f>
        <v>0</v>
      </c>
      <c r="Q619" s="326" t="s">
        <v>264</v>
      </c>
    </row>
    <row r="620" spans="1:17" s="756" customFormat="1" ht="24" customHeight="1">
      <c r="A620" s="975"/>
      <c r="B620" s="975"/>
      <c r="C620" s="1027"/>
      <c r="D620" s="975"/>
      <c r="E620" s="980"/>
      <c r="F620" s="975"/>
      <c r="G620" s="979"/>
      <c r="H620" s="975"/>
      <c r="I620" s="980"/>
      <c r="J620" s="975"/>
      <c r="K620" s="975"/>
      <c r="L620" s="975"/>
      <c r="M620" s="755" t="e">
        <f>+VLOOKUP(G620,'S1&amp;2 Lists'!$C$8:$G$134,3,FALSE)</f>
        <v>#N/A</v>
      </c>
      <c r="N620" s="755" t="e">
        <f t="shared" si="9"/>
        <v>#N/A</v>
      </c>
      <c r="P620" s="1049">
        <f>ROUND(IF(L620='S1&amp;2 Lists'!$CV$3,K620,IF(L620='S1&amp;2 Lists'!$CV$4,K620/'S1&amp;2 Lists'!$CQ$6,0)),3)</f>
        <v>0</v>
      </c>
      <c r="Q620" s="326" t="s">
        <v>264</v>
      </c>
    </row>
    <row r="621" spans="1:17" s="756" customFormat="1" ht="24" customHeight="1">
      <c r="A621" s="975"/>
      <c r="B621" s="975"/>
      <c r="C621" s="1027"/>
      <c r="D621" s="975"/>
      <c r="E621" s="980"/>
      <c r="F621" s="975"/>
      <c r="G621" s="979"/>
      <c r="H621" s="975"/>
      <c r="I621" s="980"/>
      <c r="J621" s="975"/>
      <c r="K621" s="975"/>
      <c r="L621" s="975"/>
      <c r="M621" s="755" t="e">
        <f>+VLOOKUP(G621,'S1&amp;2 Lists'!$C$8:$G$134,3,FALSE)</f>
        <v>#N/A</v>
      </c>
      <c r="N621" s="755" t="e">
        <f t="shared" si="9"/>
        <v>#N/A</v>
      </c>
      <c r="P621" s="1049">
        <f>ROUND(IF(L621='S1&amp;2 Lists'!$CV$3,K621,IF(L621='S1&amp;2 Lists'!$CV$4,K621/'S1&amp;2 Lists'!$CQ$6,0)),3)</f>
        <v>0</v>
      </c>
      <c r="Q621" s="326" t="s">
        <v>264</v>
      </c>
    </row>
    <row r="622" spans="1:17" s="756" customFormat="1" ht="24" customHeight="1">
      <c r="A622" s="975"/>
      <c r="B622" s="975"/>
      <c r="C622" s="1027"/>
      <c r="D622" s="975"/>
      <c r="E622" s="980"/>
      <c r="F622" s="975"/>
      <c r="G622" s="979"/>
      <c r="H622" s="975"/>
      <c r="I622" s="980"/>
      <c r="J622" s="975"/>
      <c r="K622" s="975"/>
      <c r="L622" s="975"/>
      <c r="M622" s="755" t="e">
        <f>+VLOOKUP(G622,'S1&amp;2 Lists'!$C$8:$G$134,3,FALSE)</f>
        <v>#N/A</v>
      </c>
      <c r="N622" s="755" t="e">
        <f t="shared" si="9"/>
        <v>#N/A</v>
      </c>
      <c r="P622" s="1049">
        <f>ROUND(IF(L622='S1&amp;2 Lists'!$CV$3,K622,IF(L622='S1&amp;2 Lists'!$CV$4,K622/'S1&amp;2 Lists'!$CQ$6,0)),3)</f>
        <v>0</v>
      </c>
      <c r="Q622" s="326" t="s">
        <v>264</v>
      </c>
    </row>
    <row r="623" spans="1:17" s="756" customFormat="1" ht="24" customHeight="1">
      <c r="A623" s="975"/>
      <c r="B623" s="975"/>
      <c r="C623" s="1027"/>
      <c r="D623" s="975"/>
      <c r="E623" s="980"/>
      <c r="F623" s="975"/>
      <c r="G623" s="979"/>
      <c r="H623" s="975"/>
      <c r="I623" s="980"/>
      <c r="J623" s="975"/>
      <c r="K623" s="975"/>
      <c r="L623" s="975"/>
      <c r="M623" s="755" t="e">
        <f>+VLOOKUP(G623,'S1&amp;2 Lists'!$C$8:$G$134,3,FALSE)</f>
        <v>#N/A</v>
      </c>
      <c r="N623" s="755" t="e">
        <f t="shared" si="9"/>
        <v>#N/A</v>
      </c>
      <c r="P623" s="1049">
        <f>ROUND(IF(L623='S1&amp;2 Lists'!$CV$3,K623,IF(L623='S1&amp;2 Lists'!$CV$4,K623/'S1&amp;2 Lists'!$CQ$6,0)),3)</f>
        <v>0</v>
      </c>
      <c r="Q623" s="326" t="s">
        <v>264</v>
      </c>
    </row>
    <row r="624" spans="1:17" s="756" customFormat="1" ht="24" customHeight="1">
      <c r="A624" s="975"/>
      <c r="B624" s="975"/>
      <c r="C624" s="1027"/>
      <c r="D624" s="975"/>
      <c r="E624" s="980"/>
      <c r="F624" s="975"/>
      <c r="G624" s="979"/>
      <c r="H624" s="975"/>
      <c r="I624" s="980"/>
      <c r="J624" s="975"/>
      <c r="K624" s="975"/>
      <c r="L624" s="975"/>
      <c r="M624" s="755" t="e">
        <f>+VLOOKUP(G624,'S1&amp;2 Lists'!$C$8:$G$134,3,FALSE)</f>
        <v>#N/A</v>
      </c>
      <c r="N624" s="755" t="e">
        <f t="shared" si="9"/>
        <v>#N/A</v>
      </c>
      <c r="P624" s="1049">
        <f>ROUND(IF(L624='S1&amp;2 Lists'!$CV$3,K624,IF(L624='S1&amp;2 Lists'!$CV$4,K624/'S1&amp;2 Lists'!$CQ$6,0)),3)</f>
        <v>0</v>
      </c>
      <c r="Q624" s="326" t="s">
        <v>264</v>
      </c>
    </row>
    <row r="625" spans="1:17" s="756" customFormat="1" ht="24" customHeight="1">
      <c r="A625" s="975"/>
      <c r="B625" s="975"/>
      <c r="C625" s="1027"/>
      <c r="D625" s="975"/>
      <c r="E625" s="980"/>
      <c r="F625" s="975"/>
      <c r="G625" s="979"/>
      <c r="H625" s="975"/>
      <c r="I625" s="980"/>
      <c r="J625" s="975"/>
      <c r="K625" s="975"/>
      <c r="L625" s="975"/>
      <c r="M625" s="755" t="e">
        <f>+VLOOKUP(G625,'S1&amp;2 Lists'!$C$8:$G$134,3,FALSE)</f>
        <v>#N/A</v>
      </c>
      <c r="N625" s="755" t="e">
        <f t="shared" si="9"/>
        <v>#N/A</v>
      </c>
      <c r="P625" s="1049">
        <f>ROUND(IF(L625='S1&amp;2 Lists'!$CV$3,K625,IF(L625='S1&amp;2 Lists'!$CV$4,K625/'S1&amp;2 Lists'!$CQ$6,0)),3)</f>
        <v>0</v>
      </c>
      <c r="Q625" s="326" t="s">
        <v>264</v>
      </c>
    </row>
    <row r="626" spans="1:17" s="756" customFormat="1" ht="24" customHeight="1">
      <c r="A626" s="975"/>
      <c r="B626" s="975"/>
      <c r="C626" s="1027"/>
      <c r="D626" s="975"/>
      <c r="E626" s="980"/>
      <c r="F626" s="975"/>
      <c r="G626" s="979"/>
      <c r="H626" s="975"/>
      <c r="I626" s="980"/>
      <c r="J626" s="975"/>
      <c r="K626" s="975"/>
      <c r="L626" s="975"/>
      <c r="M626" s="755" t="e">
        <f>+VLOOKUP(G626,'S1&amp;2 Lists'!$C$8:$G$134,3,FALSE)</f>
        <v>#N/A</v>
      </c>
      <c r="N626" s="755" t="e">
        <f t="shared" si="9"/>
        <v>#N/A</v>
      </c>
      <c r="P626" s="1049">
        <f>ROUND(IF(L626='S1&amp;2 Lists'!$CV$3,K626,IF(L626='S1&amp;2 Lists'!$CV$4,K626/'S1&amp;2 Lists'!$CQ$6,0)),3)</f>
        <v>0</v>
      </c>
      <c r="Q626" s="326" t="s">
        <v>264</v>
      </c>
    </row>
    <row r="627" spans="1:17" s="756" customFormat="1" ht="24" customHeight="1">
      <c r="A627" s="975"/>
      <c r="B627" s="975"/>
      <c r="C627" s="1027"/>
      <c r="D627" s="975"/>
      <c r="E627" s="980"/>
      <c r="F627" s="975"/>
      <c r="G627" s="979"/>
      <c r="H627" s="975"/>
      <c r="I627" s="980"/>
      <c r="J627" s="975"/>
      <c r="K627" s="975"/>
      <c r="L627" s="975"/>
      <c r="M627" s="755" t="e">
        <f>+VLOOKUP(G627,'S1&amp;2 Lists'!$C$8:$G$134,3,FALSE)</f>
        <v>#N/A</v>
      </c>
      <c r="N627" s="755" t="e">
        <f t="shared" si="9"/>
        <v>#N/A</v>
      </c>
      <c r="P627" s="1049">
        <f>ROUND(IF(L627='S1&amp;2 Lists'!$CV$3,K627,IF(L627='S1&amp;2 Lists'!$CV$4,K627/'S1&amp;2 Lists'!$CQ$6,0)),3)</f>
        <v>0</v>
      </c>
      <c r="Q627" s="326" t="s">
        <v>264</v>
      </c>
    </row>
    <row r="628" spans="1:17" s="756" customFormat="1" ht="24" customHeight="1">
      <c r="A628" s="975"/>
      <c r="B628" s="975"/>
      <c r="C628" s="1027"/>
      <c r="D628" s="975"/>
      <c r="E628" s="980"/>
      <c r="F628" s="975"/>
      <c r="G628" s="979"/>
      <c r="H628" s="975"/>
      <c r="I628" s="980"/>
      <c r="J628" s="975"/>
      <c r="K628" s="975"/>
      <c r="L628" s="975"/>
      <c r="M628" s="755" t="e">
        <f>+VLOOKUP(G628,'S1&amp;2 Lists'!$C$8:$G$134,3,FALSE)</f>
        <v>#N/A</v>
      </c>
      <c r="N628" s="755" t="e">
        <f t="shared" si="9"/>
        <v>#N/A</v>
      </c>
      <c r="P628" s="1049">
        <f>ROUND(IF(L628='S1&amp;2 Lists'!$CV$3,K628,IF(L628='S1&amp;2 Lists'!$CV$4,K628/'S1&amp;2 Lists'!$CQ$6,0)),3)</f>
        <v>0</v>
      </c>
      <c r="Q628" s="326" t="s">
        <v>264</v>
      </c>
    </row>
    <row r="629" spans="1:17" s="756" customFormat="1" ht="24" customHeight="1">
      <c r="A629" s="975"/>
      <c r="B629" s="975"/>
      <c r="C629" s="1027"/>
      <c r="D629" s="975"/>
      <c r="E629" s="980"/>
      <c r="F629" s="975"/>
      <c r="G629" s="979"/>
      <c r="H629" s="975"/>
      <c r="I629" s="980"/>
      <c r="J629" s="975"/>
      <c r="K629" s="975"/>
      <c r="L629" s="975"/>
      <c r="M629" s="755" t="e">
        <f>+VLOOKUP(G629,'S1&amp;2 Lists'!$C$8:$G$134,3,FALSE)</f>
        <v>#N/A</v>
      </c>
      <c r="N629" s="755" t="e">
        <f t="shared" si="9"/>
        <v>#N/A</v>
      </c>
      <c r="P629" s="1049">
        <f>ROUND(IF(L629='S1&amp;2 Lists'!$CV$3,K629,IF(L629='S1&amp;2 Lists'!$CV$4,K629/'S1&amp;2 Lists'!$CQ$6,0)),3)</f>
        <v>0</v>
      </c>
      <c r="Q629" s="326" t="s">
        <v>264</v>
      </c>
    </row>
    <row r="630" spans="1:17" s="756" customFormat="1" ht="24" customHeight="1">
      <c r="A630" s="975"/>
      <c r="B630" s="975"/>
      <c r="C630" s="1027"/>
      <c r="D630" s="975"/>
      <c r="E630" s="980"/>
      <c r="F630" s="975"/>
      <c r="G630" s="979"/>
      <c r="H630" s="975"/>
      <c r="I630" s="980"/>
      <c r="J630" s="975"/>
      <c r="K630" s="975"/>
      <c r="L630" s="975"/>
      <c r="M630" s="755" t="e">
        <f>+VLOOKUP(G630,'S1&amp;2 Lists'!$C$8:$G$134,3,FALSE)</f>
        <v>#N/A</v>
      </c>
      <c r="N630" s="755" t="e">
        <f t="shared" si="9"/>
        <v>#N/A</v>
      </c>
      <c r="P630" s="1049">
        <f>ROUND(IF(L630='S1&amp;2 Lists'!$CV$3,K630,IF(L630='S1&amp;2 Lists'!$CV$4,K630/'S1&amp;2 Lists'!$CQ$6,0)),3)</f>
        <v>0</v>
      </c>
      <c r="Q630" s="326" t="s">
        <v>264</v>
      </c>
    </row>
    <row r="631" spans="1:17" s="756" customFormat="1" ht="24" customHeight="1">
      <c r="A631" s="975"/>
      <c r="B631" s="975"/>
      <c r="C631" s="1027"/>
      <c r="D631" s="975"/>
      <c r="E631" s="980"/>
      <c r="F631" s="975"/>
      <c r="G631" s="979"/>
      <c r="H631" s="975"/>
      <c r="I631" s="980"/>
      <c r="J631" s="975"/>
      <c r="K631" s="975"/>
      <c r="L631" s="975"/>
      <c r="M631" s="755" t="e">
        <f>+VLOOKUP(G631,'S1&amp;2 Lists'!$C$8:$G$134,3,FALSE)</f>
        <v>#N/A</v>
      </c>
      <c r="N631" s="755" t="e">
        <f t="shared" si="9"/>
        <v>#N/A</v>
      </c>
      <c r="P631" s="1049">
        <f>ROUND(IF(L631='S1&amp;2 Lists'!$CV$3,K631,IF(L631='S1&amp;2 Lists'!$CV$4,K631/'S1&amp;2 Lists'!$CQ$6,0)),3)</f>
        <v>0</v>
      </c>
      <c r="Q631" s="326" t="s">
        <v>264</v>
      </c>
    </row>
    <row r="632" spans="1:17" s="756" customFormat="1" ht="24" customHeight="1">
      <c r="A632" s="975"/>
      <c r="B632" s="975"/>
      <c r="C632" s="1027"/>
      <c r="D632" s="975"/>
      <c r="E632" s="980"/>
      <c r="F632" s="975"/>
      <c r="G632" s="979"/>
      <c r="H632" s="975"/>
      <c r="I632" s="980"/>
      <c r="J632" s="975"/>
      <c r="K632" s="975"/>
      <c r="L632" s="975"/>
      <c r="M632" s="755" t="e">
        <f>+VLOOKUP(G632,'S1&amp;2 Lists'!$C$8:$G$134,3,FALSE)</f>
        <v>#N/A</v>
      </c>
      <c r="N632" s="755" t="e">
        <f t="shared" si="9"/>
        <v>#N/A</v>
      </c>
      <c r="P632" s="1049">
        <f>ROUND(IF(L632='S1&amp;2 Lists'!$CV$3,K632,IF(L632='S1&amp;2 Lists'!$CV$4,K632/'S1&amp;2 Lists'!$CQ$6,0)),3)</f>
        <v>0</v>
      </c>
      <c r="Q632" s="326" t="s">
        <v>264</v>
      </c>
    </row>
    <row r="633" spans="1:17" s="756" customFormat="1" ht="24" customHeight="1">
      <c r="A633" s="975"/>
      <c r="B633" s="975"/>
      <c r="C633" s="1027"/>
      <c r="D633" s="975"/>
      <c r="E633" s="980"/>
      <c r="F633" s="975"/>
      <c r="G633" s="979"/>
      <c r="H633" s="975"/>
      <c r="I633" s="980"/>
      <c r="J633" s="975"/>
      <c r="K633" s="975"/>
      <c r="L633" s="975"/>
      <c r="M633" s="755" t="e">
        <f>+VLOOKUP(G633,'S1&amp;2 Lists'!$C$8:$G$134,3,FALSE)</f>
        <v>#N/A</v>
      </c>
      <c r="N633" s="755" t="e">
        <f t="shared" si="9"/>
        <v>#N/A</v>
      </c>
      <c r="P633" s="1049">
        <f>ROUND(IF(L633='S1&amp;2 Lists'!$CV$3,K633,IF(L633='S1&amp;2 Lists'!$CV$4,K633/'S1&amp;2 Lists'!$CQ$6,0)),3)</f>
        <v>0</v>
      </c>
      <c r="Q633" s="326" t="s">
        <v>264</v>
      </c>
    </row>
    <row r="634" spans="1:17" s="756" customFormat="1" ht="24" customHeight="1">
      <c r="A634" s="975"/>
      <c r="B634" s="975"/>
      <c r="C634" s="1027"/>
      <c r="D634" s="975"/>
      <c r="E634" s="980"/>
      <c r="F634" s="975"/>
      <c r="G634" s="979"/>
      <c r="H634" s="975"/>
      <c r="I634" s="980"/>
      <c r="J634" s="975"/>
      <c r="K634" s="975"/>
      <c r="L634" s="975"/>
      <c r="M634" s="755" t="e">
        <f>+VLOOKUP(G634,'S1&amp;2 Lists'!$C$8:$G$134,3,FALSE)</f>
        <v>#N/A</v>
      </c>
      <c r="N634" s="755" t="e">
        <f t="shared" si="9"/>
        <v>#N/A</v>
      </c>
      <c r="P634" s="1049">
        <f>ROUND(IF(L634='S1&amp;2 Lists'!$CV$3,K634,IF(L634='S1&amp;2 Lists'!$CV$4,K634/'S1&amp;2 Lists'!$CQ$6,0)),3)</f>
        <v>0</v>
      </c>
      <c r="Q634" s="326" t="s">
        <v>264</v>
      </c>
    </row>
    <row r="635" spans="1:17" s="756" customFormat="1" ht="24" customHeight="1">
      <c r="A635" s="975"/>
      <c r="B635" s="975"/>
      <c r="C635" s="1027"/>
      <c r="D635" s="975"/>
      <c r="E635" s="980"/>
      <c r="F635" s="975"/>
      <c r="G635" s="979"/>
      <c r="H635" s="975"/>
      <c r="I635" s="980"/>
      <c r="J635" s="975"/>
      <c r="K635" s="975"/>
      <c r="L635" s="975"/>
      <c r="M635" s="755" t="e">
        <f>+VLOOKUP(G635,'S1&amp;2 Lists'!$C$8:$G$134,3,FALSE)</f>
        <v>#N/A</v>
      </c>
      <c r="N635" s="755" t="e">
        <f t="shared" si="9"/>
        <v>#N/A</v>
      </c>
      <c r="P635" s="1049">
        <f>ROUND(IF(L635='S1&amp;2 Lists'!$CV$3,K635,IF(L635='S1&amp;2 Lists'!$CV$4,K635/'S1&amp;2 Lists'!$CQ$6,0)),3)</f>
        <v>0</v>
      </c>
      <c r="Q635" s="326" t="s">
        <v>264</v>
      </c>
    </row>
    <row r="636" spans="1:17" s="756" customFormat="1" ht="24" customHeight="1">
      <c r="A636" s="975"/>
      <c r="B636" s="975"/>
      <c r="C636" s="1027"/>
      <c r="D636" s="975"/>
      <c r="E636" s="980"/>
      <c r="F636" s="975"/>
      <c r="G636" s="979"/>
      <c r="H636" s="975"/>
      <c r="I636" s="980"/>
      <c r="J636" s="975"/>
      <c r="K636" s="975"/>
      <c r="L636" s="975"/>
      <c r="M636" s="755" t="e">
        <f>+VLOOKUP(G636,'S1&amp;2 Lists'!$C$8:$G$134,3,FALSE)</f>
        <v>#N/A</v>
      </c>
      <c r="N636" s="755" t="e">
        <f t="shared" si="9"/>
        <v>#N/A</v>
      </c>
      <c r="P636" s="1049">
        <f>ROUND(IF(L636='S1&amp;2 Lists'!$CV$3,K636,IF(L636='S1&amp;2 Lists'!$CV$4,K636/'S1&amp;2 Lists'!$CQ$6,0)),3)</f>
        <v>0</v>
      </c>
      <c r="Q636" s="326" t="s">
        <v>264</v>
      </c>
    </row>
    <row r="637" spans="1:17" s="756" customFormat="1" ht="24" customHeight="1">
      <c r="A637" s="975"/>
      <c r="B637" s="975"/>
      <c r="C637" s="1027"/>
      <c r="D637" s="975"/>
      <c r="E637" s="980"/>
      <c r="F637" s="975"/>
      <c r="G637" s="979"/>
      <c r="H637" s="975"/>
      <c r="I637" s="980"/>
      <c r="J637" s="975"/>
      <c r="K637" s="975"/>
      <c r="L637" s="975"/>
      <c r="M637" s="755" t="e">
        <f>+VLOOKUP(G637,'S1&amp;2 Lists'!$C$8:$G$134,3,FALSE)</f>
        <v>#N/A</v>
      </c>
      <c r="N637" s="755" t="e">
        <f t="shared" si="9"/>
        <v>#N/A</v>
      </c>
      <c r="P637" s="1049">
        <f>ROUND(IF(L637='S1&amp;2 Lists'!$CV$3,K637,IF(L637='S1&amp;2 Lists'!$CV$4,K637/'S1&amp;2 Lists'!$CQ$6,0)),3)</f>
        <v>0</v>
      </c>
      <c r="Q637" s="326" t="s">
        <v>264</v>
      </c>
    </row>
    <row r="638" spans="1:17" s="756" customFormat="1" ht="24" customHeight="1">
      <c r="A638" s="975"/>
      <c r="B638" s="975"/>
      <c r="C638" s="1027"/>
      <c r="D638" s="975"/>
      <c r="E638" s="980"/>
      <c r="F638" s="975"/>
      <c r="G638" s="979"/>
      <c r="H638" s="975"/>
      <c r="I638" s="980"/>
      <c r="J638" s="975"/>
      <c r="K638" s="975"/>
      <c r="L638" s="975"/>
      <c r="M638" s="755" t="e">
        <f>+VLOOKUP(G638,'S1&amp;2 Lists'!$C$8:$G$134,3,FALSE)</f>
        <v>#N/A</v>
      </c>
      <c r="N638" s="755" t="e">
        <f t="shared" si="9"/>
        <v>#N/A</v>
      </c>
      <c r="P638" s="1049">
        <f>ROUND(IF(L638='S1&amp;2 Lists'!$CV$3,K638,IF(L638='S1&amp;2 Lists'!$CV$4,K638/'S1&amp;2 Lists'!$CQ$6,0)),3)</f>
        <v>0</v>
      </c>
      <c r="Q638" s="326" t="s">
        <v>264</v>
      </c>
    </row>
    <row r="639" spans="1:17" s="756" customFormat="1" ht="24" customHeight="1">
      <c r="A639" s="975"/>
      <c r="B639" s="975"/>
      <c r="C639" s="1027"/>
      <c r="D639" s="975"/>
      <c r="E639" s="980"/>
      <c r="F639" s="975"/>
      <c r="G639" s="979"/>
      <c r="H639" s="975"/>
      <c r="I639" s="980"/>
      <c r="J639" s="975"/>
      <c r="K639" s="975"/>
      <c r="L639" s="975"/>
      <c r="M639" s="755" t="e">
        <f>+VLOOKUP(G639,'S1&amp;2 Lists'!$C$8:$G$134,3,FALSE)</f>
        <v>#N/A</v>
      </c>
      <c r="N639" s="755" t="e">
        <f t="shared" si="9"/>
        <v>#N/A</v>
      </c>
      <c r="P639" s="1049">
        <f>ROUND(IF(L639='S1&amp;2 Lists'!$CV$3,K639,IF(L639='S1&amp;2 Lists'!$CV$4,K639/'S1&amp;2 Lists'!$CQ$6,0)),3)</f>
        <v>0</v>
      </c>
      <c r="Q639" s="326" t="s">
        <v>264</v>
      </c>
    </row>
    <row r="640" spans="1:17" s="756" customFormat="1" ht="24" customHeight="1">
      <c r="A640" s="975"/>
      <c r="B640" s="975"/>
      <c r="C640" s="1027"/>
      <c r="D640" s="975"/>
      <c r="E640" s="980"/>
      <c r="F640" s="975"/>
      <c r="G640" s="979"/>
      <c r="H640" s="975"/>
      <c r="I640" s="980"/>
      <c r="J640" s="975"/>
      <c r="K640" s="975"/>
      <c r="L640" s="975"/>
      <c r="M640" s="755" t="e">
        <f>+VLOOKUP(G640,'S1&amp;2 Lists'!$C$8:$G$134,3,FALSE)</f>
        <v>#N/A</v>
      </c>
      <c r="N640" s="755" t="e">
        <f t="shared" si="9"/>
        <v>#N/A</v>
      </c>
      <c r="P640" s="1049">
        <f>ROUND(IF(L640='S1&amp;2 Lists'!$CV$3,K640,IF(L640='S1&amp;2 Lists'!$CV$4,K640/'S1&amp;2 Lists'!$CQ$6,0)),3)</f>
        <v>0</v>
      </c>
      <c r="Q640" s="326" t="s">
        <v>264</v>
      </c>
    </row>
    <row r="641" spans="1:17" s="756" customFormat="1" ht="24" customHeight="1">
      <c r="A641" s="975"/>
      <c r="B641" s="975"/>
      <c r="C641" s="1027"/>
      <c r="D641" s="975"/>
      <c r="E641" s="980"/>
      <c r="F641" s="975"/>
      <c r="G641" s="979"/>
      <c r="H641" s="975"/>
      <c r="I641" s="980"/>
      <c r="J641" s="975"/>
      <c r="K641" s="975"/>
      <c r="L641" s="975"/>
      <c r="M641" s="755" t="e">
        <f>+VLOOKUP(G641,'S1&amp;2 Lists'!$C$8:$G$134,3,FALSE)</f>
        <v>#N/A</v>
      </c>
      <c r="N641" s="755" t="e">
        <f t="shared" si="9"/>
        <v>#N/A</v>
      </c>
      <c r="P641" s="1049">
        <f>ROUND(IF(L641='S1&amp;2 Lists'!$CV$3,K641,IF(L641='S1&amp;2 Lists'!$CV$4,K641/'S1&amp;2 Lists'!$CQ$6,0)),3)</f>
        <v>0</v>
      </c>
      <c r="Q641" s="326" t="s">
        <v>264</v>
      </c>
    </row>
    <row r="642" spans="1:17" s="756" customFormat="1" ht="24" customHeight="1">
      <c r="A642" s="975"/>
      <c r="B642" s="975"/>
      <c r="C642" s="1027"/>
      <c r="D642" s="975"/>
      <c r="E642" s="980"/>
      <c r="F642" s="975"/>
      <c r="G642" s="979"/>
      <c r="H642" s="975"/>
      <c r="I642" s="980"/>
      <c r="J642" s="975"/>
      <c r="K642" s="975"/>
      <c r="L642" s="975"/>
      <c r="M642" s="755" t="e">
        <f>+VLOOKUP(G642,'S1&amp;2 Lists'!$C$8:$G$134,3,FALSE)</f>
        <v>#N/A</v>
      </c>
      <c r="N642" s="755" t="e">
        <f t="shared" si="9"/>
        <v>#N/A</v>
      </c>
      <c r="P642" s="1049">
        <f>ROUND(IF(L642='S1&amp;2 Lists'!$CV$3,K642,IF(L642='S1&amp;2 Lists'!$CV$4,K642/'S1&amp;2 Lists'!$CQ$6,0)),3)</f>
        <v>0</v>
      </c>
      <c r="Q642" s="326" t="s">
        <v>264</v>
      </c>
    </row>
    <row r="643" spans="1:17" s="756" customFormat="1" ht="24" customHeight="1">
      <c r="A643" s="975"/>
      <c r="B643" s="975"/>
      <c r="C643" s="1028"/>
      <c r="D643" s="975"/>
      <c r="E643" s="980"/>
      <c r="F643" s="975"/>
      <c r="G643" s="979"/>
      <c r="H643" s="975"/>
      <c r="I643" s="980"/>
      <c r="J643" s="975"/>
      <c r="K643" s="975"/>
      <c r="L643" s="975"/>
      <c r="M643" s="755" t="e">
        <f>+VLOOKUP(G643,'S1&amp;2 Lists'!$C$8:$G$134,3,FALSE)</f>
        <v>#N/A</v>
      </c>
      <c r="N643" s="755" t="e">
        <f t="shared" si="9"/>
        <v>#N/A</v>
      </c>
      <c r="P643" s="1049">
        <f>ROUND(IF(L643='S1&amp;2 Lists'!$CV$3,K643,IF(L643='S1&amp;2 Lists'!$CV$4,K643/'S1&amp;2 Lists'!$CQ$6,0)),3)</f>
        <v>0</v>
      </c>
      <c r="Q643" s="326" t="s">
        <v>264</v>
      </c>
    </row>
    <row r="644" spans="1:17" s="756" customFormat="1" ht="24" customHeight="1">
      <c r="A644" s="975"/>
      <c r="B644" s="975"/>
      <c r="C644" s="1028"/>
      <c r="D644" s="975"/>
      <c r="E644" s="980"/>
      <c r="F644" s="975"/>
      <c r="G644" s="979"/>
      <c r="H644" s="975"/>
      <c r="I644" s="980"/>
      <c r="J644" s="975"/>
      <c r="K644" s="975"/>
      <c r="L644" s="975"/>
      <c r="M644" s="755" t="e">
        <f>+VLOOKUP(G644,'S1&amp;2 Lists'!$C$8:$G$134,3,FALSE)</f>
        <v>#N/A</v>
      </c>
      <c r="N644" s="755" t="e">
        <f t="shared" si="9"/>
        <v>#N/A</v>
      </c>
      <c r="P644" s="1049">
        <f>ROUND(IF(L644='S1&amp;2 Lists'!$CV$3,K644,IF(L644='S1&amp;2 Lists'!$CV$4,K644/'S1&amp;2 Lists'!$CQ$6,0)),3)</f>
        <v>0</v>
      </c>
      <c r="Q644" s="326" t="s">
        <v>264</v>
      </c>
    </row>
    <row r="645" spans="1:17" s="756" customFormat="1" ht="24" customHeight="1">
      <c r="A645" s="975"/>
      <c r="B645" s="975"/>
      <c r="C645" s="1028"/>
      <c r="D645" s="975"/>
      <c r="E645" s="980"/>
      <c r="F645" s="975"/>
      <c r="G645" s="979"/>
      <c r="H645" s="975"/>
      <c r="I645" s="980"/>
      <c r="J645" s="975"/>
      <c r="K645" s="975"/>
      <c r="L645" s="975"/>
      <c r="M645" s="755" t="e">
        <f>+VLOOKUP(G645,'S1&amp;2 Lists'!$C$8:$G$134,3,FALSE)</f>
        <v>#N/A</v>
      </c>
      <c r="N645" s="755" t="e">
        <f t="shared" si="9"/>
        <v>#N/A</v>
      </c>
      <c r="P645" s="1049">
        <f>ROUND(IF(L645='S1&amp;2 Lists'!$CV$3,K645,IF(L645='S1&amp;2 Lists'!$CV$4,K645/'S1&amp;2 Lists'!$CQ$6,0)),3)</f>
        <v>0</v>
      </c>
      <c r="Q645" s="326" t="s">
        <v>264</v>
      </c>
    </row>
    <row r="646" spans="1:17" s="756" customFormat="1" ht="24" customHeight="1">
      <c r="A646" s="975"/>
      <c r="B646" s="975"/>
      <c r="C646" s="1028"/>
      <c r="D646" s="975"/>
      <c r="E646" s="980"/>
      <c r="F646" s="975"/>
      <c r="G646" s="979"/>
      <c r="H646" s="975"/>
      <c r="I646" s="980"/>
      <c r="J646" s="975"/>
      <c r="K646" s="975"/>
      <c r="L646" s="975"/>
      <c r="M646" s="755" t="e">
        <f>+VLOOKUP(G646,'S1&amp;2 Lists'!$C$8:$G$134,3,FALSE)</f>
        <v>#N/A</v>
      </c>
      <c r="N646" s="755" t="e">
        <f t="shared" si="9"/>
        <v>#N/A</v>
      </c>
      <c r="P646" s="1049">
        <f>ROUND(IF(L646='S1&amp;2 Lists'!$CV$3,K646,IF(L646='S1&amp;2 Lists'!$CV$4,K646/'S1&amp;2 Lists'!$CQ$6,0)),3)</f>
        <v>0</v>
      </c>
      <c r="Q646" s="326" t="s">
        <v>264</v>
      </c>
    </row>
    <row r="647" spans="1:17" s="756" customFormat="1" ht="24" customHeight="1">
      <c r="A647" s="975"/>
      <c r="B647" s="975"/>
      <c r="C647" s="1028"/>
      <c r="D647" s="975"/>
      <c r="E647" s="980"/>
      <c r="F647" s="975"/>
      <c r="G647" s="979"/>
      <c r="H647" s="975"/>
      <c r="I647" s="980"/>
      <c r="J647" s="975"/>
      <c r="K647" s="975"/>
      <c r="L647" s="975"/>
      <c r="M647" s="755" t="e">
        <f>+VLOOKUP(G647,'S1&amp;2 Lists'!$C$8:$G$134,3,FALSE)</f>
        <v>#N/A</v>
      </c>
      <c r="N647" s="755" t="e">
        <f t="shared" si="9"/>
        <v>#N/A</v>
      </c>
      <c r="P647" s="1049">
        <f>ROUND(IF(L647='S1&amp;2 Lists'!$CV$3,K647,IF(L647='S1&amp;2 Lists'!$CV$4,K647/'S1&amp;2 Lists'!$CQ$6,0)),3)</f>
        <v>0</v>
      </c>
      <c r="Q647" s="326" t="s">
        <v>264</v>
      </c>
    </row>
    <row r="648" spans="1:17" s="756" customFormat="1" ht="24" customHeight="1">
      <c r="A648" s="975"/>
      <c r="B648" s="975"/>
      <c r="C648" s="1028"/>
      <c r="D648" s="975"/>
      <c r="E648" s="980"/>
      <c r="F648" s="975"/>
      <c r="G648" s="979"/>
      <c r="H648" s="975"/>
      <c r="I648" s="980"/>
      <c r="J648" s="975"/>
      <c r="K648" s="975"/>
      <c r="L648" s="975"/>
      <c r="M648" s="755" t="e">
        <f>+VLOOKUP(G648,'S1&amp;2 Lists'!$C$8:$G$134,3,FALSE)</f>
        <v>#N/A</v>
      </c>
      <c r="N648" s="755" t="e">
        <f t="shared" si="9"/>
        <v>#N/A</v>
      </c>
      <c r="P648" s="1049">
        <f>ROUND(IF(L648='S1&amp;2 Lists'!$CV$3,K648,IF(L648='S1&amp;2 Lists'!$CV$4,K648/'S1&amp;2 Lists'!$CQ$6,0)),3)</f>
        <v>0</v>
      </c>
      <c r="Q648" s="326" t="s">
        <v>264</v>
      </c>
    </row>
    <row r="649" spans="1:17" s="756" customFormat="1" ht="24" customHeight="1">
      <c r="A649" s="975"/>
      <c r="B649" s="975"/>
      <c r="C649" s="1028"/>
      <c r="D649" s="975"/>
      <c r="E649" s="980"/>
      <c r="F649" s="975"/>
      <c r="G649" s="979"/>
      <c r="H649" s="975"/>
      <c r="I649" s="980"/>
      <c r="J649" s="975"/>
      <c r="K649" s="975"/>
      <c r="L649" s="975"/>
      <c r="M649" s="755" t="e">
        <f>+VLOOKUP(G649,'S1&amp;2 Lists'!$C$8:$G$134,3,FALSE)</f>
        <v>#N/A</v>
      </c>
      <c r="N649" s="755" t="e">
        <f t="shared" si="9"/>
        <v>#N/A</v>
      </c>
      <c r="P649" s="1049">
        <f>ROUND(IF(L649='S1&amp;2 Lists'!$CV$3,K649,IF(L649='S1&amp;2 Lists'!$CV$4,K649/'S1&amp;2 Lists'!$CQ$6,0)),3)</f>
        <v>0</v>
      </c>
      <c r="Q649" s="326" t="s">
        <v>264</v>
      </c>
    </row>
    <row r="650" spans="1:17" s="756" customFormat="1" ht="24" customHeight="1">
      <c r="A650" s="975"/>
      <c r="B650" s="975"/>
      <c r="C650" s="1028"/>
      <c r="D650" s="975"/>
      <c r="E650" s="980"/>
      <c r="F650" s="975"/>
      <c r="G650" s="979"/>
      <c r="H650" s="975"/>
      <c r="I650" s="980"/>
      <c r="J650" s="975"/>
      <c r="K650" s="975"/>
      <c r="L650" s="975"/>
      <c r="M650" s="755" t="e">
        <f>+VLOOKUP(G650,'S1&amp;2 Lists'!$C$8:$G$134,3,FALSE)</f>
        <v>#N/A</v>
      </c>
      <c r="N650" s="755" t="e">
        <f>+P650*M650</f>
        <v>#N/A</v>
      </c>
      <c r="P650" s="1049">
        <f>ROUND(IF(L650='S1&amp;2 Lists'!$CV$3,K650,IF(L650='S1&amp;2 Lists'!$CV$4,K650/'S1&amp;2 Lists'!$CQ$6,0)),3)</f>
        <v>0</v>
      </c>
      <c r="Q650" s="326" t="s">
        <v>264</v>
      </c>
    </row>
    <row r="651" spans="1:17" s="756" customFormat="1" ht="24" customHeight="1">
      <c r="A651" s="975"/>
      <c r="B651" s="975"/>
      <c r="C651" s="1028"/>
      <c r="D651" s="975"/>
      <c r="E651" s="980"/>
      <c r="F651" s="975"/>
      <c r="G651" s="979"/>
      <c r="H651" s="975"/>
      <c r="I651" s="980"/>
      <c r="J651" s="975"/>
      <c r="K651" s="975"/>
      <c r="L651" s="975"/>
      <c r="M651" s="755" t="e">
        <f>+VLOOKUP(G651,'S1&amp;2 Lists'!$C$8:$G$134,3,FALSE)</f>
        <v>#N/A</v>
      </c>
      <c r="N651" s="755" t="e">
        <f>+P651*M651</f>
        <v>#N/A</v>
      </c>
      <c r="P651" s="1049">
        <f>ROUND(IF(L651='S1&amp;2 Lists'!$CV$3,K651,IF(L651='S1&amp;2 Lists'!$CV$4,K651/'S1&amp;2 Lists'!$CQ$6,0)),3)</f>
        <v>0</v>
      </c>
      <c r="Q651" s="326" t="s">
        <v>264</v>
      </c>
    </row>
    <row r="652" spans="1:17" s="756" customFormat="1" ht="24" customHeight="1">
      <c r="A652" s="975"/>
      <c r="B652" s="975"/>
      <c r="C652" s="1028"/>
      <c r="D652" s="975"/>
      <c r="E652" s="980"/>
      <c r="F652" s="975"/>
      <c r="G652" s="979"/>
      <c r="H652" s="975"/>
      <c r="I652" s="980"/>
      <c r="J652" s="975"/>
      <c r="K652" s="975"/>
      <c r="L652" s="975"/>
      <c r="M652" s="755" t="e">
        <f>+VLOOKUP(G652,'S1&amp;2 Lists'!$C$8:$G$134,3,FALSE)</f>
        <v>#N/A</v>
      </c>
      <c r="N652" s="755" t="e">
        <f>+P652*M652</f>
        <v>#N/A</v>
      </c>
      <c r="P652" s="1049">
        <f>ROUND(IF(L652='S1&amp;2 Lists'!$CV$3,K652,IF(L652='S1&amp;2 Lists'!$CV$4,K652/'S1&amp;2 Lists'!$CQ$6,0)),3)</f>
        <v>0</v>
      </c>
      <c r="Q652" s="326" t="s">
        <v>264</v>
      </c>
    </row>
    <row r="653" spans="1:17" s="756" customFormat="1" ht="24" customHeight="1">
      <c r="A653" s="975"/>
      <c r="B653" s="975"/>
      <c r="C653" s="1027"/>
      <c r="D653" s="975"/>
      <c r="E653" s="980"/>
      <c r="F653" s="975"/>
      <c r="G653" s="979"/>
      <c r="H653" s="975"/>
      <c r="I653" s="980"/>
      <c r="J653" s="975"/>
      <c r="K653" s="975"/>
      <c r="L653" s="975"/>
      <c r="M653" s="755" t="e">
        <f>+VLOOKUP(G653,'S1&amp;2 Lists'!$C$8:$G$134,3,FALSE)</f>
        <v>#N/A</v>
      </c>
      <c r="N653" s="755" t="e">
        <f>+P653*M653</f>
        <v>#N/A</v>
      </c>
      <c r="P653" s="1049">
        <f>ROUND(IF(L653='S1&amp;2 Lists'!$CV$3,K653,IF(L653='S1&amp;2 Lists'!$CV$4,K653/'S1&amp;2 Lists'!$CQ$6,0)),3)</f>
        <v>0</v>
      </c>
      <c r="Q653" s="326" t="s">
        <v>264</v>
      </c>
    </row>
    <row r="654" spans="1:17" s="756" customFormat="1" ht="24" customHeight="1">
      <c r="A654" s="975"/>
      <c r="B654" s="975"/>
      <c r="C654" s="1027"/>
      <c r="D654" s="975"/>
      <c r="E654" s="980"/>
      <c r="F654" s="975"/>
      <c r="G654" s="979"/>
      <c r="H654" s="975"/>
      <c r="I654" s="980"/>
      <c r="J654" s="975"/>
      <c r="K654" s="975"/>
      <c r="L654" s="975"/>
      <c r="M654" s="755" t="e">
        <f>+VLOOKUP(G654,'S1&amp;2 Lists'!$C$8:$G$134,3,FALSE)</f>
        <v>#N/A</v>
      </c>
      <c r="N654" s="755" t="e">
        <f>+P654*M654</f>
        <v>#N/A</v>
      </c>
      <c r="P654" s="1049">
        <f>ROUND(IF(L654='S1&amp;2 Lists'!$CV$3,K654,IF(L654='S1&amp;2 Lists'!$CV$4,K654/'S1&amp;2 Lists'!$CQ$6,0)),3)</f>
        <v>0</v>
      </c>
      <c r="Q654" s="326" t="s">
        <v>264</v>
      </c>
    </row>
  </sheetData>
  <sheetProtection algorithmName="SHA-512" hashValue="+2kz8tlpSiJ9SHEfOrb4TQSI51M+tJrX5wGH0xpy/wGwwZA7xKcpLQhpq8SYMdvpxLkQNk+uG5Z07rDqQ075yg==" saltValue="zrlPGjoWuTcDgktfv/O3Vg==" spinCount="100000" sheet="1" objects="1" scenarios="1"/>
  <mergeCells count="14">
    <mergeCell ref="J8:J9"/>
    <mergeCell ref="K8:L8"/>
    <mergeCell ref="M8:M9"/>
    <mergeCell ref="N8:N9"/>
    <mergeCell ref="F8:F9"/>
    <mergeCell ref="G8:G9"/>
    <mergeCell ref="H8:H9"/>
    <mergeCell ref="I8:I9"/>
    <mergeCell ref="A5:G5"/>
    <mergeCell ref="A6:G6"/>
    <mergeCell ref="A8:A9"/>
    <mergeCell ref="B8:B9"/>
    <mergeCell ref="D8:E8"/>
    <mergeCell ref="C8:C9"/>
  </mergeCells>
  <conditionalFormatting sqref="P10:Q654">
    <cfRule type="expression" dxfId="2" priority="1">
      <formula>$C$21&lt;&gt;$B$6</formula>
    </cfRule>
  </conditionalFormatting>
  <dataValidations count="3">
    <dataValidation type="list" allowBlank="1" showInputMessage="1" showErrorMessage="1" sqref="I10:I654 J47:J654" xr:uid="{00000000-0002-0000-0600-000000000000}">
      <formula1>"Yes,No"</formula1>
    </dataValidation>
    <dataValidation type="decimal" operator="greaterThan" allowBlank="1" showInputMessage="1" showErrorMessage="1" sqref="K10:K654" xr:uid="{00000000-0002-0000-0600-000001000000}">
      <formula1>0</formula1>
    </dataValidation>
    <dataValidation operator="greaterThan" allowBlank="1" showInputMessage="1" showErrorMessage="1" sqref="E10:E654" xr:uid="{00000000-0002-0000-0600-000002000000}"/>
  </dataValidations>
  <hyperlinks>
    <hyperlink ref="K1" location="Cooling_fire_suppression" display="Go back to Step.3 Required data." xr:uid="{00000000-0004-0000-0600-000000000000}"/>
  </hyperlinks>
  <pageMargins left="0.7" right="0.7" top="0.79166666666666663" bottom="0.75" header="0.3" footer="0.3"/>
  <pageSetup paperSize="9" scale="25" orientation="landscape" horizontalDpi="1200" verticalDpi="1200" r:id="rId1"/>
  <headerFooter>
    <oddHeader xml:space="preserve">&amp;L&amp;G&amp;R&amp;"-,Negrita"&amp;8
Herramienta para el cálculo de la huella de carbono en hospitales&amp;"-,Normal"
</oddHeader>
  </headerFooter>
  <colBreaks count="1" manualBreakCount="1">
    <brk id="17" max="1048575" man="1"/>
  </col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'S1&amp;2 Lists'!$AU$3:$AU$11</xm:f>
          </x14:formula1>
          <xm:sqref>B10:B654</xm:sqref>
        </x14:dataValidation>
        <x14:dataValidation type="list" operator="greaterThan" allowBlank="1" showInputMessage="1" showErrorMessage="1" xr:uid="{00000000-0002-0000-0600-000004000000}">
          <x14:formula1>
            <xm:f>'S1&amp;2 Lists'!$CV$3:$CV$4</xm:f>
          </x14:formula1>
          <xm:sqref>C53:D55 L10:L654 F53:F55</xm:sqref>
        </x14:dataValidation>
        <x14:dataValidation type="list" allowBlank="1" showInputMessage="1" showErrorMessage="1" xr:uid="{00000000-0002-0000-0600-000005000000}">
          <x14:formula1>
            <xm:f>'S1&amp;2 Lists'!$CM$3:$CM$4</xm:f>
          </x14:formula1>
          <xm:sqref>J10:J46</xm:sqref>
        </x14:dataValidation>
        <x14:dataValidation type="list" allowBlank="1" showInputMessage="1" showErrorMessage="1" xr:uid="{00000000-0002-0000-0600-000006000000}">
          <x14:formula1>
            <xm:f>'S1&amp;2 Lists'!$C$8:$C$134</xm:f>
          </x14:formula1>
          <xm:sqref>G10:G654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4E494"/>
  </sheetPr>
  <dimension ref="A1:N41"/>
  <sheetViews>
    <sheetView showGridLines="0" zoomScale="75" zoomScaleNormal="75" workbookViewId="0">
      <selection activeCell="H1" sqref="H1"/>
    </sheetView>
  </sheetViews>
  <sheetFormatPr defaultColWidth="10.5" defaultRowHeight="15"/>
  <cols>
    <col min="1" max="1" width="26.75" style="757" customWidth="1"/>
    <col min="2" max="2" width="17.125" style="757" customWidth="1"/>
    <col min="3" max="3" width="16.625" style="757" customWidth="1"/>
    <col min="4" max="4" width="15.125" style="757" customWidth="1"/>
    <col min="5" max="5" width="10.5" style="757"/>
    <col min="6" max="6" width="21.75" style="757" customWidth="1"/>
    <col min="7" max="7" width="26.375" style="757" bestFit="1" customWidth="1"/>
    <col min="8" max="8" width="16.125" style="757" customWidth="1"/>
    <col min="9" max="10" width="10.5" style="757"/>
    <col min="11" max="11" width="17.875" style="757" bestFit="1" customWidth="1"/>
    <col min="12" max="12" width="10.5" style="757"/>
    <col min="13" max="13" width="19.625" style="757" customWidth="1"/>
    <col min="14" max="16384" width="10.5" style="757"/>
  </cols>
  <sheetData>
    <row r="1" spans="1:14" ht="107.25" customHeight="1" thickTop="1" thickBot="1">
      <c r="D1" s="992" t="str">
        <f>+Instructions!B2</f>
        <v>Health Care Emissions Impact Calculator-Facility</v>
      </c>
      <c r="H1" s="749" t="s">
        <v>5652</v>
      </c>
    </row>
    <row r="2" spans="1:14" s="758" customFormat="1" ht="18.75" thickTop="1">
      <c r="A2" s="874" t="str">
        <f>+'Scope 1 and 2 Data'!A219</f>
        <v>1.3.2</v>
      </c>
      <c r="B2" s="875" t="str">
        <f>+'Scope 1 and 2 Data'!B219</f>
        <v>Inhaled Anesthetic Gases</v>
      </c>
      <c r="C2" s="875"/>
      <c r="D2" s="875"/>
      <c r="E2" s="875"/>
      <c r="F2" s="875"/>
      <c r="G2" s="875"/>
      <c r="H2" s="875"/>
      <c r="I2" s="875"/>
      <c r="J2" s="875"/>
      <c r="K2" s="875"/>
      <c r="L2" s="875"/>
      <c r="M2" s="875"/>
    </row>
    <row r="4" spans="1:14" ht="15.75">
      <c r="A4" s="317" t="s">
        <v>4393</v>
      </c>
      <c r="B4" s="759"/>
      <c r="C4" s="759"/>
      <c r="D4" s="759"/>
    </row>
    <row r="5" spans="1:14" ht="41.25" customHeight="1">
      <c r="A5" s="1119" t="s">
        <v>5760</v>
      </c>
      <c r="B5" s="1119"/>
      <c r="C5" s="1119"/>
      <c r="D5" s="1119"/>
    </row>
    <row r="6" spans="1:14" ht="45" customHeight="1">
      <c r="A6" s="1187" t="s">
        <v>5761</v>
      </c>
      <c r="B6" s="1188"/>
      <c r="C6" s="1188"/>
      <c r="D6" s="1188"/>
      <c r="F6" s="1035" t="s">
        <v>4452</v>
      </c>
      <c r="G6" s="1036"/>
      <c r="H6" s="1036"/>
      <c r="I6" s="1036"/>
      <c r="J6" s="1036"/>
      <c r="K6" s="1036"/>
      <c r="L6" s="1036"/>
      <c r="M6" s="1036"/>
    </row>
    <row r="7" spans="1:14" ht="36.75" customHeight="1">
      <c r="F7" s="1036"/>
      <c r="G7" s="1036"/>
      <c r="H7" s="1036"/>
      <c r="I7" s="1036"/>
      <c r="J7" s="1036"/>
      <c r="K7" s="1036"/>
      <c r="L7" s="1036"/>
      <c r="M7" s="1036"/>
    </row>
    <row r="8" spans="1:14">
      <c r="F8" s="1036"/>
      <c r="G8" s="1036"/>
      <c r="H8" s="1036"/>
      <c r="I8" s="1036"/>
      <c r="J8" s="1036"/>
      <c r="K8" s="1036"/>
      <c r="L8" s="1036"/>
      <c r="M8" s="1036"/>
    </row>
    <row r="9" spans="1:14" ht="15.75">
      <c r="A9" s="760" t="s">
        <v>4453</v>
      </c>
      <c r="B9" s="760" t="s">
        <v>4454</v>
      </c>
      <c r="C9" s="760" t="s">
        <v>4455</v>
      </c>
      <c r="F9" s="1035" t="s">
        <v>4456</v>
      </c>
      <c r="G9" s="1035" t="s">
        <v>4457</v>
      </c>
      <c r="H9" s="1035" t="s">
        <v>4458</v>
      </c>
      <c r="I9" s="1035" t="s">
        <v>4459</v>
      </c>
      <c r="J9" s="1037"/>
      <c r="K9" s="1035" t="s">
        <v>4460</v>
      </c>
      <c r="L9" s="1035" t="s">
        <v>1234</v>
      </c>
      <c r="M9" s="1035" t="s">
        <v>4461</v>
      </c>
      <c r="N9" s="759"/>
    </row>
    <row r="10" spans="1:14" ht="18">
      <c r="A10" s="1041" t="str">
        <f>+'S1&amp;2 Lists'!C5</f>
        <v>Isoflurane</v>
      </c>
      <c r="B10" s="1041"/>
      <c r="C10" s="1041"/>
      <c r="F10" s="1037" t="str">
        <f>+'S1&amp;2 Lists'!C5</f>
        <v>Isoflurane</v>
      </c>
      <c r="G10" s="1035"/>
      <c r="H10" s="1037"/>
      <c r="I10" s="1037"/>
      <c r="J10" s="1037"/>
      <c r="K10" s="1037"/>
      <c r="L10" s="1037"/>
      <c r="M10" s="1037"/>
      <c r="N10" s="759"/>
    </row>
    <row r="11" spans="1:14">
      <c r="A11" s="1042" t="s">
        <v>4462</v>
      </c>
      <c r="B11" s="1043">
        <v>0</v>
      </c>
      <c r="C11" s="1043">
        <v>0</v>
      </c>
      <c r="F11" s="1037"/>
      <c r="G11" s="1037" t="s">
        <v>4462</v>
      </c>
      <c r="H11" s="1037">
        <f>B11*C11</f>
        <v>0</v>
      </c>
      <c r="I11" s="1037">
        <f>H11/1000</f>
        <v>0</v>
      </c>
      <c r="J11" s="1037"/>
      <c r="K11" s="1037"/>
      <c r="L11" s="1037"/>
      <c r="M11" s="1037"/>
      <c r="N11" s="759"/>
    </row>
    <row r="12" spans="1:14">
      <c r="A12" s="1042" t="s">
        <v>4463</v>
      </c>
      <c r="B12" s="1043">
        <v>0</v>
      </c>
      <c r="C12" s="1043">
        <v>0</v>
      </c>
      <c r="F12" s="1037"/>
      <c r="G12" s="1037" t="s">
        <v>4463</v>
      </c>
      <c r="H12" s="1037">
        <f>B12*C12</f>
        <v>0</v>
      </c>
      <c r="I12" s="1037">
        <f>H12/1000</f>
        <v>0</v>
      </c>
      <c r="J12" s="1037"/>
      <c r="K12" s="1037"/>
      <c r="L12" s="1037"/>
      <c r="M12" s="1037"/>
      <c r="N12" s="759"/>
    </row>
    <row r="13" spans="1:14">
      <c r="A13" s="1042" t="s">
        <v>4464</v>
      </c>
      <c r="B13" s="1043">
        <v>0</v>
      </c>
      <c r="C13" s="1043">
        <v>0</v>
      </c>
      <c r="F13" s="1037"/>
      <c r="G13" s="1037" t="s">
        <v>4464</v>
      </c>
      <c r="H13" s="1037">
        <f>B13*C13</f>
        <v>0</v>
      </c>
      <c r="I13" s="1037">
        <f>H13/1000</f>
        <v>0</v>
      </c>
      <c r="J13" s="1037"/>
      <c r="K13" s="1037"/>
      <c r="L13" s="1037"/>
      <c r="M13" s="1037"/>
      <c r="N13" s="759"/>
    </row>
    <row r="14" spans="1:14">
      <c r="F14" s="1037"/>
      <c r="G14" s="1037"/>
      <c r="H14" s="1037"/>
      <c r="I14" s="1037"/>
      <c r="J14" s="1037"/>
      <c r="K14" s="1037" t="s">
        <v>4465</v>
      </c>
      <c r="L14" s="1037" t="s">
        <v>1234</v>
      </c>
      <c r="M14" s="1037" t="s">
        <v>4466</v>
      </c>
      <c r="N14" s="759"/>
    </row>
    <row r="15" spans="1:14">
      <c r="F15" s="1037"/>
      <c r="G15" s="1037" t="s">
        <v>228</v>
      </c>
      <c r="H15" s="1037">
        <f>SUM(H11:H14)</f>
        <v>0</v>
      </c>
      <c r="I15" s="1037">
        <f>SUM(I11:I14)</f>
        <v>0</v>
      </c>
      <c r="J15" s="1037"/>
      <c r="K15" s="1037">
        <v>1.496</v>
      </c>
      <c r="L15" s="1037">
        <v>510</v>
      </c>
      <c r="M15" s="1037">
        <f>I15*K15*L15</f>
        <v>0</v>
      </c>
      <c r="N15" s="759"/>
    </row>
    <row r="16" spans="1:14" ht="15.75">
      <c r="B16" s="760" t="s">
        <v>4454</v>
      </c>
      <c r="C16" s="760" t="s">
        <v>4455</v>
      </c>
      <c r="F16" s="1037"/>
      <c r="G16" s="1037"/>
      <c r="H16" s="1037"/>
      <c r="I16" s="1037"/>
      <c r="J16" s="1037"/>
      <c r="K16" s="1037"/>
      <c r="L16" s="1037"/>
      <c r="M16" s="1037"/>
      <c r="N16" s="759"/>
    </row>
    <row r="17" spans="1:14" ht="18">
      <c r="A17" s="1041" t="str">
        <f>+'S1&amp;2 Lists'!C6</f>
        <v>Sevoflurane</v>
      </c>
      <c r="B17" s="1041"/>
      <c r="C17" s="1041"/>
      <c r="F17" s="1037"/>
      <c r="G17" s="1037"/>
      <c r="H17" s="1037"/>
      <c r="I17" s="1037"/>
      <c r="J17" s="1037"/>
      <c r="K17" s="1037"/>
      <c r="L17" s="1037"/>
      <c r="M17" s="1037"/>
      <c r="N17" s="759"/>
    </row>
    <row r="18" spans="1:14">
      <c r="A18" s="1042" t="s">
        <v>4462</v>
      </c>
      <c r="B18" s="1043">
        <v>0</v>
      </c>
      <c r="C18" s="1043">
        <v>0</v>
      </c>
      <c r="F18" s="1037" t="str">
        <f>+'S1&amp;2 Lists'!C6</f>
        <v>Sevoflurane</v>
      </c>
      <c r="G18" s="1037" t="s">
        <v>4462</v>
      </c>
      <c r="H18" s="1037">
        <f>B18*C18</f>
        <v>0</v>
      </c>
      <c r="I18" s="1037">
        <f>H18/1000</f>
        <v>0</v>
      </c>
      <c r="J18" s="1037"/>
      <c r="K18" s="1037"/>
      <c r="L18" s="1037"/>
      <c r="M18" s="1037"/>
      <c r="N18" s="759"/>
    </row>
    <row r="19" spans="1:14">
      <c r="A19" s="1042" t="s">
        <v>4463</v>
      </c>
      <c r="B19" s="1043">
        <v>0</v>
      </c>
      <c r="C19" s="1043">
        <v>0</v>
      </c>
      <c r="F19" s="1037"/>
      <c r="G19" s="1037" t="s">
        <v>4463</v>
      </c>
      <c r="H19" s="1037">
        <f>B19*C19</f>
        <v>0</v>
      </c>
      <c r="I19" s="1037">
        <f>H19/1000</f>
        <v>0</v>
      </c>
      <c r="J19" s="1037"/>
      <c r="K19" s="1037"/>
      <c r="L19" s="1037"/>
      <c r="M19" s="1037"/>
      <c r="N19" s="759"/>
    </row>
    <row r="20" spans="1:14">
      <c r="A20" s="1042" t="s">
        <v>4464</v>
      </c>
      <c r="B20" s="1043">
        <v>0</v>
      </c>
      <c r="C20" s="1043">
        <v>0</v>
      </c>
      <c r="F20" s="1037"/>
      <c r="G20" s="1037" t="s">
        <v>4464</v>
      </c>
      <c r="H20" s="1037">
        <f>B20*C20</f>
        <v>0</v>
      </c>
      <c r="I20" s="1037">
        <f>H20/1000</f>
        <v>0</v>
      </c>
      <c r="J20" s="1037"/>
      <c r="K20" s="1037"/>
      <c r="L20" s="1037"/>
      <c r="M20" s="1037"/>
      <c r="N20" s="759"/>
    </row>
    <row r="21" spans="1:14" ht="18">
      <c r="A21" s="761"/>
      <c r="B21" s="761"/>
      <c r="C21" s="761"/>
      <c r="F21" s="1037"/>
      <c r="G21" s="1037"/>
      <c r="H21" s="1037"/>
      <c r="I21" s="1037"/>
      <c r="J21" s="1037"/>
      <c r="K21" s="1037" t="s">
        <v>4465</v>
      </c>
      <c r="L21" s="1037" t="s">
        <v>1234</v>
      </c>
      <c r="M21" s="1037" t="s">
        <v>4466</v>
      </c>
      <c r="N21" s="759"/>
    </row>
    <row r="22" spans="1:14" ht="18">
      <c r="A22" s="761"/>
      <c r="F22" s="1037"/>
      <c r="G22" s="1037" t="s">
        <v>228</v>
      </c>
      <c r="H22" s="1037">
        <f>SUM(H18:H21)</f>
        <v>0</v>
      </c>
      <c r="I22" s="1037">
        <f>SUM(I18:I21)</f>
        <v>0</v>
      </c>
      <c r="J22" s="1037"/>
      <c r="K22" s="1037">
        <v>1.52</v>
      </c>
      <c r="L22" s="1037">
        <v>130</v>
      </c>
      <c r="M22" s="1037">
        <f>I22*K22*L22</f>
        <v>0</v>
      </c>
      <c r="N22" s="759"/>
    </row>
    <row r="23" spans="1:14" ht="18">
      <c r="A23" s="761"/>
      <c r="B23" s="760" t="s">
        <v>4454</v>
      </c>
      <c r="C23" s="760" t="s">
        <v>4455</v>
      </c>
      <c r="F23" s="1037"/>
      <c r="G23" s="1037"/>
      <c r="H23" s="1037"/>
      <c r="I23" s="1037"/>
      <c r="J23" s="1037"/>
      <c r="K23" s="1037"/>
      <c r="L23" s="1037"/>
      <c r="M23" s="1037"/>
      <c r="N23" s="759"/>
    </row>
    <row r="24" spans="1:14" ht="18">
      <c r="A24" s="1041" t="str">
        <f>+'S1&amp;2 Lists'!C7</f>
        <v>Desflurane</v>
      </c>
      <c r="B24" s="1041"/>
      <c r="C24" s="1041"/>
      <c r="F24" s="1037"/>
      <c r="G24" s="1037"/>
      <c r="H24" s="1037"/>
      <c r="I24" s="1037"/>
      <c r="J24" s="1037"/>
      <c r="K24" s="1037"/>
      <c r="L24" s="1037"/>
      <c r="M24" s="1037"/>
      <c r="N24" s="759"/>
    </row>
    <row r="25" spans="1:14">
      <c r="A25" s="1042" t="s">
        <v>4462</v>
      </c>
      <c r="B25" s="1043">
        <v>0</v>
      </c>
      <c r="C25" s="1043">
        <v>0</v>
      </c>
      <c r="F25" s="1037" t="str">
        <f>+'S1&amp;2 Lists'!C7</f>
        <v>Desflurane</v>
      </c>
      <c r="G25" s="1037" t="s">
        <v>4462</v>
      </c>
      <c r="H25" s="1037">
        <f>B25*C25</f>
        <v>0</v>
      </c>
      <c r="I25" s="1037">
        <f>H25/1000</f>
        <v>0</v>
      </c>
      <c r="J25" s="1037"/>
      <c r="K25" s="1037"/>
      <c r="L25" s="1037"/>
      <c r="M25" s="1037"/>
      <c r="N25" s="759"/>
    </row>
    <row r="26" spans="1:14">
      <c r="A26" s="1042" t="s">
        <v>4463</v>
      </c>
      <c r="B26" s="1043">
        <v>0</v>
      </c>
      <c r="C26" s="1043">
        <v>0</v>
      </c>
      <c r="F26" s="1037"/>
      <c r="G26" s="1037" t="s">
        <v>4463</v>
      </c>
      <c r="H26" s="1037">
        <f>B26*C26</f>
        <v>0</v>
      </c>
      <c r="I26" s="1037">
        <f>H26/1000</f>
        <v>0</v>
      </c>
      <c r="J26" s="1037"/>
      <c r="K26" s="1037"/>
      <c r="L26" s="1037"/>
      <c r="M26" s="1037"/>
      <c r="N26" s="759"/>
    </row>
    <row r="27" spans="1:14">
      <c r="A27" s="1042" t="s">
        <v>4464</v>
      </c>
      <c r="B27" s="1043">
        <v>0</v>
      </c>
      <c r="C27" s="1043">
        <v>0</v>
      </c>
      <c r="F27" s="1037"/>
      <c r="G27" s="1037" t="s">
        <v>4464</v>
      </c>
      <c r="H27" s="1037">
        <f>B27*C27</f>
        <v>0</v>
      </c>
      <c r="I27" s="1037">
        <f>H27/1000</f>
        <v>0</v>
      </c>
      <c r="J27" s="1037"/>
      <c r="K27" s="1037"/>
      <c r="L27" s="1037"/>
      <c r="M27" s="1037"/>
      <c r="N27" s="759"/>
    </row>
    <row r="28" spans="1:14">
      <c r="F28" s="1037"/>
      <c r="G28" s="1037"/>
      <c r="H28" s="1037"/>
      <c r="I28" s="1037"/>
      <c r="J28" s="1037"/>
      <c r="K28" s="1037" t="s">
        <v>4465</v>
      </c>
      <c r="L28" s="1037" t="s">
        <v>1234</v>
      </c>
      <c r="M28" s="1037" t="s">
        <v>4466</v>
      </c>
      <c r="N28" s="759"/>
    </row>
    <row r="29" spans="1:14">
      <c r="F29" s="1037"/>
      <c r="G29" s="1037" t="s">
        <v>228</v>
      </c>
      <c r="H29" s="1037">
        <f>SUM(H25:H28)</f>
        <v>0</v>
      </c>
      <c r="I29" s="1037">
        <f>SUM(I25:I28)</f>
        <v>0</v>
      </c>
      <c r="J29" s="1037"/>
      <c r="K29" s="1037">
        <v>1.456</v>
      </c>
      <c r="L29" s="1037">
        <v>2540</v>
      </c>
      <c r="M29" s="1037">
        <f>I29*K29*L29</f>
        <v>0</v>
      </c>
      <c r="N29" s="759"/>
    </row>
    <row r="30" spans="1:14" ht="20.25" customHeight="1">
      <c r="A30" s="1044" t="str">
        <f>+'S1&amp;2 Lists'!C4</f>
        <v>N2O</v>
      </c>
      <c r="B30" s="1044"/>
      <c r="F30" s="1037"/>
      <c r="G30" s="1037"/>
      <c r="H30" s="1037"/>
      <c r="I30" s="1037"/>
      <c r="J30" s="1037"/>
      <c r="K30" s="1037"/>
      <c r="L30" s="1037"/>
      <c r="M30" s="1037"/>
      <c r="N30" s="759"/>
    </row>
    <row r="31" spans="1:14">
      <c r="A31" s="1042" t="s">
        <v>5653</v>
      </c>
      <c r="B31" s="1043">
        <v>0</v>
      </c>
      <c r="F31" s="1037"/>
      <c r="G31" s="1037"/>
      <c r="H31" s="1037"/>
      <c r="I31" s="1037"/>
      <c r="J31" s="1037"/>
      <c r="K31" s="1037" t="s">
        <v>5744</v>
      </c>
      <c r="L31" s="1037" t="s">
        <v>1234</v>
      </c>
      <c r="M31" s="1037" t="s">
        <v>4466</v>
      </c>
      <c r="N31" s="759"/>
    </row>
    <row r="32" spans="1:14">
      <c r="F32" s="1037" t="str">
        <f>+'S1&amp;2 Lists'!C4</f>
        <v>N2O</v>
      </c>
      <c r="G32" s="1037" t="str">
        <f>A31</f>
        <v>Quantity delivered (pounds)</v>
      </c>
      <c r="H32" s="1037"/>
      <c r="I32" s="1037">
        <f>+B31</f>
        <v>0</v>
      </c>
      <c r="J32" s="1037"/>
      <c r="K32" s="1038">
        <v>0.4536</v>
      </c>
      <c r="L32" s="1039">
        <f>+'S1&amp;2 Lists'!E4</f>
        <v>298</v>
      </c>
      <c r="M32" s="1040">
        <f>I32*K32*L32</f>
        <v>0</v>
      </c>
      <c r="N32" s="759"/>
    </row>
    <row r="33" spans="1:14" ht="15.75" customHeight="1">
      <c r="F33" s="1037"/>
      <c r="G33" s="1037"/>
      <c r="H33" s="1037"/>
      <c r="I33" s="1037"/>
      <c r="J33" s="1037"/>
      <c r="K33" s="1037"/>
      <c r="L33" s="1037"/>
      <c r="M33" s="1037"/>
      <c r="N33" s="759"/>
    </row>
    <row r="34" spans="1:14" ht="18">
      <c r="A34" s="1041" t="s">
        <v>4407</v>
      </c>
      <c r="B34" s="1041"/>
      <c r="F34" s="1037"/>
      <c r="G34" s="1037"/>
      <c r="H34" s="1037"/>
      <c r="I34" s="1037"/>
      <c r="J34" s="1037"/>
      <c r="K34" s="1037"/>
      <c r="L34" s="1037"/>
      <c r="M34" s="1037"/>
      <c r="N34" s="759"/>
    </row>
    <row r="35" spans="1:14">
      <c r="A35" s="1042" t="s">
        <v>5653</v>
      </c>
      <c r="B35" s="1043">
        <v>0</v>
      </c>
      <c r="F35" s="1037"/>
      <c r="G35" s="1037"/>
      <c r="H35" s="1037"/>
      <c r="I35" s="1037"/>
      <c r="J35" s="1037"/>
      <c r="K35" s="1037"/>
      <c r="L35" s="1037"/>
      <c r="M35" s="1037"/>
      <c r="N35" s="759"/>
    </row>
    <row r="36" spans="1:14">
      <c r="F36" s="1037"/>
      <c r="G36" s="1037"/>
      <c r="H36" s="1037"/>
      <c r="I36" s="1037"/>
      <c r="J36" s="1037"/>
      <c r="K36" s="1037" t="s">
        <v>5744</v>
      </c>
      <c r="L36" s="1037" t="s">
        <v>1234</v>
      </c>
      <c r="M36" s="1037" t="s">
        <v>4466</v>
      </c>
      <c r="N36" s="759"/>
    </row>
    <row r="37" spans="1:14">
      <c r="F37" s="1037" t="str">
        <f>+A34</f>
        <v>N2O/O2 - 50/50 vol</v>
      </c>
      <c r="G37" s="1037" t="str">
        <f>A35</f>
        <v>Quantity delivered (pounds)</v>
      </c>
      <c r="H37" s="1037"/>
      <c r="I37" s="1037">
        <f>+B35</f>
        <v>0</v>
      </c>
      <c r="J37" s="1037"/>
      <c r="K37" s="1038">
        <v>0.4536</v>
      </c>
      <c r="L37" s="1039">
        <f>+'S1&amp;2 Lists'!$E$4</f>
        <v>298</v>
      </c>
      <c r="M37" s="1040">
        <f>I37*K37*L37</f>
        <v>0</v>
      </c>
      <c r="N37" s="759"/>
    </row>
    <row r="38" spans="1:14" ht="18">
      <c r="A38" s="1041" t="str">
        <f>+'S1&amp;2 Lists'!C8</f>
        <v>CO2</v>
      </c>
      <c r="B38" s="1041"/>
      <c r="F38" s="1037"/>
      <c r="G38" s="1037"/>
      <c r="H38" s="1037"/>
      <c r="I38" s="1037"/>
      <c r="J38" s="1037"/>
      <c r="K38" s="1037"/>
      <c r="L38" s="1037"/>
      <c r="M38" s="1037"/>
      <c r="N38" s="759"/>
    </row>
    <row r="39" spans="1:14">
      <c r="A39" s="1042" t="s">
        <v>5653</v>
      </c>
      <c r="B39" s="1043">
        <v>0</v>
      </c>
      <c r="F39" s="1037"/>
      <c r="G39" s="1037"/>
      <c r="H39" s="1037"/>
      <c r="I39" s="1037"/>
      <c r="J39" s="1037"/>
      <c r="K39" s="1037" t="s">
        <v>5744</v>
      </c>
      <c r="L39" s="1037" t="s">
        <v>1234</v>
      </c>
      <c r="M39" s="1037" t="s">
        <v>4466</v>
      </c>
      <c r="N39" s="759"/>
    </row>
    <row r="40" spans="1:14">
      <c r="F40" s="1037" t="str">
        <f>+'S1&amp;2 Lists'!C8</f>
        <v>CO2</v>
      </c>
      <c r="G40" s="1037" t="str">
        <f>A39</f>
        <v>Quantity delivered (pounds)</v>
      </c>
      <c r="H40" s="1037"/>
      <c r="I40" s="1037">
        <f>+B39</f>
        <v>0</v>
      </c>
      <c r="J40" s="1037"/>
      <c r="K40" s="1038">
        <v>0.4536</v>
      </c>
      <c r="L40" s="1039">
        <f>+'S1&amp;2 Lists'!E8</f>
        <v>1</v>
      </c>
      <c r="M40" s="1040">
        <f>I40*K40*L40</f>
        <v>0</v>
      </c>
      <c r="N40" s="759"/>
    </row>
    <row r="41" spans="1:14">
      <c r="F41" s="923"/>
      <c r="G41" s="924"/>
      <c r="H41" s="923"/>
      <c r="I41" s="923"/>
      <c r="J41" s="923"/>
      <c r="K41" s="923"/>
      <c r="L41" s="923"/>
      <c r="M41" s="923" t="s">
        <v>4437</v>
      </c>
      <c r="N41" s="759"/>
    </row>
  </sheetData>
  <sheetProtection algorithmName="SHA-512" hashValue="Qd7OV8czg6t1DbNozLWREDXCYIF8MGr4u6of13aSagFvKN/x1JJ1WUtfWMxAt/YJFM6NUkUcf9HTFyi5tnu4Ng==" saltValue="6mMLb7+3LBNMkzeBupEg8g==" spinCount="100000" sheet="1" objects="1" scenarios="1"/>
  <mergeCells count="2">
    <mergeCell ref="A5:D5"/>
    <mergeCell ref="A6:D6"/>
  </mergeCells>
  <hyperlinks>
    <hyperlink ref="H1" location="Medicinal_Anesthetic_gases" display="Go back to Step.3 Required data." xr:uid="{00000000-0004-0000-0700-000000000000}"/>
  </hyperlinks>
  <pageMargins left="0.75" right="0.75" top="1.0416666666666667" bottom="1" header="0.5" footer="0.5"/>
  <pageSetup orientation="portrait" horizontalDpi="4294967292" verticalDpi="4294967292" r:id="rId1"/>
  <headerFooter>
    <oddHeader xml:space="preserve">&amp;L&amp;G&amp;R&amp;"-,Negrita"&amp;8
Herramienta para el cálculo de la huella de carbono en hospitales&amp;"-,Normal"
</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2" tint="-0.249977111117893"/>
  </sheetPr>
  <dimension ref="A1:AH18"/>
  <sheetViews>
    <sheetView zoomScale="90" zoomScaleNormal="90" workbookViewId="0">
      <selection activeCell="F18" sqref="F18"/>
    </sheetView>
  </sheetViews>
  <sheetFormatPr defaultColWidth="10.5" defaultRowHeight="12.75"/>
  <cols>
    <col min="1" max="1" width="32.5" style="176" customWidth="1"/>
    <col min="2" max="2" width="18.125" style="176" customWidth="1"/>
    <col min="3" max="4" width="10.5" style="176"/>
    <col min="5" max="5" width="13.875" style="176" bestFit="1" customWidth="1"/>
    <col min="6" max="7" width="15.125" style="176" bestFit="1" customWidth="1"/>
    <col min="8" max="8" width="16.875" style="176" customWidth="1"/>
    <col min="9" max="9" width="16" style="176" customWidth="1"/>
    <col min="10" max="10" width="15.625" style="176" customWidth="1"/>
    <col min="11" max="34" width="15.125" style="176" bestFit="1" customWidth="1"/>
    <col min="35" max="16384" width="10.5" style="176"/>
  </cols>
  <sheetData>
    <row r="1" spans="1:34">
      <c r="F1" s="762" t="s">
        <v>4467</v>
      </c>
      <c r="G1" s="763" t="s">
        <v>4468</v>
      </c>
      <c r="I1" s="1189" t="s">
        <v>4469</v>
      </c>
      <c r="J1" s="1190"/>
      <c r="K1" s="1190"/>
      <c r="L1" s="1190"/>
      <c r="M1" s="1190"/>
      <c r="N1" s="1190"/>
      <c r="O1" s="1190"/>
      <c r="P1" s="1190"/>
      <c r="Q1" s="1190"/>
    </row>
    <row r="2" spans="1:34" ht="38.25">
      <c r="A2" s="764" t="s">
        <v>4470</v>
      </c>
      <c r="B2" s="765">
        <f>+'Scope 1 and 2 Data'!$J$519</f>
        <v>0</v>
      </c>
      <c r="D2" s="550"/>
      <c r="E2" s="766" t="s">
        <v>4305</v>
      </c>
      <c r="F2" s="767">
        <v>1</v>
      </c>
      <c r="G2" s="768" t="s">
        <v>4471</v>
      </c>
      <c r="I2" s="762" t="s">
        <v>4472</v>
      </c>
      <c r="J2" s="769" t="s">
        <v>4473</v>
      </c>
      <c r="K2" s="769" t="s">
        <v>4474</v>
      </c>
      <c r="L2" s="763" t="s">
        <v>1380</v>
      </c>
      <c r="M2" s="769" t="s">
        <v>4475</v>
      </c>
      <c r="N2" s="769" t="s">
        <v>4476</v>
      </c>
      <c r="O2" s="769" t="s">
        <v>4477</v>
      </c>
      <c r="P2" s="763" t="s">
        <v>1380</v>
      </c>
      <c r="Q2" s="769" t="s">
        <v>4478</v>
      </c>
    </row>
    <row r="3" spans="1:34" ht="14.25">
      <c r="A3" s="770" t="s">
        <v>4479</v>
      </c>
      <c r="B3" s="771" t="e">
        <f>+VLOOKUP("X",'Scope 1 and 2 Data'!$C$521:$D$523,2,FALSE)</f>
        <v>#N/A</v>
      </c>
      <c r="D3" s="550"/>
      <c r="E3" s="772" t="s">
        <v>4480</v>
      </c>
      <c r="F3" s="773">
        <v>0.4</v>
      </c>
      <c r="G3" s="768" t="s">
        <v>4471</v>
      </c>
      <c r="I3" s="662" t="s">
        <v>4481</v>
      </c>
      <c r="J3" s="774" t="e">
        <f>+IF('Scope 1 and 2 Data'!$C$493='S1&amp;2 Lists'!$CM$3,'Scope 1 and 2 Data'!C494,VLOOKUP(Instructions!$C$5,'S1&amp;2 Lists'!$AW$3:$BO$280,12,FALSE))/100</f>
        <v>#N/A</v>
      </c>
      <c r="K3" s="774">
        <v>0.4</v>
      </c>
      <c r="L3" s="768" t="s">
        <v>4482</v>
      </c>
      <c r="M3" s="774">
        <v>0.9</v>
      </c>
      <c r="N3" s="774">
        <v>0.46</v>
      </c>
      <c r="O3" s="774">
        <v>0.01</v>
      </c>
      <c r="P3" s="768" t="s">
        <v>4483</v>
      </c>
      <c r="Q3" s="774" t="e">
        <f t="shared" ref="Q3:Q10" si="0">+J3*M3*N3*O3</f>
        <v>#N/A</v>
      </c>
    </row>
    <row r="4" spans="1:34" ht="14.25">
      <c r="A4" s="770" t="s">
        <v>4484</v>
      </c>
      <c r="B4" s="771" t="e">
        <f>+VLOOKUP(B3,E2:F4,2,FALSE)</f>
        <v>#N/A</v>
      </c>
      <c r="D4" s="550"/>
      <c r="E4" s="772" t="s">
        <v>4485</v>
      </c>
      <c r="F4" s="773">
        <v>0.6</v>
      </c>
      <c r="G4" s="768" t="s">
        <v>4471</v>
      </c>
      <c r="I4" s="662" t="s">
        <v>4486</v>
      </c>
      <c r="J4" s="774" t="e">
        <f>+IF('Scope 1 and 2 Data'!$C$493='S1&amp;2 Lists'!$CM$3,'Scope 1 and 2 Data'!C495,VLOOKUP(Instructions!$C$5,'S1&amp;2 Lists'!$AW$3:$BO$280,13,FALSE))/100</f>
        <v>#N/A</v>
      </c>
      <c r="K4" s="774">
        <v>0.24</v>
      </c>
      <c r="L4" s="768" t="s">
        <v>4482</v>
      </c>
      <c r="M4" s="774">
        <v>0.8</v>
      </c>
      <c r="N4" s="774">
        <v>0.5</v>
      </c>
      <c r="O4" s="774">
        <v>0.2</v>
      </c>
      <c r="P4" s="768" t="s">
        <v>4483</v>
      </c>
      <c r="Q4" s="774" t="e">
        <f t="shared" si="0"/>
        <v>#N/A</v>
      </c>
    </row>
    <row r="5" spans="1:34">
      <c r="I5" s="662" t="s">
        <v>4487</v>
      </c>
      <c r="J5" s="774" t="e">
        <f>+IF('Scope 1 and 2 Data'!$C$493='S1&amp;2 Lists'!$CM$3,'Scope 1 and 2 Data'!C496,VLOOKUP(Instructions!$C$5,'S1&amp;2 Lists'!$AW$3:$BO$280,14,FALSE))/100</f>
        <v>#N/A</v>
      </c>
      <c r="K5" s="774">
        <v>0.15</v>
      </c>
      <c r="L5" s="768" t="s">
        <v>4482</v>
      </c>
      <c r="M5" s="774">
        <v>0.4</v>
      </c>
      <c r="N5" s="774">
        <v>0.38</v>
      </c>
      <c r="O5" s="774">
        <v>0</v>
      </c>
      <c r="P5" s="768" t="s">
        <v>4483</v>
      </c>
      <c r="Q5" s="774" t="e">
        <f t="shared" si="0"/>
        <v>#N/A</v>
      </c>
    </row>
    <row r="6" spans="1:34">
      <c r="I6" s="662" t="s">
        <v>4304</v>
      </c>
      <c r="J6" s="774" t="e">
        <f>+IF('Scope 1 and 2 Data'!$C$493='S1&amp;2 Lists'!$CM$3,'Scope 1 and 2 Data'!C497,VLOOKUP(Instructions!$C$5,'S1&amp;2 Lists'!$AW$3:$BO$280,15,FALSE))/100</f>
        <v>#N/A</v>
      </c>
      <c r="K6" s="774">
        <v>0.43</v>
      </c>
      <c r="L6" s="768" t="s">
        <v>4482</v>
      </c>
      <c r="M6" s="774">
        <v>0.85</v>
      </c>
      <c r="N6" s="774">
        <v>0.5</v>
      </c>
      <c r="O6" s="774">
        <v>0</v>
      </c>
      <c r="P6" s="768" t="s">
        <v>4483</v>
      </c>
      <c r="Q6" s="774" t="e">
        <f t="shared" si="0"/>
        <v>#N/A</v>
      </c>
    </row>
    <row r="7" spans="1:34">
      <c r="I7" s="662" t="s">
        <v>4488</v>
      </c>
      <c r="J7" s="774" t="e">
        <f>+IF('Scope 1 and 2 Data'!$C$493='S1&amp;2 Lists'!$CM$3,'Scope 1 and 2 Data'!C498,VLOOKUP(Instructions!$C$5,'S1&amp;2 Lists'!$AW$3:$BO$280,16,FALSE))/100</f>
        <v>#N/A</v>
      </c>
      <c r="K7" s="774">
        <v>0.2</v>
      </c>
      <c r="L7" s="768" t="s">
        <v>4482</v>
      </c>
      <c r="M7" s="774">
        <v>0.4</v>
      </c>
      <c r="N7" s="774">
        <v>0.49</v>
      </c>
      <c r="O7" s="774">
        <v>0</v>
      </c>
      <c r="P7" s="768" t="s">
        <v>4483</v>
      </c>
      <c r="Q7" s="774" t="e">
        <f t="shared" si="0"/>
        <v>#N/A</v>
      </c>
    </row>
    <row r="8" spans="1:34">
      <c r="I8" s="662" t="s">
        <v>4489</v>
      </c>
      <c r="J8" s="774" t="e">
        <f>+IF('Scope 1 and 2 Data'!$C$493='S1&amp;2 Lists'!$CM$3,'Scope 1 and 2 Data'!C499,VLOOKUP(Instructions!$C$5,'S1&amp;2 Lists'!$AW$3:$BO$280,17,FALSE))/100</f>
        <v>#N/A</v>
      </c>
      <c r="K8" s="774">
        <v>0.24</v>
      </c>
      <c r="L8" s="768" t="s">
        <v>4482</v>
      </c>
      <c r="M8" s="774">
        <v>0.4</v>
      </c>
      <c r="N8" s="774">
        <v>0.7</v>
      </c>
      <c r="O8" s="774">
        <v>0.1</v>
      </c>
      <c r="P8" s="768" t="s">
        <v>4483</v>
      </c>
      <c r="Q8" s="774" t="e">
        <f t="shared" si="0"/>
        <v>#N/A</v>
      </c>
    </row>
    <row r="9" spans="1:34">
      <c r="I9" s="662" t="s">
        <v>502</v>
      </c>
      <c r="J9" s="774" t="e">
        <f>+IF('Scope 1 and 2 Data'!$C$493='S1&amp;2 Lists'!$CM$3,'Scope 1 and 2 Data'!C500,VLOOKUP(Instructions!$C$5,'S1&amp;2 Lists'!$AW$3:$BO$280,18,FALSE))/100</f>
        <v>#N/A</v>
      </c>
      <c r="K9" s="774"/>
      <c r="M9" s="774">
        <v>1</v>
      </c>
      <c r="N9" s="774">
        <v>0.75</v>
      </c>
      <c r="O9" s="774">
        <v>1</v>
      </c>
      <c r="Q9" s="774" t="e">
        <f t="shared" si="0"/>
        <v>#N/A</v>
      </c>
    </row>
    <row r="10" spans="1:34">
      <c r="C10" s="775"/>
      <c r="D10" s="775"/>
      <c r="E10" s="763" t="s">
        <v>4468</v>
      </c>
      <c r="F10" s="775"/>
      <c r="G10" s="775"/>
      <c r="I10" s="662" t="s">
        <v>4490</v>
      </c>
      <c r="J10" s="774" t="e">
        <f>+IF('Scope 1 and 2 Data'!$C$493='S1&amp;2 Lists'!$CM$3,'Scope 1 and 2 Data'!C501,VLOOKUP(Instructions!$C$5,'S1&amp;2 Lists'!$AW$3:$BO$280,19,FALSE))/100</f>
        <v>#N/A</v>
      </c>
      <c r="K10" s="774"/>
      <c r="L10" s="775"/>
      <c r="M10" s="774">
        <v>0.9</v>
      </c>
      <c r="N10" s="774">
        <v>0.03</v>
      </c>
      <c r="O10" s="774">
        <v>1</v>
      </c>
      <c r="P10" s="775"/>
      <c r="Q10" s="774" t="e">
        <f t="shared" si="0"/>
        <v>#N/A</v>
      </c>
      <c r="R10" s="775"/>
      <c r="S10" s="775"/>
      <c r="T10" s="775"/>
      <c r="U10" s="775"/>
      <c r="V10" s="775"/>
      <c r="W10" s="775"/>
      <c r="X10" s="775"/>
      <c r="Y10" s="775"/>
      <c r="Z10" s="775"/>
      <c r="AA10" s="775"/>
      <c r="AB10" s="775"/>
      <c r="AC10" s="775"/>
      <c r="AD10" s="775"/>
      <c r="AE10" s="775"/>
      <c r="AF10" s="775"/>
      <c r="AG10" s="775"/>
      <c r="AH10" s="775"/>
    </row>
    <row r="11" spans="1:34">
      <c r="C11" s="776" t="s">
        <v>4491</v>
      </c>
      <c r="D11" s="777" t="e">
        <f>IF((('Facility or System Data'!#REF!+'Facility or System Data'!#REF!)/2)&gt; 20,0.1175, 0.07)</f>
        <v>#REF!</v>
      </c>
      <c r="E11" s="768" t="s">
        <v>4492</v>
      </c>
      <c r="F11" s="775"/>
      <c r="G11" s="775"/>
      <c r="I11" s="662" t="s">
        <v>228</v>
      </c>
      <c r="J11" s="778" t="e">
        <f>+SUM(J3:J10)</f>
        <v>#N/A</v>
      </c>
      <c r="K11" s="778" t="e">
        <f>+(J3*K3+J4*K4+J5*K5+J6*K6+J7*K7+J8*K8)</f>
        <v>#N/A</v>
      </c>
      <c r="L11" s="775"/>
      <c r="M11" s="778"/>
      <c r="N11" s="778"/>
      <c r="O11" s="778"/>
      <c r="P11" s="775"/>
      <c r="Q11" s="779" t="e">
        <f>+SUM(Q3:Q10)</f>
        <v>#N/A</v>
      </c>
      <c r="R11" s="775"/>
      <c r="S11" s="775"/>
      <c r="T11" s="775"/>
      <c r="U11" s="775"/>
      <c r="V11" s="775"/>
      <c r="W11" s="775"/>
      <c r="X11" s="775"/>
      <c r="Y11" s="775"/>
      <c r="Z11" s="775"/>
      <c r="AA11" s="775"/>
      <c r="AB11" s="775"/>
      <c r="AC11" s="775"/>
      <c r="AD11" s="775"/>
      <c r="AE11" s="775"/>
      <c r="AF11" s="775"/>
      <c r="AG11" s="775"/>
      <c r="AH11" s="775"/>
    </row>
    <row r="12" spans="1:34">
      <c r="C12" s="776" t="s">
        <v>4493</v>
      </c>
      <c r="D12" s="777" t="e">
        <f>((1-EXP(-$D$11))/$D$11)</f>
        <v>#REF!</v>
      </c>
      <c r="E12" s="768" t="s">
        <v>4494</v>
      </c>
      <c r="F12" s="775"/>
      <c r="G12" s="775"/>
      <c r="H12" s="775"/>
      <c r="I12" s="775"/>
      <c r="J12" s="775"/>
      <c r="K12" s="775"/>
      <c r="L12" s="775"/>
      <c r="M12" s="775"/>
      <c r="N12" s="775"/>
      <c r="O12" s="775"/>
      <c r="P12" s="775"/>
      <c r="Q12" s="176" t="s">
        <v>4495</v>
      </c>
      <c r="R12" s="775"/>
      <c r="S12" s="775"/>
      <c r="T12" s="775"/>
      <c r="U12" s="775"/>
      <c r="V12" s="775"/>
      <c r="W12" s="775"/>
      <c r="X12" s="775"/>
      <c r="Y12" s="775"/>
      <c r="Z12" s="775"/>
      <c r="AA12" s="775"/>
      <c r="AB12" s="775"/>
      <c r="AC12" s="775"/>
      <c r="AD12" s="775"/>
      <c r="AE12" s="775"/>
      <c r="AF12" s="775"/>
      <c r="AG12" s="775"/>
      <c r="AH12" s="775"/>
    </row>
    <row r="13" spans="1:34" ht="15.75">
      <c r="C13" s="780" t="s">
        <v>4496</v>
      </c>
      <c r="D13" s="777">
        <v>0.5</v>
      </c>
      <c r="E13" s="768" t="s">
        <v>4497</v>
      </c>
      <c r="F13" s="781"/>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row>
    <row r="14" spans="1:34">
      <c r="C14" s="782" t="s">
        <v>4498</v>
      </c>
      <c r="D14" s="777">
        <f xml:space="preserve"> 16/12</f>
        <v>1.3333333333333333</v>
      </c>
      <c r="E14" s="768" t="s">
        <v>4494</v>
      </c>
      <c r="F14" s="781"/>
      <c r="G14" s="775"/>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row>
    <row r="15" spans="1:34">
      <c r="C15" s="780" t="s">
        <v>4499</v>
      </c>
      <c r="D15" s="783">
        <v>0.5</v>
      </c>
      <c r="E15" s="768" t="s">
        <v>4497</v>
      </c>
      <c r="F15" s="781"/>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row>
    <row r="16" spans="1:34" ht="14.25">
      <c r="C16" s="784" t="s">
        <v>4500</v>
      </c>
      <c r="D16" s="775"/>
      <c r="E16" s="785" t="e">
        <f>+$D$11*$D$12*$B$2*$B$4*$K$11*D13*D14*D15</f>
        <v>#REF!</v>
      </c>
      <c r="F16" s="785"/>
      <c r="G16" s="785"/>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row>
    <row r="17" spans="3:34">
      <c r="C17" s="775"/>
      <c r="D17" s="786" t="s">
        <v>4501</v>
      </c>
      <c r="E17" s="773">
        <f>+Instructions!C6</f>
        <v>0</v>
      </c>
      <c r="F17" s="773">
        <f>E17+1</f>
        <v>1</v>
      </c>
      <c r="G17" s="773">
        <f t="shared" ref="G17:AH17" si="1">F17+1</f>
        <v>2</v>
      </c>
      <c r="H17" s="773">
        <f t="shared" si="1"/>
        <v>3</v>
      </c>
      <c r="I17" s="773">
        <f t="shared" si="1"/>
        <v>4</v>
      </c>
      <c r="J17" s="773">
        <f t="shared" si="1"/>
        <v>5</v>
      </c>
      <c r="K17" s="773">
        <f t="shared" si="1"/>
        <v>6</v>
      </c>
      <c r="L17" s="773">
        <f t="shared" si="1"/>
        <v>7</v>
      </c>
      <c r="M17" s="773">
        <f t="shared" si="1"/>
        <v>8</v>
      </c>
      <c r="N17" s="773">
        <f t="shared" si="1"/>
        <v>9</v>
      </c>
      <c r="O17" s="773">
        <f t="shared" si="1"/>
        <v>10</v>
      </c>
      <c r="P17" s="773">
        <f>O17+1</f>
        <v>11</v>
      </c>
      <c r="Q17" s="773">
        <f t="shared" si="1"/>
        <v>12</v>
      </c>
      <c r="R17" s="773">
        <f t="shared" si="1"/>
        <v>13</v>
      </c>
      <c r="S17" s="773">
        <f t="shared" si="1"/>
        <v>14</v>
      </c>
      <c r="T17" s="773">
        <f t="shared" si="1"/>
        <v>15</v>
      </c>
      <c r="U17" s="773">
        <f t="shared" si="1"/>
        <v>16</v>
      </c>
      <c r="V17" s="773">
        <f t="shared" si="1"/>
        <v>17</v>
      </c>
      <c r="W17" s="773">
        <f t="shared" si="1"/>
        <v>18</v>
      </c>
      <c r="X17" s="773">
        <f t="shared" si="1"/>
        <v>19</v>
      </c>
      <c r="Y17" s="773">
        <f t="shared" si="1"/>
        <v>20</v>
      </c>
      <c r="Z17" s="773">
        <f t="shared" si="1"/>
        <v>21</v>
      </c>
      <c r="AA17" s="773">
        <f t="shared" si="1"/>
        <v>22</v>
      </c>
      <c r="AB17" s="773">
        <f t="shared" si="1"/>
        <v>23</v>
      </c>
      <c r="AC17" s="773">
        <f t="shared" si="1"/>
        <v>24</v>
      </c>
      <c r="AD17" s="773">
        <f t="shared" si="1"/>
        <v>25</v>
      </c>
      <c r="AE17" s="773">
        <f t="shared" si="1"/>
        <v>26</v>
      </c>
      <c r="AF17" s="773">
        <f t="shared" si="1"/>
        <v>27</v>
      </c>
      <c r="AG17" s="773">
        <f t="shared" si="1"/>
        <v>28</v>
      </c>
      <c r="AH17" s="773">
        <f t="shared" si="1"/>
        <v>29</v>
      </c>
    </row>
    <row r="18" spans="3:34">
      <c r="C18" s="775"/>
      <c r="D18" s="787">
        <f>E17</f>
        <v>0</v>
      </c>
      <c r="E18" s="788" t="e">
        <f>+$E16*EXP(-$D$11*(E$17-$D18))</f>
        <v>#REF!</v>
      </c>
      <c r="F18" s="788" t="e">
        <f t="shared" ref="F18:AH18" si="2">+$E16*EXP(-$D$11*(F$17-$D18))</f>
        <v>#REF!</v>
      </c>
      <c r="G18" s="788" t="e">
        <f t="shared" si="2"/>
        <v>#REF!</v>
      </c>
      <c r="H18" s="788" t="e">
        <f t="shared" si="2"/>
        <v>#REF!</v>
      </c>
      <c r="I18" s="788" t="e">
        <f t="shared" si="2"/>
        <v>#REF!</v>
      </c>
      <c r="J18" s="788" t="e">
        <f t="shared" si="2"/>
        <v>#REF!</v>
      </c>
      <c r="K18" s="788" t="e">
        <f t="shared" si="2"/>
        <v>#REF!</v>
      </c>
      <c r="L18" s="788" t="e">
        <f t="shared" si="2"/>
        <v>#REF!</v>
      </c>
      <c r="M18" s="788" t="e">
        <f t="shared" si="2"/>
        <v>#REF!</v>
      </c>
      <c r="N18" s="788" t="e">
        <f t="shared" si="2"/>
        <v>#REF!</v>
      </c>
      <c r="O18" s="788" t="e">
        <f t="shared" si="2"/>
        <v>#REF!</v>
      </c>
      <c r="P18" s="788" t="e">
        <f t="shared" si="2"/>
        <v>#REF!</v>
      </c>
      <c r="Q18" s="788" t="e">
        <f t="shared" si="2"/>
        <v>#REF!</v>
      </c>
      <c r="R18" s="788" t="e">
        <f t="shared" si="2"/>
        <v>#REF!</v>
      </c>
      <c r="S18" s="788" t="e">
        <f t="shared" si="2"/>
        <v>#REF!</v>
      </c>
      <c r="T18" s="788" t="e">
        <f t="shared" si="2"/>
        <v>#REF!</v>
      </c>
      <c r="U18" s="788" t="e">
        <f t="shared" si="2"/>
        <v>#REF!</v>
      </c>
      <c r="V18" s="788" t="e">
        <f t="shared" si="2"/>
        <v>#REF!</v>
      </c>
      <c r="W18" s="788" t="e">
        <f t="shared" si="2"/>
        <v>#REF!</v>
      </c>
      <c r="X18" s="788" t="e">
        <f t="shared" si="2"/>
        <v>#REF!</v>
      </c>
      <c r="Y18" s="788" t="e">
        <f t="shared" si="2"/>
        <v>#REF!</v>
      </c>
      <c r="Z18" s="788" t="e">
        <f t="shared" si="2"/>
        <v>#REF!</v>
      </c>
      <c r="AA18" s="788" t="e">
        <f t="shared" si="2"/>
        <v>#REF!</v>
      </c>
      <c r="AB18" s="788" t="e">
        <f t="shared" si="2"/>
        <v>#REF!</v>
      </c>
      <c r="AC18" s="788" t="e">
        <f t="shared" si="2"/>
        <v>#REF!</v>
      </c>
      <c r="AD18" s="788" t="e">
        <f t="shared" si="2"/>
        <v>#REF!</v>
      </c>
      <c r="AE18" s="788" t="e">
        <f t="shared" si="2"/>
        <v>#REF!</v>
      </c>
      <c r="AF18" s="788" t="e">
        <f t="shared" si="2"/>
        <v>#REF!</v>
      </c>
      <c r="AG18" s="788" t="e">
        <f t="shared" si="2"/>
        <v>#REF!</v>
      </c>
      <c r="AH18" s="788" t="e">
        <f t="shared" si="2"/>
        <v>#REF!</v>
      </c>
    </row>
  </sheetData>
  <sheetProtection sheet="1" selectLockedCells="1"/>
  <mergeCells count="1">
    <mergeCell ref="I1:Q1"/>
  </mergeCells>
  <conditionalFormatting sqref="D2:D4">
    <cfRule type="expression" dxfId="1" priority="1">
      <formula>$C$258&lt;&gt;$B$6</formula>
    </cfRule>
  </conditionalFormatting>
  <conditionalFormatting sqref="I3:J10">
    <cfRule type="expression" dxfId="0" priority="2">
      <formula>$C$258&lt;&gt;$B$6</formula>
    </cfRule>
  </conditionalFormatting>
  <pageMargins left="0.7" right="0.7" top="0.79166666666666663" bottom="0.75" header="0.3" footer="0.3"/>
  <pageSetup orientation="portrait" r:id="rId1"/>
  <headerFooter>
    <oddHeader xml:space="preserve">&amp;L&amp;G&amp;R&amp;"-,Negrita"&amp;8Herramienta para el cálculo de la huella de carbono en hospitales&amp;"-,Normal"
</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1b820adfd3e4a078472514c1a5cb5ff xmlns="87037488-ec5d-4aba-84c2-9b1d22638e8e">
      <Terms xmlns="http://schemas.microsoft.com/office/infopath/2007/PartnerControls"/>
    </b1b820adfd3e4a078472514c1a5cb5ff>
    <TaxCatchAll xmlns="87037488-ec5d-4aba-84c2-9b1d22638e8e" xsi:nil="true"/>
    <SharedWithUsers xmlns="2ccc2635-740d-44a0-9af6-db4b7245622b">
      <UserInfo>
        <DisplayName>BROOKS Jessica (ENGIE Impact)</DisplayName>
        <AccountId>11</AccountId>
        <AccountType/>
      </UserInfo>
    </SharedWithUsers>
    <lcf76f155ced4ddcb4097134ff3c332f xmlns="0a2d0cae-8a41-4761-b650-bfdba13c543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E692C27715FE749A7C729010F0122B3" ma:contentTypeVersion="19" ma:contentTypeDescription="Create a new document." ma:contentTypeScope="" ma:versionID="36316fd6a459373f5b9ba4a8ef0008a4">
  <xsd:schema xmlns:xsd="http://www.w3.org/2001/XMLSchema" xmlns:xs="http://www.w3.org/2001/XMLSchema" xmlns:p="http://schemas.microsoft.com/office/2006/metadata/properties" xmlns:ns2="87037488-ec5d-4aba-84c2-9b1d22638e8e" xmlns:ns3="0a2d0cae-8a41-4761-b650-bfdba13c5436" xmlns:ns4="2ccc2635-740d-44a0-9af6-db4b7245622b" targetNamespace="http://schemas.microsoft.com/office/2006/metadata/properties" ma:root="true" ma:fieldsID="43998a4a6901eb986343b19385c70a47" ns2:_="" ns3:_="" ns4:_="">
    <xsd:import namespace="87037488-ec5d-4aba-84c2-9b1d22638e8e"/>
    <xsd:import namespace="0a2d0cae-8a41-4761-b650-bfdba13c5436"/>
    <xsd:import namespace="2ccc2635-740d-44a0-9af6-db4b7245622b"/>
    <xsd:element name="properties">
      <xsd:complexType>
        <xsd:sequence>
          <xsd:element name="documentManagement">
            <xsd:complexType>
              <xsd:all>
                <xsd:element ref="ns2:b1b820adfd3e4a078472514c1a5cb5ff" minOccurs="0"/>
                <xsd:element ref="ns2:TaxCatchAll" minOccurs="0"/>
                <xsd:element ref="ns2:TaxCatchAllLabel" minOccurs="0"/>
                <xsd:element ref="ns3:MediaServiceMetadata" minOccurs="0"/>
                <xsd:element ref="ns3:MediaServiceFastMetadata" minOccurs="0"/>
                <xsd:element ref="ns3:MediaServiceAutoTags" minOccurs="0"/>
                <xsd:element ref="ns4:SharedWithUsers" minOccurs="0"/>
                <xsd:element ref="ns4:SharedWithDetails" minOccurs="0"/>
                <xsd:element ref="ns3:MediaServiceAutoKeyPoints" minOccurs="0"/>
                <xsd:element ref="ns3:MediaServiceKeyPoint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37488-ec5d-4aba-84c2-9b1d22638e8e" elementFormDefault="qualified">
    <xsd:import namespace="http://schemas.microsoft.com/office/2006/documentManagement/types"/>
    <xsd:import namespace="http://schemas.microsoft.com/office/infopath/2007/PartnerControls"/>
    <xsd:element name="b1b820adfd3e4a078472514c1a5cb5ff" ma:index="8" nillable="true" ma:taxonomy="true" ma:internalName="b1b820adfd3e4a078472514c1a5cb5ff" ma:taxonomyFieldName="Security_x0020_Classification" ma:displayName="Security Classification" ma:default="" ma:fieldId="{b1b820ad-fd3e-4a07-8472-514c1a5cb5ff}" ma:sspId="3bf472f7-a010-4b5a-bb99-a26ed4c99680" ma:termSetId="0c0ba91f-ee81-4a79-83f6-c19eebf2f1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a0ea45a-e2de-4f9b-845d-1515b9c9e6e4}" ma:internalName="TaxCatchAll" ma:showField="CatchAllData" ma:web="2ccc2635-740d-44a0-9af6-db4b7245622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a0ea45a-e2de-4f9b-845d-1515b9c9e6e4}" ma:internalName="TaxCatchAllLabel" ma:readOnly="true" ma:showField="CatchAllDataLabel" ma:web="2ccc2635-740d-44a0-9af6-db4b724562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a2d0cae-8a41-4761-b650-bfdba13c543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472f7-a010-4b5a-bb99-a26ed4c99680"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cc2635-740d-44a0-9af6-db4b7245622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902b3144-05cb-4777-86b3-e84c4a6b5b61" ContentTypeId="0x0101"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BE8F6E-6391-4467-9543-21FC5C8E1BB7}">
  <ds:schemaRefs>
    <ds:schemaRef ds:uri="http://purl.org/dc/dcmitype/"/>
    <ds:schemaRef ds:uri="http://schemas.openxmlformats.org/package/2006/metadata/core-properties"/>
    <ds:schemaRef ds:uri="http://www.w3.org/XML/1998/namespace"/>
    <ds:schemaRef ds:uri="http://schemas.microsoft.com/office/infopath/2007/PartnerControls"/>
    <ds:schemaRef ds:uri="2ccc2635-740d-44a0-9af6-db4b7245622b"/>
    <ds:schemaRef ds:uri="http://purl.org/dc/terms/"/>
    <ds:schemaRef ds:uri="0a2d0cae-8a41-4761-b650-bfdba13c5436"/>
    <ds:schemaRef ds:uri="http://schemas.microsoft.com/office/2006/documentManagement/types"/>
    <ds:schemaRef ds:uri="87037488-ec5d-4aba-84c2-9b1d22638e8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56F6071E-8A0C-45CC-BC6E-1D6BE0DBE1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37488-ec5d-4aba-84c2-9b1d22638e8e"/>
    <ds:schemaRef ds:uri="0a2d0cae-8a41-4761-b650-bfdba13c5436"/>
    <ds:schemaRef ds:uri="2ccc2635-740d-44a0-9af6-db4b72456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E74DC2-8E9C-4038-925C-10818B12C423}">
  <ds:schemaRefs>
    <ds:schemaRef ds:uri="Microsoft.SharePoint.Taxonomy.ContentTypeSync"/>
  </ds:schemaRefs>
</ds:datastoreItem>
</file>

<file path=customXml/itemProps4.xml><?xml version="1.0" encoding="utf-8"?>
<ds:datastoreItem xmlns:ds="http://schemas.openxmlformats.org/officeDocument/2006/customXml" ds:itemID="{171218B7-A875-4CC5-A01E-14C3154D787F}">
  <ds:schemaRefs>
    <ds:schemaRef ds:uri="http://schemas.microsoft.com/sharepoint/v3/contenttype/forms"/>
  </ds:schemaRefs>
</ds:datastoreItem>
</file>

<file path=docMetadata/LabelInfo.xml><?xml version="1.0" encoding="utf-8"?>
<clbl:labelList xmlns:clbl="http://schemas.microsoft.com/office/2020/mipLabelMetadata">
  <clbl:label id="{c135c4ba-2280-41f8-be7d-6f21d368baa3}" enabled="1" method="Standard" siteId="{24139d14-c62c-4c47-8bdd-ce71ea1d50c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22</vt:i4>
      </vt:variant>
    </vt:vector>
  </HeadingPairs>
  <TitlesOfParts>
    <vt:vector size="70" baseType="lpstr">
      <vt:lpstr>Scope 1 and 2 changelog</vt:lpstr>
      <vt:lpstr>Instructions</vt:lpstr>
      <vt:lpstr>Facility or System Data</vt:lpstr>
      <vt:lpstr>Scope 1 and 2 Data</vt:lpstr>
      <vt:lpstr>S1&amp;2 Lists</vt:lpstr>
      <vt:lpstr>Results &amp; Summary</vt:lpstr>
      <vt:lpstr>Refrigerants</vt:lpstr>
      <vt:lpstr>Anesthetic Gases</vt:lpstr>
      <vt:lpstr>Aux residuos</vt:lpstr>
      <vt:lpstr>Data sources</vt:lpstr>
      <vt:lpstr>S1&amp;2 References</vt:lpstr>
      <vt:lpstr>Mapping</vt:lpstr>
      <vt:lpstr>Scope 3 changelog</vt:lpstr>
      <vt:lpstr>Introduction</vt:lpstr>
      <vt:lpstr>inventory year and inflation</vt:lpstr>
      <vt:lpstr>Scope 3 Summary</vt:lpstr>
      <vt:lpstr>Cat 1 and 2 (Goods &amp; Services)</vt:lpstr>
      <vt:lpstr>Cat 1 and 2 descriptions</vt:lpstr>
      <vt:lpstr>Cat 3 Fuel &amp; Energy</vt:lpstr>
      <vt:lpstr>GWPs</vt:lpstr>
      <vt:lpstr>2016_Detail_Commodity_v1.0</vt:lpstr>
      <vt:lpstr>2016_Detail_Commodity_v1.1</vt:lpstr>
      <vt:lpstr>2016_Summary_Commodity_v1.1</vt:lpstr>
      <vt:lpstr>Cat 4 Upstream Trans &amp; Dist</vt:lpstr>
      <vt:lpstr>Cat 4 descriptions</vt:lpstr>
      <vt:lpstr>EF</vt:lpstr>
      <vt:lpstr>Cat 5 Waste</vt:lpstr>
      <vt:lpstr>Cat 6 Business Travel</vt:lpstr>
      <vt:lpstr>Cat 6 descriptions</vt:lpstr>
      <vt:lpstr>Cat 7 Employee Commuting</vt:lpstr>
      <vt:lpstr>Defra Homeworking</vt:lpstr>
      <vt:lpstr>CBECS IFs and eGRID</vt:lpstr>
      <vt:lpstr>State eGrid factors</vt:lpstr>
      <vt:lpstr>Commute Calcs</vt:lpstr>
      <vt:lpstr>Cat 8 &amp; Cat 13 Leased Assets</vt:lpstr>
      <vt:lpstr>Cat 9 Downstream Trans &amp; Dist</vt:lpstr>
      <vt:lpstr>Cat 11 Use of Sold Products</vt:lpstr>
      <vt:lpstr>2016_Summary_Industry_v1.1</vt:lpstr>
      <vt:lpstr>Cat 15 Investments</vt:lpstr>
      <vt:lpstr>Cat 15 descriptions</vt:lpstr>
      <vt:lpstr>References</vt:lpstr>
      <vt:lpstr>Conversions</vt:lpstr>
      <vt:lpstr>Inflation</vt:lpstr>
      <vt:lpstr>List</vt:lpstr>
      <vt:lpstr>Food Categories</vt:lpstr>
      <vt:lpstr>Cat 1 &amp; 2 descriptions (lookup)</vt:lpstr>
      <vt:lpstr>commodities_meta</vt:lpstr>
      <vt:lpstr>USEEIO metadata</vt:lpstr>
      <vt:lpstr>Business_trips</vt:lpstr>
      <vt:lpstr>Cooling_fire_suppression</vt:lpstr>
      <vt:lpstr>Country_region</vt:lpstr>
      <vt:lpstr>Employee_commuting</vt:lpstr>
      <vt:lpstr>Glass</vt:lpstr>
      <vt:lpstr>Heat_total_emissions</vt:lpstr>
      <vt:lpstr>Medicinal_Anesthetic_gases</vt:lpstr>
      <vt:lpstr>Mixed_Electronics</vt:lpstr>
      <vt:lpstr>Mixed_Metals</vt:lpstr>
      <vt:lpstr>Mixed_MSW</vt:lpstr>
      <vt:lpstr>Mixed_Organics</vt:lpstr>
      <vt:lpstr>Mixed_Paper</vt:lpstr>
      <vt:lpstr>Mixed_Paper__general</vt:lpstr>
      <vt:lpstr>Mixed_Plastics</vt:lpstr>
      <vt:lpstr>Mixed_Recyclables</vt:lpstr>
      <vt:lpstr>NK_estimated</vt:lpstr>
      <vt:lpstr>Patient_commuting</vt:lpstr>
      <vt:lpstr>Refrigerants!Print_Area</vt:lpstr>
      <vt:lpstr>'Results &amp; Summary'!Print_Area</vt:lpstr>
      <vt:lpstr>'Scope 1 and 2 Data'!Print_Area</vt:lpstr>
      <vt:lpstr>Supply_Chain</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 Sutherland</dc:creator>
  <cp:lastModifiedBy>Keith Edgerton</cp:lastModifiedBy>
  <dcterms:created xsi:type="dcterms:W3CDTF">2015-06-05T18:17:20Z</dcterms:created>
  <dcterms:modified xsi:type="dcterms:W3CDTF">2023-06-15T17:33:33Z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0x0101005E692C27715FE749A7C729010F0122B3</vt:lpwstr>
  </property>
  <property fmtid="{D5CDD505-2E9C-101B-9397-08002B2CF9AE}" pid="3" name="Security Classification">
    <vt:lpwstr/>
  </property>
  <property fmtid="{D5CDD505-2E9C-101B-9397-08002B2CF9AE}" pid="4" name="MediaServiceImageTags">
    <vt:lpwstr/>
  </property>
  <property fmtid="{D5CDD505-2E9C-101B-9397-08002B2CF9AE}" pid="5" name="MSIP_Label_c135c4ba-2280-41f8-be7d-6f21d368baa3_Enabled">
    <vt:lpwstr>true</vt:lpwstr>
  </property>
  <property fmtid="{D5CDD505-2E9C-101B-9397-08002B2CF9AE}" pid="6" name="MSIP_Label_c135c4ba-2280-41f8-be7d-6f21d368baa3_SetDate">
    <vt:lpwstr>2022-08-10T15:52:28Z</vt:lpwstr>
  </property>
  <property fmtid="{D5CDD505-2E9C-101B-9397-08002B2CF9AE}" pid="7" name="MSIP_Label_c135c4ba-2280-41f8-be7d-6f21d368baa3_Method">
    <vt:lpwstr>Standard</vt:lpwstr>
  </property>
  <property fmtid="{D5CDD505-2E9C-101B-9397-08002B2CF9AE}" pid="8" name="MSIP_Label_c135c4ba-2280-41f8-be7d-6f21d368baa3_Name">
    <vt:lpwstr>c135c4ba-2280-41f8-be7d-6f21d368baa3</vt:lpwstr>
  </property>
  <property fmtid="{D5CDD505-2E9C-101B-9397-08002B2CF9AE}" pid="9" name="MSIP_Label_c135c4ba-2280-41f8-be7d-6f21d368baa3_SiteId">
    <vt:lpwstr>24139d14-c62c-4c47-8bdd-ce71ea1d50cf</vt:lpwstr>
  </property>
  <property fmtid="{D5CDD505-2E9C-101B-9397-08002B2CF9AE}" pid="10" name="MSIP_Label_c135c4ba-2280-41f8-be7d-6f21d368baa3_ActionId">
    <vt:lpwstr>22554338-9a10-41c4-9c4e-8ef64dc2589c</vt:lpwstr>
  </property>
  <property fmtid="{D5CDD505-2E9C-101B-9397-08002B2CF9AE}" pid="11" name="MSIP_Label_c135c4ba-2280-41f8-be7d-6f21d368baa3_ContentBits">
    <vt:lpwstr>0</vt:lpwstr>
  </property>
</Properties>
</file>